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https://d.docs.live.net/3fcbfb50b344c149/Desktop/"/>
    </mc:Choice>
  </mc:AlternateContent>
  <xr:revisionPtr revIDLastSave="0" documentId="6_{D25B887F-AE5F-44B2-8FBD-FE22F26F31E0}" xr6:coauthVersionLast="46" xr6:coauthVersionMax="47" xr10:uidLastSave="{00000000-0000-0000-0000-000000000000}"/>
  <bookViews>
    <workbookView xWindow="2230" yWindow="270" windowWidth="27150" windowHeight="11210" tabRatio="424" activeTab="2" xr2:uid="{00000000-000D-0000-FFFF-FFFF00000000}"/>
  </bookViews>
  <sheets>
    <sheet name="CONTOR" sheetId="31" r:id="rId1"/>
    <sheet name="Meniu Lara Sweets" sheetId="30" r:id="rId2"/>
    <sheet name="Aprilie 2020 2.0" sheetId="28" r:id="rId3"/>
    <sheet name="Martie 2020" sheetId="25" r:id="rId4"/>
    <sheet name="Februarie 2020" sheetId="24" r:id="rId5"/>
    <sheet name="Ianuarie 2020" sheetId="23" r:id="rId6"/>
    <sheet name="Situatie Income-Uri" sheetId="9" r:id="rId7"/>
    <sheet name="Tempo" sheetId="26" r:id="rId8"/>
    <sheet name="Decembrie 2019" sheetId="22" r:id="rId9"/>
    <sheet name="Noiembrie 2019" sheetId="21" r:id="rId10"/>
    <sheet name="Octombrie" sheetId="19" r:id="rId11"/>
    <sheet name="Iulie" sheetId="2" r:id="rId12"/>
    <sheet name="Iunie" sheetId="4" r:id="rId13"/>
    <sheet name="Septembrie" sheetId="17" r:id="rId14"/>
    <sheet name="August" sheetId="1" r:id="rId15"/>
    <sheet name="Mai" sheetId="5" r:id="rId16"/>
    <sheet name="Aprilie" sheetId="6" r:id="rId17"/>
    <sheet name="Martie" sheetId="10" r:id="rId18"/>
    <sheet name="Februarie" sheetId="11" r:id="rId19"/>
    <sheet name="Ianuarie" sheetId="12" r:id="rId20"/>
    <sheet name="BNI Istoric" sheetId="18" r:id="rId21"/>
    <sheet name="Decembrie" sheetId="13" r:id="rId22"/>
    <sheet name="Sheet1" sheetId="15" r:id="rId23"/>
    <sheet name="Noiembrie" sheetId="14" r:id="rId24"/>
    <sheet name="Datorii Laura Pop" sheetId="7" r:id="rId25"/>
    <sheet name="Sheet2" sheetId="16" r:id="rId26"/>
    <sheet name="Cozo" sheetId="8" r:id="rId27"/>
    <sheet name="Aprilie 2020" sheetId="27" r:id="rId28"/>
  </sheets>
  <definedNames>
    <definedName name="_xlnm._FilterDatabase" localSheetId="4" hidden="1">'Februarie 2020'!$M$1:$M$295</definedName>
    <definedName name="_xlnm.Extract" localSheetId="4">'Februarie 2020'!$B$336:$B$356</definedName>
    <definedName name="Filtru">OFFSET('Meniu Lara Sweets'!$D$2,,,MAX(Table24[Workings]))</definedName>
    <definedName name="filtru_2">OFFSET('Meniu Lara Sweets'!$D$2,,,MAX(Table24[Workings]))</definedName>
    <definedName name="produse_ls">Table25[Nume]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414" i="28" l="1"/>
  <c r="M407" i="28"/>
  <c r="M329" i="28"/>
  <c r="H41" i="31" a="1"/>
  <c r="H41" i="31" s="1"/>
  <c r="H117" i="31" a="1"/>
  <c r="H117" i="31" s="1"/>
  <c r="C24" i="31" a="1"/>
  <c r="C24" i="31" s="1"/>
  <c r="D24" i="31" a="1"/>
  <c r="D24" i="31" s="1"/>
  <c r="E24" i="31" a="1"/>
  <c r="E24" i="31" s="1"/>
  <c r="F24" i="31" a="1"/>
  <c r="F24" i="31" s="1"/>
  <c r="G24" i="31" a="1"/>
  <c r="G24" i="31" s="1"/>
  <c r="H24" i="31" a="1"/>
  <c r="H24" i="31" s="1"/>
  <c r="C86" i="31" a="1"/>
  <c r="C86" i="31" s="1"/>
  <c r="D86" i="31" a="1"/>
  <c r="D86" i="31" s="1"/>
  <c r="E86" i="31" a="1"/>
  <c r="E86" i="31" s="1"/>
  <c r="F86" i="31" a="1"/>
  <c r="F86" i="31" s="1"/>
  <c r="G86" i="31" a="1"/>
  <c r="G86" i="31" s="1"/>
  <c r="H86" i="31" a="1"/>
  <c r="H86" i="31" s="1"/>
  <c r="C29" i="31" a="1"/>
  <c r="C29" i="31" s="1"/>
  <c r="D29" i="31" a="1"/>
  <c r="D29" i="31" s="1"/>
  <c r="E29" i="31" a="1"/>
  <c r="E29" i="31" s="1"/>
  <c r="F29" i="31" a="1"/>
  <c r="F29" i="31" s="1"/>
  <c r="G29" i="31" a="1"/>
  <c r="G29" i="31" s="1"/>
  <c r="H29" i="31" a="1"/>
  <c r="H29" i="31" s="1"/>
  <c r="C37" i="31" a="1"/>
  <c r="C37" i="31" s="1"/>
  <c r="D37" i="31" a="1"/>
  <c r="D37" i="31" s="1"/>
  <c r="E37" i="31" a="1"/>
  <c r="E37" i="31" s="1"/>
  <c r="F37" i="31" a="1"/>
  <c r="F37" i="31" s="1"/>
  <c r="G37" i="31" a="1"/>
  <c r="G37" i="31" s="1"/>
  <c r="H37" i="31" a="1"/>
  <c r="H37" i="31" s="1"/>
  <c r="C36" i="31" a="1"/>
  <c r="C36" i="31" s="1"/>
  <c r="D36" i="31" a="1"/>
  <c r="D36" i="31" s="1"/>
  <c r="E36" i="31" a="1"/>
  <c r="E36" i="31" s="1"/>
  <c r="F36" i="31" a="1"/>
  <c r="F36" i="31" s="1"/>
  <c r="G36" i="31" a="1"/>
  <c r="G36" i="31" s="1"/>
  <c r="H36" i="31" a="1"/>
  <c r="H36" i="31" s="1"/>
  <c r="C81" i="31" a="1"/>
  <c r="C81" i="31" s="1"/>
  <c r="D81" i="31" a="1"/>
  <c r="D81" i="31" s="1"/>
  <c r="E81" i="31" a="1"/>
  <c r="E81" i="31" s="1"/>
  <c r="F81" i="31" a="1"/>
  <c r="F81" i="31" s="1"/>
  <c r="G81" i="31" a="1"/>
  <c r="G81" i="31" s="1"/>
  <c r="H81" i="31" a="1"/>
  <c r="H81" i="31" s="1"/>
  <c r="C78" i="31" a="1"/>
  <c r="C78" i="31" s="1"/>
  <c r="D78" i="31" a="1"/>
  <c r="D78" i="31" s="1"/>
  <c r="E78" i="31" a="1"/>
  <c r="E78" i="31" s="1"/>
  <c r="F78" i="31" a="1"/>
  <c r="F78" i="31" s="1"/>
  <c r="G78" i="31" a="1"/>
  <c r="G78" i="31" s="1"/>
  <c r="H78" i="31" a="1"/>
  <c r="H78" i="31" s="1"/>
  <c r="C79" i="31" a="1"/>
  <c r="C79" i="31" s="1"/>
  <c r="D79" i="31" a="1"/>
  <c r="D79" i="31" s="1"/>
  <c r="E79" i="31" a="1"/>
  <c r="E79" i="31" s="1"/>
  <c r="F79" i="31" a="1"/>
  <c r="F79" i="31" s="1"/>
  <c r="G79" i="31" a="1"/>
  <c r="G79" i="31" s="1"/>
  <c r="H79" i="31" a="1"/>
  <c r="H79" i="31" s="1"/>
  <c r="C80" i="31" a="1"/>
  <c r="C80" i="31" s="1"/>
  <c r="D80" i="31" a="1"/>
  <c r="D80" i="31" s="1"/>
  <c r="E80" i="31" a="1"/>
  <c r="E80" i="31" s="1"/>
  <c r="F80" i="31" a="1"/>
  <c r="F80" i="31" s="1"/>
  <c r="G80" i="31" a="1"/>
  <c r="G80" i="31" s="1"/>
  <c r="H80" i="31" a="1"/>
  <c r="H80" i="31" s="1"/>
  <c r="C82" i="31" a="1"/>
  <c r="C82" i="31" s="1"/>
  <c r="D82" i="31" a="1"/>
  <c r="D82" i="31" s="1"/>
  <c r="E82" i="31" a="1"/>
  <c r="E82" i="31" s="1"/>
  <c r="F82" i="31" a="1"/>
  <c r="F82" i="31" s="1"/>
  <c r="G82" i="31" a="1"/>
  <c r="G82" i="31" s="1"/>
  <c r="H82" i="31" a="1"/>
  <c r="H82" i="31" s="1"/>
  <c r="C7" i="31" a="1"/>
  <c r="C7" i="31" s="1"/>
  <c r="D7" i="31" a="1"/>
  <c r="D7" i="31" s="1"/>
  <c r="E7" i="31" a="1"/>
  <c r="E7" i="31" s="1"/>
  <c r="F7" i="31" a="1"/>
  <c r="F7" i="31" s="1"/>
  <c r="G7" i="31" a="1"/>
  <c r="G7" i="31" s="1"/>
  <c r="H7" i="31" a="1"/>
  <c r="H7" i="31" s="1"/>
  <c r="C62" i="31" a="1"/>
  <c r="C62" i="31" s="1"/>
  <c r="D62" i="31" a="1"/>
  <c r="D62" i="31" s="1"/>
  <c r="E62" i="31" a="1"/>
  <c r="E62" i="31" s="1"/>
  <c r="F62" i="31" a="1"/>
  <c r="F62" i="31" s="1"/>
  <c r="G62" i="31" a="1"/>
  <c r="G62" i="31" s="1"/>
  <c r="H62" i="31" a="1"/>
  <c r="H62" i="31" s="1"/>
  <c r="C72" i="31" a="1"/>
  <c r="C72" i="31" s="1"/>
  <c r="D72" i="31" a="1"/>
  <c r="D72" i="31" s="1"/>
  <c r="E72" i="31" a="1"/>
  <c r="E72" i="31" s="1"/>
  <c r="F72" i="31" a="1"/>
  <c r="F72" i="31" s="1"/>
  <c r="G72" i="31" a="1"/>
  <c r="G72" i="31" s="1"/>
  <c r="H72" i="31" a="1"/>
  <c r="H72" i="31" s="1"/>
  <c r="C46" i="31" a="1"/>
  <c r="C46" i="31" s="1"/>
  <c r="D46" i="31" a="1"/>
  <c r="D46" i="31" s="1"/>
  <c r="E46" i="31" a="1"/>
  <c r="E46" i="31" s="1"/>
  <c r="F46" i="31" a="1"/>
  <c r="F46" i="31" s="1"/>
  <c r="G46" i="31" a="1"/>
  <c r="G46" i="31" s="1"/>
  <c r="H46" i="31" a="1"/>
  <c r="H46" i="31" s="1"/>
  <c r="C64" i="31" a="1"/>
  <c r="C64" i="31" s="1"/>
  <c r="D64" i="31" a="1"/>
  <c r="D64" i="31" s="1"/>
  <c r="E64" i="31" a="1"/>
  <c r="E64" i="31" s="1"/>
  <c r="F64" i="31" a="1"/>
  <c r="F64" i="31" s="1"/>
  <c r="G64" i="31" a="1"/>
  <c r="G64" i="31" s="1"/>
  <c r="H64" i="31" a="1"/>
  <c r="H64" i="31" s="1"/>
  <c r="C11" i="31" a="1"/>
  <c r="C11" i="31" s="1"/>
  <c r="D11" i="31" a="1"/>
  <c r="D11" i="31" s="1"/>
  <c r="E11" i="31" a="1"/>
  <c r="E11" i="31" s="1"/>
  <c r="F11" i="31" a="1"/>
  <c r="F11" i="31" s="1"/>
  <c r="G11" i="31" a="1"/>
  <c r="G11" i="31" s="1"/>
  <c r="H11" i="31" a="1"/>
  <c r="H11" i="31" s="1"/>
  <c r="C77" i="31" a="1"/>
  <c r="C77" i="31" s="1"/>
  <c r="D77" i="31" a="1"/>
  <c r="D77" i="31" s="1"/>
  <c r="E77" i="31" a="1"/>
  <c r="E77" i="31" s="1"/>
  <c r="F77" i="31" a="1"/>
  <c r="F77" i="31" s="1"/>
  <c r="G77" i="31" a="1"/>
  <c r="G77" i="31" s="1"/>
  <c r="H77" i="31" a="1"/>
  <c r="H77" i="31" s="1"/>
  <c r="C17" i="31" a="1"/>
  <c r="C17" i="31" s="1"/>
  <c r="D17" i="31" a="1"/>
  <c r="D17" i="31" s="1"/>
  <c r="E17" i="31" a="1"/>
  <c r="E17" i="31" s="1"/>
  <c r="F17" i="31" a="1"/>
  <c r="F17" i="31" s="1"/>
  <c r="G17" i="31" a="1"/>
  <c r="G17" i="31" s="1"/>
  <c r="H17" i="31" a="1"/>
  <c r="H17" i="31" s="1"/>
  <c r="C18" i="31" a="1"/>
  <c r="C18" i="31" s="1"/>
  <c r="D18" i="31" a="1"/>
  <c r="D18" i="31" s="1"/>
  <c r="E18" i="31" a="1"/>
  <c r="E18" i="31" s="1"/>
  <c r="F18" i="31" a="1"/>
  <c r="F18" i="31" s="1"/>
  <c r="G18" i="31" a="1"/>
  <c r="G18" i="31" s="1"/>
  <c r="H18" i="31" a="1"/>
  <c r="H18" i="31" s="1"/>
  <c r="D20" i="31" a="1"/>
  <c r="D20" i="31" s="1"/>
  <c r="C20" i="31" a="1"/>
  <c r="C20" i="31" s="1"/>
  <c r="B86" i="31" a="1"/>
  <c r="B86" i="31" s="1"/>
  <c r="B24" i="31" a="1"/>
  <c r="B24" i="31" s="1"/>
  <c r="M336" i="28" l="1"/>
  <c r="M282" i="28"/>
  <c r="M285" i="28"/>
  <c r="M299" i="28"/>
  <c r="M211" i="28"/>
  <c r="M287" i="28"/>
  <c r="M296" i="28"/>
  <c r="M365" i="28"/>
  <c r="M375" i="28"/>
  <c r="M165" i="28"/>
  <c r="M167" i="28"/>
  <c r="M126" i="28"/>
  <c r="M248" i="28" l="1"/>
  <c r="M133" i="28"/>
  <c r="M106" i="28"/>
  <c r="M251" i="28"/>
  <c r="M131" i="28"/>
  <c r="M19" i="28"/>
  <c r="M30" i="28"/>
  <c r="M15" i="28"/>
  <c r="J682" i="28"/>
  <c r="M673" i="28" l="1"/>
  <c r="M678" i="28"/>
  <c r="M588" i="28"/>
  <c r="M623" i="28"/>
  <c r="M669" i="28"/>
  <c r="M626" i="28"/>
  <c r="M587" i="28"/>
  <c r="M670" i="28"/>
  <c r="B651" i="28"/>
  <c r="B670" i="28" s="1"/>
  <c r="M568" i="28"/>
  <c r="M566" i="28"/>
  <c r="M489" i="28"/>
  <c r="M552" i="28"/>
  <c r="M468" i="28"/>
  <c r="M495" i="28"/>
  <c r="M514" i="28"/>
  <c r="M470" i="28"/>
  <c r="M551" i="28"/>
  <c r="M474" i="28"/>
  <c r="M529" i="28"/>
  <c r="M487" i="28"/>
  <c r="M475" i="28"/>
  <c r="M513" i="28"/>
  <c r="M453" i="28"/>
  <c r="M488" i="28"/>
  <c r="M463" i="28"/>
  <c r="M448" i="28"/>
  <c r="M442" i="28"/>
  <c r="M440" i="28"/>
  <c r="M437" i="28"/>
  <c r="M432" i="28"/>
  <c r="M397" i="28"/>
  <c r="M262" i="28"/>
  <c r="M643" i="28"/>
  <c r="M671" i="28"/>
  <c r="I86" i="31" l="1"/>
  <c r="I24" i="31"/>
  <c r="B37" i="31" a="1"/>
  <c r="B37" i="31" s="1"/>
  <c r="I37" i="31" s="1"/>
  <c r="B29" i="31" a="1"/>
  <c r="B29" i="31" s="1"/>
  <c r="I29" i="31" s="1"/>
  <c r="B81" i="31" a="1"/>
  <c r="B81" i="31" s="1"/>
  <c r="I81" i="31" s="1"/>
  <c r="B36" i="31" a="1"/>
  <c r="B36" i="31" s="1"/>
  <c r="I36" i="31" s="1"/>
  <c r="B79" i="31" a="1"/>
  <c r="B79" i="31" s="1"/>
  <c r="I79" i="31" s="1"/>
  <c r="B78" i="31" a="1"/>
  <c r="B78" i="31" s="1"/>
  <c r="I78" i="31" s="1"/>
  <c r="B82" i="31" a="1"/>
  <c r="B82" i="31" s="1"/>
  <c r="I82" i="31" s="1"/>
  <c r="B80" i="31" a="1"/>
  <c r="B80" i="31" s="1"/>
  <c r="I80" i="31" s="1"/>
  <c r="B62" i="31" a="1"/>
  <c r="B62" i="31" s="1"/>
  <c r="I62" i="31" s="1"/>
  <c r="B7" i="31" a="1"/>
  <c r="B7" i="31" s="1"/>
  <c r="I7" i="31" s="1"/>
  <c r="B46" i="31" a="1"/>
  <c r="B46" i="31" s="1"/>
  <c r="I46" i="31" s="1"/>
  <c r="B72" i="31" a="1"/>
  <c r="B72" i="31" s="1"/>
  <c r="I72" i="31" s="1"/>
  <c r="B11" i="31" a="1"/>
  <c r="B11" i="31" s="1"/>
  <c r="I11" i="31" s="1"/>
  <c r="B64" i="31" a="1"/>
  <c r="B64" i="31" s="1"/>
  <c r="I64" i="31" s="1"/>
  <c r="B17" i="31" a="1"/>
  <c r="B17" i="31" s="1"/>
  <c r="B77" i="31" a="1"/>
  <c r="B77" i="31" s="1"/>
  <c r="I77" i="31" s="1"/>
  <c r="B20" i="31" a="1"/>
  <c r="B20" i="31" s="1"/>
  <c r="B18" i="31" a="1"/>
  <c r="B18" i="31" s="1"/>
  <c r="I18" i="31" s="1"/>
  <c r="B19" i="31" a="1"/>
  <c r="B19" i="31" s="1"/>
  <c r="C19" i="31" a="1"/>
  <c r="C19" i="31" s="1"/>
  <c r="D19" i="31" a="1"/>
  <c r="D19" i="31" s="1"/>
  <c r="B22" i="31" a="1"/>
  <c r="B22" i="31" s="1"/>
  <c r="B21" i="31" a="1"/>
  <c r="B21" i="31" s="1"/>
  <c r="D22" i="31" a="1"/>
  <c r="D22" i="31" s="1"/>
  <c r="D21" i="31" a="1"/>
  <c r="D21" i="31" s="1"/>
  <c r="C22" i="31" a="1"/>
  <c r="C22" i="31" s="1"/>
  <c r="C21" i="31" a="1"/>
  <c r="C21" i="31" s="1"/>
  <c r="B10" i="31" a="1"/>
  <c r="B10" i="31" s="1"/>
  <c r="B5" i="31" a="1"/>
  <c r="B5" i="31" s="1"/>
  <c r="D10" i="31" a="1"/>
  <c r="D10" i="31" s="1"/>
  <c r="D5" i="31" a="1"/>
  <c r="D5" i="31" s="1"/>
  <c r="C10" i="31" a="1"/>
  <c r="C10" i="31" s="1"/>
  <c r="C5" i="31" a="1"/>
  <c r="C5" i="31" s="1"/>
  <c r="B9" i="31" a="1"/>
  <c r="B9" i="31" s="1"/>
  <c r="B6" i="31" a="1"/>
  <c r="B6" i="31" s="1"/>
  <c r="C9" i="31" a="1"/>
  <c r="C9" i="31" s="1"/>
  <c r="C6" i="31" a="1"/>
  <c r="C6" i="31" s="1"/>
  <c r="D9" i="31" a="1"/>
  <c r="D9" i="31" s="1"/>
  <c r="D6" i="31" a="1"/>
  <c r="D6" i="31" s="1"/>
  <c r="B8" i="31" a="1"/>
  <c r="B8" i="31" s="1"/>
  <c r="C8" i="31" a="1"/>
  <c r="C8" i="31" s="1"/>
  <c r="D8" i="31" a="1"/>
  <c r="D8" i="31" s="1"/>
  <c r="H717" i="28" l="1"/>
  <c r="N750" i="28"/>
  <c r="E20" i="31" a="1"/>
  <c r="E20" i="31" s="1"/>
  <c r="E21" i="31" l="1" a="1"/>
  <c r="E21" i="31" s="1"/>
  <c r="E19" i="31" a="1"/>
  <c r="E19" i="31" s="1"/>
  <c r="E5" i="31" a="1"/>
  <c r="E5" i="31" s="1"/>
  <c r="E22" i="31" a="1"/>
  <c r="E22" i="31" s="1"/>
  <c r="E6" i="31" a="1"/>
  <c r="E6" i="31" s="1"/>
  <c r="E10" i="31" a="1"/>
  <c r="E10" i="31" s="1"/>
  <c r="E8" i="31" a="1"/>
  <c r="E8" i="31" s="1"/>
  <c r="E9" i="31" a="1"/>
  <c r="E9" i="31" s="1"/>
  <c r="B33" i="31" l="1" a="1"/>
  <c r="B33" i="31" s="1"/>
  <c r="C33" i="31" a="1"/>
  <c r="C33" i="31" s="1"/>
  <c r="D33" i="31" a="1"/>
  <c r="D33" i="31" s="1"/>
  <c r="B178" i="31" a="1"/>
  <c r="B178" i="31" s="1"/>
  <c r="C178" i="31" a="1"/>
  <c r="C178" i="31" s="1"/>
  <c r="D178" i="31" a="1"/>
  <c r="D178" i="31" s="1"/>
  <c r="B168" i="31" l="1" a="1"/>
  <c r="B168" i="31" s="1"/>
  <c r="C168" i="31" a="1"/>
  <c r="C168" i="31" s="1"/>
  <c r="D168" i="31" a="1"/>
  <c r="D168" i="31" s="1"/>
  <c r="B93" i="31" l="1" a="1"/>
  <c r="B93" i="31" s="1"/>
  <c r="C93" i="31" a="1"/>
  <c r="C93" i="31" s="1"/>
  <c r="D93" i="31" a="1"/>
  <c r="D93" i="31" s="1"/>
  <c r="L239" i="31" l="1"/>
  <c r="L238" i="31"/>
  <c r="L237" i="31"/>
  <c r="L236" i="31"/>
  <c r="L234" i="31"/>
  <c r="L233" i="31"/>
  <c r="L232" i="31"/>
  <c r="L231" i="31"/>
  <c r="I230" i="31"/>
  <c r="L230" i="31" s="1"/>
  <c r="I229" i="31"/>
  <c r="L229" i="31" s="1"/>
  <c r="I228" i="31"/>
  <c r="L228" i="31" s="1"/>
  <c r="N125" i="31"/>
  <c r="B173" i="31" l="1" a="1"/>
  <c r="B173" i="31" s="1"/>
  <c r="B171" i="31" a="1"/>
  <c r="B171" i="31" s="1"/>
  <c r="B203" i="31" a="1"/>
  <c r="B203" i="31" s="1"/>
  <c r="B122" i="31" a="1"/>
  <c r="B122" i="31" s="1"/>
  <c r="B124" i="31" a="1"/>
  <c r="B124" i="31" s="1"/>
  <c r="B123" i="31" l="1" a="1"/>
  <c r="B123" i="31" s="1"/>
  <c r="B172" i="31" a="1"/>
  <c r="B172" i="31" s="1"/>
  <c r="B156" i="31" a="1"/>
  <c r="B156" i="31" s="1"/>
  <c r="B31" i="31" a="1"/>
  <c r="B31" i="31" s="1"/>
  <c r="B167" i="31" a="1"/>
  <c r="B167" i="31" s="1"/>
  <c r="B73" i="31" a="1"/>
  <c r="B73" i="31" s="1"/>
  <c r="B212" i="31" l="1" a="1"/>
  <c r="B212" i="31" s="1"/>
  <c r="O706" i="28" l="1"/>
  <c r="L774" i="28" l="1"/>
  <c r="P694" i="28"/>
  <c r="E781" i="28" l="1"/>
  <c r="E776" i="28"/>
  <c r="E775" i="28"/>
  <c r="E771" i="28"/>
  <c r="J769" i="28"/>
  <c r="J761" i="28"/>
  <c r="J756" i="28"/>
  <c r="L749" i="28"/>
  <c r="L745" i="28"/>
  <c r="J745" i="28"/>
  <c r="J741" i="28"/>
  <c r="K729" i="28"/>
  <c r="E759" i="28"/>
  <c r="E758" i="28"/>
  <c r="D761" i="28"/>
  <c r="D760" i="28"/>
  <c r="E739" i="28"/>
  <c r="D750" i="28"/>
  <c r="C741" i="28"/>
  <c r="C734" i="28"/>
  <c r="C733" i="28"/>
  <c r="J727" i="28"/>
  <c r="I725" i="28"/>
  <c r="I721" i="28"/>
  <c r="E721" i="28"/>
  <c r="D728" i="28"/>
  <c r="D726" i="28"/>
  <c r="C726" i="28"/>
  <c r="C719" i="28"/>
  <c r="B175" i="31" l="1" a="1"/>
  <c r="B175" i="31" s="1"/>
  <c r="C173" i="31" a="1"/>
  <c r="C173" i="31" s="1"/>
  <c r="C203" i="31" l="1" a="1"/>
  <c r="C203" i="31" s="1"/>
  <c r="C171" i="31" a="1"/>
  <c r="C171" i="31" s="1"/>
  <c r="C124" i="31" a="1"/>
  <c r="C124" i="31" s="1"/>
  <c r="C122" i="31" a="1"/>
  <c r="C122" i="31" s="1"/>
  <c r="C172" i="31" a="1"/>
  <c r="C172" i="31" s="1"/>
  <c r="C123" i="31" a="1"/>
  <c r="C123" i="31" s="1"/>
  <c r="C31" i="31" a="1"/>
  <c r="C31" i="31" s="1"/>
  <c r="C156" i="31" a="1"/>
  <c r="C156" i="31" s="1"/>
  <c r="C73" i="31" a="1"/>
  <c r="C73" i="31" s="1"/>
  <c r="C167" i="31" a="1"/>
  <c r="C167" i="31" s="1"/>
  <c r="C176" i="31" a="1"/>
  <c r="C176" i="31" s="1"/>
  <c r="C212" i="31" a="1"/>
  <c r="C212" i="31" s="1"/>
  <c r="B176" i="31" a="1"/>
  <c r="B176" i="31" s="1"/>
  <c r="C175" i="31" a="1"/>
  <c r="C175" i="31" s="1"/>
  <c r="D173" i="31" l="1" a="1"/>
  <c r="D173" i="31" s="1"/>
  <c r="F20" i="31" a="1"/>
  <c r="F20" i="31" s="1"/>
  <c r="H20" i="31" a="1"/>
  <c r="H20" i="31" s="1"/>
  <c r="G20" i="31" a="1"/>
  <c r="G20" i="31" s="1"/>
  <c r="I20" i="31" l="1"/>
  <c r="H21" i="31" a="1"/>
  <c r="H21" i="31" s="1"/>
  <c r="H19" i="31" a="1"/>
  <c r="H19" i="31" s="1"/>
  <c r="F21" i="31" a="1"/>
  <c r="F21" i="31" s="1"/>
  <c r="F19" i="31" a="1"/>
  <c r="F19" i="31" s="1"/>
  <c r="G21" i="31" a="1"/>
  <c r="G21" i="31" s="1"/>
  <c r="G19" i="31" a="1"/>
  <c r="G19" i="31" s="1"/>
  <c r="G5" i="31" a="1"/>
  <c r="G5" i="31" s="1"/>
  <c r="G22" i="31" a="1"/>
  <c r="G22" i="31" s="1"/>
  <c r="H5" i="31" a="1"/>
  <c r="H5" i="31" s="1"/>
  <c r="H22" i="31" a="1"/>
  <c r="H22" i="31" s="1"/>
  <c r="F5" i="31" a="1"/>
  <c r="F5" i="31" s="1"/>
  <c r="F22" i="31" a="1"/>
  <c r="F22" i="31" s="1"/>
  <c r="G6" i="31" a="1"/>
  <c r="G6" i="31" s="1"/>
  <c r="G10" i="31" a="1"/>
  <c r="G10" i="31" s="1"/>
  <c r="H6" i="31" a="1"/>
  <c r="H6" i="31" s="1"/>
  <c r="H10" i="31" a="1"/>
  <c r="H10" i="31" s="1"/>
  <c r="F6" i="31" a="1"/>
  <c r="F6" i="31" s="1"/>
  <c r="F10" i="31" a="1"/>
  <c r="F10" i="31" s="1"/>
  <c r="G8" i="31" a="1"/>
  <c r="G8" i="31" s="1"/>
  <c r="G9" i="31" a="1"/>
  <c r="G9" i="31" s="1"/>
  <c r="H8" i="31" a="1"/>
  <c r="H8" i="31" s="1"/>
  <c r="H9" i="31" a="1"/>
  <c r="H9" i="31" s="1"/>
  <c r="F8" i="31" a="1"/>
  <c r="F8" i="31" s="1"/>
  <c r="F9" i="31" a="1"/>
  <c r="F9" i="31" s="1"/>
  <c r="H178" i="31" a="1"/>
  <c r="H178" i="31" s="1"/>
  <c r="H33" i="31" a="1"/>
  <c r="H33" i="31" s="1"/>
  <c r="F178" i="31" a="1"/>
  <c r="F178" i="31" s="1"/>
  <c r="F33" i="31" a="1"/>
  <c r="F33" i="31" s="1"/>
  <c r="E178" i="31" a="1"/>
  <c r="E178" i="31" s="1"/>
  <c r="E33" i="31" a="1"/>
  <c r="E33" i="31" s="1"/>
  <c r="G178" i="31" a="1"/>
  <c r="G178" i="31" s="1"/>
  <c r="G33" i="31" a="1"/>
  <c r="G33" i="31" s="1"/>
  <c r="E168" i="31" a="1"/>
  <c r="E168" i="31" s="1"/>
  <c r="H168" i="31" a="1"/>
  <c r="H168" i="31" s="1"/>
  <c r="F168" i="31" a="1"/>
  <c r="F168" i="31" s="1"/>
  <c r="G168" i="31" a="1"/>
  <c r="G168" i="31" s="1"/>
  <c r="E173" i="31" a="1"/>
  <c r="E173" i="31" s="1"/>
  <c r="E93" i="31" a="1"/>
  <c r="E93" i="31" s="1"/>
  <c r="G173" i="31" a="1"/>
  <c r="G173" i="31" s="1"/>
  <c r="G93" i="31" a="1"/>
  <c r="G93" i="31" s="1"/>
  <c r="F173" i="31" a="1"/>
  <c r="F173" i="31" s="1"/>
  <c r="F93" i="31" a="1"/>
  <c r="F93" i="31" s="1"/>
  <c r="H173" i="31" a="1"/>
  <c r="H173" i="31" s="1"/>
  <c r="H93" i="31" a="1"/>
  <c r="H93" i="31" s="1"/>
  <c r="H203" i="31" a="1"/>
  <c r="H203" i="31" s="1"/>
  <c r="H171" i="31" a="1"/>
  <c r="H171" i="31" s="1"/>
  <c r="G203" i="31" a="1"/>
  <c r="G203" i="31" s="1"/>
  <c r="G171" i="31" a="1"/>
  <c r="G171" i="31" s="1"/>
  <c r="F203" i="31" a="1"/>
  <c r="F203" i="31" s="1"/>
  <c r="F171" i="31" a="1"/>
  <c r="F171" i="31" s="1"/>
  <c r="E203" i="31" a="1"/>
  <c r="E203" i="31" s="1"/>
  <c r="E171" i="31" a="1"/>
  <c r="E171" i="31" s="1"/>
  <c r="D203" i="31" a="1"/>
  <c r="D203" i="31" s="1"/>
  <c r="D171" i="31" a="1"/>
  <c r="D171" i="31" s="1"/>
  <c r="H124" i="31" a="1"/>
  <c r="H124" i="31" s="1"/>
  <c r="H122" i="31" a="1"/>
  <c r="H122" i="31" s="1"/>
  <c r="F124" i="31" a="1"/>
  <c r="F124" i="31" s="1"/>
  <c r="F122" i="31" a="1"/>
  <c r="F122" i="31" s="1"/>
  <c r="G124" i="31" a="1"/>
  <c r="G124" i="31" s="1"/>
  <c r="G122" i="31" a="1"/>
  <c r="G122" i="31" s="1"/>
  <c r="E124" i="31" a="1"/>
  <c r="E124" i="31" s="1"/>
  <c r="E122" i="31" a="1"/>
  <c r="E122" i="31" s="1"/>
  <c r="D124" i="31" a="1"/>
  <c r="D124" i="31" s="1"/>
  <c r="D122" i="31" a="1"/>
  <c r="D122" i="31" s="1"/>
  <c r="H172" i="31" a="1"/>
  <c r="H172" i="31" s="1"/>
  <c r="H123" i="31" a="1"/>
  <c r="H123" i="31" s="1"/>
  <c r="F172" i="31" a="1"/>
  <c r="F172" i="31" s="1"/>
  <c r="F123" i="31" a="1"/>
  <c r="F123" i="31" s="1"/>
  <c r="E172" i="31" a="1"/>
  <c r="E172" i="31" s="1"/>
  <c r="E123" i="31" a="1"/>
  <c r="E123" i="31" s="1"/>
  <c r="G172" i="31" a="1"/>
  <c r="G172" i="31" s="1"/>
  <c r="G123" i="31" a="1"/>
  <c r="G123" i="31" s="1"/>
  <c r="D172" i="31" a="1"/>
  <c r="D172" i="31" s="1"/>
  <c r="D123" i="31" a="1"/>
  <c r="D123" i="31" s="1"/>
  <c r="G31" i="31" a="1"/>
  <c r="G31" i="31" s="1"/>
  <c r="G156" i="31" a="1"/>
  <c r="G156" i="31" s="1"/>
  <c r="E31" i="31" a="1"/>
  <c r="E31" i="31" s="1"/>
  <c r="E156" i="31" a="1"/>
  <c r="E156" i="31" s="1"/>
  <c r="H31" i="31" a="1"/>
  <c r="H31" i="31" s="1"/>
  <c r="H156" i="31" a="1"/>
  <c r="H156" i="31" s="1"/>
  <c r="F31" i="31" a="1"/>
  <c r="F31" i="31" s="1"/>
  <c r="F156" i="31" a="1"/>
  <c r="F156" i="31" s="1"/>
  <c r="D31" i="31" a="1"/>
  <c r="D31" i="31" s="1"/>
  <c r="D156" i="31" a="1"/>
  <c r="D156" i="31" s="1"/>
  <c r="G73" i="31" a="1"/>
  <c r="G73" i="31" s="1"/>
  <c r="G167" i="31" a="1"/>
  <c r="G167" i="31" s="1"/>
  <c r="E73" i="31" a="1"/>
  <c r="E73" i="31" s="1"/>
  <c r="E167" i="31" a="1"/>
  <c r="E167" i="31" s="1"/>
  <c r="H73" i="31" a="1"/>
  <c r="H73" i="31" s="1"/>
  <c r="H167" i="31" a="1"/>
  <c r="H167" i="31" s="1"/>
  <c r="F73" i="31" a="1"/>
  <c r="F73" i="31" s="1"/>
  <c r="F167" i="31" a="1"/>
  <c r="F167" i="31" s="1"/>
  <c r="D73" i="31" a="1"/>
  <c r="D73" i="31" s="1"/>
  <c r="D167" i="31" a="1"/>
  <c r="D167" i="31" s="1"/>
  <c r="G176" i="31" a="1"/>
  <c r="G176" i="31" s="1"/>
  <c r="G212" i="31" a="1"/>
  <c r="G212" i="31" s="1"/>
  <c r="H176" i="31" a="1"/>
  <c r="H176" i="31" s="1"/>
  <c r="H212" i="31" a="1"/>
  <c r="H212" i="31" s="1"/>
  <c r="F176" i="31" a="1"/>
  <c r="F176" i="31" s="1"/>
  <c r="F212" i="31" a="1"/>
  <c r="F212" i="31" s="1"/>
  <c r="E176" i="31" a="1"/>
  <c r="E176" i="31" s="1"/>
  <c r="E212" i="31" a="1"/>
  <c r="E212" i="31" s="1"/>
  <c r="D176" i="31" a="1"/>
  <c r="D176" i="31" s="1"/>
  <c r="D212" i="31" a="1"/>
  <c r="D212" i="31" s="1"/>
  <c r="D175" i="31" a="1"/>
  <c r="D175" i="31" s="1"/>
  <c r="F175" i="31" a="1"/>
  <c r="F175" i="31" s="1"/>
  <c r="E175" i="31" a="1"/>
  <c r="E175" i="31" s="1"/>
  <c r="G175" i="31" a="1"/>
  <c r="G175" i="31" s="1"/>
  <c r="H175" i="31" a="1"/>
  <c r="H175" i="31" s="1"/>
  <c r="H170" i="31" a="1"/>
  <c r="H170" i="31" s="1"/>
  <c r="D170" i="31" a="1"/>
  <c r="D170" i="31" s="1"/>
  <c r="E170" i="31" a="1"/>
  <c r="E170" i="31" s="1"/>
  <c r="D23" i="31" a="1"/>
  <c r="D23" i="31" s="1"/>
  <c r="E23" i="31" a="1"/>
  <c r="E23" i="31" s="1"/>
  <c r="H23" i="31" a="1"/>
  <c r="H23" i="31" s="1"/>
  <c r="I19" i="31" l="1"/>
  <c r="I21" i="31"/>
  <c r="I5" i="31"/>
  <c r="I22" i="31"/>
  <c r="I10" i="31"/>
  <c r="I6" i="31"/>
  <c r="I8" i="31"/>
  <c r="I9" i="31"/>
  <c r="I33" i="31"/>
  <c r="I178" i="31"/>
  <c r="I168" i="31"/>
  <c r="I173" i="31"/>
  <c r="I93" i="31"/>
  <c r="I171" i="31"/>
  <c r="I203" i="31"/>
  <c r="I122" i="31"/>
  <c r="I172" i="31"/>
  <c r="I123" i="31"/>
  <c r="I31" i="31"/>
  <c r="I156" i="31"/>
  <c r="I73" i="31"/>
  <c r="I167" i="31"/>
  <c r="I176" i="31"/>
  <c r="I212" i="31"/>
  <c r="I175" i="31"/>
  <c r="G23" i="31" l="1" a="1"/>
  <c r="G23" i="31" s="1"/>
  <c r="G170" i="31" a="1"/>
  <c r="G170" i="31" s="1"/>
  <c r="F23" i="31" a="1"/>
  <c r="F23" i="31" s="1"/>
  <c r="F170" i="31" a="1"/>
  <c r="F170" i="31" s="1"/>
  <c r="B23" i="31" l="1" a="1"/>
  <c r="B23" i="31" s="1"/>
  <c r="B170" i="31" a="1"/>
  <c r="B170" i="31" s="1"/>
  <c r="E174" i="31" a="1"/>
  <c r="E174" i="31" s="1"/>
  <c r="E169" i="31" l="1" a="1"/>
  <c r="E169" i="31" s="1"/>
  <c r="H169" i="31" l="1" a="1"/>
  <c r="H169" i="31" s="1"/>
  <c r="G169" i="31" a="1"/>
  <c r="G169" i="31" s="1"/>
  <c r="F169" i="31" a="1"/>
  <c r="F169" i="31" s="1"/>
  <c r="D169" i="31" a="1"/>
  <c r="D169" i="31" s="1"/>
  <c r="C170" i="31" a="1"/>
  <c r="C170" i="31" s="1"/>
  <c r="I170" i="31" s="1"/>
  <c r="B169" i="31" a="1"/>
  <c r="B169" i="31" s="1"/>
  <c r="C169" i="31" l="1" a="1"/>
  <c r="C169" i="31" s="1"/>
  <c r="I169" i="31" s="1"/>
  <c r="C23" i="31" a="1"/>
  <c r="C23" i="31" s="1"/>
  <c r="I23" i="31" s="1"/>
  <c r="B174" i="31" a="1"/>
  <c r="B174" i="31" s="1"/>
  <c r="G174" i="31" a="1"/>
  <c r="G174" i="31" s="1"/>
  <c r="H174" i="31" a="1"/>
  <c r="H174" i="31" s="1"/>
  <c r="C174" i="31" a="1"/>
  <c r="C174" i="31" s="1"/>
  <c r="D174" i="31" a="1"/>
  <c r="D174" i="31" s="1"/>
  <c r="F174" i="31" a="1"/>
  <c r="F174" i="31" s="1"/>
  <c r="H158" i="31" a="1"/>
  <c r="H158" i="31" s="1"/>
  <c r="G158" i="31" a="1"/>
  <c r="G158" i="31" s="1"/>
  <c r="E158" i="31" a="1"/>
  <c r="E158" i="31" s="1"/>
  <c r="D158" i="31" a="1"/>
  <c r="D158" i="31" s="1"/>
  <c r="C158" i="31" a="1"/>
  <c r="C158" i="31" s="1"/>
  <c r="B158" i="31" a="1"/>
  <c r="B158" i="31" s="1"/>
  <c r="F158" i="31" a="1"/>
  <c r="F158" i="31" s="1"/>
  <c r="I174" i="31" l="1"/>
  <c r="I158" i="31"/>
  <c r="D157" i="31" l="1" a="1"/>
  <c r="D157" i="31" s="1"/>
  <c r="B157" i="31" a="1"/>
  <c r="B157" i="31" s="1"/>
  <c r="E157" i="31" a="1"/>
  <c r="E157" i="31" s="1"/>
  <c r="C157" i="31" a="1"/>
  <c r="C157" i="31" s="1"/>
  <c r="F157" i="31" a="1"/>
  <c r="F157" i="31" s="1"/>
  <c r="G157" i="31" a="1"/>
  <c r="G157" i="31" s="1"/>
  <c r="H157" i="31" a="1"/>
  <c r="H157" i="31" s="1"/>
  <c r="I157" i="31" l="1"/>
  <c r="B16" i="31" l="1" a="1"/>
  <c r="B16" i="31" s="1"/>
  <c r="C16" i="31" a="1"/>
  <c r="C16" i="31" s="1"/>
  <c r="D16" i="31" a="1"/>
  <c r="D16" i="31" s="1"/>
  <c r="E16" i="31" a="1"/>
  <c r="E16" i="31" s="1"/>
  <c r="F16" i="31" a="1"/>
  <c r="F16" i="31" s="1"/>
  <c r="G16" i="31" a="1"/>
  <c r="G16" i="31" s="1"/>
  <c r="H16" i="31" a="1"/>
  <c r="H16" i="31" s="1"/>
  <c r="B2" i="30"/>
  <c r="D2" i="30" s="1"/>
  <c r="B3" i="30"/>
  <c r="W1031" i="27"/>
  <c r="W1023" i="27"/>
  <c r="W1021" i="27"/>
  <c r="W1011" i="27"/>
  <c r="W1057" i="27"/>
  <c r="W1010" i="27"/>
  <c r="W999" i="27"/>
  <c r="W1009" i="27"/>
  <c r="W996" i="27"/>
  <c r="W1000" i="27"/>
  <c r="AG1117" i="27"/>
  <c r="W682" i="27"/>
  <c r="W354" i="27"/>
  <c r="W588" i="27"/>
  <c r="W784" i="27"/>
  <c r="W196" i="27"/>
  <c r="W616" i="27"/>
  <c r="W667" i="27"/>
  <c r="W300" i="27"/>
  <c r="W624" i="27"/>
  <c r="W897" i="27"/>
  <c r="W1005" i="27"/>
  <c r="W688" i="27"/>
  <c r="W149" i="27"/>
  <c r="W154" i="27"/>
  <c r="W276" i="27"/>
  <c r="C1127" i="27"/>
  <c r="C1130" i="27"/>
  <c r="C1131" i="27"/>
  <c r="W121" i="27"/>
  <c r="C1138" i="27"/>
  <c r="C1139" i="27"/>
  <c r="C1140" i="27"/>
  <c r="C1141" i="27"/>
  <c r="C1142" i="27"/>
  <c r="C1143" i="27"/>
  <c r="C1144" i="27"/>
  <c r="C1145" i="27"/>
  <c r="C1146" i="27"/>
  <c r="C1147" i="27"/>
  <c r="C1148" i="27"/>
  <c r="C1149" i="27"/>
  <c r="C1150" i="27"/>
  <c r="C1151" i="27"/>
  <c r="C1152" i="27"/>
  <c r="C1153" i="27"/>
  <c r="C1154" i="27"/>
  <c r="C1155" i="27"/>
  <c r="C1156" i="27"/>
  <c r="W147" i="27"/>
  <c r="C1137" i="27"/>
  <c r="W723" i="27"/>
  <c r="W104" i="27"/>
  <c r="W123" i="27"/>
  <c r="W99" i="27"/>
  <c r="W127" i="27"/>
  <c r="C1136" i="27"/>
  <c r="W307" i="27"/>
  <c r="W78" i="27"/>
  <c r="W93" i="27"/>
  <c r="W107" i="27"/>
  <c r="W72" i="27"/>
  <c r="C1135" i="27"/>
  <c r="W65" i="27"/>
  <c r="W560" i="27"/>
  <c r="W68" i="27"/>
  <c r="W71" i="27"/>
  <c r="C1134" i="27"/>
  <c r="Q1126" i="27"/>
  <c r="Q1128" i="27" s="1"/>
  <c r="W130" i="27"/>
  <c r="W156" i="27"/>
  <c r="W49" i="27"/>
  <c r="C1133" i="27"/>
  <c r="W59" i="27"/>
  <c r="W96" i="27"/>
  <c r="W63" i="27"/>
  <c r="C1132" i="27"/>
  <c r="W29" i="27"/>
  <c r="W23" i="27"/>
  <c r="C1129" i="27"/>
  <c r="W14" i="27"/>
  <c r="J42" i="9"/>
  <c r="J40" i="9"/>
  <c r="H41" i="9"/>
  <c r="J41" i="9" s="1"/>
  <c r="W1094" i="27"/>
  <c r="W1082" i="27"/>
  <c r="W1078" i="27"/>
  <c r="W1074" i="27"/>
  <c r="W1072" i="27"/>
  <c r="W1071" i="27"/>
  <c r="W1066" i="27"/>
  <c r="W1062" i="27"/>
  <c r="W1064" i="27"/>
  <c r="W1059" i="27"/>
  <c r="W1050" i="27"/>
  <c r="W1093" i="27"/>
  <c r="W706" i="27"/>
  <c r="W673" i="27"/>
  <c r="W280" i="27"/>
  <c r="W117" i="27"/>
  <c r="I138" i="25"/>
  <c r="I217" i="25"/>
  <c r="I224" i="25"/>
  <c r="C318" i="25" s="1"/>
  <c r="I150" i="25"/>
  <c r="C317" i="25" s="1"/>
  <c r="I141" i="25"/>
  <c r="I218" i="25"/>
  <c r="I175" i="25"/>
  <c r="C315" i="25" s="1"/>
  <c r="I139" i="25"/>
  <c r="I148" i="25"/>
  <c r="I136" i="26"/>
  <c r="C231" i="26" s="1"/>
  <c r="I237" i="26"/>
  <c r="C236" i="26"/>
  <c r="C235" i="26"/>
  <c r="C234" i="26"/>
  <c r="C233" i="26"/>
  <c r="C232" i="26"/>
  <c r="C226" i="26"/>
  <c r="C220" i="26"/>
  <c r="C218" i="26"/>
  <c r="C217" i="26"/>
  <c r="C216" i="26"/>
  <c r="C212" i="26"/>
  <c r="C206" i="26"/>
  <c r="M205" i="26"/>
  <c r="M204" i="26"/>
  <c r="I135" i="26"/>
  <c r="C230" i="26" s="1"/>
  <c r="I130" i="26"/>
  <c r="C228" i="26" s="1"/>
  <c r="I189" i="26"/>
  <c r="C213" i="26" s="1"/>
  <c r="I179" i="26"/>
  <c r="I176" i="26"/>
  <c r="I172" i="26"/>
  <c r="I171" i="26"/>
  <c r="I169" i="26"/>
  <c r="C215" i="26" s="1"/>
  <c r="I164" i="26"/>
  <c r="I162" i="26"/>
  <c r="I160" i="26"/>
  <c r="I159" i="26"/>
  <c r="I154" i="26"/>
  <c r="I151" i="26"/>
  <c r="I149" i="26"/>
  <c r="C224" i="26" s="1"/>
  <c r="I134" i="26"/>
  <c r="I127" i="26"/>
  <c r="C225" i="26" s="1"/>
  <c r="I125" i="26"/>
  <c r="C229" i="26" s="1"/>
  <c r="I124" i="26"/>
  <c r="I117" i="26"/>
  <c r="I115" i="26"/>
  <c r="I113" i="26"/>
  <c r="I111" i="26"/>
  <c r="I109" i="26"/>
  <c r="I108" i="26"/>
  <c r="I107" i="26"/>
  <c r="C221" i="26" s="1"/>
  <c r="I105" i="26"/>
  <c r="I102" i="26"/>
  <c r="I99" i="26"/>
  <c r="I90" i="26"/>
  <c r="I83" i="26"/>
  <c r="I82" i="26"/>
  <c r="I69" i="26"/>
  <c r="I67" i="26"/>
  <c r="I65" i="26"/>
  <c r="I64" i="26"/>
  <c r="I63" i="26"/>
  <c r="I60" i="26"/>
  <c r="I51" i="26"/>
  <c r="I50" i="26"/>
  <c r="I47" i="26"/>
  <c r="I44" i="26"/>
  <c r="I43" i="26"/>
  <c r="I41" i="26"/>
  <c r="I34" i="26"/>
  <c r="I28" i="26"/>
  <c r="I25" i="26"/>
  <c r="I20" i="26"/>
  <c r="I15" i="26"/>
  <c r="I14" i="26"/>
  <c r="I13" i="26"/>
  <c r="I12" i="26"/>
  <c r="I11" i="26"/>
  <c r="I7" i="26"/>
  <c r="I4" i="26"/>
  <c r="I2" i="26"/>
  <c r="I143" i="25"/>
  <c r="C313" i="25" s="1"/>
  <c r="I129" i="25"/>
  <c r="C312" i="25" s="1"/>
  <c r="I131" i="25"/>
  <c r="C311" i="25" s="1"/>
  <c r="I127" i="25"/>
  <c r="C308" i="25" s="1"/>
  <c r="I128" i="25"/>
  <c r="I119" i="25"/>
  <c r="I320" i="25"/>
  <c r="I183" i="25"/>
  <c r="C307" i="25" s="1"/>
  <c r="I113" i="25"/>
  <c r="I111" i="25"/>
  <c r="I110" i="25"/>
  <c r="I109" i="25"/>
  <c r="I116" i="25"/>
  <c r="I108" i="25"/>
  <c r="C304" i="25" s="1"/>
  <c r="I101" i="25"/>
  <c r="I102" i="25"/>
  <c r="M287" i="25"/>
  <c r="M288" i="25"/>
  <c r="I246" i="25"/>
  <c r="C298" i="25" s="1"/>
  <c r="I84" i="25"/>
  <c r="I91" i="25"/>
  <c r="I79" i="25"/>
  <c r="I267" i="25"/>
  <c r="C296" i="25" s="1"/>
  <c r="I60" i="25"/>
  <c r="I63" i="25"/>
  <c r="I65" i="25"/>
  <c r="I44" i="25"/>
  <c r="I114" i="25"/>
  <c r="I64" i="25"/>
  <c r="I236" i="25"/>
  <c r="I47" i="25"/>
  <c r="I56" i="25"/>
  <c r="I62" i="25"/>
  <c r="I45" i="25"/>
  <c r="I80" i="25"/>
  <c r="I27" i="25"/>
  <c r="I28" i="25"/>
  <c r="I53" i="25"/>
  <c r="I36" i="25"/>
  <c r="I229" i="25"/>
  <c r="C319" i="25"/>
  <c r="C309" i="25"/>
  <c r="C303" i="25"/>
  <c r="C301" i="25"/>
  <c r="C300" i="25"/>
  <c r="C299" i="25"/>
  <c r="C295" i="25"/>
  <c r="C289" i="25"/>
  <c r="I253" i="25"/>
  <c r="I249" i="25"/>
  <c r="I247" i="25"/>
  <c r="I240" i="25"/>
  <c r="I237" i="25"/>
  <c r="I239" i="25"/>
  <c r="I231" i="25"/>
  <c r="I257" i="25"/>
  <c r="I40" i="25"/>
  <c r="I14" i="25"/>
  <c r="I13" i="25"/>
  <c r="I16" i="25"/>
  <c r="I19" i="25"/>
  <c r="I12" i="25"/>
  <c r="I11" i="25"/>
  <c r="I6" i="25"/>
  <c r="I4" i="25"/>
  <c r="I7" i="25"/>
  <c r="I221" i="24"/>
  <c r="I223" i="24"/>
  <c r="I226" i="24"/>
  <c r="I228" i="24"/>
  <c r="C343" i="24" s="1"/>
  <c r="I229" i="24"/>
  <c r="I231" i="24"/>
  <c r="I232" i="24"/>
  <c r="I235" i="24"/>
  <c r="I240" i="24"/>
  <c r="I255" i="24"/>
  <c r="I264" i="24"/>
  <c r="C311" i="24" s="1"/>
  <c r="I267" i="24"/>
  <c r="I271" i="24"/>
  <c r="I273" i="24"/>
  <c r="I274" i="24"/>
  <c r="I279" i="24"/>
  <c r="I280" i="24"/>
  <c r="I284" i="24"/>
  <c r="I356" i="24"/>
  <c r="G367" i="24"/>
  <c r="B578" i="24"/>
  <c r="B571" i="24"/>
  <c r="B569" i="24"/>
  <c r="B568" i="24"/>
  <c r="B560" i="24"/>
  <c r="B557" i="24"/>
  <c r="B555" i="24"/>
  <c r="B554" i="24"/>
  <c r="B553" i="24"/>
  <c r="B552" i="24"/>
  <c r="B547" i="24"/>
  <c r="B545" i="24"/>
  <c r="B535" i="24"/>
  <c r="B532" i="24"/>
  <c r="B526" i="24"/>
  <c r="B524" i="24"/>
  <c r="B519" i="24"/>
  <c r="B518" i="24"/>
  <c r="B513" i="24"/>
  <c r="B500" i="24"/>
  <c r="B486" i="24"/>
  <c r="B474" i="24"/>
  <c r="B471" i="24"/>
  <c r="B469" i="24"/>
  <c r="B468" i="24"/>
  <c r="B464" i="24"/>
  <c r="B459" i="24"/>
  <c r="B457" i="24"/>
  <c r="B456" i="24"/>
  <c r="B455" i="24"/>
  <c r="B446" i="24"/>
  <c r="B443" i="24"/>
  <c r="B436" i="24"/>
  <c r="B429" i="24"/>
  <c r="B426" i="24"/>
  <c r="B425" i="24"/>
  <c r="B421" i="24"/>
  <c r="B420" i="24"/>
  <c r="B413" i="24"/>
  <c r="B412" i="24"/>
  <c r="B411" i="24"/>
  <c r="B401" i="24"/>
  <c r="B371" i="24"/>
  <c r="B367" i="24"/>
  <c r="B368" i="24"/>
  <c r="B369" i="24"/>
  <c r="I5" i="21"/>
  <c r="I8" i="21"/>
  <c r="I9" i="21"/>
  <c r="I10" i="21"/>
  <c r="I11" i="21"/>
  <c r="I13" i="21"/>
  <c r="I16" i="21"/>
  <c r="I19" i="21"/>
  <c r="I27" i="21"/>
  <c r="I30" i="21"/>
  <c r="I40" i="21"/>
  <c r="I44" i="21"/>
  <c r="I45" i="21"/>
  <c r="I47" i="21"/>
  <c r="I49" i="21"/>
  <c r="I50" i="21"/>
  <c r="I54" i="21"/>
  <c r="I55" i="21"/>
  <c r="I59" i="21"/>
  <c r="I61" i="21"/>
  <c r="I66" i="21"/>
  <c r="I67" i="21"/>
  <c r="I68" i="21"/>
  <c r="I73" i="21"/>
  <c r="I87" i="21"/>
  <c r="I94" i="21"/>
  <c r="I95" i="21"/>
  <c r="I96" i="21"/>
  <c r="I98" i="21"/>
  <c r="I99" i="21"/>
  <c r="I100" i="21"/>
  <c r="I104" i="21"/>
  <c r="I105" i="21"/>
  <c r="I118" i="21"/>
  <c r="I119" i="21"/>
  <c r="I121" i="21"/>
  <c r="I122" i="21"/>
  <c r="I123" i="21"/>
  <c r="I125" i="21"/>
  <c r="I131" i="21"/>
  <c r="I134" i="21"/>
  <c r="I135" i="21"/>
  <c r="I142" i="21"/>
  <c r="I145" i="21"/>
  <c r="I148" i="21"/>
  <c r="I149" i="21"/>
  <c r="I152" i="21"/>
  <c r="I153" i="21"/>
  <c r="I157" i="21"/>
  <c r="I159" i="21"/>
  <c r="I167" i="21"/>
  <c r="I209" i="24"/>
  <c r="I206" i="24"/>
  <c r="I193" i="24"/>
  <c r="I190" i="24"/>
  <c r="I191" i="24"/>
  <c r="I183" i="24"/>
  <c r="I192" i="24"/>
  <c r="I185" i="24"/>
  <c r="I207" i="24"/>
  <c r="I198" i="24"/>
  <c r="C341" i="24"/>
  <c r="C345" i="24"/>
  <c r="C347" i="24"/>
  <c r="C350" i="24"/>
  <c r="C351" i="24"/>
  <c r="C353" i="24"/>
  <c r="C301" i="24"/>
  <c r="C302" i="24"/>
  <c r="C303" i="24"/>
  <c r="C307" i="24"/>
  <c r="C315" i="24"/>
  <c r="C316" i="24"/>
  <c r="C321" i="24"/>
  <c r="C322" i="24"/>
  <c r="C324" i="24"/>
  <c r="I162" i="24"/>
  <c r="I170" i="24"/>
  <c r="C323" i="24" s="1"/>
  <c r="I195" i="24"/>
  <c r="C320" i="24" s="1"/>
  <c r="I164" i="24"/>
  <c r="I138" i="24"/>
  <c r="C319" i="24" s="1"/>
  <c r="I173" i="24"/>
  <c r="I216" i="24"/>
  <c r="I156" i="24"/>
  <c r="I124" i="24"/>
  <c r="C445" i="19"/>
  <c r="C442" i="19"/>
  <c r="C441" i="19"/>
  <c r="C438" i="19"/>
  <c r="C433" i="19"/>
  <c r="C431" i="19"/>
  <c r="C417" i="19"/>
  <c r="C408" i="19"/>
  <c r="C403" i="19"/>
  <c r="C393" i="19"/>
  <c r="C389" i="19"/>
  <c r="C387" i="19"/>
  <c r="C385" i="19"/>
  <c r="C384" i="19"/>
  <c r="C380" i="19"/>
  <c r="C378" i="19"/>
  <c r="C376" i="19"/>
  <c r="C367" i="19"/>
  <c r="C359" i="19"/>
  <c r="C358" i="19"/>
  <c r="C343" i="19"/>
  <c r="C338" i="19"/>
  <c r="C337" i="19"/>
  <c r="C336" i="19"/>
  <c r="C335" i="19"/>
  <c r="C334" i="19"/>
  <c r="C333" i="19"/>
  <c r="C320" i="19"/>
  <c r="C304" i="19"/>
  <c r="C300" i="19"/>
  <c r="C296" i="19"/>
  <c r="C294" i="19"/>
  <c r="C293" i="19"/>
  <c r="C292" i="19"/>
  <c r="C291" i="19"/>
  <c r="C290" i="19"/>
  <c r="C286" i="19"/>
  <c r="C281" i="19"/>
  <c r="C274" i="19"/>
  <c r="I106" i="24"/>
  <c r="C314" i="24" s="1"/>
  <c r="I95" i="24"/>
  <c r="L349" i="24"/>
  <c r="L352" i="24" s="1"/>
  <c r="R64" i="24"/>
  <c r="R67" i="24" s="1"/>
  <c r="I107" i="24"/>
  <c r="I97" i="24"/>
  <c r="I112" i="24"/>
  <c r="C218" i="23"/>
  <c r="C219" i="23"/>
  <c r="C220" i="23"/>
  <c r="C221" i="23"/>
  <c r="C222" i="23"/>
  <c r="C223" i="23"/>
  <c r="C224" i="23"/>
  <c r="C225" i="23"/>
  <c r="C227" i="23"/>
  <c r="C228" i="23"/>
  <c r="C229" i="23"/>
  <c r="C230" i="23"/>
  <c r="C231" i="23"/>
  <c r="C232" i="23"/>
  <c r="C235" i="23"/>
  <c r="C238" i="23"/>
  <c r="C241" i="23"/>
  <c r="C246" i="23"/>
  <c r="C247" i="23"/>
  <c r="C217" i="23"/>
  <c r="I74" i="24"/>
  <c r="I81" i="24"/>
  <c r="I94" i="24"/>
  <c r="I84" i="24"/>
  <c r="I93" i="24"/>
  <c r="I151" i="24"/>
  <c r="I102" i="24"/>
  <c r="I109" i="24"/>
  <c r="I64" i="24"/>
  <c r="C348" i="24" s="1"/>
  <c r="I67" i="24"/>
  <c r="C309" i="24" s="1"/>
  <c r="I59" i="24"/>
  <c r="I50" i="24"/>
  <c r="I63" i="24"/>
  <c r="I51" i="24"/>
  <c r="I58" i="24"/>
  <c r="I168" i="23"/>
  <c r="I105" i="23"/>
  <c r="I49" i="24"/>
  <c r="G210" i="23"/>
  <c r="I157" i="24"/>
  <c r="I39" i="24"/>
  <c r="C342" i="24" s="1"/>
  <c r="I7" i="24"/>
  <c r="I6" i="24"/>
  <c r="I5" i="24"/>
  <c r="I9" i="24"/>
  <c r="I164" i="23"/>
  <c r="C244" i="23" s="1"/>
  <c r="E188" i="23"/>
  <c r="I132" i="23"/>
  <c r="I112" i="23"/>
  <c r="I108" i="23"/>
  <c r="I140" i="23"/>
  <c r="I130" i="23"/>
  <c r="I136" i="23"/>
  <c r="C242" i="23" s="1"/>
  <c r="I177" i="23"/>
  <c r="I103" i="23"/>
  <c r="I133" i="23"/>
  <c r="I93" i="23"/>
  <c r="C236" i="23" s="1"/>
  <c r="I176" i="23"/>
  <c r="C237" i="23" s="1"/>
  <c r="I100" i="23"/>
  <c r="C226" i="23" s="1"/>
  <c r="I79" i="23"/>
  <c r="I84" i="23"/>
  <c r="C234" i="23" s="1"/>
  <c r="I173" i="23"/>
  <c r="C233" i="23" s="1"/>
  <c r="I60" i="23"/>
  <c r="I69" i="23"/>
  <c r="I68" i="23"/>
  <c r="I50" i="23"/>
  <c r="I65" i="23"/>
  <c r="I63" i="23"/>
  <c r="I43" i="23"/>
  <c r="I18" i="23"/>
  <c r="I20" i="23"/>
  <c r="I13" i="23"/>
  <c r="I6" i="23"/>
  <c r="I17" i="23"/>
  <c r="I31" i="23"/>
  <c r="I272" i="22"/>
  <c r="I238" i="22"/>
  <c r="I246" i="22"/>
  <c r="I235" i="22"/>
  <c r="I226" i="22"/>
  <c r="I239" i="22"/>
  <c r="I261" i="22"/>
  <c r="I249" i="22"/>
  <c r="I259" i="22"/>
  <c r="I227" i="22"/>
  <c r="I202" i="22"/>
  <c r="I209" i="22"/>
  <c r="I218" i="22"/>
  <c r="I199" i="22"/>
  <c r="I221" i="22"/>
  <c r="I214" i="22"/>
  <c r="I171" i="22"/>
  <c r="I210" i="22"/>
  <c r="I162" i="22"/>
  <c r="I168" i="22"/>
  <c r="I189" i="22"/>
  <c r="I193" i="22"/>
  <c r="I195" i="22"/>
  <c r="I155" i="22"/>
  <c r="I192" i="22"/>
  <c r="I222" i="22"/>
  <c r="I219" i="22"/>
  <c r="I256" i="22"/>
  <c r="I135" i="22"/>
  <c r="I131" i="22"/>
  <c r="I178" i="22"/>
  <c r="I170" i="22"/>
  <c r="I204" i="22"/>
  <c r="I255" i="22"/>
  <c r="I165" i="22"/>
  <c r="I201" i="22"/>
  <c r="I211" i="22"/>
  <c r="I207" i="22"/>
  <c r="I152" i="22"/>
  <c r="I197" i="22"/>
  <c r="I166" i="22"/>
  <c r="I141" i="22"/>
  <c r="I229" i="22"/>
  <c r="I191" i="22"/>
  <c r="I133" i="22"/>
  <c r="I122" i="22"/>
  <c r="I123" i="22"/>
  <c r="I112" i="22"/>
  <c r="I173" i="22"/>
  <c r="I107" i="22"/>
  <c r="I114" i="22"/>
  <c r="I137" i="22"/>
  <c r="I120" i="22"/>
  <c r="I111" i="22"/>
  <c r="I148" i="22"/>
  <c r="I121" i="22"/>
  <c r="I101" i="22"/>
  <c r="I113" i="22"/>
  <c r="I93" i="22"/>
  <c r="I95" i="22"/>
  <c r="I145" i="22"/>
  <c r="I134" i="22"/>
  <c r="I87" i="22"/>
  <c r="I94" i="22"/>
  <c r="I77" i="22"/>
  <c r="I100" i="22"/>
  <c r="I97" i="22"/>
  <c r="I74" i="22"/>
  <c r="I22" i="22"/>
  <c r="I153" i="22"/>
  <c r="I164" i="22"/>
  <c r="I136" i="22"/>
  <c r="I88" i="22"/>
  <c r="I72" i="22"/>
  <c r="I80" i="22"/>
  <c r="I61" i="22"/>
  <c r="I146" i="22"/>
  <c r="I79" i="22"/>
  <c r="I68" i="22"/>
  <c r="I65" i="22"/>
  <c r="I44" i="22"/>
  <c r="I38" i="22"/>
  <c r="O76" i="22"/>
  <c r="I34" i="22"/>
  <c r="I32" i="22"/>
  <c r="I36" i="22"/>
  <c r="I40" i="22"/>
  <c r="I47" i="22"/>
  <c r="I24" i="22"/>
  <c r="I35" i="22"/>
  <c r="I55" i="22"/>
  <c r="I48" i="22"/>
  <c r="I37" i="22"/>
  <c r="I53" i="22"/>
  <c r="I16" i="22"/>
  <c r="I17" i="22"/>
  <c r="I41" i="22"/>
  <c r="I25" i="22"/>
  <c r="I59" i="22"/>
  <c r="O48" i="10"/>
  <c r="I51" i="22"/>
  <c r="I10" i="22"/>
  <c r="I19" i="22"/>
  <c r="I163" i="22"/>
  <c r="I190" i="22"/>
  <c r="R26" i="9"/>
  <c r="I20" i="22"/>
  <c r="I13" i="22"/>
  <c r="I3" i="22"/>
  <c r="I177" i="21"/>
  <c r="I169" i="21"/>
  <c r="I175" i="21"/>
  <c r="I178" i="21"/>
  <c r="I174" i="21"/>
  <c r="N92" i="21"/>
  <c r="I178" i="19"/>
  <c r="I203" i="19"/>
  <c r="I175" i="19"/>
  <c r="I201" i="19"/>
  <c r="I191" i="19"/>
  <c r="I196" i="19"/>
  <c r="I211" i="19"/>
  <c r="I182" i="19"/>
  <c r="I194" i="19"/>
  <c r="I198" i="19"/>
  <c r="I215" i="19"/>
  <c r="I168" i="19"/>
  <c r="I179" i="19"/>
  <c r="I140" i="19"/>
  <c r="I154" i="19"/>
  <c r="I214" i="19"/>
  <c r="I170" i="19"/>
  <c r="I145" i="19"/>
  <c r="I122" i="19"/>
  <c r="I130" i="19"/>
  <c r="I126" i="19"/>
  <c r="I121" i="19"/>
  <c r="I113" i="19"/>
  <c r="I117" i="19"/>
  <c r="I124" i="19"/>
  <c r="I115" i="19"/>
  <c r="I104" i="19"/>
  <c r="I96" i="19"/>
  <c r="I95" i="19"/>
  <c r="I212" i="19"/>
  <c r="I70" i="19"/>
  <c r="I80" i="19"/>
  <c r="I71" i="19"/>
  <c r="I74" i="19"/>
  <c r="I57" i="19"/>
  <c r="I218" i="19"/>
  <c r="I75" i="19"/>
  <c r="I72" i="19"/>
  <c r="I41" i="19"/>
  <c r="I37" i="19"/>
  <c r="I33" i="19"/>
  <c r="I23" i="19"/>
  <c r="I31" i="19"/>
  <c r="I29" i="19"/>
  <c r="F12" i="9"/>
  <c r="I30" i="19"/>
  <c r="I27" i="19"/>
  <c r="F11" i="9"/>
  <c r="N4" i="1"/>
  <c r="N3" i="1"/>
  <c r="N2" i="1"/>
  <c r="I73" i="19"/>
  <c r="I28" i="19"/>
  <c r="I18" i="19"/>
  <c r="I11" i="19"/>
  <c r="I220" i="17"/>
  <c r="I228" i="17"/>
  <c r="I227" i="17"/>
  <c r="I171" i="17"/>
  <c r="P14" i="18"/>
  <c r="Q16" i="18" s="1"/>
  <c r="F24" i="18"/>
  <c r="I14" i="18"/>
  <c r="I11" i="18"/>
  <c r="I222" i="17"/>
  <c r="I213" i="17"/>
  <c r="I126" i="17"/>
  <c r="I166" i="17"/>
  <c r="I199" i="17"/>
  <c r="I205" i="17"/>
  <c r="I201" i="17"/>
  <c r="I183" i="17"/>
  <c r="I184" i="17"/>
  <c r="I185" i="17"/>
  <c r="I179" i="17"/>
  <c r="I21" i="17"/>
  <c r="I159" i="17"/>
  <c r="I140" i="17"/>
  <c r="I2" i="17"/>
  <c r="I11" i="17"/>
  <c r="I167" i="17"/>
  <c r="I123" i="17"/>
  <c r="I131" i="17"/>
  <c r="I145" i="17"/>
  <c r="I142" i="17"/>
  <c r="I116" i="17"/>
  <c r="I118" i="17"/>
  <c r="I103" i="17"/>
  <c r="I23" i="17"/>
  <c r="I124" i="17"/>
  <c r="I85" i="17"/>
  <c r="I110" i="17"/>
  <c r="I107" i="17"/>
  <c r="I99" i="17"/>
  <c r="I102" i="17"/>
  <c r="I96" i="17"/>
  <c r="I9" i="17"/>
  <c r="I75" i="17"/>
  <c r="I62" i="17"/>
  <c r="I51" i="17"/>
  <c r="I56" i="17"/>
  <c r="I54" i="17"/>
  <c r="I49" i="17"/>
  <c r="I50" i="17"/>
  <c r="I3" i="17"/>
  <c r="I36" i="17"/>
  <c r="I173" i="1"/>
  <c r="I26" i="17"/>
  <c r="I31" i="17"/>
  <c r="I160" i="1"/>
  <c r="I150" i="1"/>
  <c r="I163" i="1"/>
  <c r="I185" i="1"/>
  <c r="I184" i="1"/>
  <c r="I101" i="1"/>
  <c r="K4" i="13"/>
  <c r="L8" i="13"/>
  <c r="L9" i="13"/>
  <c r="L10" i="13"/>
  <c r="L11" i="13"/>
  <c r="L13" i="13"/>
  <c r="L9" i="12"/>
  <c r="L10" i="12"/>
  <c r="L11" i="12"/>
  <c r="L17" i="12"/>
  <c r="L26" i="12"/>
  <c r="K33" i="12"/>
  <c r="N4" i="11"/>
  <c r="P4" i="11"/>
  <c r="O10" i="11"/>
  <c r="O13" i="11"/>
  <c r="O14" i="11"/>
  <c r="O15" i="11"/>
  <c r="O18" i="11"/>
  <c r="N41" i="11"/>
  <c r="C1" i="10"/>
  <c r="F1" i="10"/>
  <c r="H1" i="10"/>
  <c r="J1" i="10"/>
  <c r="L1" i="10"/>
  <c r="S3" i="9"/>
  <c r="F4" i="9"/>
  <c r="F5" i="9"/>
  <c r="F6" i="9"/>
  <c r="F7" i="9"/>
  <c r="F8" i="9"/>
  <c r="S8" i="9"/>
  <c r="F9" i="9"/>
  <c r="P2" i="2"/>
  <c r="N2" i="2"/>
  <c r="E2" i="8"/>
  <c r="L2" i="8" s="1"/>
  <c r="K2" i="8"/>
  <c r="M2" i="8"/>
  <c r="K3" i="8"/>
  <c r="L3" i="8"/>
  <c r="M3" i="8"/>
  <c r="K4" i="8"/>
  <c r="L4" i="8"/>
  <c r="M4" i="8"/>
  <c r="K5" i="8"/>
  <c r="L5" i="8"/>
  <c r="M5" i="8"/>
  <c r="K6" i="8"/>
  <c r="L6" i="8"/>
  <c r="M6" i="8"/>
  <c r="K7" i="8"/>
  <c r="L7" i="8"/>
  <c r="M7" i="8"/>
  <c r="B9" i="8"/>
  <c r="C9" i="8"/>
  <c r="D9" i="8"/>
  <c r="F9" i="8"/>
  <c r="G9" i="8"/>
  <c r="H9" i="8"/>
  <c r="I9" i="8"/>
  <c r="J9" i="8"/>
  <c r="B21" i="8"/>
  <c r="C21" i="8"/>
  <c r="D21" i="8"/>
  <c r="E21" i="8"/>
  <c r="F21" i="8"/>
  <c r="G21" i="8"/>
  <c r="H21" i="8"/>
  <c r="I21" i="8"/>
  <c r="J21" i="8"/>
  <c r="K2" i="7"/>
  <c r="B15" i="7"/>
  <c r="C1" i="6"/>
  <c r="F1" i="6"/>
  <c r="H1" i="6"/>
  <c r="J1" i="6"/>
  <c r="T3" i="6"/>
  <c r="T4" i="6" s="1"/>
  <c r="S4" i="6"/>
  <c r="I173" i="6"/>
  <c r="I187" i="6"/>
  <c r="O2" i="5"/>
  <c r="O3" i="5"/>
  <c r="I47" i="5"/>
  <c r="O4" i="5" s="1"/>
  <c r="I75" i="5"/>
  <c r="I109" i="5"/>
  <c r="O5" i="5" s="1"/>
  <c r="N2" i="4"/>
  <c r="P2" i="4"/>
  <c r="T2" i="4"/>
  <c r="I95" i="4"/>
  <c r="R2" i="4" s="1"/>
  <c r="M50" i="2"/>
  <c r="I70" i="2"/>
  <c r="R2" i="2" s="1"/>
  <c r="I143" i="2"/>
  <c r="T2" i="2" s="1"/>
  <c r="C1128" i="27"/>
  <c r="C245" i="23" l="1"/>
  <c r="I16" i="31"/>
  <c r="H96" i="31" a="1"/>
  <c r="H96" i="31" s="1"/>
  <c r="H95" i="31" a="1"/>
  <c r="H95" i="31" s="1"/>
  <c r="G96" i="31" a="1"/>
  <c r="G96" i="31" s="1"/>
  <c r="G95" i="31" a="1"/>
  <c r="G95" i="31" s="1"/>
  <c r="F96" i="31" a="1"/>
  <c r="F96" i="31" s="1"/>
  <c r="F95" i="31" a="1"/>
  <c r="F95" i="31" s="1"/>
  <c r="E96" i="31" a="1"/>
  <c r="E96" i="31" s="1"/>
  <c r="E95" i="31" a="1"/>
  <c r="E95" i="31" s="1"/>
  <c r="D96" i="31" a="1"/>
  <c r="D96" i="31" s="1"/>
  <c r="D95" i="31" a="1"/>
  <c r="D95" i="31" s="1"/>
  <c r="C96" i="31" a="1"/>
  <c r="C96" i="31" s="1"/>
  <c r="C95" i="31" a="1"/>
  <c r="C95" i="31" s="1"/>
  <c r="B96" i="31" a="1"/>
  <c r="B96" i="31" s="1"/>
  <c r="B95" i="31" a="1"/>
  <c r="B95" i="31" s="1"/>
  <c r="H192" i="31" a="1"/>
  <c r="H192" i="31" s="1"/>
  <c r="H202" i="31" a="1"/>
  <c r="H202" i="31" s="1"/>
  <c r="G192" i="31" a="1"/>
  <c r="G192" i="31" s="1"/>
  <c r="G202" i="31" a="1"/>
  <c r="G202" i="31" s="1"/>
  <c r="F192" i="31" a="1"/>
  <c r="F192" i="31" s="1"/>
  <c r="F202" i="31" a="1"/>
  <c r="F202" i="31" s="1"/>
  <c r="E192" i="31" a="1"/>
  <c r="E192" i="31" s="1"/>
  <c r="E202" i="31" a="1"/>
  <c r="E202" i="31" s="1"/>
  <c r="D192" i="31" a="1"/>
  <c r="D192" i="31" s="1"/>
  <c r="D202" i="31" a="1"/>
  <c r="D202" i="31" s="1"/>
  <c r="C192" i="31" a="1"/>
  <c r="C192" i="31" s="1"/>
  <c r="C202" i="31" a="1"/>
  <c r="C202" i="31" s="1"/>
  <c r="B192" i="31" a="1"/>
  <c r="B192" i="31" s="1"/>
  <c r="B202" i="31" a="1"/>
  <c r="B202" i="31" s="1"/>
  <c r="H222" i="31" a="1"/>
  <c r="H222" i="31" s="1"/>
  <c r="H190" i="31" a="1"/>
  <c r="H190" i="31" s="1"/>
  <c r="G222" i="31" a="1"/>
  <c r="G222" i="31" s="1"/>
  <c r="G190" i="31" a="1"/>
  <c r="G190" i="31" s="1"/>
  <c r="F222" i="31" a="1"/>
  <c r="F222" i="31" s="1"/>
  <c r="F190" i="31" a="1"/>
  <c r="F190" i="31" s="1"/>
  <c r="E222" i="31" a="1"/>
  <c r="E222" i="31" s="1"/>
  <c r="E190" i="31" a="1"/>
  <c r="E190" i="31" s="1"/>
  <c r="D222" i="31" a="1"/>
  <c r="D222" i="31" s="1"/>
  <c r="D190" i="31" a="1"/>
  <c r="D190" i="31" s="1"/>
  <c r="C222" i="31" a="1"/>
  <c r="C222" i="31" s="1"/>
  <c r="C190" i="31" a="1"/>
  <c r="C190" i="31" s="1"/>
  <c r="B222" i="31" a="1"/>
  <c r="B222" i="31" s="1"/>
  <c r="B190" i="31" a="1"/>
  <c r="B190" i="31" s="1"/>
  <c r="H160" i="31" a="1"/>
  <c r="H160" i="31" s="1"/>
  <c r="H159" i="31" a="1"/>
  <c r="H159" i="31" s="1"/>
  <c r="G160" i="31" a="1"/>
  <c r="G160" i="31" s="1"/>
  <c r="G159" i="31" a="1"/>
  <c r="G159" i="31" s="1"/>
  <c r="F160" i="31" a="1"/>
  <c r="F160" i="31" s="1"/>
  <c r="F159" i="31" a="1"/>
  <c r="F159" i="31" s="1"/>
  <c r="E160" i="31" a="1"/>
  <c r="E160" i="31" s="1"/>
  <c r="E159" i="31" a="1"/>
  <c r="E159" i="31" s="1"/>
  <c r="D160" i="31" a="1"/>
  <c r="D160" i="31" s="1"/>
  <c r="D159" i="31" a="1"/>
  <c r="D159" i="31" s="1"/>
  <c r="C160" i="31" a="1"/>
  <c r="C160" i="31" s="1"/>
  <c r="C159" i="31" a="1"/>
  <c r="C159" i="31" s="1"/>
  <c r="B160" i="31" a="1"/>
  <c r="B160" i="31" s="1"/>
  <c r="B159" i="31" a="1"/>
  <c r="B159" i="31" s="1"/>
  <c r="H38" i="31" a="1"/>
  <c r="H38" i="31" s="1"/>
  <c r="H106" i="31" a="1"/>
  <c r="H106" i="31" s="1"/>
  <c r="G38" i="31" a="1"/>
  <c r="G38" i="31" s="1"/>
  <c r="G106" i="31" a="1"/>
  <c r="G106" i="31" s="1"/>
  <c r="F38" i="31" a="1"/>
  <c r="F38" i="31" s="1"/>
  <c r="F106" i="31" a="1"/>
  <c r="F106" i="31" s="1"/>
  <c r="E38" i="31" a="1"/>
  <c r="E38" i="31" s="1"/>
  <c r="E106" i="31" a="1"/>
  <c r="E106" i="31" s="1"/>
  <c r="D38" i="31" a="1"/>
  <c r="D38" i="31" s="1"/>
  <c r="D106" i="31" a="1"/>
  <c r="D106" i="31" s="1"/>
  <c r="C38" i="31" a="1"/>
  <c r="C38" i="31" s="1"/>
  <c r="C106" i="31" a="1"/>
  <c r="C106" i="31" s="1"/>
  <c r="B38" i="31" a="1"/>
  <c r="B38" i="31" s="1"/>
  <c r="B106" i="31" a="1"/>
  <c r="B106" i="31" s="1"/>
  <c r="G98" i="31" a="1"/>
  <c r="G98" i="31" s="1"/>
  <c r="G142" i="31" a="1"/>
  <c r="G142" i="31" s="1"/>
  <c r="F98" i="31" a="1"/>
  <c r="F98" i="31" s="1"/>
  <c r="F142" i="31" a="1"/>
  <c r="F142" i="31" s="1"/>
  <c r="H98" i="31" a="1"/>
  <c r="H98" i="31" s="1"/>
  <c r="H142" i="31" a="1"/>
  <c r="H142" i="31" s="1"/>
  <c r="E98" i="31" a="1"/>
  <c r="E98" i="31" s="1"/>
  <c r="E142" i="31" a="1"/>
  <c r="E142" i="31" s="1"/>
  <c r="D98" i="31" a="1"/>
  <c r="D98" i="31" s="1"/>
  <c r="D142" i="31" a="1"/>
  <c r="D142" i="31" s="1"/>
  <c r="C98" i="31" a="1"/>
  <c r="C98" i="31" s="1"/>
  <c r="C142" i="31" a="1"/>
  <c r="C142" i="31" s="1"/>
  <c r="B98" i="31" a="1"/>
  <c r="B98" i="31" s="1"/>
  <c r="B142" i="31" a="1"/>
  <c r="B142" i="31" s="1"/>
  <c r="H149" i="31" a="1"/>
  <c r="H149" i="31" s="1"/>
  <c r="H141" i="31" a="1"/>
  <c r="H141" i="31" s="1"/>
  <c r="G149" i="31" a="1"/>
  <c r="G149" i="31" s="1"/>
  <c r="G141" i="31" a="1"/>
  <c r="G141" i="31" s="1"/>
  <c r="F149" i="31" a="1"/>
  <c r="F149" i="31" s="1"/>
  <c r="F141" i="31" a="1"/>
  <c r="F141" i="31" s="1"/>
  <c r="E149" i="31" a="1"/>
  <c r="E149" i="31" s="1"/>
  <c r="E141" i="31" a="1"/>
  <c r="E141" i="31" s="1"/>
  <c r="D149" i="31" a="1"/>
  <c r="D149" i="31" s="1"/>
  <c r="D141" i="31" a="1"/>
  <c r="D141" i="31" s="1"/>
  <c r="C149" i="31" a="1"/>
  <c r="C149" i="31" s="1"/>
  <c r="C141" i="31" a="1"/>
  <c r="C141" i="31" s="1"/>
  <c r="B149" i="31" a="1"/>
  <c r="B149" i="31" s="1"/>
  <c r="B141" i="31" a="1"/>
  <c r="B141" i="31" s="1"/>
  <c r="H146" i="31" a="1"/>
  <c r="H146" i="31" s="1"/>
  <c r="H148" i="31" a="1"/>
  <c r="H148" i="31" s="1"/>
  <c r="G146" i="31" a="1"/>
  <c r="G146" i="31" s="1"/>
  <c r="G148" i="31" a="1"/>
  <c r="G148" i="31" s="1"/>
  <c r="F146" i="31" a="1"/>
  <c r="F146" i="31" s="1"/>
  <c r="F148" i="31" a="1"/>
  <c r="F148" i="31" s="1"/>
  <c r="E146" i="31" a="1"/>
  <c r="E146" i="31" s="1"/>
  <c r="E148" i="31" a="1"/>
  <c r="E148" i="31" s="1"/>
  <c r="D146" i="31" a="1"/>
  <c r="D146" i="31" s="1"/>
  <c r="D148" i="31" a="1"/>
  <c r="D148" i="31" s="1"/>
  <c r="C146" i="31" a="1"/>
  <c r="C146" i="31" s="1"/>
  <c r="C148" i="31" a="1"/>
  <c r="C148" i="31" s="1"/>
  <c r="B146" i="31" a="1"/>
  <c r="B146" i="31" s="1"/>
  <c r="B148" i="31" a="1"/>
  <c r="B148" i="31" s="1"/>
  <c r="H55" i="31" a="1"/>
  <c r="H55" i="31" s="1"/>
  <c r="H147" i="31" a="1"/>
  <c r="H147" i="31" s="1"/>
  <c r="G55" i="31" a="1"/>
  <c r="G55" i="31" s="1"/>
  <c r="G147" i="31" a="1"/>
  <c r="G147" i="31" s="1"/>
  <c r="F55" i="31" a="1"/>
  <c r="F55" i="31" s="1"/>
  <c r="F147" i="31" a="1"/>
  <c r="F147" i="31" s="1"/>
  <c r="E55" i="31" a="1"/>
  <c r="E55" i="31" s="1"/>
  <c r="E147" i="31" a="1"/>
  <c r="E147" i="31" s="1"/>
  <c r="D55" i="31" a="1"/>
  <c r="D55" i="31" s="1"/>
  <c r="D147" i="31" a="1"/>
  <c r="D147" i="31" s="1"/>
  <c r="C55" i="31" a="1"/>
  <c r="C55" i="31" s="1"/>
  <c r="C147" i="31" a="1"/>
  <c r="C147" i="31" s="1"/>
  <c r="B55" i="31" a="1"/>
  <c r="B55" i="31" s="1"/>
  <c r="B147" i="31" a="1"/>
  <c r="B147" i="31" s="1"/>
  <c r="H153" i="31" a="1"/>
  <c r="H153" i="31" s="1"/>
  <c r="H53" i="31" a="1"/>
  <c r="H53" i="31" s="1"/>
  <c r="G153" i="31" a="1"/>
  <c r="G153" i="31" s="1"/>
  <c r="G53" i="31" a="1"/>
  <c r="G53" i="31" s="1"/>
  <c r="F153" i="31" a="1"/>
  <c r="F153" i="31" s="1"/>
  <c r="F53" i="31" a="1"/>
  <c r="F53" i="31" s="1"/>
  <c r="E153" i="31" a="1"/>
  <c r="E153" i="31" s="1"/>
  <c r="E53" i="31" a="1"/>
  <c r="E53" i="31" s="1"/>
  <c r="D153" i="31" a="1"/>
  <c r="D153" i="31" s="1"/>
  <c r="D53" i="31" a="1"/>
  <c r="D53" i="31" s="1"/>
  <c r="C153" i="31" a="1"/>
  <c r="C153" i="31" s="1"/>
  <c r="C53" i="31" a="1"/>
  <c r="C53" i="31" s="1"/>
  <c r="B153" i="31" a="1"/>
  <c r="B153" i="31" s="1"/>
  <c r="B53" i="31" a="1"/>
  <c r="B53" i="31" s="1"/>
  <c r="H165" i="31" a="1"/>
  <c r="H165" i="31" s="1"/>
  <c r="H87" i="31" a="1"/>
  <c r="H87" i="31" s="1"/>
  <c r="H45" i="31" a="1"/>
  <c r="H45" i="31" s="1"/>
  <c r="H35" i="31" a="1"/>
  <c r="H35" i="31" s="1"/>
  <c r="H68" i="31" a="1"/>
  <c r="H68" i="31" s="1"/>
  <c r="H199" i="31" a="1"/>
  <c r="H199" i="31" s="1"/>
  <c r="H107" i="31" a="1"/>
  <c r="H107" i="31" s="1"/>
  <c r="H111" i="31" a="1"/>
  <c r="H111" i="31" s="1"/>
  <c r="H166" i="31" a="1"/>
  <c r="H166" i="31" s="1"/>
  <c r="H25" i="31" a="1"/>
  <c r="H25" i="31" s="1"/>
  <c r="H48" i="31" a="1"/>
  <c r="H48" i="31" s="1"/>
  <c r="H56" i="31" a="1"/>
  <c r="H56" i="31" s="1"/>
  <c r="H69" i="31" a="1"/>
  <c r="H69" i="31" s="1"/>
  <c r="H200" i="31" a="1"/>
  <c r="H200" i="31" s="1"/>
  <c r="H205" i="31" a="1"/>
  <c r="H205" i="31" s="1"/>
  <c r="H207" i="31" a="1"/>
  <c r="H207" i="31" s="1"/>
  <c r="H213" i="31" a="1"/>
  <c r="H213" i="31" s="1"/>
  <c r="H131" i="31" a="1"/>
  <c r="H131" i="31" s="1"/>
  <c r="H152" i="31" a="1"/>
  <c r="H152" i="31" s="1"/>
  <c r="H74" i="31" a="1"/>
  <c r="H74" i="31" s="1"/>
  <c r="H59" i="31" a="1"/>
  <c r="H59" i="31" s="1"/>
  <c r="H12" i="31" a="1"/>
  <c r="H12" i="31" s="1"/>
  <c r="H27" i="31" a="1"/>
  <c r="H27" i="31" s="1"/>
  <c r="H76" i="31" a="1"/>
  <c r="H76" i="31" s="1"/>
  <c r="H65" i="31" a="1"/>
  <c r="H65" i="31" s="1"/>
  <c r="H195" i="31" a="1"/>
  <c r="H195" i="31" s="1"/>
  <c r="H101" i="31" a="1"/>
  <c r="H101" i="31" s="1"/>
  <c r="H114" i="31" a="1"/>
  <c r="H114" i="31" s="1"/>
  <c r="H144" i="31" a="1"/>
  <c r="H144" i="31" s="1"/>
  <c r="H137" i="31" a="1"/>
  <c r="H137" i="31" s="1"/>
  <c r="H135" i="31" a="1"/>
  <c r="H135" i="31" s="1"/>
  <c r="H40" i="31" a="1"/>
  <c r="H40" i="31" s="1"/>
  <c r="H13" i="31" a="1"/>
  <c r="H13" i="31" s="1"/>
  <c r="H26" i="31" a="1"/>
  <c r="H26" i="31" s="1"/>
  <c r="H28" i="31" a="1"/>
  <c r="H28" i="31" s="1"/>
  <c r="H58" i="31" a="1"/>
  <c r="H58" i="31" s="1"/>
  <c r="H71" i="31" a="1"/>
  <c r="H71" i="31" s="1"/>
  <c r="H102" i="31" a="1"/>
  <c r="H102" i="31" s="1"/>
  <c r="H108" i="31" a="1"/>
  <c r="H108" i="31" s="1"/>
  <c r="H208" i="31" a="1"/>
  <c r="H208" i="31" s="1"/>
  <c r="H138" i="31" a="1"/>
  <c r="H138" i="31" s="1"/>
  <c r="H216" i="31" a="1"/>
  <c r="H216" i="31" s="1"/>
  <c r="H39" i="31" a="1"/>
  <c r="H39" i="31" s="1"/>
  <c r="H185" i="31" a="1"/>
  <c r="H185" i="31" s="1"/>
  <c r="H184" i="31" a="1"/>
  <c r="H184" i="31" s="1"/>
  <c r="H14" i="31" a="1"/>
  <c r="H14" i="31" s="1"/>
  <c r="H183" i="31" a="1"/>
  <c r="H183" i="31" s="1"/>
  <c r="H54" i="31" a="1"/>
  <c r="H54" i="31" s="1"/>
  <c r="H83" i="31" a="1"/>
  <c r="H83" i="31" s="1"/>
  <c r="H196" i="31" a="1"/>
  <c r="H196" i="31" s="1"/>
  <c r="H201" i="31" a="1"/>
  <c r="H201" i="31" s="1"/>
  <c r="H125" i="31" a="1"/>
  <c r="H125" i="31" s="1"/>
  <c r="H145" i="31" a="1"/>
  <c r="H145" i="31" s="1"/>
  <c r="H127" i="31" a="1"/>
  <c r="H127" i="31" s="1"/>
  <c r="H136" i="31" a="1"/>
  <c r="H136" i="31" s="1"/>
  <c r="H139" i="31" a="1"/>
  <c r="H139" i="31" s="1"/>
  <c r="H92" i="31" a="1"/>
  <c r="H92" i="31" s="1"/>
  <c r="H186" i="31" a="1"/>
  <c r="H186" i="31" s="1"/>
  <c r="H177" i="31" a="1"/>
  <c r="H177" i="31" s="1"/>
  <c r="H42" i="31" a="1"/>
  <c r="H42" i="31" s="1"/>
  <c r="H52" i="31" a="1"/>
  <c r="H52" i="31" s="1"/>
  <c r="H66" i="31" a="1"/>
  <c r="H66" i="31" s="1"/>
  <c r="H94" i="31" a="1"/>
  <c r="H94" i="31" s="1"/>
  <c r="H103" i="31" a="1"/>
  <c r="H103" i="31" s="1"/>
  <c r="H126" i="31" a="1"/>
  <c r="H126" i="31" s="1"/>
  <c r="H118" i="31" a="1"/>
  <c r="H118" i="31" s="1"/>
  <c r="H132" i="31" a="1"/>
  <c r="H132" i="31" s="1"/>
  <c r="H140" i="31" a="1"/>
  <c r="H140" i="31" s="1"/>
  <c r="H191" i="31" a="1"/>
  <c r="H191" i="31" s="1"/>
  <c r="H30" i="31" a="1"/>
  <c r="H30" i="31" s="1"/>
  <c r="H15" i="31" a="1"/>
  <c r="H15" i="31" s="1"/>
  <c r="H180" i="31" a="1"/>
  <c r="H180" i="31" s="1"/>
  <c r="H88" i="31" a="1"/>
  <c r="H88" i="31" s="1"/>
  <c r="H60" i="31" a="1"/>
  <c r="H60" i="31" s="1"/>
  <c r="H85" i="31" a="1"/>
  <c r="H85" i="31" s="1"/>
  <c r="H97" i="31" a="1"/>
  <c r="H97" i="31" s="1"/>
  <c r="H109" i="31" a="1"/>
  <c r="H109" i="31" s="1"/>
  <c r="H116" i="31" a="1"/>
  <c r="H116" i="31" s="1"/>
  <c r="H120" i="31" a="1"/>
  <c r="H120" i="31" s="1"/>
  <c r="H215" i="31" a="1"/>
  <c r="H215" i="31" s="1"/>
  <c r="H134" i="31" a="1"/>
  <c r="H134" i="31" s="1"/>
  <c r="H75" i="31" a="1"/>
  <c r="H75" i="31" s="1"/>
  <c r="H47" i="31" a="1"/>
  <c r="H47" i="31" s="1"/>
  <c r="H163" i="31" a="1"/>
  <c r="H163" i="31" s="1"/>
  <c r="H181" i="31" a="1"/>
  <c r="H181" i="31" s="1"/>
  <c r="H89" i="31" a="1"/>
  <c r="H89" i="31" s="1"/>
  <c r="H61" i="31" a="1"/>
  <c r="H61" i="31" s="1"/>
  <c r="H189" i="31" a="1"/>
  <c r="H189" i="31" s="1"/>
  <c r="H99" i="31" a="1"/>
  <c r="H99" i="31" s="1"/>
  <c r="H206" i="31" a="1"/>
  <c r="H206" i="31" s="1"/>
  <c r="H128" i="31" a="1"/>
  <c r="H128" i="31" s="1"/>
  <c r="H219" i="31" a="1"/>
  <c r="H219" i="31" s="1"/>
  <c r="H161" i="31" a="1"/>
  <c r="H161" i="31" s="1"/>
  <c r="H57" i="31" a="1"/>
  <c r="H57" i="31" s="1"/>
  <c r="H155" i="31" a="1"/>
  <c r="H155" i="31" s="1"/>
  <c r="H43" i="31" a="1"/>
  <c r="H43" i="31" s="1"/>
  <c r="H50" i="31" a="1"/>
  <c r="H50" i="31" s="1"/>
  <c r="H67" i="31" a="1"/>
  <c r="H67" i="31" s="1"/>
  <c r="H197" i="31" a="1"/>
  <c r="H197" i="31" s="1"/>
  <c r="H104" i="31" a="1"/>
  <c r="H104" i="31" s="1"/>
  <c r="H214" i="31" a="1"/>
  <c r="H214" i="31" s="1"/>
  <c r="H119" i="31" a="1"/>
  <c r="H119" i="31" s="1"/>
  <c r="H121" i="31" a="1"/>
  <c r="H121" i="31" s="1"/>
  <c r="H133" i="31" a="1"/>
  <c r="H133" i="31" s="1"/>
  <c r="H84" i="31" a="1"/>
  <c r="H84" i="31" s="1"/>
  <c r="H34" i="31" a="1"/>
  <c r="H34" i="31" s="1"/>
  <c r="H164" i="31" a="1"/>
  <c r="H164" i="31" s="1"/>
  <c r="H182" i="31" a="1"/>
  <c r="H182" i="31" s="1"/>
  <c r="H90" i="31" a="1"/>
  <c r="H90" i="31" s="1"/>
  <c r="H187" i="31" a="1"/>
  <c r="H187" i="31" s="1"/>
  <c r="H193" i="31" a="1"/>
  <c r="H193" i="31" s="1"/>
  <c r="H100" i="31" a="1"/>
  <c r="H100" i="31" s="1"/>
  <c r="H105" i="31" a="1"/>
  <c r="H105" i="31" s="1"/>
  <c r="H110" i="31" a="1"/>
  <c r="H110" i="31" s="1"/>
  <c r="H150" i="31" a="1"/>
  <c r="H150" i="31" s="1"/>
  <c r="H129" i="31" a="1"/>
  <c r="H129" i="31" s="1"/>
  <c r="H220" i="31" a="1"/>
  <c r="H220" i="31" s="1"/>
  <c r="H162" i="31" a="1"/>
  <c r="H162" i="31" s="1"/>
  <c r="H154" i="31" a="1"/>
  <c r="H154" i="31" s="1"/>
  <c r="H44" i="31" a="1"/>
  <c r="H44" i="31" s="1"/>
  <c r="H51" i="31" a="1"/>
  <c r="H51" i="31" s="1"/>
  <c r="H188" i="31" a="1"/>
  <c r="H188" i="31" s="1"/>
  <c r="H198" i="31" a="1"/>
  <c r="H198" i="31" s="1"/>
  <c r="H112" i="31" a="1"/>
  <c r="H112" i="31" s="1"/>
  <c r="H209" i="31" a="1"/>
  <c r="H209" i="31" s="1"/>
  <c r="H210" i="31" a="1"/>
  <c r="H210" i="31" s="1"/>
  <c r="H217" i="31" a="1"/>
  <c r="H217" i="31" s="1"/>
  <c r="H70" i="31" a="1"/>
  <c r="H70" i="31" s="1"/>
  <c r="H91" i="31" a="1"/>
  <c r="H91" i="31" s="1"/>
  <c r="H32" i="31" a="1"/>
  <c r="H32" i="31" s="1"/>
  <c r="H179" i="31" a="1"/>
  <c r="H179" i="31" s="1"/>
  <c r="H49" i="31" a="1"/>
  <c r="H49" i="31" s="1"/>
  <c r="H63" i="31" a="1"/>
  <c r="H63" i="31" s="1"/>
  <c r="H194" i="31" a="1"/>
  <c r="H194" i="31" s="1"/>
  <c r="H204" i="31" a="1"/>
  <c r="H204" i="31" s="1"/>
  <c r="H113" i="31" a="1"/>
  <c r="H113" i="31" s="1"/>
  <c r="H143" i="31" a="1"/>
  <c r="H143" i="31" s="1"/>
  <c r="H151" i="31" a="1"/>
  <c r="H151" i="31" s="1"/>
  <c r="H211" i="31" a="1"/>
  <c r="H211" i="31" s="1"/>
  <c r="H130" i="31" a="1"/>
  <c r="H130" i="31" s="1"/>
  <c r="H218" i="31" a="1"/>
  <c r="H218" i="31" s="1"/>
  <c r="H221" i="31" a="1"/>
  <c r="H221" i="31" s="1"/>
  <c r="H115" i="31" a="1"/>
  <c r="H115" i="31" s="1"/>
  <c r="G32" i="31" a="1"/>
  <c r="G32" i="31" s="1"/>
  <c r="G179" i="31" a="1"/>
  <c r="G179" i="31" s="1"/>
  <c r="G45" i="31" a="1"/>
  <c r="G45" i="31" s="1"/>
  <c r="G35" i="31" a="1"/>
  <c r="G35" i="31" s="1"/>
  <c r="G68" i="31" a="1"/>
  <c r="G68" i="31" s="1"/>
  <c r="G199" i="31" a="1"/>
  <c r="G199" i="31" s="1"/>
  <c r="G107" i="31" a="1"/>
  <c r="G107" i="31" s="1"/>
  <c r="G111" i="31" a="1"/>
  <c r="G111" i="31" s="1"/>
  <c r="G143" i="31" a="1"/>
  <c r="G143" i="31" s="1"/>
  <c r="G211" i="31" a="1"/>
  <c r="G211" i="31" s="1"/>
  <c r="G218" i="31" a="1"/>
  <c r="G218" i="31" s="1"/>
  <c r="G30" i="31" a="1"/>
  <c r="G30" i="31" s="1"/>
  <c r="G166" i="31" a="1"/>
  <c r="G166" i="31" s="1"/>
  <c r="G25" i="31" a="1"/>
  <c r="G25" i="31" s="1"/>
  <c r="G48" i="31" a="1"/>
  <c r="G48" i="31" s="1"/>
  <c r="G56" i="31" a="1"/>
  <c r="G56" i="31" s="1"/>
  <c r="G69" i="31" a="1"/>
  <c r="G69" i="31" s="1"/>
  <c r="G200" i="31" a="1"/>
  <c r="G200" i="31" s="1"/>
  <c r="G205" i="31" a="1"/>
  <c r="G205" i="31" s="1"/>
  <c r="G207" i="31" a="1"/>
  <c r="G207" i="31" s="1"/>
  <c r="G137" i="31" a="1"/>
  <c r="G137" i="31" s="1"/>
  <c r="G131" i="31" a="1"/>
  <c r="G131" i="31" s="1"/>
  <c r="G152" i="31" a="1"/>
  <c r="G152" i="31" s="1"/>
  <c r="G74" i="31" a="1"/>
  <c r="G74" i="31" s="1"/>
  <c r="G115" i="31" a="1"/>
  <c r="G115" i="31" s="1"/>
  <c r="G12" i="31" a="1"/>
  <c r="G12" i="31" s="1"/>
  <c r="G27" i="31" a="1"/>
  <c r="G27" i="31" s="1"/>
  <c r="G76" i="31" a="1"/>
  <c r="G76" i="31" s="1"/>
  <c r="G65" i="31" a="1"/>
  <c r="G65" i="31" s="1"/>
  <c r="G195" i="31" a="1"/>
  <c r="G195" i="31" s="1"/>
  <c r="G101" i="31" a="1"/>
  <c r="G101" i="31" s="1"/>
  <c r="G114" i="31" a="1"/>
  <c r="G114" i="31" s="1"/>
  <c r="G144" i="31" a="1"/>
  <c r="G144" i="31" s="1"/>
  <c r="G213" i="31" a="1"/>
  <c r="G213" i="31" s="1"/>
  <c r="G135" i="31" a="1"/>
  <c r="G135" i="31" s="1"/>
  <c r="G40" i="31" a="1"/>
  <c r="G40" i="31" s="1"/>
  <c r="G59" i="31" a="1"/>
  <c r="G59" i="31" s="1"/>
  <c r="G13" i="31" a="1"/>
  <c r="G13" i="31" s="1"/>
  <c r="G26" i="31" a="1"/>
  <c r="G26" i="31" s="1"/>
  <c r="G28" i="31" a="1"/>
  <c r="G28" i="31" s="1"/>
  <c r="G58" i="31" a="1"/>
  <c r="G58" i="31" s="1"/>
  <c r="G196" i="31" a="1"/>
  <c r="G196" i="31" s="1"/>
  <c r="G201" i="31" a="1"/>
  <c r="G201" i="31" s="1"/>
  <c r="G108" i="31" a="1"/>
  <c r="G108" i="31" s="1"/>
  <c r="G208" i="31" a="1"/>
  <c r="G208" i="31" s="1"/>
  <c r="G138" i="31" a="1"/>
  <c r="G138" i="31" s="1"/>
  <c r="G216" i="31" a="1"/>
  <c r="G216" i="31" s="1"/>
  <c r="G39" i="31" a="1"/>
  <c r="G39" i="31" s="1"/>
  <c r="G92" i="31" a="1"/>
  <c r="G92" i="31" s="1"/>
  <c r="G14" i="31" a="1"/>
  <c r="G14" i="31" s="1"/>
  <c r="G183" i="31" a="1"/>
  <c r="G183" i="31" s="1"/>
  <c r="G54" i="31" a="1"/>
  <c r="G54" i="31" s="1"/>
  <c r="G83" i="31" a="1"/>
  <c r="G83" i="31" s="1"/>
  <c r="G71" i="31" a="1"/>
  <c r="G71" i="31" s="1"/>
  <c r="G102" i="31" a="1"/>
  <c r="G102" i="31" s="1"/>
  <c r="G125" i="31" a="1"/>
  <c r="G125" i="31" s="1"/>
  <c r="G145" i="31" a="1"/>
  <c r="G145" i="31" s="1"/>
  <c r="G127" i="31" a="1"/>
  <c r="G127" i="31" s="1"/>
  <c r="G136" i="31" a="1"/>
  <c r="G136" i="31" s="1"/>
  <c r="G139" i="31" a="1"/>
  <c r="G139" i="31" s="1"/>
  <c r="G185" i="31" a="1"/>
  <c r="G185" i="31" s="1"/>
  <c r="G15" i="31" a="1"/>
  <c r="G15" i="31" s="1"/>
  <c r="G180" i="31" a="1"/>
  <c r="G180" i="31" s="1"/>
  <c r="G52" i="31" a="1"/>
  <c r="G52" i="31" s="1"/>
  <c r="G66" i="31" a="1"/>
  <c r="G66" i="31" s="1"/>
  <c r="G94" i="31" a="1"/>
  <c r="G94" i="31" s="1"/>
  <c r="G103" i="31" a="1"/>
  <c r="G103" i="31" s="1"/>
  <c r="G126" i="31" a="1"/>
  <c r="G126" i="31" s="1"/>
  <c r="G118" i="31" a="1"/>
  <c r="G118" i="31" s="1"/>
  <c r="G215" i="31" a="1"/>
  <c r="G215" i="31" s="1"/>
  <c r="G134" i="31" a="1"/>
  <c r="G134" i="31" s="1"/>
  <c r="G75" i="31" a="1"/>
  <c r="G75" i="31" s="1"/>
  <c r="G47" i="31" a="1"/>
  <c r="G47" i="31" s="1"/>
  <c r="G177" i="31" a="1"/>
  <c r="G177" i="31" s="1"/>
  <c r="G42" i="31" a="1"/>
  <c r="G42" i="31" s="1"/>
  <c r="G88" i="31" a="1"/>
  <c r="G88" i="31" s="1"/>
  <c r="G60" i="31" a="1"/>
  <c r="G60" i="31" s="1"/>
  <c r="G85" i="31" a="1"/>
  <c r="G85" i="31" s="1"/>
  <c r="G97" i="31" a="1"/>
  <c r="G97" i="31" s="1"/>
  <c r="G109" i="31" a="1"/>
  <c r="G109" i="31" s="1"/>
  <c r="G116" i="31" a="1"/>
  <c r="G116" i="31" s="1"/>
  <c r="G120" i="31" a="1"/>
  <c r="G120" i="31" s="1"/>
  <c r="G132" i="31" a="1"/>
  <c r="G132" i="31" s="1"/>
  <c r="G140" i="31" a="1"/>
  <c r="G140" i="31" s="1"/>
  <c r="G191" i="31" a="1"/>
  <c r="G191" i="31" s="1"/>
  <c r="G163" i="31" a="1"/>
  <c r="G163" i="31" s="1"/>
  <c r="G181" i="31" a="1"/>
  <c r="G181" i="31" s="1"/>
  <c r="G89" i="31" a="1"/>
  <c r="G89" i="31" s="1"/>
  <c r="G61" i="31" a="1"/>
  <c r="G61" i="31" s="1"/>
  <c r="G189" i="31" a="1"/>
  <c r="G189" i="31" s="1"/>
  <c r="G104" i="31" a="1"/>
  <c r="G104" i="31" s="1"/>
  <c r="G206" i="31" a="1"/>
  <c r="G206" i="31" s="1"/>
  <c r="G119" i="31" a="1"/>
  <c r="G119" i="31" s="1"/>
  <c r="G128" i="31" a="1"/>
  <c r="G128" i="31" s="1"/>
  <c r="G219" i="31" a="1"/>
  <c r="G219" i="31" s="1"/>
  <c r="G41" i="31" a="1"/>
  <c r="G41" i="31" s="1"/>
  <c r="G184" i="31" a="1"/>
  <c r="G184" i="31" s="1"/>
  <c r="G155" i="31" a="1"/>
  <c r="G155" i="31" s="1"/>
  <c r="G43" i="31" a="1"/>
  <c r="G43" i="31" s="1"/>
  <c r="G50" i="31" a="1"/>
  <c r="G50" i="31" s="1"/>
  <c r="G67" i="31" a="1"/>
  <c r="G67" i="31" s="1"/>
  <c r="G197" i="31" a="1"/>
  <c r="G197" i="31" s="1"/>
  <c r="G99" i="31" a="1"/>
  <c r="G99" i="31" s="1"/>
  <c r="G214" i="31" a="1"/>
  <c r="G214" i="31" s="1"/>
  <c r="G117" i="31" a="1"/>
  <c r="G117" i="31" s="1"/>
  <c r="G121" i="31" a="1"/>
  <c r="G121" i="31" s="1"/>
  <c r="G133" i="31" a="1"/>
  <c r="G133" i="31" s="1"/>
  <c r="G84" i="31" a="1"/>
  <c r="G84" i="31" s="1"/>
  <c r="G161" i="31" a="1"/>
  <c r="G161" i="31" s="1"/>
  <c r="G57" i="31" a="1"/>
  <c r="G57" i="31" s="1"/>
  <c r="G154" i="31" a="1"/>
  <c r="G154" i="31" s="1"/>
  <c r="G182" i="31" a="1"/>
  <c r="G182" i="31" s="1"/>
  <c r="G51" i="31" a="1"/>
  <c r="G51" i="31" s="1"/>
  <c r="G188" i="31" a="1"/>
  <c r="G188" i="31" s="1"/>
  <c r="G198" i="31" a="1"/>
  <c r="G198" i="31" s="1"/>
  <c r="G105" i="31" a="1"/>
  <c r="G105" i="31" s="1"/>
  <c r="G110" i="31" a="1"/>
  <c r="G110" i="31" s="1"/>
  <c r="G150" i="31" a="1"/>
  <c r="G150" i="31" s="1"/>
  <c r="G129" i="31" a="1"/>
  <c r="G129" i="31" s="1"/>
  <c r="G220" i="31" a="1"/>
  <c r="G220" i="31" s="1"/>
  <c r="G162" i="31" a="1"/>
  <c r="G162" i="31" s="1"/>
  <c r="G186" i="31" a="1"/>
  <c r="G186" i="31" s="1"/>
  <c r="G164" i="31" a="1"/>
  <c r="G164" i="31" s="1"/>
  <c r="G44" i="31" a="1"/>
  <c r="G44" i="31" s="1"/>
  <c r="G90" i="31" a="1"/>
  <c r="G90" i="31" s="1"/>
  <c r="G187" i="31" a="1"/>
  <c r="G187" i="31" s="1"/>
  <c r="G193" i="31" a="1"/>
  <c r="G193" i="31" s="1"/>
  <c r="G100" i="31" a="1"/>
  <c r="G100" i="31" s="1"/>
  <c r="G112" i="31" a="1"/>
  <c r="G112" i="31" s="1"/>
  <c r="G209" i="31" a="1"/>
  <c r="G209" i="31" s="1"/>
  <c r="G210" i="31" a="1"/>
  <c r="G210" i="31" s="1"/>
  <c r="G217" i="31" a="1"/>
  <c r="G217" i="31" s="1"/>
  <c r="G70" i="31" a="1"/>
  <c r="G70" i="31" s="1"/>
  <c r="G91" i="31" a="1"/>
  <c r="G91" i="31" s="1"/>
  <c r="G165" i="31" a="1"/>
  <c r="G165" i="31" s="1"/>
  <c r="G87" i="31" a="1"/>
  <c r="G87" i="31" s="1"/>
  <c r="G49" i="31" a="1"/>
  <c r="G49" i="31" s="1"/>
  <c r="G63" i="31" a="1"/>
  <c r="G63" i="31" s="1"/>
  <c r="G194" i="31" a="1"/>
  <c r="G194" i="31" s="1"/>
  <c r="G204" i="31" a="1"/>
  <c r="G204" i="31" s="1"/>
  <c r="G113" i="31" a="1"/>
  <c r="G113" i="31" s="1"/>
  <c r="G151" i="31" a="1"/>
  <c r="G151" i="31" s="1"/>
  <c r="G130" i="31" a="1"/>
  <c r="G130" i="31" s="1"/>
  <c r="G221" i="31" a="1"/>
  <c r="G221" i="31" s="1"/>
  <c r="G34" i="31" a="1"/>
  <c r="G34" i="31" s="1"/>
  <c r="F32" i="31" a="1"/>
  <c r="F32" i="31" s="1"/>
  <c r="F87" i="31" a="1"/>
  <c r="F87" i="31" s="1"/>
  <c r="F45" i="31" a="1"/>
  <c r="F45" i="31" s="1"/>
  <c r="F35" i="31" a="1"/>
  <c r="F35" i="31" s="1"/>
  <c r="F68" i="31" a="1"/>
  <c r="F68" i="31" s="1"/>
  <c r="F199" i="31" a="1"/>
  <c r="F199" i="31" s="1"/>
  <c r="F107" i="31" a="1"/>
  <c r="F107" i="31" s="1"/>
  <c r="F111" i="31" a="1"/>
  <c r="F111" i="31" s="1"/>
  <c r="F151" i="31" a="1"/>
  <c r="F151" i="31" s="1"/>
  <c r="F130" i="31" a="1"/>
  <c r="F130" i="31" s="1"/>
  <c r="F221" i="31" a="1"/>
  <c r="F221" i="31" s="1"/>
  <c r="F34" i="31" a="1"/>
  <c r="F34" i="31" s="1"/>
  <c r="F115" i="31" a="1"/>
  <c r="F115" i="31" s="1"/>
  <c r="F186" i="31" a="1"/>
  <c r="F186" i="31" s="1"/>
  <c r="F166" i="31" a="1"/>
  <c r="F166" i="31" s="1"/>
  <c r="F25" i="31" a="1"/>
  <c r="F25" i="31" s="1"/>
  <c r="F76" i="31" a="1"/>
  <c r="F76" i="31" s="1"/>
  <c r="F65" i="31" a="1"/>
  <c r="F65" i="31" s="1"/>
  <c r="F195" i="31" a="1"/>
  <c r="F195" i="31" s="1"/>
  <c r="F101" i="31" a="1"/>
  <c r="F101" i="31" s="1"/>
  <c r="F114" i="31" a="1"/>
  <c r="F114" i="31" s="1"/>
  <c r="F144" i="31" a="1"/>
  <c r="F144" i="31" s="1"/>
  <c r="F213" i="31" a="1"/>
  <c r="F213" i="31" s="1"/>
  <c r="F135" i="31" a="1"/>
  <c r="F135" i="31" s="1"/>
  <c r="F40" i="31" a="1"/>
  <c r="F40" i="31" s="1"/>
  <c r="F59" i="31" a="1"/>
  <c r="F59" i="31" s="1"/>
  <c r="F217" i="31" a="1"/>
  <c r="F217" i="31" s="1"/>
  <c r="F12" i="31" a="1"/>
  <c r="F12" i="31" s="1"/>
  <c r="F27" i="31" a="1"/>
  <c r="F27" i="31" s="1"/>
  <c r="F48" i="31" a="1"/>
  <c r="F48" i="31" s="1"/>
  <c r="F56" i="31" a="1"/>
  <c r="F56" i="31" s="1"/>
  <c r="F69" i="31" a="1"/>
  <c r="F69" i="31" s="1"/>
  <c r="F200" i="31" a="1"/>
  <c r="F200" i="31" s="1"/>
  <c r="F205" i="31" a="1"/>
  <c r="F205" i="31" s="1"/>
  <c r="F207" i="31" a="1"/>
  <c r="F207" i="31" s="1"/>
  <c r="F137" i="31" a="1"/>
  <c r="F137" i="31" s="1"/>
  <c r="F131" i="31" a="1"/>
  <c r="F131" i="31" s="1"/>
  <c r="F152" i="31" a="1"/>
  <c r="F152" i="31" s="1"/>
  <c r="F74" i="31" a="1"/>
  <c r="F74" i="31" s="1"/>
  <c r="F209" i="31" a="1"/>
  <c r="F209" i="31" s="1"/>
  <c r="F13" i="31" a="1"/>
  <c r="F13" i="31" s="1"/>
  <c r="F26" i="31" a="1"/>
  <c r="F26" i="31" s="1"/>
  <c r="F54" i="31" a="1"/>
  <c r="F54" i="31" s="1"/>
  <c r="F83" i="31" a="1"/>
  <c r="F83" i="31" s="1"/>
  <c r="F71" i="31" a="1"/>
  <c r="F71" i="31" s="1"/>
  <c r="F201" i="31" a="1"/>
  <c r="F201" i="31" s="1"/>
  <c r="F108" i="31" a="1"/>
  <c r="F108" i="31" s="1"/>
  <c r="F208" i="31" a="1"/>
  <c r="F208" i="31" s="1"/>
  <c r="F138" i="31" a="1"/>
  <c r="F138" i="31" s="1"/>
  <c r="F216" i="31" a="1"/>
  <c r="F216" i="31" s="1"/>
  <c r="F139" i="31" a="1"/>
  <c r="F139" i="31" s="1"/>
  <c r="F92" i="31" a="1"/>
  <c r="F92" i="31" s="1"/>
  <c r="F129" i="31" a="1"/>
  <c r="F129" i="31" s="1"/>
  <c r="F14" i="31" a="1"/>
  <c r="F14" i="31" s="1"/>
  <c r="F183" i="31" a="1"/>
  <c r="F183" i="31" s="1"/>
  <c r="F28" i="31" a="1"/>
  <c r="F28" i="31" s="1"/>
  <c r="F58" i="31" a="1"/>
  <c r="F58" i="31" s="1"/>
  <c r="F196" i="31" a="1"/>
  <c r="F196" i="31" s="1"/>
  <c r="F102" i="31" a="1"/>
  <c r="F102" i="31" s="1"/>
  <c r="F125" i="31" a="1"/>
  <c r="F125" i="31" s="1"/>
  <c r="F145" i="31" a="1"/>
  <c r="F145" i="31" s="1"/>
  <c r="F127" i="31" a="1"/>
  <c r="F127" i="31" s="1"/>
  <c r="F136" i="31" a="1"/>
  <c r="F136" i="31" s="1"/>
  <c r="F39" i="31" a="1"/>
  <c r="F39" i="31" s="1"/>
  <c r="F185" i="31" a="1"/>
  <c r="F185" i="31" s="1"/>
  <c r="F70" i="31" a="1"/>
  <c r="F70" i="31" s="1"/>
  <c r="F177" i="31" a="1"/>
  <c r="F177" i="31" s="1"/>
  <c r="F180" i="31" a="1"/>
  <c r="F180" i="31" s="1"/>
  <c r="F88" i="31" a="1"/>
  <c r="F88" i="31" s="1"/>
  <c r="F66" i="31" a="1"/>
  <c r="F66" i="31" s="1"/>
  <c r="F85" i="31" a="1"/>
  <c r="F85" i="31" s="1"/>
  <c r="F103" i="31" a="1"/>
  <c r="F103" i="31" s="1"/>
  <c r="F109" i="31" a="1"/>
  <c r="F109" i="31" s="1"/>
  <c r="F116" i="31" a="1"/>
  <c r="F116" i="31" s="1"/>
  <c r="F215" i="31" a="1"/>
  <c r="F215" i="31" s="1"/>
  <c r="F132" i="31" a="1"/>
  <c r="F132" i="31" s="1"/>
  <c r="F75" i="31" a="1"/>
  <c r="F75" i="31" s="1"/>
  <c r="F191" i="31" a="1"/>
  <c r="F191" i="31" s="1"/>
  <c r="F210" i="31" a="1"/>
  <c r="F210" i="31" s="1"/>
  <c r="F15" i="31" a="1"/>
  <c r="F15" i="31" s="1"/>
  <c r="F42" i="31" a="1"/>
  <c r="F42" i="31" s="1"/>
  <c r="F52" i="31" a="1"/>
  <c r="F52" i="31" s="1"/>
  <c r="F60" i="31" a="1"/>
  <c r="F60" i="31" s="1"/>
  <c r="F94" i="31" a="1"/>
  <c r="F94" i="31" s="1"/>
  <c r="F97" i="31" a="1"/>
  <c r="F97" i="31" s="1"/>
  <c r="F126" i="31" a="1"/>
  <c r="F126" i="31" s="1"/>
  <c r="F118" i="31" a="1"/>
  <c r="F118" i="31" s="1"/>
  <c r="F120" i="31" a="1"/>
  <c r="F120" i="31" s="1"/>
  <c r="F134" i="31" a="1"/>
  <c r="F134" i="31" s="1"/>
  <c r="F140" i="31" a="1"/>
  <c r="F140" i="31" s="1"/>
  <c r="F47" i="31" a="1"/>
  <c r="F47" i="31" s="1"/>
  <c r="F150" i="31" a="1"/>
  <c r="F150" i="31" s="1"/>
  <c r="F155" i="31" a="1"/>
  <c r="F155" i="31" s="1"/>
  <c r="F181" i="31" a="1"/>
  <c r="F181" i="31" s="1"/>
  <c r="F89" i="31" a="1"/>
  <c r="F89" i="31" s="1"/>
  <c r="F61" i="31" a="1"/>
  <c r="F61" i="31" s="1"/>
  <c r="F197" i="31" a="1"/>
  <c r="F197" i="31" s="1"/>
  <c r="F104" i="31" a="1"/>
  <c r="F104" i="31" s="1"/>
  <c r="F214" i="31" a="1"/>
  <c r="F214" i="31" s="1"/>
  <c r="F119" i="31" a="1"/>
  <c r="F119" i="31" s="1"/>
  <c r="F128" i="31" a="1"/>
  <c r="F128" i="31" s="1"/>
  <c r="F219" i="31" a="1"/>
  <c r="F219" i="31" s="1"/>
  <c r="F41" i="31" a="1"/>
  <c r="F41" i="31" s="1"/>
  <c r="F184" i="31" a="1"/>
  <c r="F184" i="31" s="1"/>
  <c r="F110" i="31" a="1"/>
  <c r="F110" i="31" s="1"/>
  <c r="F163" i="31" a="1"/>
  <c r="F163" i="31" s="1"/>
  <c r="F43" i="31" a="1"/>
  <c r="F43" i="31" s="1"/>
  <c r="F50" i="31" a="1"/>
  <c r="F50" i="31" s="1"/>
  <c r="F67" i="31" a="1"/>
  <c r="F67" i="31" s="1"/>
  <c r="F189" i="31" a="1"/>
  <c r="F189" i="31" s="1"/>
  <c r="F99" i="31" a="1"/>
  <c r="F99" i="31" s="1"/>
  <c r="F206" i="31" a="1"/>
  <c r="F206" i="31" s="1"/>
  <c r="F117" i="31" a="1"/>
  <c r="F117" i="31" s="1"/>
  <c r="F121" i="31" a="1"/>
  <c r="F121" i="31" s="1"/>
  <c r="F133" i="31" a="1"/>
  <c r="F133" i="31" s="1"/>
  <c r="F84" i="31" a="1"/>
  <c r="F84" i="31" s="1"/>
  <c r="F161" i="31" a="1"/>
  <c r="F161" i="31" s="1"/>
  <c r="F112" i="31" a="1"/>
  <c r="F112" i="31" s="1"/>
  <c r="F91" i="31" a="1"/>
  <c r="F91" i="31" s="1"/>
  <c r="F164" i="31" a="1"/>
  <c r="F164" i="31" s="1"/>
  <c r="F154" i="31" a="1"/>
  <c r="F154" i="31" s="1"/>
  <c r="F182" i="31" a="1"/>
  <c r="F182" i="31" s="1"/>
  <c r="F44" i="31" a="1"/>
  <c r="F44" i="31" s="1"/>
  <c r="F90" i="31" a="1"/>
  <c r="F90" i="31" s="1"/>
  <c r="F51" i="31" a="1"/>
  <c r="F51" i="31" s="1"/>
  <c r="F187" i="31" a="1"/>
  <c r="F187" i="31" s="1"/>
  <c r="F188" i="31" a="1"/>
  <c r="F188" i="31" s="1"/>
  <c r="F193" i="31" a="1"/>
  <c r="F193" i="31" s="1"/>
  <c r="F198" i="31" a="1"/>
  <c r="F198" i="31" s="1"/>
  <c r="F100" i="31" a="1"/>
  <c r="F100" i="31" s="1"/>
  <c r="F105" i="31" a="1"/>
  <c r="F105" i="31" s="1"/>
  <c r="F220" i="31" a="1"/>
  <c r="F220" i="31" s="1"/>
  <c r="F165" i="31" a="1"/>
  <c r="F165" i="31" s="1"/>
  <c r="F179" i="31" a="1"/>
  <c r="F179" i="31" s="1"/>
  <c r="F49" i="31" a="1"/>
  <c r="F49" i="31" s="1"/>
  <c r="F63" i="31" a="1"/>
  <c r="F63" i="31" s="1"/>
  <c r="F194" i="31" a="1"/>
  <c r="F194" i="31" s="1"/>
  <c r="F204" i="31" a="1"/>
  <c r="F204" i="31" s="1"/>
  <c r="F113" i="31" a="1"/>
  <c r="F113" i="31" s="1"/>
  <c r="F143" i="31" a="1"/>
  <c r="F143" i="31" s="1"/>
  <c r="F211" i="31" a="1"/>
  <c r="F211" i="31" s="1"/>
  <c r="F218" i="31" a="1"/>
  <c r="F218" i="31" s="1"/>
  <c r="F30" i="31" a="1"/>
  <c r="F30" i="31" s="1"/>
  <c r="F57" i="31" a="1"/>
  <c r="F57" i="31" s="1"/>
  <c r="F162" i="31" a="1"/>
  <c r="F162" i="31" s="1"/>
  <c r="E32" i="31" a="1"/>
  <c r="E32" i="31" s="1"/>
  <c r="E165" i="31" a="1"/>
  <c r="E165" i="31" s="1"/>
  <c r="E179" i="31" a="1"/>
  <c r="E179" i="31" s="1"/>
  <c r="E45" i="31" a="1"/>
  <c r="E45" i="31" s="1"/>
  <c r="E35" i="31" a="1"/>
  <c r="E35" i="31" s="1"/>
  <c r="E68" i="31" a="1"/>
  <c r="E68" i="31" s="1"/>
  <c r="E194" i="31" a="1"/>
  <c r="E194" i="31" s="1"/>
  <c r="E204" i="31" a="1"/>
  <c r="E204" i="31" s="1"/>
  <c r="E113" i="31" a="1"/>
  <c r="E113" i="31" s="1"/>
  <c r="E143" i="31" a="1"/>
  <c r="E143" i="31" s="1"/>
  <c r="E211" i="31" a="1"/>
  <c r="E211" i="31" s="1"/>
  <c r="E218" i="31" a="1"/>
  <c r="E218" i="31" s="1"/>
  <c r="E30" i="31" a="1"/>
  <c r="E30" i="31" s="1"/>
  <c r="E166" i="31" a="1"/>
  <c r="E166" i="31" s="1"/>
  <c r="E25" i="31" a="1"/>
  <c r="E25" i="31" s="1"/>
  <c r="E48" i="31" a="1"/>
  <c r="E48" i="31" s="1"/>
  <c r="E56" i="31" a="1"/>
  <c r="E56" i="31" s="1"/>
  <c r="E69" i="31" a="1"/>
  <c r="E69" i="31" s="1"/>
  <c r="E200" i="31" a="1"/>
  <c r="E200" i="31" s="1"/>
  <c r="E205" i="31" a="1"/>
  <c r="E205" i="31" s="1"/>
  <c r="E207" i="31" a="1"/>
  <c r="E207" i="31" s="1"/>
  <c r="E137" i="31" a="1"/>
  <c r="E137" i="31" s="1"/>
  <c r="E131" i="31" a="1"/>
  <c r="E131" i="31" s="1"/>
  <c r="E152" i="31" a="1"/>
  <c r="E152" i="31" s="1"/>
  <c r="E74" i="31" a="1"/>
  <c r="E74" i="31" s="1"/>
  <c r="E115" i="31" a="1"/>
  <c r="E115" i="31" s="1"/>
  <c r="E12" i="31" a="1"/>
  <c r="E12" i="31" s="1"/>
  <c r="E27" i="31" a="1"/>
  <c r="E27" i="31" s="1"/>
  <c r="E76" i="31" a="1"/>
  <c r="E76" i="31" s="1"/>
  <c r="E65" i="31" a="1"/>
  <c r="E65" i="31" s="1"/>
  <c r="E195" i="31" a="1"/>
  <c r="E195" i="31" s="1"/>
  <c r="E101" i="31" a="1"/>
  <c r="E101" i="31" s="1"/>
  <c r="E114" i="31" a="1"/>
  <c r="E114" i="31" s="1"/>
  <c r="E144" i="31" a="1"/>
  <c r="E144" i="31" s="1"/>
  <c r="E213" i="31" a="1"/>
  <c r="E213" i="31" s="1"/>
  <c r="E135" i="31" a="1"/>
  <c r="E135" i="31" s="1"/>
  <c r="E40" i="31" a="1"/>
  <c r="E40" i="31" s="1"/>
  <c r="E59" i="31" a="1"/>
  <c r="E59" i="31" s="1"/>
  <c r="E13" i="31" a="1"/>
  <c r="E13" i="31" s="1"/>
  <c r="E26" i="31" a="1"/>
  <c r="E26" i="31" s="1"/>
  <c r="E28" i="31" a="1"/>
  <c r="E28" i="31" s="1"/>
  <c r="E83" i="31" a="1"/>
  <c r="E83" i="31" s="1"/>
  <c r="E196" i="31" a="1"/>
  <c r="E196" i="31" s="1"/>
  <c r="E102" i="31" a="1"/>
  <c r="E102" i="31" s="1"/>
  <c r="E125" i="31" a="1"/>
  <c r="E125" i="31" s="1"/>
  <c r="E145" i="31" a="1"/>
  <c r="E145" i="31" s="1"/>
  <c r="E127" i="31" a="1"/>
  <c r="E127" i="31" s="1"/>
  <c r="E136" i="31" a="1"/>
  <c r="E136" i="31" s="1"/>
  <c r="E39" i="31" a="1"/>
  <c r="E39" i="31" s="1"/>
  <c r="E185" i="31" a="1"/>
  <c r="E185" i="31" s="1"/>
  <c r="E14" i="31" a="1"/>
  <c r="E14" i="31" s="1"/>
  <c r="E183" i="31" a="1"/>
  <c r="E183" i="31" s="1"/>
  <c r="E54" i="31" a="1"/>
  <c r="E54" i="31" s="1"/>
  <c r="E58" i="31" a="1"/>
  <c r="E58" i="31" s="1"/>
  <c r="E71" i="31" a="1"/>
  <c r="E71" i="31" s="1"/>
  <c r="E201" i="31" a="1"/>
  <c r="E201" i="31" s="1"/>
  <c r="E108" i="31" a="1"/>
  <c r="E108" i="31" s="1"/>
  <c r="E208" i="31" a="1"/>
  <c r="E208" i="31" s="1"/>
  <c r="E138" i="31" a="1"/>
  <c r="E138" i="31" s="1"/>
  <c r="E216" i="31" a="1"/>
  <c r="E216" i="31" s="1"/>
  <c r="E139" i="31" a="1"/>
  <c r="E139" i="31" s="1"/>
  <c r="E92" i="31" a="1"/>
  <c r="E92" i="31" s="1"/>
  <c r="E177" i="31" a="1"/>
  <c r="E177" i="31" s="1"/>
  <c r="E180" i="31" a="1"/>
  <c r="E180" i="31" s="1"/>
  <c r="E88" i="31" a="1"/>
  <c r="E88" i="31" s="1"/>
  <c r="E60" i="31" a="1"/>
  <c r="E60" i="31" s="1"/>
  <c r="E85" i="31" a="1"/>
  <c r="E85" i="31" s="1"/>
  <c r="E97" i="31" a="1"/>
  <c r="E97" i="31" s="1"/>
  <c r="E109" i="31" a="1"/>
  <c r="E109" i="31" s="1"/>
  <c r="E116" i="31" a="1"/>
  <c r="E116" i="31" s="1"/>
  <c r="E120" i="31" a="1"/>
  <c r="E120" i="31" s="1"/>
  <c r="E132" i="31" a="1"/>
  <c r="E132" i="31" s="1"/>
  <c r="E140" i="31" a="1"/>
  <c r="E140" i="31" s="1"/>
  <c r="E191" i="31" a="1"/>
  <c r="E191" i="31" s="1"/>
  <c r="E15" i="31" a="1"/>
  <c r="E15" i="31" s="1"/>
  <c r="E42" i="31" a="1"/>
  <c r="E42" i="31" s="1"/>
  <c r="E52" i="31" a="1"/>
  <c r="E52" i="31" s="1"/>
  <c r="E66" i="31" a="1"/>
  <c r="E66" i="31" s="1"/>
  <c r="E94" i="31" a="1"/>
  <c r="E94" i="31" s="1"/>
  <c r="E103" i="31" a="1"/>
  <c r="E103" i="31" s="1"/>
  <c r="E126" i="31" a="1"/>
  <c r="E126" i="31" s="1"/>
  <c r="E118" i="31" a="1"/>
  <c r="E118" i="31" s="1"/>
  <c r="E215" i="31" a="1"/>
  <c r="E215" i="31" s="1"/>
  <c r="E134" i="31" a="1"/>
  <c r="E134" i="31" s="1"/>
  <c r="E75" i="31" a="1"/>
  <c r="E75" i="31" s="1"/>
  <c r="E47" i="31" a="1"/>
  <c r="E47" i="31" s="1"/>
  <c r="E163" i="31" a="1"/>
  <c r="E163" i="31" s="1"/>
  <c r="E181" i="31" a="1"/>
  <c r="E181" i="31" s="1"/>
  <c r="E50" i="31" a="1"/>
  <c r="E50" i="31" s="1"/>
  <c r="E61" i="31" a="1"/>
  <c r="E61" i="31" s="1"/>
  <c r="E197" i="31" a="1"/>
  <c r="E197" i="31" s="1"/>
  <c r="E104" i="31" a="1"/>
  <c r="E104" i="31" s="1"/>
  <c r="E214" i="31" a="1"/>
  <c r="E214" i="31" s="1"/>
  <c r="E119" i="31" a="1"/>
  <c r="E119" i="31" s="1"/>
  <c r="E128" i="31" a="1"/>
  <c r="E128" i="31" s="1"/>
  <c r="E219" i="31" a="1"/>
  <c r="E219" i="31" s="1"/>
  <c r="E41" i="31" a="1"/>
  <c r="E41" i="31" s="1"/>
  <c r="E184" i="31" a="1"/>
  <c r="E184" i="31" s="1"/>
  <c r="E155" i="31" a="1"/>
  <c r="E155" i="31" s="1"/>
  <c r="E43" i="31" a="1"/>
  <c r="E43" i="31" s="1"/>
  <c r="E89" i="31" a="1"/>
  <c r="E89" i="31" s="1"/>
  <c r="E67" i="31" a="1"/>
  <c r="E67" i="31" s="1"/>
  <c r="E189" i="31" a="1"/>
  <c r="E189" i="31" s="1"/>
  <c r="E99" i="31" a="1"/>
  <c r="E99" i="31" s="1"/>
  <c r="E206" i="31" a="1"/>
  <c r="E206" i="31" s="1"/>
  <c r="E117" i="31" a="1"/>
  <c r="E117" i="31" s="1"/>
  <c r="E121" i="31" a="1"/>
  <c r="E121" i="31" s="1"/>
  <c r="E133" i="31" a="1"/>
  <c r="E133" i="31" s="1"/>
  <c r="E84" i="31" a="1"/>
  <c r="E84" i="31" s="1"/>
  <c r="E161" i="31" a="1"/>
  <c r="E161" i="31" s="1"/>
  <c r="E34" i="31" a="1"/>
  <c r="E34" i="31" s="1"/>
  <c r="E154" i="31" a="1"/>
  <c r="E154" i="31" s="1"/>
  <c r="E182" i="31" a="1"/>
  <c r="E182" i="31" s="1"/>
  <c r="E90" i="31" a="1"/>
  <c r="E90" i="31" s="1"/>
  <c r="E188" i="31" a="1"/>
  <c r="E188" i="31" s="1"/>
  <c r="E198" i="31" a="1"/>
  <c r="E198" i="31" s="1"/>
  <c r="E105" i="31" a="1"/>
  <c r="E105" i="31" s="1"/>
  <c r="E110" i="31" a="1"/>
  <c r="E110" i="31" s="1"/>
  <c r="E150" i="31" a="1"/>
  <c r="E150" i="31" s="1"/>
  <c r="E210" i="31" a="1"/>
  <c r="E210" i="31" s="1"/>
  <c r="E217" i="31" a="1"/>
  <c r="E217" i="31" s="1"/>
  <c r="E70" i="31" a="1"/>
  <c r="E70" i="31" s="1"/>
  <c r="E91" i="31" a="1"/>
  <c r="E91" i="31" s="1"/>
  <c r="E57" i="31" a="1"/>
  <c r="E57" i="31" s="1"/>
  <c r="E164" i="31" a="1"/>
  <c r="E164" i="31" s="1"/>
  <c r="E44" i="31" a="1"/>
  <c r="E44" i="31" s="1"/>
  <c r="E51" i="31" a="1"/>
  <c r="E51" i="31" s="1"/>
  <c r="E187" i="31" a="1"/>
  <c r="E187" i="31" s="1"/>
  <c r="E193" i="31" a="1"/>
  <c r="E193" i="31" s="1"/>
  <c r="E100" i="31" a="1"/>
  <c r="E100" i="31" s="1"/>
  <c r="E112" i="31" a="1"/>
  <c r="E112" i="31" s="1"/>
  <c r="E209" i="31" a="1"/>
  <c r="E209" i="31" s="1"/>
  <c r="E129" i="31" a="1"/>
  <c r="E129" i="31" s="1"/>
  <c r="E220" i="31" a="1"/>
  <c r="E220" i="31" s="1"/>
  <c r="E162" i="31" a="1"/>
  <c r="E162" i="31" s="1"/>
  <c r="E186" i="31" a="1"/>
  <c r="E186" i="31" s="1"/>
  <c r="E87" i="31" a="1"/>
  <c r="E87" i="31" s="1"/>
  <c r="E49" i="31" a="1"/>
  <c r="E49" i="31" s="1"/>
  <c r="E63" i="31" a="1"/>
  <c r="E63" i="31" s="1"/>
  <c r="E199" i="31" a="1"/>
  <c r="E199" i="31" s="1"/>
  <c r="E107" i="31" a="1"/>
  <c r="E107" i="31" s="1"/>
  <c r="E111" i="31" a="1"/>
  <c r="E111" i="31" s="1"/>
  <c r="E151" i="31" a="1"/>
  <c r="E151" i="31" s="1"/>
  <c r="E130" i="31" a="1"/>
  <c r="E130" i="31" s="1"/>
  <c r="E221" i="31" a="1"/>
  <c r="E221" i="31" s="1"/>
  <c r="D32" i="31" a="1"/>
  <c r="D32" i="31" s="1"/>
  <c r="D87" i="31" a="1"/>
  <c r="D87" i="31" s="1"/>
  <c r="D45" i="31" a="1"/>
  <c r="D45" i="31" s="1"/>
  <c r="D63" i="31" a="1"/>
  <c r="D63" i="31" s="1"/>
  <c r="D194" i="31" a="1"/>
  <c r="D194" i="31" s="1"/>
  <c r="D204" i="31" a="1"/>
  <c r="D204" i="31" s="1"/>
  <c r="D113" i="31" a="1"/>
  <c r="D113" i="31" s="1"/>
  <c r="D143" i="31" a="1"/>
  <c r="D143" i="31" s="1"/>
  <c r="D211" i="31" a="1"/>
  <c r="D211" i="31" s="1"/>
  <c r="D218" i="31" a="1"/>
  <c r="D218" i="31" s="1"/>
  <c r="D30" i="31" a="1"/>
  <c r="D30" i="31" s="1"/>
  <c r="D57" i="31" a="1"/>
  <c r="D57" i="31" s="1"/>
  <c r="D166" i="31" a="1"/>
  <c r="D166" i="31" s="1"/>
  <c r="D25" i="31" a="1"/>
  <c r="D25" i="31" s="1"/>
  <c r="D48" i="31" a="1"/>
  <c r="D48" i="31" s="1"/>
  <c r="D56" i="31" a="1"/>
  <c r="D56" i="31" s="1"/>
  <c r="D69" i="31" a="1"/>
  <c r="D69" i="31" s="1"/>
  <c r="D200" i="31" a="1"/>
  <c r="D200" i="31" s="1"/>
  <c r="D205" i="31" a="1"/>
  <c r="D205" i="31" s="1"/>
  <c r="D207" i="31" a="1"/>
  <c r="D207" i="31" s="1"/>
  <c r="D137" i="31" a="1"/>
  <c r="D137" i="31" s="1"/>
  <c r="D131" i="31" a="1"/>
  <c r="D131" i="31" s="1"/>
  <c r="D152" i="31" a="1"/>
  <c r="D152" i="31" s="1"/>
  <c r="D74" i="31" a="1"/>
  <c r="D74" i="31" s="1"/>
  <c r="D12" i="31" a="1"/>
  <c r="D12" i="31" s="1"/>
  <c r="D27" i="31" a="1"/>
  <c r="D27" i="31" s="1"/>
  <c r="D76" i="31" a="1"/>
  <c r="D76" i="31" s="1"/>
  <c r="D65" i="31" a="1"/>
  <c r="D65" i="31" s="1"/>
  <c r="D195" i="31" a="1"/>
  <c r="D195" i="31" s="1"/>
  <c r="D101" i="31" a="1"/>
  <c r="D101" i="31" s="1"/>
  <c r="D114" i="31" a="1"/>
  <c r="D114" i="31" s="1"/>
  <c r="D144" i="31" a="1"/>
  <c r="D144" i="31" s="1"/>
  <c r="D213" i="31" a="1"/>
  <c r="D213" i="31" s="1"/>
  <c r="D135" i="31" a="1"/>
  <c r="D135" i="31" s="1"/>
  <c r="D40" i="31" a="1"/>
  <c r="D40" i="31" s="1"/>
  <c r="D59" i="31" a="1"/>
  <c r="D59" i="31" s="1"/>
  <c r="D13" i="31" a="1"/>
  <c r="D13" i="31" s="1"/>
  <c r="D26" i="31" a="1"/>
  <c r="D26" i="31" s="1"/>
  <c r="D28" i="31" a="1"/>
  <c r="D28" i="31" s="1"/>
  <c r="D58" i="31" a="1"/>
  <c r="D58" i="31" s="1"/>
  <c r="D196" i="31" a="1"/>
  <c r="D196" i="31" s="1"/>
  <c r="D102" i="31" a="1"/>
  <c r="D102" i="31" s="1"/>
  <c r="D125" i="31" a="1"/>
  <c r="D125" i="31" s="1"/>
  <c r="D145" i="31" a="1"/>
  <c r="D145" i="31" s="1"/>
  <c r="D127" i="31" a="1"/>
  <c r="D127" i="31" s="1"/>
  <c r="D136" i="31" a="1"/>
  <c r="D136" i="31" s="1"/>
  <c r="D39" i="31" a="1"/>
  <c r="D39" i="31" s="1"/>
  <c r="D185" i="31" a="1"/>
  <c r="D185" i="31" s="1"/>
  <c r="D14" i="31" a="1"/>
  <c r="D14" i="31" s="1"/>
  <c r="D183" i="31" a="1"/>
  <c r="D183" i="31" s="1"/>
  <c r="D54" i="31" a="1"/>
  <c r="D54" i="31" s="1"/>
  <c r="D83" i="31" a="1"/>
  <c r="D83" i="31" s="1"/>
  <c r="D71" i="31" a="1"/>
  <c r="D71" i="31" s="1"/>
  <c r="D201" i="31" a="1"/>
  <c r="D201" i="31" s="1"/>
  <c r="D108" i="31" a="1"/>
  <c r="D108" i="31" s="1"/>
  <c r="D208" i="31" a="1"/>
  <c r="D208" i="31" s="1"/>
  <c r="D138" i="31" a="1"/>
  <c r="D138" i="31" s="1"/>
  <c r="D216" i="31" a="1"/>
  <c r="D216" i="31" s="1"/>
  <c r="D139" i="31" a="1"/>
  <c r="D139" i="31" s="1"/>
  <c r="D92" i="31" a="1"/>
  <c r="D92" i="31" s="1"/>
  <c r="D177" i="31" a="1"/>
  <c r="D177" i="31" s="1"/>
  <c r="D180" i="31" a="1"/>
  <c r="D180" i="31" s="1"/>
  <c r="D88" i="31" a="1"/>
  <c r="D88" i="31" s="1"/>
  <c r="D66" i="31" a="1"/>
  <c r="D66" i="31" s="1"/>
  <c r="D94" i="31" a="1"/>
  <c r="D94" i="31" s="1"/>
  <c r="D103" i="31" a="1"/>
  <c r="D103" i="31" s="1"/>
  <c r="D126" i="31" a="1"/>
  <c r="D126" i="31" s="1"/>
  <c r="D118" i="31" a="1"/>
  <c r="D118" i="31" s="1"/>
  <c r="D215" i="31" a="1"/>
  <c r="D215" i="31" s="1"/>
  <c r="D134" i="31" a="1"/>
  <c r="D134" i="31" s="1"/>
  <c r="D75" i="31" a="1"/>
  <c r="D75" i="31" s="1"/>
  <c r="D47" i="31" a="1"/>
  <c r="D47" i="31" s="1"/>
  <c r="D15" i="31" a="1"/>
  <c r="D15" i="31" s="1"/>
  <c r="D42" i="31" a="1"/>
  <c r="D42" i="31" s="1"/>
  <c r="D52" i="31" a="1"/>
  <c r="D52" i="31" s="1"/>
  <c r="D60" i="31" a="1"/>
  <c r="D60" i="31" s="1"/>
  <c r="D85" i="31" a="1"/>
  <c r="D85" i="31" s="1"/>
  <c r="D97" i="31" a="1"/>
  <c r="D97" i="31" s="1"/>
  <c r="D109" i="31" a="1"/>
  <c r="D109" i="31" s="1"/>
  <c r="D116" i="31" a="1"/>
  <c r="D116" i="31" s="1"/>
  <c r="D120" i="31" a="1"/>
  <c r="D120" i="31" s="1"/>
  <c r="D132" i="31" a="1"/>
  <c r="D132" i="31" s="1"/>
  <c r="D140" i="31" a="1"/>
  <c r="D140" i="31" s="1"/>
  <c r="D191" i="31" a="1"/>
  <c r="D191" i="31" s="1"/>
  <c r="D163" i="31" a="1"/>
  <c r="D163" i="31" s="1"/>
  <c r="D43" i="31" a="1"/>
  <c r="D43" i="31" s="1"/>
  <c r="D89" i="31" a="1"/>
  <c r="D89" i="31" s="1"/>
  <c r="D67" i="31" a="1"/>
  <c r="D67" i="31" s="1"/>
  <c r="D189" i="31" a="1"/>
  <c r="D189" i="31" s="1"/>
  <c r="D99" i="31" a="1"/>
  <c r="D99" i="31" s="1"/>
  <c r="D206" i="31" a="1"/>
  <c r="D206" i="31" s="1"/>
  <c r="D117" i="31" a="1"/>
  <c r="D117" i="31" s="1"/>
  <c r="D121" i="31" a="1"/>
  <c r="D121" i="31" s="1"/>
  <c r="D133" i="31" a="1"/>
  <c r="D133" i="31" s="1"/>
  <c r="D84" i="31" a="1"/>
  <c r="D84" i="31" s="1"/>
  <c r="D161" i="31" a="1"/>
  <c r="D161" i="31" s="1"/>
  <c r="D155" i="31" a="1"/>
  <c r="D155" i="31" s="1"/>
  <c r="D181" i="31" a="1"/>
  <c r="D181" i="31" s="1"/>
  <c r="D50" i="31" a="1"/>
  <c r="D50" i="31" s="1"/>
  <c r="D61" i="31" a="1"/>
  <c r="D61" i="31" s="1"/>
  <c r="D197" i="31" a="1"/>
  <c r="D197" i="31" s="1"/>
  <c r="D104" i="31" a="1"/>
  <c r="D104" i="31" s="1"/>
  <c r="D214" i="31" a="1"/>
  <c r="D214" i="31" s="1"/>
  <c r="D119" i="31" a="1"/>
  <c r="D119" i="31" s="1"/>
  <c r="D128" i="31" a="1"/>
  <c r="D128" i="31" s="1"/>
  <c r="D219" i="31" a="1"/>
  <c r="D219" i="31" s="1"/>
  <c r="D41" i="31" a="1"/>
  <c r="D41" i="31" s="1"/>
  <c r="D184" i="31" a="1"/>
  <c r="D184" i="31" s="1"/>
  <c r="D154" i="31" a="1"/>
  <c r="D154" i="31" s="1"/>
  <c r="D182" i="31" a="1"/>
  <c r="D182" i="31" s="1"/>
  <c r="D90" i="31" a="1"/>
  <c r="D90" i="31" s="1"/>
  <c r="D188" i="31" a="1"/>
  <c r="D188" i="31" s="1"/>
  <c r="D198" i="31" a="1"/>
  <c r="D198" i="31" s="1"/>
  <c r="D105" i="31" a="1"/>
  <c r="D105" i="31" s="1"/>
  <c r="D110" i="31" a="1"/>
  <c r="D110" i="31" s="1"/>
  <c r="D150" i="31" a="1"/>
  <c r="D150" i="31" s="1"/>
  <c r="D129" i="31" a="1"/>
  <c r="D129" i="31" s="1"/>
  <c r="D220" i="31" a="1"/>
  <c r="D220" i="31" s="1"/>
  <c r="D162" i="31" a="1"/>
  <c r="D162" i="31" s="1"/>
  <c r="D186" i="31" a="1"/>
  <c r="D186" i="31" s="1"/>
  <c r="D164" i="31" a="1"/>
  <c r="D164" i="31" s="1"/>
  <c r="D44" i="31" a="1"/>
  <c r="D44" i="31" s="1"/>
  <c r="D51" i="31" a="1"/>
  <c r="D51" i="31" s="1"/>
  <c r="D187" i="31" a="1"/>
  <c r="D187" i="31" s="1"/>
  <c r="D193" i="31" a="1"/>
  <c r="D193" i="31" s="1"/>
  <c r="D100" i="31" a="1"/>
  <c r="D100" i="31" s="1"/>
  <c r="D112" i="31" a="1"/>
  <c r="D112" i="31" s="1"/>
  <c r="D209" i="31" a="1"/>
  <c r="D209" i="31" s="1"/>
  <c r="D210" i="31" a="1"/>
  <c r="D210" i="31" s="1"/>
  <c r="D217" i="31" a="1"/>
  <c r="D217" i="31" s="1"/>
  <c r="D70" i="31" a="1"/>
  <c r="D70" i="31" s="1"/>
  <c r="D91" i="31" a="1"/>
  <c r="D91" i="31" s="1"/>
  <c r="D115" i="31" a="1"/>
  <c r="D115" i="31" s="1"/>
  <c r="D165" i="31" a="1"/>
  <c r="D165" i="31" s="1"/>
  <c r="D179" i="31" a="1"/>
  <c r="D179" i="31" s="1"/>
  <c r="D49" i="31" a="1"/>
  <c r="D49" i="31" s="1"/>
  <c r="D35" i="31" a="1"/>
  <c r="D35" i="31" s="1"/>
  <c r="D68" i="31" a="1"/>
  <c r="D68" i="31" s="1"/>
  <c r="D199" i="31" a="1"/>
  <c r="D199" i="31" s="1"/>
  <c r="D107" i="31" a="1"/>
  <c r="D107" i="31" s="1"/>
  <c r="D111" i="31" a="1"/>
  <c r="D111" i="31" s="1"/>
  <c r="D151" i="31" a="1"/>
  <c r="D151" i="31" s="1"/>
  <c r="D130" i="31" a="1"/>
  <c r="D130" i="31" s="1"/>
  <c r="D221" i="31" a="1"/>
  <c r="D221" i="31" s="1"/>
  <c r="D34" i="31" a="1"/>
  <c r="D34" i="31" s="1"/>
  <c r="C165" i="31" a="1"/>
  <c r="C165" i="31" s="1"/>
  <c r="C87" i="31" a="1"/>
  <c r="C87" i="31" s="1"/>
  <c r="C45" i="31" a="1"/>
  <c r="C45" i="31" s="1"/>
  <c r="C35" i="31" a="1"/>
  <c r="C35" i="31" s="1"/>
  <c r="C68" i="31" a="1"/>
  <c r="C68" i="31" s="1"/>
  <c r="C199" i="31" a="1"/>
  <c r="C199" i="31" s="1"/>
  <c r="C107" i="31" a="1"/>
  <c r="C107" i="31" s="1"/>
  <c r="C111" i="31" a="1"/>
  <c r="C111" i="31" s="1"/>
  <c r="C151" i="31" a="1"/>
  <c r="C151" i="31" s="1"/>
  <c r="C130" i="31" a="1"/>
  <c r="C130" i="31" s="1"/>
  <c r="C221" i="31" a="1"/>
  <c r="C221" i="31" s="1"/>
  <c r="C34" i="31" a="1"/>
  <c r="C34" i="31" s="1"/>
  <c r="C115" i="31" a="1"/>
  <c r="C115" i="31" s="1"/>
  <c r="C166" i="31" a="1"/>
  <c r="C166" i="31" s="1"/>
  <c r="C25" i="31" a="1"/>
  <c r="C25" i="31" s="1"/>
  <c r="C48" i="31" a="1"/>
  <c r="C48" i="31" s="1"/>
  <c r="C56" i="31" a="1"/>
  <c r="C56" i="31" s="1"/>
  <c r="C69" i="31" a="1"/>
  <c r="C69" i="31" s="1"/>
  <c r="C200" i="31" a="1"/>
  <c r="C200" i="31" s="1"/>
  <c r="C205" i="31" a="1"/>
  <c r="C205" i="31" s="1"/>
  <c r="C207" i="31" a="1"/>
  <c r="C207" i="31" s="1"/>
  <c r="C137" i="31" a="1"/>
  <c r="C137" i="31" s="1"/>
  <c r="C131" i="31" a="1"/>
  <c r="C131" i="31" s="1"/>
  <c r="C152" i="31" a="1"/>
  <c r="C152" i="31" s="1"/>
  <c r="C74" i="31" a="1"/>
  <c r="C74" i="31" s="1"/>
  <c r="C12" i="31" a="1"/>
  <c r="C12" i="31" s="1"/>
  <c r="C27" i="31" a="1"/>
  <c r="C27" i="31" s="1"/>
  <c r="C76" i="31" a="1"/>
  <c r="C76" i="31" s="1"/>
  <c r="C65" i="31" a="1"/>
  <c r="C65" i="31" s="1"/>
  <c r="C195" i="31" a="1"/>
  <c r="C195" i="31" s="1"/>
  <c r="C101" i="31" a="1"/>
  <c r="C101" i="31" s="1"/>
  <c r="C114" i="31" a="1"/>
  <c r="C114" i="31" s="1"/>
  <c r="C144" i="31" a="1"/>
  <c r="C144" i="31" s="1"/>
  <c r="C213" i="31" a="1"/>
  <c r="C213" i="31" s="1"/>
  <c r="C135" i="31" a="1"/>
  <c r="C135" i="31" s="1"/>
  <c r="C40" i="31" a="1"/>
  <c r="C40" i="31" s="1"/>
  <c r="C59" i="31" a="1"/>
  <c r="C59" i="31" s="1"/>
  <c r="C13" i="31" a="1"/>
  <c r="C13" i="31" s="1"/>
  <c r="C26" i="31" a="1"/>
  <c r="C26" i="31" s="1"/>
  <c r="C28" i="31" a="1"/>
  <c r="C28" i="31" s="1"/>
  <c r="C58" i="31" a="1"/>
  <c r="C58" i="31" s="1"/>
  <c r="C196" i="31" a="1"/>
  <c r="C196" i="31" s="1"/>
  <c r="C102" i="31" a="1"/>
  <c r="C102" i="31" s="1"/>
  <c r="C125" i="31" a="1"/>
  <c r="C125" i="31" s="1"/>
  <c r="C145" i="31" a="1"/>
  <c r="C145" i="31" s="1"/>
  <c r="C127" i="31" a="1"/>
  <c r="C127" i="31" s="1"/>
  <c r="C136" i="31" a="1"/>
  <c r="C136" i="31" s="1"/>
  <c r="C39" i="31" a="1"/>
  <c r="C39" i="31" s="1"/>
  <c r="C185" i="31" a="1"/>
  <c r="C185" i="31" s="1"/>
  <c r="C14" i="31" a="1"/>
  <c r="C14" i="31" s="1"/>
  <c r="C183" i="31" a="1"/>
  <c r="C183" i="31" s="1"/>
  <c r="C54" i="31" a="1"/>
  <c r="C54" i="31" s="1"/>
  <c r="C83" i="31" a="1"/>
  <c r="C83" i="31" s="1"/>
  <c r="C71" i="31" a="1"/>
  <c r="C71" i="31" s="1"/>
  <c r="C201" i="31" a="1"/>
  <c r="C201" i="31" s="1"/>
  <c r="C108" i="31" a="1"/>
  <c r="C108" i="31" s="1"/>
  <c r="C208" i="31" a="1"/>
  <c r="C208" i="31" s="1"/>
  <c r="C138" i="31" a="1"/>
  <c r="C138" i="31" s="1"/>
  <c r="C216" i="31" a="1"/>
  <c r="C216" i="31" s="1"/>
  <c r="C139" i="31" a="1"/>
  <c r="C139" i="31" s="1"/>
  <c r="C92" i="31" a="1"/>
  <c r="C92" i="31" s="1"/>
  <c r="C177" i="31" a="1"/>
  <c r="C177" i="31" s="1"/>
  <c r="C180" i="31" a="1"/>
  <c r="C180" i="31" s="1"/>
  <c r="C88" i="31" a="1"/>
  <c r="C88" i="31" s="1"/>
  <c r="C66" i="31" a="1"/>
  <c r="C66" i="31" s="1"/>
  <c r="C94" i="31" a="1"/>
  <c r="C94" i="31" s="1"/>
  <c r="C103" i="31" a="1"/>
  <c r="C103" i="31" s="1"/>
  <c r="C126" i="31" a="1"/>
  <c r="C126" i="31" s="1"/>
  <c r="C118" i="31" a="1"/>
  <c r="C118" i="31" s="1"/>
  <c r="C215" i="31" a="1"/>
  <c r="C215" i="31" s="1"/>
  <c r="C134" i="31" a="1"/>
  <c r="C134" i="31" s="1"/>
  <c r="C75" i="31" a="1"/>
  <c r="C75" i="31" s="1"/>
  <c r="C47" i="31" a="1"/>
  <c r="C47" i="31" s="1"/>
  <c r="C15" i="31" a="1"/>
  <c r="C15" i="31" s="1"/>
  <c r="C42" i="31" a="1"/>
  <c r="C42" i="31" s="1"/>
  <c r="C52" i="31" a="1"/>
  <c r="C52" i="31" s="1"/>
  <c r="C60" i="31" a="1"/>
  <c r="C60" i="31" s="1"/>
  <c r="C85" i="31" a="1"/>
  <c r="C85" i="31" s="1"/>
  <c r="C97" i="31" a="1"/>
  <c r="C97" i="31" s="1"/>
  <c r="C109" i="31" a="1"/>
  <c r="C109" i="31" s="1"/>
  <c r="C116" i="31" a="1"/>
  <c r="C116" i="31" s="1"/>
  <c r="C120" i="31" a="1"/>
  <c r="C120" i="31" s="1"/>
  <c r="C132" i="31" a="1"/>
  <c r="C132" i="31" s="1"/>
  <c r="C140" i="31" a="1"/>
  <c r="C140" i="31" s="1"/>
  <c r="C191" i="31" a="1"/>
  <c r="C191" i="31" s="1"/>
  <c r="C155" i="31" a="1"/>
  <c r="C155" i="31" s="1"/>
  <c r="C181" i="31" a="1"/>
  <c r="C181" i="31" s="1"/>
  <c r="C89" i="31" a="1"/>
  <c r="C89" i="31" s="1"/>
  <c r="C61" i="31" a="1"/>
  <c r="C61" i="31" s="1"/>
  <c r="C189" i="31" a="1"/>
  <c r="C189" i="31" s="1"/>
  <c r="C99" i="31" a="1"/>
  <c r="C99" i="31" s="1"/>
  <c r="C206" i="31" a="1"/>
  <c r="C206" i="31" s="1"/>
  <c r="C117" i="31" a="1"/>
  <c r="C117" i="31" s="1"/>
  <c r="C121" i="31" a="1"/>
  <c r="C121" i="31" s="1"/>
  <c r="C133" i="31" a="1"/>
  <c r="C133" i="31" s="1"/>
  <c r="C84" i="31" a="1"/>
  <c r="C84" i="31" s="1"/>
  <c r="C161" i="31" a="1"/>
  <c r="C161" i="31" s="1"/>
  <c r="C91" i="31" a="1"/>
  <c r="C91" i="31" s="1"/>
  <c r="C163" i="31" a="1"/>
  <c r="C163" i="31" s="1"/>
  <c r="C43" i="31" a="1"/>
  <c r="C43" i="31" s="1"/>
  <c r="C50" i="31" a="1"/>
  <c r="C50" i="31" s="1"/>
  <c r="C67" i="31" a="1"/>
  <c r="C67" i="31" s="1"/>
  <c r="C197" i="31" a="1"/>
  <c r="C197" i="31" s="1"/>
  <c r="C104" i="31" a="1"/>
  <c r="C104" i="31" s="1"/>
  <c r="C214" i="31" a="1"/>
  <c r="C214" i="31" s="1"/>
  <c r="C119" i="31" a="1"/>
  <c r="C119" i="31" s="1"/>
  <c r="C128" i="31" a="1"/>
  <c r="C128" i="31" s="1"/>
  <c r="C219" i="31" a="1"/>
  <c r="C219" i="31" s="1"/>
  <c r="C41" i="31" a="1"/>
  <c r="C41" i="31" s="1"/>
  <c r="C184" i="31" a="1"/>
  <c r="C184" i="31" s="1"/>
  <c r="C164" i="31" a="1"/>
  <c r="C164" i="31" s="1"/>
  <c r="C154" i="31" a="1"/>
  <c r="C154" i="31" s="1"/>
  <c r="C182" i="31" a="1"/>
  <c r="C182" i="31" s="1"/>
  <c r="C90" i="31" a="1"/>
  <c r="C90" i="31" s="1"/>
  <c r="C187" i="31" a="1"/>
  <c r="C187" i="31" s="1"/>
  <c r="C193" i="31" a="1"/>
  <c r="C193" i="31" s="1"/>
  <c r="C100" i="31" a="1"/>
  <c r="C100" i="31" s="1"/>
  <c r="C112" i="31" a="1"/>
  <c r="C112" i="31" s="1"/>
  <c r="C209" i="31" a="1"/>
  <c r="C209" i="31" s="1"/>
  <c r="C210" i="31" a="1"/>
  <c r="C210" i="31" s="1"/>
  <c r="C217" i="31" a="1"/>
  <c r="C217" i="31" s="1"/>
  <c r="C70" i="31" a="1"/>
  <c r="C70" i="31" s="1"/>
  <c r="C186" i="31" a="1"/>
  <c r="C186" i="31" s="1"/>
  <c r="C44" i="31" a="1"/>
  <c r="C44" i="31" s="1"/>
  <c r="C51" i="31" a="1"/>
  <c r="C51" i="31" s="1"/>
  <c r="C188" i="31" a="1"/>
  <c r="C188" i="31" s="1"/>
  <c r="C198" i="31" a="1"/>
  <c r="C198" i="31" s="1"/>
  <c r="C105" i="31" a="1"/>
  <c r="C105" i="31" s="1"/>
  <c r="C110" i="31" a="1"/>
  <c r="C110" i="31" s="1"/>
  <c r="C150" i="31" a="1"/>
  <c r="C150" i="31" s="1"/>
  <c r="C129" i="31" a="1"/>
  <c r="C129" i="31" s="1"/>
  <c r="C220" i="31" a="1"/>
  <c r="C220" i="31" s="1"/>
  <c r="C162" i="31" a="1"/>
  <c r="C162" i="31" s="1"/>
  <c r="C32" i="31" a="1"/>
  <c r="C32" i="31" s="1"/>
  <c r="C179" i="31" a="1"/>
  <c r="C179" i="31" s="1"/>
  <c r="C49" i="31" a="1"/>
  <c r="C49" i="31" s="1"/>
  <c r="C63" i="31" a="1"/>
  <c r="C63" i="31" s="1"/>
  <c r="C194" i="31" a="1"/>
  <c r="C194" i="31" s="1"/>
  <c r="C204" i="31" a="1"/>
  <c r="C204" i="31" s="1"/>
  <c r="C113" i="31" a="1"/>
  <c r="C113" i="31" s="1"/>
  <c r="C143" i="31" a="1"/>
  <c r="C143" i="31" s="1"/>
  <c r="C211" i="31" a="1"/>
  <c r="C211" i="31" s="1"/>
  <c r="C218" i="31" a="1"/>
  <c r="C218" i="31" s="1"/>
  <c r="C30" i="31" a="1"/>
  <c r="C30" i="31" s="1"/>
  <c r="C57" i="31" a="1"/>
  <c r="C57" i="31" s="1"/>
  <c r="B32" i="31" a="1"/>
  <c r="B32" i="31" s="1"/>
  <c r="B179" i="31" a="1"/>
  <c r="B179" i="31" s="1"/>
  <c r="B45" i="31" a="1"/>
  <c r="B45" i="31" s="1"/>
  <c r="B35" i="31" a="1"/>
  <c r="B35" i="31" s="1"/>
  <c r="B68" i="31" a="1"/>
  <c r="B68" i="31" s="1"/>
  <c r="B199" i="31" a="1"/>
  <c r="B199" i="31" s="1"/>
  <c r="B107" i="31" a="1"/>
  <c r="B107" i="31" s="1"/>
  <c r="B111" i="31" a="1"/>
  <c r="B111" i="31" s="1"/>
  <c r="B151" i="31" a="1"/>
  <c r="B151" i="31" s="1"/>
  <c r="B130" i="31" a="1"/>
  <c r="B130" i="31" s="1"/>
  <c r="B221" i="31" a="1"/>
  <c r="B221" i="31" s="1"/>
  <c r="B34" i="31" a="1"/>
  <c r="B34" i="31" s="1"/>
  <c r="B166" i="31" a="1"/>
  <c r="B166" i="31" s="1"/>
  <c r="B25" i="31" a="1"/>
  <c r="B25" i="31" s="1"/>
  <c r="B48" i="31" a="1"/>
  <c r="B48" i="31" s="1"/>
  <c r="B56" i="31" a="1"/>
  <c r="B56" i="31" s="1"/>
  <c r="B69" i="31" a="1"/>
  <c r="B69" i="31" s="1"/>
  <c r="B200" i="31" a="1"/>
  <c r="B200" i="31" s="1"/>
  <c r="B205" i="31" a="1"/>
  <c r="B205" i="31" s="1"/>
  <c r="B207" i="31" a="1"/>
  <c r="B207" i="31" s="1"/>
  <c r="B137" i="31" a="1"/>
  <c r="B137" i="31" s="1"/>
  <c r="B131" i="31" a="1"/>
  <c r="B131" i="31" s="1"/>
  <c r="B152" i="31" a="1"/>
  <c r="B152" i="31" s="1"/>
  <c r="B74" i="31" a="1"/>
  <c r="B74" i="31" s="1"/>
  <c r="B12" i="31" a="1"/>
  <c r="B12" i="31" s="1"/>
  <c r="B27" i="31" a="1"/>
  <c r="B27" i="31" s="1"/>
  <c r="B76" i="31" a="1"/>
  <c r="B76" i="31" s="1"/>
  <c r="B65" i="31" a="1"/>
  <c r="B65" i="31" s="1"/>
  <c r="B195" i="31" a="1"/>
  <c r="B195" i="31" s="1"/>
  <c r="B101" i="31" a="1"/>
  <c r="B101" i="31" s="1"/>
  <c r="B114" i="31" a="1"/>
  <c r="B114" i="31" s="1"/>
  <c r="B144" i="31" a="1"/>
  <c r="B144" i="31" s="1"/>
  <c r="B213" i="31" a="1"/>
  <c r="B213" i="31" s="1"/>
  <c r="B135" i="31" a="1"/>
  <c r="B135" i="31" s="1"/>
  <c r="B40" i="31" a="1"/>
  <c r="B40" i="31" s="1"/>
  <c r="B59" i="31" a="1"/>
  <c r="B59" i="31" s="1"/>
  <c r="B13" i="31" a="1"/>
  <c r="B13" i="31" s="1"/>
  <c r="B26" i="31" a="1"/>
  <c r="B26" i="31" s="1"/>
  <c r="B54" i="31" a="1"/>
  <c r="B54" i="31" s="1"/>
  <c r="B58" i="31" a="1"/>
  <c r="B58" i="31" s="1"/>
  <c r="B71" i="31" a="1"/>
  <c r="B71" i="31" s="1"/>
  <c r="B201" i="31" a="1"/>
  <c r="B201" i="31" s="1"/>
  <c r="B108" i="31" a="1"/>
  <c r="B108" i="31" s="1"/>
  <c r="B145" i="31" a="1"/>
  <c r="B145" i="31" s="1"/>
  <c r="B138" i="31" a="1"/>
  <c r="B138" i="31" s="1"/>
  <c r="B216" i="31" a="1"/>
  <c r="B216" i="31" s="1"/>
  <c r="B139" i="31" a="1"/>
  <c r="B139" i="31" s="1"/>
  <c r="B185" i="31" a="1"/>
  <c r="B185" i="31" s="1"/>
  <c r="B14" i="31" a="1"/>
  <c r="B14" i="31" s="1"/>
  <c r="B183" i="31" a="1"/>
  <c r="B183" i="31" s="1"/>
  <c r="B28" i="31" a="1"/>
  <c r="B28" i="31" s="1"/>
  <c r="B83" i="31" a="1"/>
  <c r="B83" i="31" s="1"/>
  <c r="B196" i="31" a="1"/>
  <c r="B196" i="31" s="1"/>
  <c r="B102" i="31" a="1"/>
  <c r="B102" i="31" s="1"/>
  <c r="B125" i="31" a="1"/>
  <c r="B125" i="31" s="1"/>
  <c r="B208" i="31" a="1"/>
  <c r="B208" i="31" s="1"/>
  <c r="B127" i="31" a="1"/>
  <c r="B127" i="31" s="1"/>
  <c r="B136" i="31" a="1"/>
  <c r="B136" i="31" s="1"/>
  <c r="B39" i="31" a="1"/>
  <c r="B39" i="31" s="1"/>
  <c r="B92" i="31" a="1"/>
  <c r="B92" i="31" s="1"/>
  <c r="B177" i="31" a="1"/>
  <c r="B177" i="31" s="1"/>
  <c r="B180" i="31" a="1"/>
  <c r="B180" i="31" s="1"/>
  <c r="B52" i="31" a="1"/>
  <c r="B52" i="31" s="1"/>
  <c r="B66" i="31" a="1"/>
  <c r="B66" i="31" s="1"/>
  <c r="B94" i="31" a="1"/>
  <c r="B94" i="31" s="1"/>
  <c r="B103" i="31" a="1"/>
  <c r="B103" i="31" s="1"/>
  <c r="B126" i="31" a="1"/>
  <c r="B126" i="31" s="1"/>
  <c r="B118" i="31" a="1"/>
  <c r="B118" i="31" s="1"/>
  <c r="B215" i="31" a="1"/>
  <c r="B215" i="31" s="1"/>
  <c r="B134" i="31" a="1"/>
  <c r="B134" i="31" s="1"/>
  <c r="B75" i="31" a="1"/>
  <c r="B75" i="31" s="1"/>
  <c r="B47" i="31" a="1"/>
  <c r="B47" i="31" s="1"/>
  <c r="B15" i="31" a="1"/>
  <c r="B15" i="31" s="1"/>
  <c r="B42" i="31" a="1"/>
  <c r="B42" i="31" s="1"/>
  <c r="B88" i="31" a="1"/>
  <c r="B88" i="31" s="1"/>
  <c r="B60" i="31" a="1"/>
  <c r="B60" i="31" s="1"/>
  <c r="B85" i="31" a="1"/>
  <c r="B85" i="31" s="1"/>
  <c r="B97" i="31" a="1"/>
  <c r="B97" i="31" s="1"/>
  <c r="B109" i="31" a="1"/>
  <c r="B109" i="31" s="1"/>
  <c r="B116" i="31" a="1"/>
  <c r="B116" i="31" s="1"/>
  <c r="B120" i="31" a="1"/>
  <c r="B120" i="31" s="1"/>
  <c r="B132" i="31" a="1"/>
  <c r="B132" i="31" s="1"/>
  <c r="B140" i="31" a="1"/>
  <c r="B140" i="31" s="1"/>
  <c r="B191" i="31" a="1"/>
  <c r="B191" i="31" s="1"/>
  <c r="B163" i="31" a="1"/>
  <c r="B163" i="31" s="1"/>
  <c r="B43" i="31" a="1"/>
  <c r="B43" i="31" s="1"/>
  <c r="B50" i="31" a="1"/>
  <c r="B50" i="31" s="1"/>
  <c r="B67" i="31" a="1"/>
  <c r="B67" i="31" s="1"/>
  <c r="B197" i="31" a="1"/>
  <c r="B197" i="31" s="1"/>
  <c r="B99" i="31" a="1"/>
  <c r="B99" i="31" s="1"/>
  <c r="B206" i="31" a="1"/>
  <c r="B206" i="31" s="1"/>
  <c r="B119" i="31" a="1"/>
  <c r="B119" i="31" s="1"/>
  <c r="B128" i="31" a="1"/>
  <c r="B128" i="31" s="1"/>
  <c r="B219" i="31" a="1"/>
  <c r="B219" i="31" s="1"/>
  <c r="B41" i="31" a="1"/>
  <c r="B41" i="31" s="1"/>
  <c r="B184" i="31" a="1"/>
  <c r="B184" i="31" s="1"/>
  <c r="B155" i="31" a="1"/>
  <c r="B155" i="31" s="1"/>
  <c r="B181" i="31" a="1"/>
  <c r="B181" i="31" s="1"/>
  <c r="B89" i="31" a="1"/>
  <c r="B89" i="31" s="1"/>
  <c r="B61" i="31" a="1"/>
  <c r="B61" i="31" s="1"/>
  <c r="B189" i="31" a="1"/>
  <c r="B189" i="31" s="1"/>
  <c r="B104" i="31" a="1"/>
  <c r="B104" i="31" s="1"/>
  <c r="B214" i="31" a="1"/>
  <c r="B214" i="31" s="1"/>
  <c r="B117" i="31" a="1"/>
  <c r="B117" i="31" s="1"/>
  <c r="B121" i="31" a="1"/>
  <c r="B121" i="31" s="1"/>
  <c r="B133" i="31" a="1"/>
  <c r="B133" i="31" s="1"/>
  <c r="B84" i="31" a="1"/>
  <c r="B84" i="31" s="1"/>
  <c r="B161" i="31" a="1"/>
  <c r="B161" i="31" s="1"/>
  <c r="B115" i="31" a="1"/>
  <c r="B115" i="31" s="1"/>
  <c r="B154" i="31" a="1"/>
  <c r="B154" i="31" s="1"/>
  <c r="B182" i="31" a="1"/>
  <c r="B182" i="31" s="1"/>
  <c r="B51" i="31" a="1"/>
  <c r="B51" i="31" s="1"/>
  <c r="B188" i="31" a="1"/>
  <c r="B188" i="31" s="1"/>
  <c r="B198" i="31" a="1"/>
  <c r="B198" i="31" s="1"/>
  <c r="B105" i="31" a="1"/>
  <c r="B105" i="31" s="1"/>
  <c r="B110" i="31" a="1"/>
  <c r="B110" i="31" s="1"/>
  <c r="B150" i="31" a="1"/>
  <c r="B150" i="31" s="1"/>
  <c r="B129" i="31" a="1"/>
  <c r="B129" i="31" s="1"/>
  <c r="B220" i="31" a="1"/>
  <c r="B220" i="31" s="1"/>
  <c r="B162" i="31" a="1"/>
  <c r="B162" i="31" s="1"/>
  <c r="B186" i="31" a="1"/>
  <c r="B186" i="31" s="1"/>
  <c r="B164" i="31" a="1"/>
  <c r="B164" i="31" s="1"/>
  <c r="B44" i="31" a="1"/>
  <c r="B44" i="31" s="1"/>
  <c r="B90" i="31" a="1"/>
  <c r="B90" i="31" s="1"/>
  <c r="B187" i="31" a="1"/>
  <c r="B187" i="31" s="1"/>
  <c r="B193" i="31" a="1"/>
  <c r="B193" i="31" s="1"/>
  <c r="B100" i="31" a="1"/>
  <c r="B100" i="31" s="1"/>
  <c r="B112" i="31" a="1"/>
  <c r="B112" i="31" s="1"/>
  <c r="B209" i="31" a="1"/>
  <c r="B209" i="31" s="1"/>
  <c r="B210" i="31" a="1"/>
  <c r="B210" i="31" s="1"/>
  <c r="B217" i="31" a="1"/>
  <c r="B217" i="31" s="1"/>
  <c r="B70" i="31" a="1"/>
  <c r="B70" i="31" s="1"/>
  <c r="B91" i="31" a="1"/>
  <c r="B91" i="31" s="1"/>
  <c r="B165" i="31" a="1"/>
  <c r="B165" i="31" s="1"/>
  <c r="B87" i="31" a="1"/>
  <c r="B87" i="31" s="1"/>
  <c r="B49" i="31" a="1"/>
  <c r="B49" i="31" s="1"/>
  <c r="B63" i="31" a="1"/>
  <c r="B63" i="31" s="1"/>
  <c r="B194" i="31" a="1"/>
  <c r="B194" i="31" s="1"/>
  <c r="B204" i="31" a="1"/>
  <c r="B204" i="31" s="1"/>
  <c r="B113" i="31" a="1"/>
  <c r="B113" i="31" s="1"/>
  <c r="B143" i="31" a="1"/>
  <c r="B143" i="31" s="1"/>
  <c r="B211" i="31" a="1"/>
  <c r="B211" i="31" s="1"/>
  <c r="B218" i="31" a="1"/>
  <c r="B218" i="31" s="1"/>
  <c r="B30" i="31" a="1"/>
  <c r="B30" i="31" s="1"/>
  <c r="B57" i="31" a="1"/>
  <c r="B57" i="31" s="1"/>
  <c r="N5" i="1"/>
  <c r="N6" i="1" s="1"/>
  <c r="C317" i="24"/>
  <c r="V2" i="4"/>
  <c r="C304" i="24"/>
  <c r="C290" i="25"/>
  <c r="C209" i="26"/>
  <c r="C292" i="25"/>
  <c r="C306" i="25"/>
  <c r="C297" i="25"/>
  <c r="C207" i="26"/>
  <c r="C239" i="23"/>
  <c r="C214" i="26"/>
  <c r="C316" i="25"/>
  <c r="C312" i="24"/>
  <c r="C211" i="26"/>
  <c r="C219" i="26"/>
  <c r="C227" i="26"/>
  <c r="C326" i="24"/>
  <c r="C325" i="24"/>
  <c r="C222" i="26"/>
  <c r="C310" i="25"/>
  <c r="C349" i="24"/>
  <c r="C294" i="25"/>
  <c r="C305" i="24"/>
  <c r="C327" i="24"/>
  <c r="C293" i="25"/>
  <c r="N3" i="4"/>
  <c r="C302" i="25"/>
  <c r="O2" i="22"/>
  <c r="H2" i="10"/>
  <c r="C310" i="24"/>
  <c r="O3" i="17"/>
  <c r="O2" i="17"/>
  <c r="C346" i="24"/>
  <c r="N6" i="21"/>
  <c r="N4" i="21"/>
  <c r="C208" i="26"/>
  <c r="AE4" i="27"/>
  <c r="C291" i="25"/>
  <c r="C305" i="25"/>
  <c r="B4" i="30"/>
  <c r="D3" i="30" s="1"/>
  <c r="C306" i="24"/>
  <c r="O6" i="5"/>
  <c r="I1126" i="27"/>
  <c r="I1128" i="27" s="1"/>
  <c r="R1126" i="27"/>
  <c r="R1128" i="27" s="1"/>
  <c r="N2" i="21"/>
  <c r="Q88" i="2"/>
  <c r="L1" i="6"/>
  <c r="H2" i="6" s="1"/>
  <c r="P2" i="23"/>
  <c r="C308" i="24"/>
  <c r="O5" i="17"/>
  <c r="C240" i="23"/>
  <c r="C338" i="24"/>
  <c r="C344" i="24"/>
  <c r="O1" i="25"/>
  <c r="N5" i="21"/>
  <c r="P2" i="1"/>
  <c r="V2" i="2"/>
  <c r="C339" i="24"/>
  <c r="C313" i="24"/>
  <c r="C314" i="25"/>
  <c r="C340" i="24"/>
  <c r="O1" i="24"/>
  <c r="C210" i="26"/>
  <c r="C352" i="24"/>
  <c r="C328" i="24"/>
  <c r="C243" i="23"/>
  <c r="C337" i="24"/>
  <c r="B583" i="24"/>
  <c r="C318" i="24"/>
  <c r="O1" i="26"/>
  <c r="N7" i="21"/>
  <c r="C336" i="24"/>
  <c r="C329" i="24"/>
  <c r="C223" i="26"/>
  <c r="O4" i="17"/>
  <c r="O2" i="19"/>
  <c r="C454" i="19"/>
  <c r="E9" i="8"/>
  <c r="I96" i="31" l="1"/>
  <c r="I95" i="31"/>
  <c r="I202" i="31"/>
  <c r="I192" i="31"/>
  <c r="I222" i="31"/>
  <c r="I190" i="31"/>
  <c r="I160" i="31"/>
  <c r="I159" i="31"/>
  <c r="I106" i="31"/>
  <c r="I38" i="31"/>
  <c r="I84" i="31"/>
  <c r="I140" i="31"/>
  <c r="I75" i="31"/>
  <c r="I39" i="31"/>
  <c r="I139" i="31"/>
  <c r="I40" i="31"/>
  <c r="I152" i="31"/>
  <c r="I162" i="31"/>
  <c r="I120" i="31"/>
  <c r="I215" i="31"/>
  <c r="I127" i="31"/>
  <c r="I213" i="31"/>
  <c r="I121" i="31"/>
  <c r="I98" i="31"/>
  <c r="I142" i="31"/>
  <c r="I141" i="31"/>
  <c r="I149" i="31"/>
  <c r="I146" i="31"/>
  <c r="I148" i="31"/>
  <c r="I129" i="31"/>
  <c r="I138" i="31"/>
  <c r="I137" i="31"/>
  <c r="I161" i="31"/>
  <c r="I191" i="31"/>
  <c r="I47" i="31"/>
  <c r="I59" i="31"/>
  <c r="I74" i="31"/>
  <c r="I189" i="31"/>
  <c r="I196" i="31"/>
  <c r="I208" i="31"/>
  <c r="I145" i="31"/>
  <c r="I144" i="31"/>
  <c r="I147" i="31"/>
  <c r="I55" i="31"/>
  <c r="I51" i="31"/>
  <c r="I87" i="31"/>
  <c r="I89" i="31"/>
  <c r="I88" i="31"/>
  <c r="I52" i="31"/>
  <c r="I28" i="31"/>
  <c r="I54" i="31"/>
  <c r="I76" i="31"/>
  <c r="I48" i="31"/>
  <c r="I85" i="31"/>
  <c r="I195" i="31"/>
  <c r="I69" i="31"/>
  <c r="I133" i="31"/>
  <c r="I132" i="31"/>
  <c r="I134" i="31"/>
  <c r="I136" i="31"/>
  <c r="I135" i="31"/>
  <c r="I131" i="31"/>
  <c r="I91" i="31"/>
  <c r="I92" i="31"/>
  <c r="I185" i="31"/>
  <c r="I198" i="31"/>
  <c r="I220" i="31"/>
  <c r="I113" i="31"/>
  <c r="I56" i="31"/>
  <c r="I117" i="31"/>
  <c r="I116" i="31"/>
  <c r="I207" i="31"/>
  <c r="I118" i="31"/>
  <c r="I179" i="31"/>
  <c r="I61" i="31"/>
  <c r="I60" i="31"/>
  <c r="I83" i="31"/>
  <c r="I58" i="31"/>
  <c r="I70" i="31"/>
  <c r="I105" i="31"/>
  <c r="I65" i="31"/>
  <c r="I99" i="31"/>
  <c r="I97" i="31"/>
  <c r="I103" i="31"/>
  <c r="I102" i="31"/>
  <c r="I201" i="31"/>
  <c r="I101" i="31"/>
  <c r="I200" i="31"/>
  <c r="I94" i="31"/>
  <c r="I71" i="31"/>
  <c r="I150" i="31"/>
  <c r="I216" i="31"/>
  <c r="I66" i="31"/>
  <c r="I193" i="31"/>
  <c r="I104" i="31"/>
  <c r="I184" i="31"/>
  <c r="I112" i="31"/>
  <c r="I110" i="31"/>
  <c r="I206" i="31"/>
  <c r="I109" i="31"/>
  <c r="I126" i="31"/>
  <c r="I125" i="31"/>
  <c r="I108" i="31"/>
  <c r="I114" i="31"/>
  <c r="I205" i="31"/>
  <c r="I44" i="31"/>
  <c r="I181" i="31"/>
  <c r="I42" i="31"/>
  <c r="I180" i="31"/>
  <c r="I183" i="31"/>
  <c r="I26" i="31"/>
  <c r="I27" i="31"/>
  <c r="I25" i="31"/>
  <c r="I165" i="31"/>
  <c r="I57" i="31"/>
  <c r="I115" i="31"/>
  <c r="I155" i="31"/>
  <c r="I15" i="31"/>
  <c r="I177" i="31"/>
  <c r="I17" i="31" s="1"/>
  <c r="I14" i="31"/>
  <c r="I13" i="31"/>
  <c r="I12" i="31"/>
  <c r="I166" i="31"/>
  <c r="I32" i="31"/>
  <c r="I111" i="31"/>
  <c r="I119" i="31"/>
  <c r="I204" i="31"/>
  <c r="I63" i="31"/>
  <c r="I68" i="31"/>
  <c r="I164" i="31"/>
  <c r="I219" i="31"/>
  <c r="I210" i="31"/>
  <c r="I153" i="31"/>
  <c r="I211" i="31"/>
  <c r="I130" i="31"/>
  <c r="I100" i="31"/>
  <c r="I214" i="31"/>
  <c r="I53" i="31"/>
  <c r="I49" i="31"/>
  <c r="I35" i="31"/>
  <c r="I154" i="31"/>
  <c r="I43" i="31"/>
  <c r="I151" i="31"/>
  <c r="I188" i="31"/>
  <c r="I194" i="31"/>
  <c r="I199" i="31"/>
  <c r="I182" i="31"/>
  <c r="I50" i="31"/>
  <c r="I217" i="31"/>
  <c r="I41" i="31"/>
  <c r="I221" i="31"/>
  <c r="I90" i="31"/>
  <c r="I67" i="31"/>
  <c r="I187" i="31"/>
  <c r="I197" i="31"/>
  <c r="I30" i="31"/>
  <c r="N30" i="31" s="1"/>
  <c r="I34" i="31"/>
  <c r="I107" i="31"/>
  <c r="I45" i="31"/>
  <c r="I163" i="31"/>
  <c r="I186" i="31"/>
  <c r="I143" i="31"/>
  <c r="I218" i="31"/>
  <c r="I209" i="31"/>
  <c r="I128" i="31"/>
  <c r="F222" i="23"/>
  <c r="F224" i="23" s="1"/>
  <c r="F288" i="25"/>
  <c r="F290" i="25" s="1"/>
  <c r="B5" i="30"/>
  <c r="D4" i="30" s="1"/>
  <c r="F205" i="26"/>
  <c r="F207" i="26" s="1"/>
  <c r="E306" i="24"/>
  <c r="E308" i="24" s="1"/>
  <c r="N62" i="31" l="1"/>
  <c r="N127" i="31"/>
  <c r="N108" i="31"/>
  <c r="N43" i="31"/>
  <c r="N61" i="31"/>
  <c r="N44" i="31"/>
  <c r="N15" i="31"/>
  <c r="N126" i="31"/>
  <c r="N106" i="31"/>
  <c r="B6" i="30"/>
  <c r="B7" i="30" s="1"/>
  <c r="B8" i="30" s="1"/>
  <c r="D5" i="30" l="1"/>
  <c r="B10" i="30"/>
  <c r="D6" i="30"/>
  <c r="D7" i="30"/>
  <c r="B9" i="30"/>
  <c r="D8" i="30" l="1"/>
  <c r="B11" i="30"/>
  <c r="B12" i="30" s="1"/>
  <c r="B13" i="30" s="1"/>
  <c r="B14" i="30" s="1"/>
  <c r="B15" i="30" s="1"/>
  <c r="D10" i="30" l="1"/>
  <c r="D9" i="30"/>
  <c r="D11" i="30"/>
  <c r="B16" i="30"/>
  <c r="D12" i="30"/>
  <c r="D13" i="30"/>
  <c r="B17" i="30" l="1"/>
  <c r="D14" i="30"/>
  <c r="B18" i="30" l="1"/>
  <c r="B19" i="30" l="1"/>
  <c r="B20" i="30" s="1"/>
  <c r="B21" i="30" s="1"/>
  <c r="B22" i="30" s="1"/>
  <c r="B23" i="30" s="1"/>
  <c r="B24" i="30" s="1"/>
  <c r="B25" i="30" s="1"/>
  <c r="B26" i="30" s="1"/>
  <c r="B27" i="30" s="1"/>
  <c r="B28" i="30" s="1"/>
  <c r="B29" i="30" s="1"/>
  <c r="B30" i="30" s="1"/>
  <c r="B31" i="30" s="1"/>
  <c r="B32" i="30" s="1"/>
  <c r="B33" i="30" s="1"/>
  <c r="B34" i="30" s="1"/>
  <c r="B35" i="30" s="1"/>
  <c r="B36" i="30" s="1"/>
  <c r="B37" i="30" s="1"/>
  <c r="B38" i="30" s="1"/>
  <c r="B39" i="30" s="1"/>
  <c r="B40" i="30" s="1"/>
  <c r="B41" i="30" s="1"/>
  <c r="B42" i="30" s="1"/>
  <c r="B43" i="30" s="1"/>
  <c r="B44" i="30" s="1"/>
  <c r="B45" i="30" s="1"/>
  <c r="B46" i="30" s="1"/>
  <c r="B47" i="30" s="1"/>
  <c r="B48" i="30" s="1"/>
  <c r="B49" i="30" s="1"/>
  <c r="B50" i="30" s="1"/>
  <c r="B51" i="30" s="1"/>
  <c r="B53" i="30" l="1"/>
  <c r="B52" i="30"/>
  <c r="B54" i="30" l="1"/>
  <c r="B55" i="30" s="1"/>
  <c r="B56" i="30" s="1"/>
  <c r="B57" i="30" s="1"/>
  <c r="B58" i="30" s="1"/>
  <c r="B61" i="30" l="1"/>
  <c r="B59" i="30"/>
  <c r="B60" i="30"/>
  <c r="B62" i="30"/>
  <c r="B63" i="30" l="1"/>
  <c r="B64" i="30" s="1"/>
  <c r="B65" i="30" s="1"/>
  <c r="B66" i="30" l="1"/>
  <c r="B67" i="30"/>
  <c r="B68" i="30" l="1"/>
  <c r="B71" i="30" s="1"/>
  <c r="B72" i="30" l="1"/>
  <c r="B69" i="30"/>
  <c r="B70" i="30" s="1"/>
  <c r="B73" i="30" l="1"/>
  <c r="B74" i="30" s="1"/>
  <c r="B75" i="30" s="1"/>
  <c r="B77" i="30" s="1"/>
  <c r="B79" i="30" l="1"/>
  <c r="B80" i="30"/>
  <c r="B82" i="30"/>
  <c r="B81" i="30"/>
  <c r="B78" i="30"/>
  <c r="B76" i="30"/>
  <c r="B83" i="30" l="1"/>
  <c r="B85" i="30" s="1"/>
  <c r="B84" i="30" l="1"/>
  <c r="B86" i="30" s="1"/>
  <c r="B87" i="30" s="1"/>
  <c r="B88" i="30" s="1"/>
  <c r="B89" i="30" s="1"/>
  <c r="B90" i="30" s="1"/>
  <c r="B91" i="30" s="1"/>
  <c r="B92" i="30" s="1"/>
  <c r="B93" i="30" s="1"/>
  <c r="B94" i="30" s="1"/>
  <c r="B95" i="30" s="1"/>
  <c r="B96" i="30" s="1"/>
  <c r="B97" i="30" s="1"/>
  <c r="D19" i="30"/>
  <c r="D56" i="30"/>
  <c r="D37" i="30"/>
  <c r="D44" i="30"/>
  <c r="D34" i="30"/>
  <c r="D25" i="30"/>
  <c r="D32" i="30"/>
  <c r="D64" i="30"/>
  <c r="D16" i="30"/>
  <c r="D51" i="30"/>
  <c r="D38" i="30"/>
  <c r="D62" i="30"/>
  <c r="D42" i="30"/>
  <c r="D53" i="30"/>
  <c r="D30" i="30"/>
  <c r="D33" i="30"/>
  <c r="D41" i="30"/>
  <c r="D18" i="30"/>
  <c r="D36" i="30"/>
  <c r="D55" i="30"/>
  <c r="D27" i="30"/>
  <c r="D20" i="30"/>
  <c r="D15" i="30"/>
  <c r="D40" i="30"/>
  <c r="D24" i="30"/>
  <c r="D35" i="30"/>
  <c r="D47" i="30"/>
  <c r="D63" i="30"/>
  <c r="D45" i="30"/>
  <c r="D21" i="30"/>
  <c r="D67" i="30"/>
  <c r="D68" i="30"/>
  <c r="D48" i="30"/>
  <c r="D31" i="30"/>
  <c r="D58" i="30"/>
  <c r="D28" i="30"/>
  <c r="D50" i="30"/>
  <c r="D49" i="30"/>
  <c r="D23" i="30"/>
  <c r="D65" i="30"/>
  <c r="D46" i="30"/>
  <c r="D22" i="30"/>
  <c r="D39" i="30"/>
  <c r="D54" i="30"/>
  <c r="D29" i="30"/>
  <c r="D26" i="30"/>
  <c r="D17" i="30"/>
  <c r="D57" i="30"/>
  <c r="D43" i="30"/>
  <c r="D74" i="30" l="1"/>
  <c r="D73" i="30"/>
  <c r="D72" i="30"/>
  <c r="D75" i="30"/>
  <c r="D82" i="30"/>
  <c r="B98" i="30"/>
  <c r="B99" i="30"/>
  <c r="B100" i="30" l="1"/>
  <c r="D83" i="30" s="1"/>
  <c r="B101" i="30" l="1"/>
  <c r="D85" i="30" s="1"/>
  <c r="B102" i="30" l="1"/>
  <c r="B103" i="30" s="1"/>
  <c r="D86" i="30" s="1"/>
  <c r="B104" i="30" l="1"/>
  <c r="B105" i="30" l="1"/>
  <c r="D88" i="30" s="1"/>
  <c r="D87" i="30"/>
  <c r="B106" i="30" l="1"/>
  <c r="B107" i="30" l="1"/>
  <c r="D90" i="30" s="1"/>
  <c r="D89" i="30"/>
  <c r="B108" i="30" l="1"/>
  <c r="B109" i="30" l="1"/>
  <c r="D91" i="30"/>
  <c r="B123" i="30" l="1"/>
  <c r="B110" i="30"/>
  <c r="B111" i="30" s="1"/>
  <c r="B112" i="30" s="1"/>
  <c r="B113" i="30" s="1"/>
  <c r="D92" i="30" l="1"/>
  <c r="D93" i="30"/>
  <c r="D94" i="30"/>
  <c r="D95" i="30"/>
  <c r="D96" i="30"/>
  <c r="B114" i="30"/>
  <c r="B122" i="30"/>
  <c r="D97" i="30" l="1"/>
  <c r="B116" i="30"/>
  <c r="B115" i="30"/>
  <c r="B118" i="30" l="1"/>
  <c r="B117" i="30"/>
  <c r="D99" i="30"/>
  <c r="B119" i="30" l="1"/>
  <c r="B120" i="30" s="1"/>
  <c r="B121" i="30" s="1"/>
  <c r="D107" i="30" s="1"/>
  <c r="D104" i="30" l="1"/>
  <c r="D106" i="30"/>
  <c r="D102" i="30"/>
  <c r="E2" i="30"/>
  <c r="D108" i="30"/>
  <c r="D100" i="30"/>
  <c r="D105" i="30"/>
  <c r="D101" i="30"/>
  <c r="D103" i="30"/>
  <c r="D109" i="3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<sst xmlns="http://schemas.openxmlformats.org/spreadsheetml/2006/main" count="41524" uniqueCount="14384">
  <si>
    <t>Data Preluare</t>
  </si>
  <si>
    <t>Client</t>
  </si>
  <si>
    <t>Comanda</t>
  </si>
  <si>
    <t>Data Livrare</t>
  </si>
  <si>
    <t>ADRESA COMPLETA</t>
  </si>
  <si>
    <t>Plecare</t>
  </si>
  <si>
    <t>From</t>
  </si>
  <si>
    <t>To</t>
  </si>
  <si>
    <t>Suma Comanda</t>
  </si>
  <si>
    <t>Date Facturare</t>
  </si>
  <si>
    <t>Curier</t>
  </si>
  <si>
    <t>Preluare Comanda</t>
  </si>
  <si>
    <t>Degustare Soiree 21 Sept</t>
  </si>
  <si>
    <t>Platou torturi nunta
+
6 x macarons mix
2 x mini-tarte fructe
2 x mini-tarte ciocolata
2 x pavlova
8 x choux a la creme mix (cate 2 din fiecare)
2 x mini-tarte lamaie cu bezea flambata
2 x mini carrot cake
2 x mini raspberry vanilla</t>
  </si>
  <si>
    <t>Degustare Laborator Frumos aranjate</t>
  </si>
  <si>
    <t>N/A</t>
  </si>
  <si>
    <t>protocol degustare</t>
  </si>
  <si>
    <t>Tudor</t>
  </si>
  <si>
    <t>Degustare Pro Events
0724255551</t>
  </si>
  <si>
    <t>Ridicare de la laborator.</t>
  </si>
  <si>
    <t>Décor</t>
  </si>
  <si>
    <t xml:space="preserve"> OREO rotund pentru 4,5 kg Total tort Transformers (Birla Luminita 03.08)</t>
  </si>
  <si>
    <t>Dan</t>
  </si>
  <si>
    <t xml:space="preserve">Tort Chocolate Fiesta rotund pentru 3 kg total tort nunta de 50 de ani (Razvan Bosoanca 03.08) </t>
  </si>
  <si>
    <t>Framboisier modificat rotund pentru 3 kg Total tort Unicrn 2 (Andra Niculescu 03.08)</t>
  </si>
  <si>
    <t>Andreea Sole
0734850806</t>
  </si>
  <si>
    <t>20 x mini-pavlova
20 x mini-tarte cu lamaie cu bezea flambata
25 x mini-raspberry vanilla
20 x choux  fistic
25 x macaroons</t>
  </si>
  <si>
    <t>Sole Events, Bulevardul Iancu de Hunedoara 48 ETAJ 15, București</t>
  </si>
  <si>
    <t>250 RON</t>
  </si>
  <si>
    <t>factura cu op sole</t>
  </si>
  <si>
    <t>Degustare
(nu stim datele/clientul)</t>
  </si>
  <si>
    <t>Degustare Laborator Frumos aranjate. Incepe la 14:00</t>
  </si>
  <si>
    <t>Razvan Bosoanca
+40 723 286 498</t>
  </si>
  <si>
    <t>3 Kg tort nunta de aur|| ca in poza din décor cu alb, auriu si trandafir, fara fotografie cu doua inele legate ca in poza 2 + "La Multi Ani!" si dedesubt "50 de ani" ||compozitie Tort Chocolate Fiesta(clientul ne-a tot recomandat asa ca va rog sa aveti grija sa faceti bine compozitia)
+ certificat conformitate</t>
  </si>
  <si>
    <t>restaurant Monte Carlo din parcul Cismigiu</t>
  </si>
  <si>
    <t>card (POS) + certificat de conformitate</t>
  </si>
  <si>
    <t>Birla Luminita
0722241100</t>
  </si>
  <si>
    <t>4,5 kg Tort Trasformers||Oreo|| exact ca in poza cu exact aceleasi culori, cu numele "Matias" in lateral si cifra 5 pe tort, cu stelute si flacari|| tortul sa fie asezat in mijlocul candy-barului pe un platou negru sau auriu
Candy Bar (platouri negru cu auriu)
1 x minipraji platou de 10 persoane (10 pavlova, 10 tarte cioco, 8 choux fistic, 10 tarte fructe, 8 macarons, 10 tarte lamaie)
12 x briose cu crema bleu
19 x cake pops (6 verde + 6 bleu + 7 roz)
12 x lollipop bezea  (4 verde + 4 bleu + 4 roz)
2 x pahare(200 g fiecare) de bezele colorate(verzi bleu si galbene)
+ + certificat conformitate</t>
  </si>
  <si>
    <t>Lollipop Playground, Strada Avrig 63</t>
  </si>
  <si>
    <t>900 RON</t>
  </si>
  <si>
    <t>cash cu bon si certificat de conformitate (450 tort + 199 minipraji + 72 briose + 57 cakepops + 36 bezele pe bat + 36  pahare bezele + 50 lei taxa candy bar)</t>
  </si>
  <si>
    <t>Andra Niculescu
+40 767 463 172</t>
  </si>
  <si>
    <t>3 Kg Tort unicorn 2 cu cornul, interiorul urechilor si genele aurii, pasta de zahar alba si bezelele in 2 culori: alb cu roz||compozitie Framboisier modificat|| doar "Anastasia"
+ conformitate</t>
  </si>
  <si>
    <t>Aqua Garden din Militari Residence - Strada Rezervelor 60</t>
  </si>
  <si>
    <t>360 RON</t>
  </si>
  <si>
    <t>cash cu bon si certificat de conformitate</t>
  </si>
  <si>
    <t>Amberry Hall (10 Aug)</t>
  </si>
  <si>
    <t xml:space="preserve">Macheta 
--
60 x portii fistic zmeura 125 gr
--
Candy-Bar 60 persoane:
Amenajare Candy-Bar 60 pers:
18 x cupcake pepite ciocolata
33 x tarte fructe
9 x choux fistic
9 x choux cafea
9 x choux ciocolata
9 x choux vanilie
33 x tarta ciocolata
33 x tarta lamaie
33 x mini pavlova
33 x macarons mix
33 x mini carrot cake
33 x mini raspberry vanilla
</t>
  </si>
  <si>
    <t>Amberry Hall,
Șoseaua București Nord nr 15-23</t>
  </si>
  <si>
    <t>???</t>
  </si>
  <si>
    <t>2203 RON</t>
  </si>
  <si>
    <t>factura amalt:
400 macheta
-
112.5 etaj real
-
562.5 tort
-
1128 (18.8/pers)</t>
  </si>
  <si>
    <t>Degustare Iuno</t>
  </si>
  <si>
    <t>Tort  real pentru Cristina Bratu  (24.08)
-
Blat cu cacao insiropat, duo mousse melange ciocolata (lapte+neagra), mousse lejer de vanilie (fara ciocolata alba)</t>
  </si>
  <si>
    <t>Diana Lara
0747173271</t>
  </si>
  <si>
    <t>Casa Doina, Șoseaua Regele Mihai I 4, București</t>
  </si>
  <si>
    <t>234 RON</t>
  </si>
  <si>
    <t>cash fara brr. 320 cu 30% discount
+ 
10 RON lumanre</t>
  </si>
  <si>
    <t>Crina Bratu
0748151999</t>
  </si>
  <si>
    <t xml:space="preserve">Macheta cu etaj real ca in "POZA 1" dar cu funda de satin ca in "POZA 2" intre primele doua etaje de jos in sus.
--
200 portii triunghiulare x 125 grame -Blat cu cacao insiropat, duo mousse melange ciocolata (lapte+neagra), mousse lejer de vanilie (fara ciocolata alba)
--
Amenajare Candy-Bar 100 persoane:
6 x Choux (25% - ciocolata || vanilie || cafea || fistic) (25 gr/buc - 2.3 kg)
27 x Briose Colorate Tematic (sa-mi spui ce culori preferi) (75 gr/buc - 3.375 kg)
48  x Mini-Tarte Lamaie si Bezea Flambata (20 gr/buc)
48  x Mini-Tarte Ciocolata si Caramel (20 gr/buc)
48  x Mini-Tarte Fructe (20 gr/buc)  
48  x Mini Pavlove (20 gr/buc)  
48  x Brownie (50 gr/buc)
48  x Tiramisu la Pahar (50 gr/buc)
48  x Carrot Cake (30 gr/buc)
48  x Raspberry Vanilla  (30 gr/buc) 
</t>
  </si>
  <si>
    <t>Șoseaua Giurgiului nr. 9</t>
  </si>
  <si>
    <t>4818.5 RON</t>
  </si>
  <si>
    <t>Tort (26.5 kg - 85 RON/kg - 2252.5 RON)* 1.5  kg sunt de la macheta*
--
Macheta (600 RON)
--
Candy-Bar (100 persoane - 300 RON + 3.5 Euro/persoana - 1966 RON)</t>
  </si>
  <si>
    <t>Alexandra Munteanu
Alexandra.gama@yahoo.com
+447832894693</t>
  </si>
  <si>
    <t>1 x tort curcubeu pastel 9 kg (6 kg compozitie) pe 3 etaje. Sa fie scris pe tort numele fetitei "Clara"</t>
  </si>
  <si>
    <t>Naan Project, Str Progresului 1-3 Bucuresti</t>
  </si>
  <si>
    <t>1080 RON</t>
  </si>
  <si>
    <t>30% avans platit. (324) pe 06.06 sau 07.06. De facturat restul de 756 in preajma evenimentului. 120 RON/kg</t>
  </si>
  <si>
    <t>Andra Petrescu
0723264197</t>
  </si>
  <si>
    <t>1 x tort 6 kg dreptunghiular Duo-Mousse Visine (decorat cu macarons si fructe)</t>
  </si>
  <si>
    <t>factura pe amalt</t>
  </si>
  <si>
    <t>Iuliana Carp (Soiree)
0726247868</t>
  </si>
  <si>
    <t>150 portii 100 grame framboisier (15 kg - 825 RON)
butaforie tort (400 RON)
candybar 100 persoane (300 euro/1410 RON)
REVINE CU DESIGNUL DE butaforie!!!</t>
  </si>
  <si>
    <t>Soiree, Bulevardul Pipera 2</t>
  </si>
  <si>
    <t>2635 RON</t>
  </si>
  <si>
    <t>De intocmit factura</t>
  </si>
  <si>
    <t>Amberry Hall (31 Aug)</t>
  </si>
  <si>
    <t xml:space="preserve">Macheta 
--
120 x portii fistic zmeura 125 gr
--
Candy-Bar 120 persoane:
Amenajare Candy-Bar 120 pers:
36 x cupcake pepite ciocolata
66 x tarte fructe
18 x choux fistic
18 x choux cafea
18 x choux ciocolata
18 x choux vanilie
66 x tarta ciocolata
66 x tarta lamaie
66 x mini pavlova
66 x macarons mix
66 x mini carrot cake
66 x mini raspberry vanilla
</t>
  </si>
  <si>
    <t>3893 RON</t>
  </si>
  <si>
    <t>factura amalt:
400 macheta
-
112.5 etaj real
-
1125 tort
-
2256 (18.8/pers)</t>
  </si>
  <si>
    <t>Madalina Lupu
0763856325</t>
  </si>
  <si>
    <t>1 x tort savarina 2 kg. Sa fie bine inspiropata</t>
  </si>
  <si>
    <t>Modoran Ene nr 1 bl c 10 et 8 ap 43</t>
  </si>
  <si>
    <t>190 RON</t>
  </si>
  <si>
    <t>190 RON cash cu bon</t>
  </si>
  <si>
    <t>Andreea Baluta (Miruna)
0728994853</t>
  </si>
  <si>
    <t xml:space="preserve">Candy-Bar 80 Persoane (440 Euro - 5.5 Euro/pers)
45 x Tarte Fructe
80 x Macarons Mix
45 x Mini-Pavlova
60 x Choux (50% cafea || 50% Fistic)
45 x Bite Citron
45 x Bite Trio-Mousse
45 x Bite Raspberry Vanilla
45 x Bite Duo-Mousse Visine
+
Separat pentru diabetici cu green sugar:
15 x choux fistic
15 x mini carrot cake 
</t>
  </si>
  <si>
    <t xml:space="preserve">Gradina Floreasca, Bulevardul Mircea Eliade 16 </t>
  </si>
  <si>
    <t>2094.4 RON</t>
  </si>
  <si>
    <t>440 euro. Se palteste avans 30% (628.3) si restul dupa eveniment (1466.08)</t>
  </si>
  <si>
    <t xml:space="preserve">Nicusor Tudorica
0729440024
</t>
  </si>
  <si>
    <t>Candy-Bar 120 persoane + aranjare:
120 x macarons mix
60 x mini-tarte fructe
60 x mini-tarte ciocolata
60 x pavlova
60 x choux a la creme mix
60 x mini-tarte lamaie cu bezea flambata
60 x mini carrot cake
60 x mini raspberry vanilla</t>
  </si>
  <si>
    <t>Șoseaua Electronicii 19, Aurrum Palace salon Secret Garden</t>
  </si>
  <si>
    <t>1713 RON</t>
  </si>
  <si>
    <t>factura persoana fizica. 3 euro/pers</t>
  </si>
  <si>
    <t>Miruna Comanda Provizorie</t>
  </si>
  <si>
    <t>"Macheta tort Royal White, compoziția nu știu exact cum se numeste🙈dar știu ca este geniala, cea de la cununie, pentru 7 septembrie, restaurant Phoenix Cernica, petrecerea începe pe la ora 20 deci momentan nu am idee de ora dar nici nu am o preferință anume la ora. 150 de invitati" - FRAMBOISIER</t>
  </si>
  <si>
    <t>Phoenix Cernica</t>
  </si>
  <si>
    <t>N/a</t>
  </si>
  <si>
    <t>Nastasia Petculescu
(Stie Alina B)
petculescunastasia@gmail.com</t>
  </si>
  <si>
    <t>Candy-Bar:
22 x Macarons Cafea 
22 x Macarons Fistic
22 x Macarons Ciocolata
28 x Choux Fistic
28 x Choux Ciocolata
57 x Cookie Ciocolata
57 x Raspberry Vanilla
57 x Mini-Brownie
57 x Mini-Carrot Cake
57 x Mini-Pavlova
---
Tort Decorat 12.8 kg 4 etaje + figuria(Stie Alina B) Riccotta cu Fructe Confiate</t>
  </si>
  <si>
    <t>Lagoo Snagov, Snagov, 077165, Judeţul Ilfov, România</t>
  </si>
  <si>
    <t>2277 RON</t>
  </si>
  <si>
    <t>2277 RON
--
30% avans a fost platit. A ramas doar 1593.9
---
80 pers x 3.5 euro (1333 candybar)
12.8 x150 ron/kg
(1920 tort)
-30% discount
=
2277</t>
  </si>
  <si>
    <t>Alexandra Timofte (BNI)
0741352505</t>
  </si>
  <si>
    <t>150 x portie 125 gr tort fistic</t>
  </si>
  <si>
    <t>The Wedding House, Strada Principala 155, poiana lui Stanga</t>
  </si>
  <si>
    <t>1405.25 RON</t>
  </si>
  <si>
    <t>factura persoana fizica</t>
  </si>
  <si>
    <r>
      <rPr>
        <b/>
        <sz val="11"/>
        <color rgb="FF000000"/>
        <rFont val="Calibri"/>
        <family val="2"/>
        <charset val="1"/>
      </rPr>
      <t xml:space="preserve">1 x tort framboisier 2 kg (versiunea veche. Cea pe care a tot luat-o Diana) acoperit FULL cu macarons si fructe 
+ 
"Eva" ca in "poza 2"
+
o figurina ca cea pusa in fisier décor pe care o punem </t>
    </r>
    <r>
      <rPr>
        <b/>
        <u/>
        <sz val="11"/>
        <color rgb="FF000000"/>
        <rFont val="Calibri"/>
        <family val="2"/>
        <charset val="1"/>
      </rPr>
      <t xml:space="preserve">PE SUPORT LANGA TORT </t>
    </r>
    <r>
      <rPr>
        <b/>
        <sz val="11"/>
        <color rgb="FF000000"/>
        <rFont val="Calibri"/>
        <family val="2"/>
        <charset val="1"/>
      </rPr>
      <t>. (daca e nevoie folosim un suport mult mai mare)
+
LUMANARE CIFRA "1"</t>
    </r>
  </si>
  <si>
    <t>Adresa Completa</t>
  </si>
  <si>
    <t>4,5 kg Tort Trasformers||Oreo|| exact ca in poza cu exact aceleasi culori, cu numele "Matias" in lateral si cifra 5 pe tort, cu stelute si flacari|| tortul sa fie asezat in mijlocul candy-barului pe un platou negru sau auriu
Candy Bar (platouri negru cu auriu)
1 x minipraji platou de 10 persoane (10 pavlova, 10 tarte cioco, 8 choux fistic, 10 tarte fructe, 8 macarons, 10 tarte lamaie)
12 x briose cu crema bleu
19 x cake pops (6 verde + 6 bleu + 7 roz)
12 x lollipop bezea  (4 verde + 4 bleu + 4 roz)
2 x pahare(200 g fiecare) de bezele colorate(verzi bleu si galbene)
    + 
certificat conformitate</t>
  </si>
  <si>
    <t>Tort Oreo Pentru Ms. Maner (13.07)</t>
  </si>
  <si>
    <t xml:space="preserve"> Andreea</t>
  </si>
  <si>
    <t>Cash cu bon (150 au fost dati inainte)</t>
  </si>
  <si>
    <t>Ridicare Laborator</t>
  </si>
  <si>
    <t>4 kg Tort marmorat inalt imbracat in pasta de zahar (poza in décor) decorat cu macarons asortati in loc de flor, cifre "18" comestibile
+
Certificat conformitate</t>
  </si>
  <si>
    <t>adelina ingrid tucmeanu (0733608744)</t>
  </si>
  <si>
    <t>22-Jul</t>
  </si>
  <si>
    <t>Laurentiu</t>
  </si>
  <si>
    <t>factura clinica Life Med</t>
  </si>
  <si>
    <t>Hotel-restaurant BASARAB,str.Fluviului, nr.23, sect.1</t>
  </si>
  <si>
    <t xml:space="preserve">2 x platouri miniprajituri de 10 persoane + 10 buc negresa de 70g
+
1 x tort citron 1.6 kg cu mesajul "La Multi Ani!"
+
1 x tort duo-mousse visine 1.6 kg cu mesajul "La Multi Ani!"
+
certificat conformitate
</t>
  </si>
  <si>
    <t xml:space="preserve">Clinica Life Med
0726200527
</t>
  </si>
  <si>
    <t>Olivia</t>
  </si>
  <si>
    <t>fara brrr</t>
  </si>
  <si>
    <t>Lara Carol</t>
  </si>
  <si>
    <t>1 x tort opera 1.6 kg</t>
  </si>
  <si>
    <t>Olivia Lara
0726219695</t>
  </si>
  <si>
    <t>Palatul Bragadiru, Calea Rahovei 147-153</t>
  </si>
  <si>
    <t xml:space="preserve">1 x platou mostre tort nunta
+
6 x macarons mix
4 x mini-tarte fructe
4 x mini-tarte ciocolata
4 x pavlova
6 x choux a la creme mix
4 x mini-tarte lamaie cu bezea flambata
4 x mini carrot cake
4 x mini raspberry vanilla
</t>
  </si>
  <si>
    <t>Roxana Chiritoiu (Bragadiru)
0733527201</t>
  </si>
  <si>
    <t>Platit pe website</t>
  </si>
  <si>
    <t>Strada Economu Cezarescu, Sector 6, Bucuresti</t>
  </si>
  <si>
    <t xml:space="preserve">1 x tort ricotta &amp; fructe confiate (1 kg) cu mesajul "La multi ani, Cristian! ❤️"
ATENTIE: Inima sa fie rosie, nu neagra </t>
  </si>
  <si>
    <t>Stefana Ungureanu
0743492169</t>
  </si>
  <si>
    <t>Dl Apostol</t>
  </si>
  <si>
    <t>Str Lebedei nr 201, com Berceni, jud Ilfov</t>
  </si>
  <si>
    <t>1 x Tort Raspberry Vanilla de 3,5 kg minioni  ca in POZE DÉCOR, 
 "5 ani, Andrei Cristian" plus lumanarecifra "5"</t>
  </si>
  <si>
    <t>Eli Lazar (Miruna)
0745062313</t>
  </si>
  <si>
    <t>Claudiu</t>
  </si>
  <si>
    <t>400 macheta
-
 (14.5 kg 65 = 942.5 RON + 540 RON extra manopera)
-
100 persoane candy 3 euro
1428 RON</t>
  </si>
  <si>
    <t>1 x tort decorat 3 kg duo mousse zmeura (400 ron) nuanțe de verde, gradient cu aspect de valuri  si cake topper
+ la baza topperului aranjament din flori naturale (floarea miresei și 2-3 trandafiri albi)
-
145 x monoportii duo mousse zmeura rotund (foița de ciocolata, menta și o zmeura sus)
-
1 x candybar 100 persoane (poze in folder):
45 x cupcake tematic (aripi inger)
135 x macarons tonka (albi)
500 grame bezele artizanale (albe)
45 x tarte fructe
45 x tarte ciocolata
45 x tarte lamaie cu bezea flambata
45 x mini-pavlova
45 x choux mix (vanilie/ciocolata/cafea/fistic)
27 x biscuiti tematici (aripi de inger)
-
SUPORT PE CARE STA TORTUL SI MONOPORTIILE</t>
  </si>
  <si>
    <t>Andreea Dragomir (Soiree)
0760316240
andreeadragomirwp@gmail.com</t>
  </si>
  <si>
    <t>300 RON amenajare
833 RON prajituri
+ 30% discount
--
de facut factura pe: DINCA ANAMARIA - CARMEN EC CIF 35655755, ADRESA: BUC., SECT. 2, STR. COSTACHE CONACHI NR.14</t>
  </si>
  <si>
    <t>Empire Events, Str. Popa Lazar, nr. 5-25, sector 2, Bucuresti</t>
  </si>
  <si>
    <t>Amenajare Candy 50 persoane tematica panda:
30 x Mini Tarta Fructe 
30 x Choux Fistic
30 x Mini Tarta Ciocolata
30 x Macarons Mix
30 x Mini Tarta Lamaie
30 x Mini Pavlova
24 x Briosa
24 x Cake Pop</t>
  </si>
  <si>
    <t xml:space="preserve">Ana Maria Dinca
(0747034882)
</t>
  </si>
  <si>
    <t xml:space="preserve"> 2 x cozonac raw-vegan cu nuca</t>
  </si>
  <si>
    <t>factura selari investments. Fara negrese</t>
  </si>
  <si>
    <t>Lido, Bd Magheru nr 5 - 7</t>
  </si>
  <si>
    <t>Choux de vanilie 5 buc
Tarta cu fructe zmeura  5 buc
Tarta cu lamaie 5 buc
Tarta cu ciocolata 5 buc
Tarta cu caise 5 buc
Negresa 5 buc (doar in alta varianta pt ca cea care am avut o era  crapata si nu se vedea prea bine)</t>
  </si>
  <si>
    <t>Dana Stoicescu (Lido + Taupe)
0773995201‬</t>
  </si>
  <si>
    <t>factura sole
+
TOATE BONURILE DE LANGA IMPRIMANTA PT SOLE (4 bonuri)
--
Se lasa la bucatarie tot!</t>
  </si>
  <si>
    <t xml:space="preserve">Candy Bar Sole
Culori: Mov, alb, ivoire
14 x tiramisu la pahar
14 x mousse fructe de padure
14 x mini pavlova
14 x asortiment mini-raspberry vanilla si carrot cake
14 x mini-cupcake (colorate)
14 x macaron mix
+
TOATE BONURILE DE LANGA IMPRIMANTA PT SOLE (4 bonuri)
</t>
  </si>
  <si>
    <t>cash cu bon. 455 tort + 50 livrare</t>
  </si>
  <si>
    <t>Strada melodiei nr 19, sat fundeni, dobroesti</t>
  </si>
  <si>
    <t>1 x Tort Oreo  de 3,5 kg model cu masina  ca in POZE DÉCOR, "5 ani, Andrei Cristian" plus lumanare cifra "5" ca in POZE DECOR
+ certificat conformitate</t>
  </si>
  <si>
    <t>andreea</t>
  </si>
  <si>
    <t xml:space="preserve">la laborator </t>
  </si>
  <si>
    <t>1 x degustare torturi si miniprajituri (botez pe 7.09)</t>
  </si>
  <si>
    <t>Roxana Feder 
0746301372</t>
  </si>
  <si>
    <t>Tort Oreo pentru comanda Eli Lazar (29.07)</t>
  </si>
  <si>
    <t>"The Roof" - Calea 13 Septembrie 221-225, Prosper Plaza, Etaj 2</t>
  </si>
  <si>
    <t>4 x platouri de miniprajituri de 10 persaone CUSTOM dupa cum urmeaza:
(4 x) 16 pavlova + 16 tarte ciocolata + 16 tarte lamaie + 8 macarons cu ZMEURA SI CIOCOLATA ALBA
LA AMBALARE, PRAJITURILE SA FIE ASEZATE PE PLATOURILE AURII, 2 platouri / cutie pentru a fi servite direct
+
Certificat de conformitate</t>
  </si>
  <si>
    <t>Andrei Trif
+40 737 409 899</t>
  </si>
  <si>
    <t>675 ron cash cu non</t>
  </si>
  <si>
    <t>Amai Garden, Strada Gladiolelor 23, București</t>
  </si>
  <si>
    <t xml:space="preserve">1 x Chocolate Berry de 4,5-5 kg, model Transformers. Sa fie cifra 6 pe el și numele Robert. Neapărat pietricele din pasta de zahar de pe margine. </t>
  </si>
  <si>
    <t>Andreea Petrache (Miruna)
0728188298</t>
  </si>
  <si>
    <t>400 butaforie
--
97.5 ron -1.5 kg tort macheta
--
1540.5 ron (23.7 kg tort)
--
1666 (100 3.5 euro candy)</t>
  </si>
  <si>
    <r>
      <t xml:space="preserve">Soiree, Bulevardul Pipera 2.
Amenajarea de la </t>
    </r>
    <r>
      <rPr>
        <b/>
        <u/>
        <sz val="11"/>
        <color rgb="FF000000"/>
        <rFont val="Calibri"/>
        <family val="2"/>
      </rPr>
      <t>18:45-19:45</t>
    </r>
  </si>
  <si>
    <t xml:space="preserve">
Macheta – 4 etaje- 3 false si un tort real negru cu flori rosii – baza de 50 cm, tortul real e pandispan imbracat in pasta de zahar, tortul trebuie sa stea in tavan pana noaptea tarziu, este doar pentru spectacol. 
Tortul ales este fistic cu zmeura
---
candy bar masa cu sweet (150 lei) 50 persoane extra la candy bar cu 3.5 euro/persoana, 4 buc/persoana- negru rosu
---
235 x bucati fistic cu zmeura (100 gr)
+ 
2 x portie vegana
+
VESELA CANDY-BAR</t>
  </si>
  <si>
    <t xml:space="preserve">Soiree </t>
  </si>
  <si>
    <t>Plata cash cu bon</t>
  </si>
  <si>
    <t>Complex Good Afternoon, str Viselor nr 60 Balotesti</t>
  </si>
  <si>
    <t>2 x tort chocolate delight (1.6 kg) decorat ca pe website
1 x platou 10 persoane
2 x cozonac nuca si cacao 750 gr
+ 
Certificat conformitate</t>
  </si>
  <si>
    <t>Roxana Clement
0723371437</t>
  </si>
  <si>
    <t>cash cu bon si conformitate</t>
  </si>
  <si>
    <t>Laser Maxx din Afi  Cotroceni - Bulevardul General Vasile Milea 4</t>
  </si>
  <si>
    <t>3 kg tort Fornite 2 si in loc de lama sa puneti figurina gri robot cu incaltari rosu galben || Raspberry Vanila|| La multi ani, Tudor scris pe banner si sub banner , in picioare din pasta de zahar sa fie cifra 10
+ 
certificat conformitate</t>
  </si>
  <si>
    <t>Toma Diana
+40 724 455 329</t>
  </si>
  <si>
    <t>Factura persoana fizica op. ENACHE SILVIU. Doar se lasa acolo cutiile</t>
  </si>
  <si>
    <t>Str. Tipografilor nr 31, Taverna Sârbului</t>
  </si>
  <si>
    <t xml:space="preserve">1 x candy bar 40 persoane (180 prăjituri)
----
30 tarte lamaie
30 tarte ciocolata
30 choux cafea
30 mini pavlova
30 raspberry vanilla
30 carrot cake
+
Certificat Conformitate
</t>
  </si>
  <si>
    <t>Iuliana
 0762737212</t>
  </si>
  <si>
    <t>cash cu bon si certificat conformtiate</t>
  </si>
  <si>
    <t>Strada Popa Nan 82, Jungle Laser</t>
  </si>
  <si>
    <t>1 x 1kg tort ciocolata rom 
1 x 1 kg tort pavlova 
+ 
certificat conformitate</t>
  </si>
  <si>
    <t>Irina Tenovici 
0722563454</t>
  </si>
  <si>
    <t xml:space="preserve">factura colloseum events:
200 ron- macheta
97.5 ron - etaj real
1186.25 ron -18.25 kg tort
</t>
  </si>
  <si>
    <t xml:space="preserve">140 x monoportii Duo Mousse cu ciocolata alba, ciocolata cu lapte, zmeura si coacaze
--
2 prajituri pentru persoane cu alergie severa la nuci si migdale
--
4 prajituri vegane
+
Macheta fluturi cu etaj real, de pastrat paleta de culori din poza din fisierul de comenzi
</t>
  </si>
  <si>
    <t>De facut factura.
300 amenajare candy-bar
-
892 praji candy-bar
-
520 tort</t>
  </si>
  <si>
    <r>
      <t xml:space="preserve">Royal President Ballroom, str Sperantei nr 22, Bragadiru, 
De vorbit la Receptie si de asigurat ca au ramas in frigider.
</t>
    </r>
    <r>
      <rPr>
        <b/>
        <u/>
        <sz val="11"/>
        <color rgb="FF000000"/>
        <rFont val="Calibri"/>
        <family val="2"/>
      </rPr>
      <t>De amenajat intre 16:15 si 17:15</t>
    </r>
  </si>
  <si>
    <t>Candy-Bar cu Tematica Albastru/Alb (botez baietel) - (40 pax)
--
25 x Mini Tarta Fructe 
25 x Choux Fistic
25 x Mini Tarta Ciocolata
25 x Macarons Mix
25 x Mini Tarta Lamaie
25 x Mini Pavlova
25 x Mini Eclere (vanilie)
25 x Briose Ciocolata (albastru/alb cu hartie albastru alb)
25 x panna cotta zmeura/vanilie
+ "DAMIAN" din turta dulce fiecare litera (albastru/alb)
--
1 x Tort Decorat (2 etaje, 4 kg) din Duo-Mousse Visine. In loc de "It's a boy" sa fie scris numele baietelului "Damian". Poza este in fisierul de decor
+
VESELA CANDY-BAR</t>
  </si>
  <si>
    <t>Sorina Pana
+447417449005</t>
  </si>
  <si>
    <t>Gargantua Anniversaire, str icoanei, nr 2</t>
  </si>
  <si>
    <t>Choux cu vanilie 2 buc (mari)
Tarta cu fructe 1 buc
Tarta cu ciocolata 1 buc
Tarta cu lamaie 1 buc
Tarta cu piersică sau caise 2 buc
Negresa Mare 10 buc (125 gr)
platou miniprajituri 5 persoane
3 feluri mousse la pahar
selectie torturi nunta taiate PATRAT si decorate</t>
  </si>
  <si>
    <t xml:space="preserve">Degustare Gargantua
0724255551
</t>
  </si>
  <si>
    <t>Tort Raspberry Vanilla pentru comanda Ali Lazar (28.07)</t>
  </si>
  <si>
    <t>130/kg cu 10% discount BNI. 
Factura pe estetiq solutions</t>
  </si>
  <si>
    <t>Daimon Club, Calea Piscului 10, București</t>
  </si>
  <si>
    <t xml:space="preserve">1 x tort decorat 4 kg Chocolate Fiesta (snickers) ca in poze décor
+
1 x platou 10 persoane </t>
  </si>
  <si>
    <t>Monica Nitescu
0722450598</t>
  </si>
  <si>
    <t>Tort raspberry Vanilla pentru comanda Toma Diana - Fortnite 2 (27.07)</t>
  </si>
  <si>
    <t>Tort real berry chocolate Pentru Andreea Petrache (27.07)</t>
  </si>
  <si>
    <t>de aflat adresa</t>
  </si>
  <si>
    <t>???? UNDEVA IN CHIAJNA</t>
  </si>
  <si>
    <t>degustare torturi (framboisier, citron, fistic, ceva cu caramel)</t>
  </si>
  <si>
    <t>cash fara brr (pending certificat conformitate)</t>
  </si>
  <si>
    <t>Ridicare de la laborator</t>
  </si>
  <si>
    <t>2 x platouri mini prajituri 10 persoane
1 x tort oreo coronita 1.5-2 kg (16 cm diametru, h 12-15 cm)
40 macarons
+
certificat conformitate</t>
  </si>
  <si>
    <t>melania lpv
(0726129955)</t>
  </si>
  <si>
    <t>14-jUL</t>
  </si>
  <si>
    <t>Factura selari investments</t>
  </si>
  <si>
    <t>Tarta cu ciocolata 5 buc
Tarta cu lamaie 5 buc
Choux cu vanilie 5 bucati
Negresa Mare 6 bucati</t>
  </si>
  <si>
    <t>Laura</t>
  </si>
  <si>
    <t xml:space="preserve">Protocol </t>
  </si>
  <si>
    <t>8 cozoaci (2 x mac, 2 cu nuca, 4 cu fructe confiate)</t>
  </si>
  <si>
    <t>the good companhy partnership</t>
  </si>
  <si>
    <t>Sector 6, Dr Taberei 68</t>
  </si>
  <si>
    <t>Tort profiterol 1.2 kg</t>
  </si>
  <si>
    <t>Florence Margarit</t>
  </si>
  <si>
    <t>ANDREEA</t>
  </si>
  <si>
    <t>-</t>
  </si>
  <si>
    <t>1 x citron cu bezea tare in loc de stratul de pandispan cu mac de la mijloc, si mai putin zahar in mousse (test pentru nunta august, cu degustare la laborator in zilele post 25 sau 26 sau 27 iulie) de stabilit la telefon cand poate sa vina</t>
  </si>
  <si>
    <t>Ana Caranovic
0727300402</t>
  </si>
  <si>
    <t>23-Jul</t>
  </si>
  <si>
    <t>Tort Chocolate Fiesta real pentru Monica Nitescu (13.07)</t>
  </si>
  <si>
    <t>laborator</t>
  </si>
  <si>
    <t>degustare mousse-uri(neaparat duo mousse cu visine sa fie impecabil)</t>
  </si>
  <si>
    <t>astept sa vad cum platesc</t>
  </si>
  <si>
    <t>Restaurant Piatra Alba
Sector 6, Dr Taberei 68</t>
  </si>
  <si>
    <t>2 x tort duo mousse cu zmeura 1,6 kg  (CELE DIN STOC) , decorat cum vreti voi dar AMBELE sa aiba o INIMIOARA si sa contina si mesajul "Soții Cernega, TĂT NORMAL"</t>
  </si>
  <si>
    <t>Corina Gramada
+40 769 308 105</t>
  </si>
  <si>
    <t xml:space="preserve">Bulevardul Pipera 43, Voluntari </t>
  </si>
  <si>
    <t>De ridicat candyBar</t>
  </si>
  <si>
    <t>Kokos</t>
  </si>
  <si>
    <t>Deja a platit pe website</t>
  </si>
  <si>
    <t>Pipera 42 - Nusco Tower, etajul 1</t>
  </si>
  <si>
    <t>2 x platou miniprajituri 10 persoane
+ 
certificat conformitate</t>
  </si>
  <si>
    <t>Alexandru Dumitru
0726731101</t>
  </si>
  <si>
    <t>Maison 13, Strada Dumbrava Roșie 2, București 030167</t>
  </si>
  <si>
    <t>De ridicat candybar</t>
  </si>
  <si>
    <t>Maison 13
0729013333</t>
  </si>
  <si>
    <t>Factura pe Selari Investment</t>
  </si>
  <si>
    <t>Choux cu vanilie 6 buc
Tarta cu fructe 6 buc
Tarta cu ciocolata 6 buc
Tarta cu lamaie 6 buc
Tarta cu piersică sau caise 6 buc
Negresa Mare 10 buc (125 gr)</t>
  </si>
  <si>
    <t>factura colloseum events</t>
  </si>
  <si>
    <t>75 portii tort duo mousse (ciocolata cu lapte si ciocolata alba cu fructe de padure, cateva fructe de padure deasupra de décor)
+
1 x desert pentru o persoana cu intoleranta la gluten (FARA fructe, dar e ok branza)</t>
  </si>
  <si>
    <t>Factura Soiree:
400 RON (macheta)
-
2080 RON (32 kg tort)
-
714 RON (candy 50 pers inclus)
-
Extra Madalina Iotu:
1666 RON Candybar 100 pers - 3.5 Eur/pers</t>
  </si>
  <si>
    <t xml:space="preserve">BUTAFORIE TORT CU ETAJ REAL (Toate informatiile sunt in fisier decor)
--
320 x  felie trio-mousse ciocolata (100 gr)
--
Candy-Bar 150 peroane:
86 x macarons mix
86 x tarte fructe
86 x tarte ciocolata
86 x pavlova
86 x choux fistic
86 x mini carrot cake
86 x mini raspberry vanilla
0.6 kg bezele artizanale (roz, alb)
</t>
  </si>
  <si>
    <t>Soiree
Madalina Iotzu</t>
  </si>
  <si>
    <t>Factura plata prin op sole events</t>
  </si>
  <si>
    <t>25 x cake pops colorate
25 x mini-carrot cake
25 x chou fistic
25 x mini-raspberry vanilla
25 x mini-cupcake (colorate)
500 gr bezele artizanale colorate
+
+ TIPLA FACTURI</t>
  </si>
  <si>
    <t>La laborator aranjate frumos.</t>
  </si>
  <si>
    <t xml:space="preserve">1 x pltaou torturi nunta
2 x choux ciocolata
2 x choux vanilie
2 x choux cafea
2 x choux fistic
2 x tarta lamaie
2 x tarta ciocolata
2 x tarta fructe
2 x pavlova
4 x macarons (diferiti ce credeti voi ca a iesit mai bine)
2 x mini-bite carrot cake
2 x mini-bite raspberry vanilla
2 x cookie ciocolata
1 x amandina (daca exista)
3 x mousse diferite la pahar (putem da acelasi lucru ca la lido)
</t>
  </si>
  <si>
    <t xml:space="preserve">Degustare Amberry - 31 Aug </t>
  </si>
  <si>
    <t>cash cu bon</t>
  </si>
  <si>
    <t>Bragadiru, Str Celofibrei, nr 48A</t>
  </si>
  <si>
    <t>5 Kg x Framboisier CUSTOM:
compozitia de vanilie de jos, de sub blat va fi mousse de CIOCOLATA ALBA, compozitia de sus, de peste blat ramane mousse de vanilie. Zmeura din compozitie si decorul raman identice ca pe site</t>
  </si>
  <si>
    <t>Mihai Alexandra
+40 768 697 894</t>
  </si>
  <si>
    <t>Factura Soiree:
400 RON (macheta)
-
1495 RON (23 kg tort)
-
714 RON (candy 50 pers inclus)
-
sos fructe padure (100 )
--
Extra Client:
833 RON Candybar 50 pers - 3.5 Eur/pers
--
Masa Candy-Bar 150 RON</t>
  </si>
  <si>
    <t>Soiree</t>
  </si>
  <si>
    <t>In culorile: lila, galben, alb
50 x mini pavlova
50 x mini tarte cu ciocolata
50 x choux fistic
40 x mini briose
40 x mousse de fructe
60 x asortiment de mini carrot cake si raspberry vanilla
40  x cake pops
60 x macaroons</t>
  </si>
  <si>
    <t>coloseum events:110 portii x 125 grame x 65 ron/kg) 893.75
-
butaforie (400)
1.5 kg tot real (97.5)
-
120 persoane x 3 euro (360 euro - 1712)
-
160 (tort 2 kg)
-
60 (20 mini pavlov)</t>
  </si>
  <si>
    <t>Macheta (cu etaj real) ca in POZA 1. Nivelul de sus sa fie tort real, iar celelalte doua butaforie. Panglica sa fie verde deschis (pal) nu alba cum este in poza.
+ 
110 x tort compozitie: MOUSSE DE FISTIC SI ZMEURA (125 gr)
+
 Candy-Bar 120 persoane (de trimis set vase negru/auriu si praji + vase inalte):
120 x macarons mix
60 x mini-tarte fructe
60 x mini-tarte ciocolata
60 x pavlova
60 x choux a la creme mix
60 x mini-tarte lamaie cu bezea flambata
60 x mini carrot cake
60 x mini raspberry vanilla
------------------
Petrecere Copi:
 tort cu bezea, ciocolata si capsuni (CIOCLATA, NU Mousse) si decorat tot cu bezea ciocolata  si capsuni
+ 
20 x mini-pavlova</t>
  </si>
  <si>
    <r>
      <rPr>
        <b/>
        <sz val="11"/>
        <color rgb="FF000000"/>
        <rFont val="Calibri"/>
        <family val="2"/>
        <charset val="1"/>
      </rPr>
      <t xml:space="preserve">130x 3 + 120 x 2 + 14 plata cu CARD </t>
    </r>
    <r>
      <rPr>
        <b/>
        <u/>
        <sz val="11"/>
        <color rgb="FF000000"/>
        <rFont val="Calibri"/>
        <family val="2"/>
        <charset val="1"/>
      </rPr>
      <t>(POS)</t>
    </r>
  </si>
  <si>
    <t>Bragadiru, Aleea Voinței nr. 15-17</t>
  </si>
  <si>
    <t>1) tort Rainbow Unicorn (roz tare ca pe site) de 3 kg compoziție snikers, Mesajul : La multi ani, Bianca!
2) tort Noissette de 2 kg decorul cu macarons si cu placuta de mesaj pe tort langa decor (poza in decor) . Mesajul : La multi ani, Bubi!
3) un cheez cake - 135 g ca pe site la sectiunea prajituri</t>
  </si>
  <si>
    <t>Irina Tacliciu
0720053993</t>
  </si>
  <si>
    <r>
      <rPr>
        <b/>
        <u/>
        <sz val="11"/>
        <color rgb="FF000000"/>
        <rFont val="Calibri"/>
        <family val="2"/>
        <charset val="1"/>
      </rPr>
      <t>DE LUAT POS-UL</t>
    </r>
    <r>
      <rPr>
        <b/>
        <sz val="11"/>
        <color rgb="FF000000"/>
        <rFont val="Calibri"/>
        <family val="2"/>
        <charset val="1"/>
      </rPr>
      <t>. SE PLATESTE CU CARDUL. Se bate si bon fiscal 
-
120 10% discount</t>
    </r>
  </si>
  <si>
    <t>Calea Bucuresti 2A, in fata la Hornbach. De sunat cu o ora inainte ca sa ne asteapte in fata</t>
  </si>
  <si>
    <t>1 x tort frambosier 1 kg (mai multe fructe ca de obicei)</t>
  </si>
  <si>
    <t>Andreea
0749639726</t>
  </si>
  <si>
    <t>240 RON cash cu bon</t>
  </si>
  <si>
    <t>Bulevardul Basarabia 104, Sc B, ap 27</t>
  </si>
  <si>
    <t>1 x tort 2 kg ricotta si fructe confiate cu mesajul "Mulți ani fericiți împreună, Iuliana &amp; Andrei"
+
certificat conformitate</t>
  </si>
  <si>
    <t>Iuliana Carp
0726247868</t>
  </si>
  <si>
    <t>Str. Sabinelor nr. 106, Bloc 115, sc 1, etaj 2, ap 10, sector 5 , interfon 110</t>
  </si>
  <si>
    <t>1 x tort fistic 1.2 kg cu mesajul "La Multi Ani, Justin!". Decorat cu Macarons(fara ciocolata/cafea/lamaie) si fructe multe.
+
certificat conformitate</t>
  </si>
  <si>
    <t>Gabriela Topa(Miruna)
0736999153</t>
  </si>
  <si>
    <t>Tort noissete pentru Irina Tacliciu (20.07)</t>
  </si>
  <si>
    <t>Tort tri-mousse  real pentru Madalina Iotzu (21.07)</t>
  </si>
  <si>
    <t>Liceul Ioan Cuza, Aleea Barajul Dunării numărul 5</t>
  </si>
  <si>
    <t>1 x tort dreptunghiular duo-mousse visine cu imaginea din comenzi printata peste el. (5 kg)
+
certificat conformitate</t>
  </si>
  <si>
    <t>Adi (Magic Events)
0727372868</t>
  </si>
  <si>
    <t xml:space="preserve">
25 x cake pops colorate
25 x mini-carrot cake
25 x chou fistic
25 x mini-raspberry vanilla
25 x mini-cupcake (colorate)
500 gr bezele artizanale colorate</t>
  </si>
  <si>
    <t xml:space="preserve">coloseum events:
70 portii x 125 grame x 65 ron/kg) - </t>
  </si>
  <si>
    <t xml:space="preserve">70 x portii tort duo mousse (ciocolata cu lapte si ciocolata alba cu fructe de padure, cateva fructe de padure deasupra de decor). </t>
  </si>
  <si>
    <t>Protocol Degustare</t>
  </si>
  <si>
    <t>Mogosoaia Lake View|| Strada PADURE NR 2 BIS, Strada Chitila Pădure, Mogoșoaia</t>
  </si>
  <si>
    <t>3 x degustare torturi(pentru evenimentele lor din luna August)</t>
  </si>
  <si>
    <t>Mogosoaia Lake View 
Corina +40 769 308 105</t>
  </si>
  <si>
    <t>1 x tort bayley's 3 kg (decorat ca pe website)</t>
  </si>
  <si>
    <t>Cash cu bon</t>
  </si>
  <si>
    <t>Sediul Enel, vis-à-vis de Bibilioteca Nationala de pe Slpai. De sunat</t>
  </si>
  <si>
    <t>1 x platou 10 persoane
+ certificat conformitate</t>
  </si>
  <si>
    <t>David Cristian
0752076168</t>
  </si>
  <si>
    <t>degustare</t>
  </si>
  <si>
    <t>de pregatit 3 seturi, o noapte in frigider pentru livrarea degustarilor de vineri 19.07</t>
  </si>
  <si>
    <t>Degustare Mogosoaia</t>
  </si>
  <si>
    <t>Tort fistic real pentru Macheta Bragadiru (20.07)</t>
  </si>
  <si>
    <t>Tort duo-mousse visine real pentru Soiree (20.07)</t>
  </si>
  <si>
    <t>Tort snikers pentru Irina Tacliciu (20.07)</t>
  </si>
  <si>
    <t xml:space="preserve">1 x platou torturi nunta + carrot cake
2 x choux ciocolata
2 x choux vanilie
2 x choux cafea
2 x choux fistic
2 x tarta lamaie
2 x tarta ciocolata
2 x tarta fructe
2 x pavlova
4 x macarons (diferiti ce credeti voi ca a iesit mai bine)
2 x mini-bite carrot cake
2 x mini-bite raspberry vanilla
2 x cookie ciocolata
1 x amandina (daca exista)
3 x mousse diferite la pahar (putem da acelasi lucru ca la lido)
</t>
  </si>
  <si>
    <t>Degustare Madalina - 10 Aug Amberry</t>
  </si>
  <si>
    <t>Tort duo mousse real pentru Adi - Magic Place (19.07)</t>
  </si>
  <si>
    <t>Ridicare Laboratir</t>
  </si>
  <si>
    <t>1 x platou tort nunta</t>
  </si>
  <si>
    <t>Crina Barbu Degustare</t>
  </si>
  <si>
    <t>de luat vineri 19.07 cand ducem degustarile</t>
  </si>
  <si>
    <t>ridicare laborator</t>
  </si>
  <si>
    <t>Vaza Pavlova Party</t>
  </si>
  <si>
    <t>(Mogosoaia Lake View) 
Corina +40 769 308 105</t>
  </si>
  <si>
    <t>Miruna</t>
  </si>
  <si>
    <t>Laurenitu</t>
  </si>
  <si>
    <t>Sos buc targ nr 219 g, Mogosoaia</t>
  </si>
  <si>
    <t>1 x Tort Framboisier de 3 kg, model cu figurina doamna și vagabontul. Sa fie cifra 6 pe el, modelul este cel din POZA 1 ( cu roz), dar figurinele din POZA 2. 
+ 
certificat conformitate</t>
  </si>
  <si>
    <t>Sabina Sandulescu (Miruna)
0736129383</t>
  </si>
  <si>
    <t>1 x platou degustare nunta</t>
  </si>
  <si>
    <t>Degustare miniprajituri platou 2 persoane (este pentru o comanda de 150 minipraji pe 27)</t>
  </si>
  <si>
    <t>Degustare Andrei Trif
0737409899</t>
  </si>
  <si>
    <t>ANALIZE LABORATOR</t>
  </si>
  <si>
    <t>COMPLETEAZA ANDREEA</t>
  </si>
  <si>
    <t>5 x portii tort lamaie
5 portii tort fistic</t>
  </si>
  <si>
    <t>Teste Laborator</t>
  </si>
  <si>
    <t xml:space="preserve">Plata cu POS-UL. Se printeaza factura si se scoade un bon cu PLU 10. Se inmaneaza clientului alaturi de bonul emis de POS.
--
ownzone media network ro srl -  RO 34732426 </t>
  </si>
  <si>
    <t>Strada Gheorghe Polizu, Nr. 58-60, etajul 8</t>
  </si>
  <si>
    <t>1 x fistic 2 kg decorat ca pe website
1 x noisette 2 kg decorat ca pe website
Pe ambele torturi sa scrie "La Multi Ani!"</t>
  </si>
  <si>
    <t>Nicoleta Ignat
0727020211</t>
  </si>
  <si>
    <t>Andreea</t>
  </si>
  <si>
    <t>n/a</t>
  </si>
  <si>
    <t>FACTURA PLATA CASH/ DIGITAL FRIDAY SRL</t>
  </si>
  <si>
    <t>Bd. Marasesti nr. 2B, et. 5, ap. 24, interfon 24 clopotel, scara de langa vlog cafe</t>
  </si>
  <si>
    <t>15-Jul</t>
  </si>
  <si>
    <t>30 x mix macarons</t>
  </si>
  <si>
    <t>Tort Framboisier pentru comanda Sabina Sandulescu (17.07)</t>
  </si>
  <si>
    <t xml:space="preserve">factura cu op persoana fizica si se trimite laurei
</t>
  </si>
  <si>
    <t xml:space="preserve"> Strada Delea Noua 3</t>
  </si>
  <si>
    <t>1 x 1.6 kg tort chocolate delight
1 x platou miniprajituri 5 persoane
+ 
certificat conformitate</t>
  </si>
  <si>
    <t>Magda Vrajitoru
0745999778</t>
  </si>
  <si>
    <t>1 x platou 5 persoane miniprajituri</t>
  </si>
  <si>
    <t>Anaf</t>
  </si>
  <si>
    <t>2100 RON candybar (15 RON/pers). Facut factura persoana fizica Andreea Petre</t>
  </si>
  <si>
    <t>Candy-Bar (140 persoane)
mini pavlova - 56 buc
mini tarta fructe - 56 buc
choux verde aprins (fistic) - 56 buc
cupcake (cu frosting verde, roz, ivoire + alte culori pastelate) - 56 buc
tarte ciocolata - 38  buc
choux roz aprins (vanilie) - 56 buc
tiramisu la pahar - 56 buc
mousse vanilie si zmeura la pahar - 56 buc
macarons mix (verde, alb, galben, roz) - 140 buc</t>
  </si>
  <si>
    <t>Andreea Petre (BLU)
0727852766</t>
  </si>
  <si>
    <t>360 Ron cash cu bon</t>
  </si>
  <si>
    <t>Trattoria Planet, Șoseaua Sălaj 363, București 052034</t>
  </si>
  <si>
    <t>1 x tort decorat ursulet. (3 kg total - raspberry vanilla) ca in poza.
---
Se doreste o mica modificare de aspect: un balon în mana ursulețului pe care sa fie scrisa cifra 1 iar în loc de textul "One" de pe tort, sa fie scris "Anastasia". (Aveti poza de inspiratie)
+ 
certificat conformitate</t>
  </si>
  <si>
    <t xml:space="preserve">Alexandra Drunea
0747639380
</t>
  </si>
  <si>
    <t>Ridicare Avans</t>
  </si>
  <si>
    <t>Strada Tortei 8, Bragadiru</t>
  </si>
  <si>
    <t>Ridicare 513.6 RON</t>
  </si>
  <si>
    <t>XXX
0765224688</t>
  </si>
  <si>
    <t>Factura Soiree:
400 RON (macheta)
-
1040 RON (16 kg tort)
-
714 RON (candy 50 pers inclus)
-
476 ron (candy 30 persoane extra)
-
sos fructe padure (100 )</t>
  </si>
  <si>
    <t xml:space="preserve">1 x tort real 4 etaje ricotta cu compozitie adaptata  ca in "Poza 1" cu florile de la "Poza 2" (16 kg)
+ felie ricotta si fructe confiate (100 gr) (Pana la 16 kg)
+
sos fructe padure (2 kg)
--
Candy-Bar 80 peroane:
52 macarons mix
52 tarte fructe
52 tarte ciocolata
52 pavlova
52 tarta lamaie
52 choux fistic
52 raspberry vanilla
500 gr bezele artizanale
</t>
  </si>
  <si>
    <t xml:space="preserve">factura persoana fizica OP. </t>
  </si>
  <si>
    <t xml:space="preserve">IKI Land Bragadiru, Strada Callimachi 17 </t>
  </si>
  <si>
    <t>1 x Tort Oreo 3.5 kg decorat ca pe website cu mesajul  "La Mulți Ani, Victor! " (ATENTIE CLIENT F IMPORTANT)</t>
  </si>
  <si>
    <t>(120x83g + 1.5kg) x 75 lei/kg (factura Mogosoaia IT QUEST &amp; Management)</t>
  </si>
  <si>
    <t xml:space="preserve">120 x felii tort fistic de 83g!!!
1,5 kg tort real fistic, imbracat in pasta alba simpla ca butaforia pe care le-am dat-o|| compozitie fistic
</t>
  </si>
  <si>
    <t>Protocol degustare</t>
  </si>
  <si>
    <t>str. Drumul Opalului, nr 1-43, bl. Condor, sc.D, et.2, ap.6, jnterfon 6, complex Felicity, sector 1, Bucuresti</t>
  </si>
  <si>
    <t>1 x platou miniprajituri 5 persoane
1 x degustare nunta
--
Revansa pentru tort slab</t>
  </si>
  <si>
    <t>Roxana Stan
0725529288</t>
  </si>
  <si>
    <t>A fost achitat deja</t>
  </si>
  <si>
    <t>Casa Jienilor, adresa strada Agricultori nr. 12 sector 2.</t>
  </si>
  <si>
    <t>1 x Tort Framboisier 4.5 kg dreptunghiular cu mesajul " Mesaj: Casa de piatra Florin si Raluca "
--
Decor cu fructe și macarons
+
certificat conformitate scos in ziua curenta</t>
  </si>
  <si>
    <t>Adela Tudor (Miruna)
0755026612</t>
  </si>
  <si>
    <t>cash cu bon + certificat conformitate</t>
  </si>
  <si>
    <t>Gymboland (spatiu de joaca mega mall, Bulevardul Pierre de Coubertin 3-5, ultimul etaj langa cinema)</t>
  </si>
  <si>
    <t>3kg tort decorat Elsa|| astept poza de décor|| astept compoztia si mesajul
--
20 diametru cu înălțimea 15, 3Kg TOTAL. Décor: roz cu auriu, cu coroana și ornamentele de la poza + 5 portrete inramate ca in poza:
1) Elsa si Ana
2) Ariel
3) Alba ca Zapada
4) Bella
5) Printesa cu fusta roz (?)
-
Mesaj e doar "ELLA" cu litere  3D așezate in picioare pe suportul tortului, intr-una dintre părți (nu in fata) - "a folosiți șabloane de litere mai mici cat sa se citească dar sa și acopere cat mai puțin din portrete"</t>
  </si>
  <si>
    <t>Ms. Maner 
(de vorbit in engleza)
0731824000</t>
  </si>
  <si>
    <t>1 x platou degustare torturi nunta. De sunat cu 20' inainte!</t>
  </si>
  <si>
    <t>factura soiree</t>
  </si>
  <si>
    <t xml:space="preserve">165 x portie fistic (100 grame)
--
BUTAFORIE FARA ETAJ REAL (3 Nivele) ca in poza. In loc de negru se va folosi grena si in loc de auriu se va folosi alb
1)Deasupra etajul superior sa fie o toca si o diploma rulata cu funda
2) Pe etajul superior se lipeste logo-ul facultatii MAN
3)Pe etajul din mijloc sa fie mesajul:
 "Facultatea de Management
A.S.E. 
Promoția 2016-2019"
4) Pe suport rezemat de tort sa fie logo-ul facultatii ASE
</t>
  </si>
  <si>
    <t xml:space="preserve">Factura cu OP </t>
  </si>
  <si>
    <t>str.Ghetarilor 17, in spatele ambasadei chinei</t>
  </si>
  <si>
    <t>1 x tort dreptunghiular 4 kg decorat 2d cu mesaj ca in poze décor. (Choco delight - tortul cu mousse si blat de nuca - cred choco delight_
+ certificat conformitate in engleza. 
---
ATENTIE!!! Tortul sa fie congelat (se transporta in bulgaria). Dimensiunile cutiei frigorifice sunt  59x39x25 cm</t>
  </si>
  <si>
    <t>Tort fistic real pentru Macheta Mogosoaia (13.07)</t>
  </si>
  <si>
    <t>2 x degustare torturi</t>
  </si>
  <si>
    <t>Factura Wise factor entertainment:
400 ron butaforie
60 ron taxa transport</t>
  </si>
  <si>
    <t>Domeniul Stirbey, Strada Știrbei Vodă 36</t>
  </si>
  <si>
    <t>1 x macheta trei etaje (FARA ETAJ REAL) ca cea din poza din décor dar cu un etaj in plus. Pe etajul de mai de sus sa scrie "Universitatea de Arhitectură și Urbanism Arhitect Ion Mincu - Promoția 2019"</t>
  </si>
  <si>
    <t>Andrei Radulescu (twelve)
0744796589</t>
  </si>
  <si>
    <t>de scazut din datoria LBE</t>
  </si>
  <si>
    <t>Calea Floreasca 194, etaj 3</t>
  </si>
  <si>
    <t>2 x platou de minipraji 10 persone
1 x platou cafea 10 persone 
+ 1 cutie cu negrese(cat vreti voi sa intre bine in cutie)
cutiile sa fie cu sticker LARA SWEETS</t>
  </si>
  <si>
    <t>Alive Capital
Bucurei Ioana
0721386842</t>
  </si>
  <si>
    <t>De aflat</t>
  </si>
  <si>
    <t>Te rog sa te duci iar cu Dubita la mecanic (Lucian - 0769537153) pentru ca a incetat sa functioneze racirea din spate. Pentru mai multe info il poti suna pe Claudiu. E important sa terminam in prima parte a zilei pana la plecarea de la 14:00.</t>
  </si>
  <si>
    <t>Reparat Dubita</t>
  </si>
  <si>
    <t xml:space="preserve">cash cu bon </t>
  </si>
  <si>
    <t>Palladium Residence,  Calea Calitei,  nr. 4_32 , bl  1 SC b.  . Dar ma suna și cobor eu sa îl iau.</t>
  </si>
  <si>
    <t>1 x Tort 2kg "Unicorn 2" oreo sa scrie pe el “La multi ani,Ioanna! ( cu 2 n)
+
certificat conformitate</t>
  </si>
  <si>
    <t>Ana Anton
0724032531</t>
  </si>
  <si>
    <t>Degustare Minprajituri Candy-Bar 3 euro:
6 x macarons mix
4 x mini-tarte fructe
4 x mini-tarte ciocolata
4 x pavlova
6 x choux a la creme mix
4 x mini-tarte lamaie cu bezea flambata
4 x mini carrot cake
4 x mini raspberry vanilla</t>
  </si>
  <si>
    <t>Siret 65, doar se suna la usa</t>
  </si>
  <si>
    <t>Platou miniprajituri 5 persoane</t>
  </si>
  <si>
    <t xml:space="preserve">Degustare Almaj Albu
</t>
  </si>
  <si>
    <t>112 (160…80x2 cu 30% reducere) fara brrrr</t>
  </si>
  <si>
    <t xml:space="preserve"> 2 x cutii verzi cu minipraji diverse</t>
  </si>
  <si>
    <t>Simona Carol
0722329178</t>
  </si>
  <si>
    <t>La prima ora te rog sa-l suni pe mecanic (Lucian - 0769537153) din partea lui Bogdan cu dubita de la LPV. Dupa livrarea de la bragadiru te rog sa te duci cu dubita acolo pentru reparatii.</t>
  </si>
  <si>
    <t>1 x platou degustare torturi nunta</t>
  </si>
  <si>
    <t xml:space="preserve">1 x Tort Framboisier  de 1,6 kg și sa scrie pe el “La multi ani, mami! </t>
  </si>
  <si>
    <t xml:space="preserve">Silvia Fiscuci (Miruna)
</t>
  </si>
  <si>
    <t xml:space="preserve">Factura Soiree:
400 RON (macheta)
-
Etaj Real Macheta
97.5
(1.5 kg x 65 ron/kg)
-
3705 RON (57 kg 65 ron)
</t>
  </si>
  <si>
    <t>566 x portie tort fistic si zmeura 100 gr
4 x portie vegana
+
Butaforie ca in fisierul de décor cu un etaj real</t>
  </si>
  <si>
    <t xml:space="preserve">Soiree
</t>
  </si>
  <si>
    <t>Tort Oreo pentru comanda Ana Anton (10.07)</t>
  </si>
  <si>
    <t>120 ron cash cu brr</t>
  </si>
  <si>
    <t>1 x tort 1 kg CARAMEL SARAT. (cum a fost o data la degustare). "La Multi Ani, Radu" si cifra "33" undeva pusa.</t>
  </si>
  <si>
    <t>Ruxandra
0766567898</t>
  </si>
  <si>
    <t>30 x mini tarte cu ciocolata
30 x choux fistic
30 x tiramisu la pahar
30 x pavlova
30 x asortiment de mini carrot cake si raspberry vanilla
30 x Mousse vanilie si zmeura la pahar</t>
  </si>
  <si>
    <t>260 Ron cash cu bon</t>
  </si>
  <si>
    <t>1 x tort fistic decorat (2 kg greutate TOTALA). Pozele sunt in departamentul de décor. De scris "La Multi, Ani" iar in loc de "Jere" sa scriem "Patrick". De pastrat cifra "3" si balonasele.
+ certificat conformitate</t>
  </si>
  <si>
    <t>Afi cotroceni, lasermaxx</t>
  </si>
  <si>
    <t>1 x tort decorat Oreo 2 kg ca cel din fotografii decor. In loc de legumele modelate din pasta de zahar putem sa ornam suportul cu briose/cake-pops sau orice altceva. 
--
Mesajul este "Happy 12th birthday! May you always see life through the eyes of a child and the heart of an angel!"
+ certificat conformitate</t>
  </si>
  <si>
    <t>Alina Prahoveanu (BNI)
0726100107</t>
  </si>
  <si>
    <t>300 RON plata prin op persoana fizica</t>
  </si>
  <si>
    <t>Younivers Summer Club, Piața Presei Libere 1, București</t>
  </si>
  <si>
    <t>1 x Tort Duo Mousse cu visine de 3kg sa scrie pe el “La multi ani,Alex” pe care sa ii punem ceva gen chef bucatar
---
Sa se mentioneze neaparat ca "Tortul este din partea mamei" in momentul in care se face livrarea. Se lasa doar la Alex Hegazi!</t>
  </si>
  <si>
    <t>Elena Visan 
0745121201</t>
  </si>
  <si>
    <t>Str. Drumul Vârful Berivoiul Mare nr.  72A (loc de joaca "the Kid")</t>
  </si>
  <si>
    <t>3kg x tort Paw Patrol||doar 2 figurine, cățelușul maro cu albastru și băiețelul, “La mulți ani, Matei” ||compozitie Oreo|| + certificat conformitate</t>
  </si>
  <si>
    <t>Alina Stroe
+40 724 239 023</t>
  </si>
  <si>
    <t>(80x83g + 1.5kg) x 75 lei/kg (factura Mogosoaia IT QUEST &amp; Management)</t>
  </si>
  <si>
    <t xml:space="preserve">80 x felii tort fistic de 83g!!!
1,5 kg tort real fistic, imbracat in pasta alba simpla ca butaforia pe care le-am dat-o|| compozitie fistic
</t>
  </si>
  <si>
    <t>110 portii x 125 gr x 65 ron/kg( 893 ron)
--
butaforie refacuta (200 ron)
--
110 persoane x 3 euro (330 euro - 1570)</t>
  </si>
  <si>
    <t xml:space="preserve">110 x felie tort 125 gr (Compozitie Tort – Foi de bezea cu nuca, crema de mascarpone cu coacaze, Foi de bezea cu nuca, mousse de ciocolata cu zmeura)
--
Butaforie ca in imagine: Pentru sambata am nevoie de tortul din atasament, 2 etaje false, cel de sus tort adevarat. 
--
 Candy-Bar 110 persoane (de trimis set vase negru/auriu si praji + vase inalte):
110 x macarons mix
55 x mini-tarte fructe
55 x mini-tarte ciocolata
55 x pavlova
55 x choux a la creme mix
55 x mini-tarte lamaie cu bezea flambata
55 x mini carrot cake
55 x mini raspberry vanilla
</t>
  </si>
  <si>
    <t>Tort -1202.5 
(18.5 kg x 65 ron/kg)
-
Etaj Real Macheta
97.5
(1.5 kg x 65 ron/kg)
-
macheta (400)
-
Candybar - 780 RON
(3 euro x 50 pers + 3.5 euro x 30 pers - 165 euro)</t>
  </si>
  <si>
    <t>185 x 100 gr portie citron
+
Butaforie cu etaj real ca in poze décor (3 etaje false si 1 etaj real, cu bujori albi)
+
Amenajare candy-bar 80 persoane (ALB/ROZ/VIOLET):
46 x choux fistic
50  x macarons tematici
46 x raspberry vanilla
46 x tarte lamaie
46 x  pavlova
20 x briose decorate tematic
500 gr bezele colorate tematic</t>
  </si>
  <si>
    <t>Nunta client Soiree 
0740046008</t>
  </si>
  <si>
    <t>loc de joaca Zumbrava 
Strada George Bacovia Nr. 23, Voluntari</t>
  </si>
  <si>
    <t>3 kg tort Tort Rainbow Unicorn, pasta de zahar care acopera tortul sa fie roz deschis si nu alb cum e in poza, in rest identic|| compozitie raspberry vanilla + capsuni||"LA MULTI ANI, MIRUNA!"
+ o felie asemanatoare cu compozitia tortului dar care sa nu contina lapte (sau orice derivat) si oua
+ certificat conformitate
--
felia de mai sus sa fie triunghiulara si sa para taiata din tortul rastpberry vanilla, pentru ca e o fetita care a suferit tot timpul mancand altceva fata de toti ceilalti, prin urmare va rog sa faceti tot posibilul ca felia sa arate ca cele din compozitie</t>
  </si>
  <si>
    <t>Ciudin Maria
0724537351</t>
  </si>
  <si>
    <t>Maison 13</t>
  </si>
  <si>
    <t xml:space="preserve">Candy-Bar (30 persoane - 564 RON-18.8 RON/pers) - Amenajeaza Laurentiu: 
30 x minibriose ciocolata
30 x minitarte cu fructe
30 x mini tarte cu ciocolata si caramel
30 x macarons 
30 x pavlova
30 x mini carrot cake
--
Tort(400 RON butaforie + 440 RON fistic): 
4 kg tort fistic cu zmeura inglobat intr-o macheta "Black Luxury" (1 sau 2 etaje) </t>
  </si>
  <si>
    <t>Maison 13 - cununie
0723186028</t>
  </si>
  <si>
    <t>120 portii x 125 gr x 75 ron/kg (1125 RON)
macheta (500 ron)</t>
  </si>
  <si>
    <t>Magic Place Grant Events, Sos. Virtutii nr. 155, Bucuresti</t>
  </si>
  <si>
    <t>120 x portii 125 gr duo mousse cu fructe de padure 
+
macheta din poze décor cu etaj real si flori naturale</t>
  </si>
  <si>
    <t>Adina Panait(Magic Place)
0755081111</t>
  </si>
  <si>
    <t>Factura cu op se plateste Ulterior 
+
certificat conformitate</t>
  </si>
  <si>
    <t>Kiddo Play Academy Park Lake, Strada Liviu Rebreanu 4</t>
  </si>
  <si>
    <t>3kg Tort Printese Disney 2, un etaj cu cele 3 printese printate si lipite de jur imprejur||duo mousse cu visine||de scris doar "ELA" cu litere din pasta de zahar pe suportul tortului (ca la tortul cu unicorn si caluti pe care l-a comandat in trecut)
+
certificat conformitate</t>
  </si>
  <si>
    <t>Alina Burducea
0721624541</t>
  </si>
  <si>
    <t>Constantin Disescu nr. 4</t>
  </si>
  <si>
    <t xml:space="preserve">1 x degustare compozitii toart nunta din toate tipurile foarte frumos decorate
3 x briose ca la mercedes!
2 x choux ciocolata
2 x choux vanilie
2 x choux cafea
2 x choux fistic
2 x tarta lamaie
2 x tarta ciocolata
2 x tarta fructe
2 x pavlova
2 x macarons (ce credeti voi ca a iesit mai bine)
2 x mini-bite carrot cake
2 x mini-bite raspberry vanilla
2 x cookie ciocolata
2 x cookie afine
1 x amandina (daca exista)
3 x mousse diferite la pahar (putem da acelasi lucru ca la lido)
</t>
  </si>
  <si>
    <t>Sabina Dilvaru
0723621260</t>
  </si>
  <si>
    <t>260 ron fara brr</t>
  </si>
  <si>
    <t>tort 4 kg duo-mousse visine.  decorat maritim ca in poza décor
+ 
certificat conformitate</t>
  </si>
  <si>
    <t>Alina Anton
0736415505</t>
  </si>
  <si>
    <t>Prajituri in culorile: lila, roz, alb:
40 x mini briose 
40 x cake pops 
45 x choux fistic
40 x tiramisu
40 x pavlova
40 x asortiment de mini carrot cake si raspberry vanilla
50 x macaroons</t>
  </si>
  <si>
    <t>NA</t>
  </si>
  <si>
    <t>1 x degustare torturi</t>
  </si>
  <si>
    <t>Mogosoaia Lake View 
Corina 0769308105</t>
  </si>
  <si>
    <t>1 x platou degustare torturi nunta taiate patrat (ca la ramada nord)</t>
  </si>
  <si>
    <t>119 RON cash cu bon si certificat</t>
  </si>
  <si>
    <t>Blvd. Dimitrie-Pompeiu, nr. 5-7, complex Hermes</t>
  </si>
  <si>
    <t>1 x platou mini-prajitrui 5 persoane
5 x choux cu LAMAIE</t>
  </si>
  <si>
    <t>Ana Dumitrescu (luxoft)
0727687282</t>
  </si>
  <si>
    <t>272 RON de facut factura SC DECO FOOD SRL. 85 RON/kg si citronul e de test</t>
  </si>
  <si>
    <t>Restaurant Fatoria,  Șoseaua Nordului 7-9, București</t>
  </si>
  <si>
    <r>
      <rPr>
        <b/>
        <sz val="11"/>
        <color rgb="FF000000"/>
        <rFont val="Calibri"/>
        <family val="2"/>
        <charset val="1"/>
      </rPr>
      <t>ATENTIE: Ne roaga cei de la fattoria sa folosim la citron si fistic niste culori un pic mai pale, sa nu para "artificiale". Nu uitati ca trebuie decorate astfel incat fiecare felie taiata sa fie aspectoasa. MAI PALEEEEEEE:))
---
1 x 1.6 kg tort framboisier decorat ca ultima data (ca pe website)
1 x 1.6 kg tort fistic</t>
    </r>
    <r>
      <rPr>
        <b/>
        <u/>
        <sz val="11"/>
        <color rgb="FF000000"/>
        <rFont val="Calibri"/>
        <family val="2"/>
        <charset val="1"/>
      </rPr>
      <t xml:space="preserve"> decorat ca ultima data la fattoria</t>
    </r>
    <r>
      <rPr>
        <b/>
        <sz val="11"/>
        <color rgb="FF000000"/>
        <rFont val="Calibri"/>
        <family val="2"/>
        <charset val="1"/>
      </rPr>
      <t>. (fructe + macarons)</t>
    </r>
  </si>
  <si>
    <t xml:space="preserve">Silvia Dimcearu (Restaurant Fattoria)
0723929126
</t>
  </si>
  <si>
    <t>74 portii x 125 grame la 65 ron/kg. Facut op pe coloseum events</t>
  </si>
  <si>
    <t>74 portii 125 tort duo mousse (ciocolata cu lapte si ciocolata alba cu fructe de padure, cateva fructe de padure deasupra de décor)</t>
  </si>
  <si>
    <t>plateste tudor cash direct</t>
  </si>
  <si>
    <t>Firma Quart, Ion Luca Caragiale 14-16, ap 2 (blocul cu sensiblu la parter)</t>
  </si>
  <si>
    <t>Pentru Baby Shower:
4 x briose cu albastru
4 x briose albe
(de pus in cutie transparenta cu 8 briose. De pus hartie cu alb/albastru pe briose)
--
Sa fie ambalaje si facute dragut ca apar pe facebook/insta etc:)</t>
  </si>
  <si>
    <t xml:space="preserve">Ana (din partea Ancai Bunda)
0740610225
</t>
  </si>
  <si>
    <t>Reina Events, Strada Locotenent Nicolae Pascu 81, București</t>
  </si>
  <si>
    <t>1 x cutie miniprajituri produse vegane 10 persoane
1 x platou miniprajituri 10 persoane</t>
  </si>
  <si>
    <t>Madalina Ionescu (Reina Events)
0724415433</t>
  </si>
  <si>
    <t>facut factura selari</t>
  </si>
  <si>
    <t>Tarta cu fructe 4 buc
Tarta cu ciocolata 4 buc
Tarta cu lămâie 4 buc
Choux cu vanilie 4 buc</t>
  </si>
  <si>
    <t>Ridcare de la laborator</t>
  </si>
  <si>
    <t>1 x cutie miniprajituri 3 persoane
1 x tarta mare ciocolata
1 x tarta mare lamaie
1 x tarta mare fructe
1 x degustare torturi nunta patrate decorate frumos</t>
  </si>
  <si>
    <t>Degustare Ramada Nord</t>
  </si>
  <si>
    <t>360 cash cu bon</t>
  </si>
  <si>
    <t>Tratoria Il Calcio Romancierilor( in Drumul Taberei), bulevardul Drumul Taberei nr 68</t>
  </si>
  <si>
    <t>1 x 3 kg duo-mousse visine</t>
  </si>
  <si>
    <t>Andreea Raduica
0766510791</t>
  </si>
  <si>
    <t>datorie ca nu i-ma pus cake pops pe tort</t>
  </si>
  <si>
    <t>Sos. Vergului nr 65 Bl 17 Sc I (ion) sector 2 Buc reper bloc vis a vis de Spitalul Malaxa</t>
  </si>
  <si>
    <t>1 x platou de minipraji 5 persoane</t>
  </si>
  <si>
    <t>Anca Stanoiu
+40 727 831 787</t>
  </si>
  <si>
    <t>173 RON cash cu bon (192 RON cu 10 % discount)</t>
  </si>
  <si>
    <t>Strada Emil Racovita 31, bl. EM 2, sc. B, ap. 38</t>
  </si>
  <si>
    <t>1 x 1.6 kg tort framboisier (VERSIUNE GREEN SUGAR PENTRU DIABETICI)
--
Mesajul este "La multi ani, Alina!"</t>
  </si>
  <si>
    <t>Radu Gasler (BNI)
0748138748</t>
  </si>
  <si>
    <t>Siret 65</t>
  </si>
  <si>
    <t>1 x cutie verde mini-prajituri vegane (4 sortimente diferite)</t>
  </si>
  <si>
    <t>Intrare Allianz Tiriac
Degustare</t>
  </si>
  <si>
    <t>Delea Noua 3 - Delea Business Centre. De sunat de dimineata si confirmat ora</t>
  </si>
  <si>
    <t>1 x cutie degustare torturi nunta cu biletel in dreptul fiecaruia.
--
De sunat pentru confirmare ora</t>
  </si>
  <si>
    <t>cash cu bon +certificat conformitate</t>
  </si>
  <si>
    <t>Petricani 54</t>
  </si>
  <si>
    <t>2 kg Tort Noisette || cu poza printata din fisierul Décor 
+certificat conformitate</t>
  </si>
  <si>
    <t>Anca Bobirca
0726157827</t>
  </si>
  <si>
    <t>1 x cutie mini-prajituri 5 persoane (Fara macarons. In loc de macarons mai adaugam cate 1 bucata extra la celalate sortimente)</t>
  </si>
  <si>
    <t>Degustare Marboro 1/2</t>
  </si>
  <si>
    <t>87 portii x 125 grame la 65 ron/kg. Facut op pe coloseum events</t>
  </si>
  <si>
    <t>87 portii 125 gr tort duo mousse (ciocolata cu lapte si ciocolata alba cu fructe de padure, cateva fructe de padure deasupra de décor)
+
---------
1 x set degustare torturi si candy-bar nunta</t>
  </si>
  <si>
    <t>Str. Grigore Mora nr 17 bis apt 5</t>
  </si>
  <si>
    <t>3 kg tort Tort Rainbow Unicorn pe culoarea alba ca in poza din decor|| compozitia OREO || "La multi ani, Ina Maria!"</t>
  </si>
  <si>
    <t>Iulia Bojita
+40 744 569 517</t>
  </si>
  <si>
    <r>
      <rPr>
        <b/>
        <sz val="11"/>
        <color rgb="FF000000"/>
        <rFont val="Calibri"/>
        <family val="2"/>
        <charset val="1"/>
      </rPr>
      <t>ATENTIE: Ne roaga cei de la fattoria sa folosim la citron si fistic niste culori un pic mai pale, sa nu para "artificiale". Nu uitati ca trebuie decorate astfel incat fiecare felie taiata sa fie aspectoasa.
---
1 x 1.6 kg tort framboisier decorat ca ultima data (ca pe website)
1 x 1.6 kg tort fistic</t>
    </r>
    <r>
      <rPr>
        <b/>
        <u/>
        <sz val="11"/>
        <color rgb="FF000000"/>
        <rFont val="Calibri"/>
        <family val="2"/>
        <charset val="1"/>
      </rPr>
      <t xml:space="preserve"> decorat ca ultima data la fattoria</t>
    </r>
    <r>
      <rPr>
        <b/>
        <sz val="11"/>
        <color rgb="FF000000"/>
        <rFont val="Calibri"/>
        <family val="2"/>
        <charset val="1"/>
      </rPr>
      <t>. (fructe + macarons)
1 x 1.6 kg tort citron</t>
    </r>
  </si>
  <si>
    <t>Taupe &amp; Lido, Bd Magheru nr 5 - 7</t>
  </si>
  <si>
    <t>10 x amandina</t>
  </si>
  <si>
    <t>Total</t>
  </si>
  <si>
    <t>Week IV</t>
  </si>
  <si>
    <t>Week III</t>
  </si>
  <si>
    <t>Week II</t>
  </si>
  <si>
    <t>Week I</t>
  </si>
  <si>
    <t>1 x platou de minipraji 10 persoane</t>
  </si>
  <si>
    <t>Protocol CEC</t>
  </si>
  <si>
    <t>cash cu bon si certificat de conformitate (400 tort + 199 minipraji + 72 briose + 57 cakepops + 36 bezele pe bat + 36  pahare bezele + 50 lei taxa candy bar)</t>
  </si>
  <si>
    <t>850 RON</t>
  </si>
  <si>
    <t xml:space="preserve">4 kg Tort Trasformers||Oreo|| exact ca in poza cu exact aceleasi culori, cu numele "Matias" in lateral si cifra 5 pe tort, cu stelute si flacari|| tortul sa fie asezat in mijlocul candy-barului pe un platou negru sau auriu
Candy Bar (platouri negru cu auriu)
1 x minipraji platou de 10 persoane (10 pavlova, 10 tarte cioco, 8 choux fistic, 10 tarte fructe, 8 macarons, 10 tarte lamaie)
12 x briose cu crema bleu
19 x cake pops (6 verde + 6 bleu + 7 roz)
12 x lollipop bezea  (4 verde + 4 bleu + 4 roz)
2 x pahare(200 g fiecare) de bezele colorate(verzi bleu si galbene)
</t>
  </si>
  <si>
    <t>3481 RON</t>
  </si>
  <si>
    <t>1 x tort decorat 3 kg duo mousse zmeura (400 ron)
180 x monoportii duo mousse zmeura rotund (18 kg x 55 = 990 RON + 540 RON extra manopera)
+ cake topper inima
1 x candybar 110 persoane (1551 RON) (poze in folder):
50 x cupcake tematic (aripi inger)
150 x macarons tonka (albi)
500 grame bezele artizanale (albe)
50 x tarte fructe
50 x tarte ciocolata
50 x tarte lamaie cu bezea flambata
50 x mini-pavlova
50 x choux mix (vanilie/ciocolata/cafea/fistic)
30 x biscuiti tematici (aripi de inger)</t>
  </si>
  <si>
    <t>1712 RON</t>
  </si>
  <si>
    <t xml:space="preserve">Royal President Ballroom, str Sperantei nr 22, Bragadiru, (0761001112). </t>
  </si>
  <si>
    <t>Candy-Bar cu Tematica Albastru/Alb (botez baietel) - (40 pax)
--
25 x Mini Tarta Fructe 
25 x Choux Fistic
25 x Mini Tarta Ciocolata
25 x Macarons Mix
25 x Mini Tarta Lamaie
25 x Mini Pavlova
25 x Mini Eclere (vanilie)
25 x Briose Ciocolata (albastru/alb cu hartie albastru alb)
25 x panna cotta zmeura/vanilie
+ "DAMIAN" din turta dulce fiecare litera (albastru/alb)
--
1 x Tort Decorat (2 etaje, 4 kg) din Duo-Mousse Visine. In loc de "It's a boy" sa fie scris numele baietelului "Damian". Poza este in fisierul de decor</t>
  </si>
  <si>
    <t xml:space="preserve">Factura Taupe </t>
  </si>
  <si>
    <t>Taupe, Bd Magheru nr 5 - 7</t>
  </si>
  <si>
    <t>Choux cu vanilie 3buc
Choux cu fistic 3 buc
Tarta cu fructe 6 buc
Tarta cu lămâie 3 buc
Tarta cu ciocolata 3 buc</t>
  </si>
  <si>
    <t>SOIREE:
1375 RON tort
400 RON macheta
714 RON Candybar 50 pers -3 Eur/pers
--
Madalina Iotu:
1666 RON Candybar 100 pers - 3.5 Eur/pers</t>
  </si>
  <si>
    <t>4156 RON</t>
  </si>
  <si>
    <t>250 x portie tort trio mousse 100 grame
--
Macheta 4 etaje cu unul real ca in fisier (DE STABILIT POZA)
--
Candy-Bar 150 Persoane:
86 x macarons mix
86 x tarte fructe
86 x tarte ciocolata
86 x pavlova
86 x choux fistic
86 x mini carrot cake
86 x mini raspberry vanilla
1 kg bezele artizanale (roz, alb)</t>
  </si>
  <si>
    <t>Madalina Iotu (Soiree)
0760570180</t>
  </si>
  <si>
    <t>2250 RON candybar (15 RON/pers). Facut factura persoana fizica Andreea Petre</t>
  </si>
  <si>
    <t>2250 RON</t>
  </si>
  <si>
    <t>Candy-Bar (150 persoane)
mini pavlova - 60 buc
mini tarta fructe - 60 buc
choux verde aprins (fistic) - 60 buc
cupcake (cu frosting verde, roz, ivoire + alte culori pastelate) - 60 buc
tarte ciocolata - 40 buc
choux roz aprins (vanilie) - 60 buc
tiramisu la pahar - 60 buc
mousse vanilie si zmeura la pahar - 60 buc
macarons mix (verde, alb, galben, roz) - 150 buc</t>
  </si>
  <si>
    <t>Andreea Petre (BLU)</t>
  </si>
  <si>
    <t>120 Ron</t>
  </si>
  <si>
    <t>????</t>
  </si>
  <si>
    <t>?????</t>
  </si>
  <si>
    <t xml:space="preserve">??????? x felii fistic </t>
  </si>
  <si>
    <t xml:space="preserve"> N/A</t>
  </si>
  <si>
    <t>au ales tort citron, raman de stabilit numarul final de invitati, candy-bar si desig-ul machetei pe la jumatatea lunii iunie/15.06 (mai asteapta confirmari pentru invitatiile trimise)</t>
  </si>
  <si>
    <t>Nunta client Soiree 0740046008</t>
  </si>
  <si>
    <t>??????</t>
  </si>
  <si>
    <t>dupa amiza</t>
  </si>
  <si>
    <t>Tort Printese Disney 2||astept nr. de kg|| in functie de marime alegem intre Snikers sau duo mousse cu visine|| de completat cu mesaj????</t>
  </si>
  <si>
    <t>130 x nr. Kg</t>
  </si>
  <si>
    <t>dumbrava</t>
  </si>
  <si>
    <t>Tort acadele|| asteptam gramajul de la client 
+ 2 monoportii pentru persoane alergice (asteptam lista de alergeni) + de programat degustare cu OREO, SNIKERS si RASPBERRY VANILLA</t>
  </si>
  <si>
    <t>1404 RON</t>
  </si>
  <si>
    <t>Candy-Bar (30 persoane): minibriose ciocolata, minitarte cu fructe, mini tarte cu ciocolata si caramel, macarons, pavlova, mini carrot cake (564 RON-18.8 RON/pers)
Tort: 4 kg tort fistic cu zmeura inglobat intr-o macheta "Black Luxury" (1 sau 2 etaje) (400 RON butaforie + 440 RON fistic)</t>
  </si>
  <si>
    <t>Maison 13 - cununie</t>
  </si>
  <si>
    <t>260 RON</t>
  </si>
  <si>
    <t>1 x tort fistic decorat (2 kg greutate TOTALA). Pozele sunt in departamentul de décor. De scris "La Multi, Ani" iar in loc de "Jere" sa scriem "Patrick". De pastrat cifra "3" si balonasele.</t>
  </si>
  <si>
    <t>58 portii x 125 grame la 65 ron/kg. Facut op pe coloseum events</t>
  </si>
  <si>
    <t>571 RON</t>
  </si>
  <si>
    <t>58 portii 125 tort duo mousse (ciocolata cu lapte si ciocolata alba cu fructe de padure, cateva fructe de padure deasupra de décor)</t>
  </si>
  <si>
    <t>2 kg Tort Noisette || cu poza printata din fisierul Décor</t>
  </si>
  <si>
    <t>706 RON</t>
  </si>
  <si>
    <t>272 RON</t>
  </si>
  <si>
    <r>
      <rPr>
        <b/>
        <sz val="11"/>
        <color rgb="FF000000"/>
        <rFont val="Calibri"/>
        <family val="2"/>
        <charset val="1"/>
      </rPr>
      <t>ATENTIE: Ne roaga cei de la fattoria sa folosim la citron si fistic niste culori un pic mai pale, sa nu para "artificiale". Nu uitati ca trebuie decorate astfel incat fiecare felie taiata sa fie aspectoasa.
1 x 1.6 kg tort framboisier decorat ca ultima data (ca pe website)
1 x 1.6 kg tort fistic</t>
    </r>
    <r>
      <rPr>
        <b/>
        <u/>
        <sz val="11"/>
        <color rgb="FF000000"/>
        <rFont val="Calibri"/>
        <family val="2"/>
        <charset val="1"/>
      </rPr>
      <t xml:space="preserve"> decorat ca ultima data la fattoria</t>
    </r>
    <r>
      <rPr>
        <b/>
        <sz val="11"/>
        <color rgb="FF000000"/>
        <rFont val="Calibri"/>
        <family val="2"/>
        <charset val="1"/>
      </rPr>
      <t>. (fructe + macarons)
1 x 1.6 kg tort citron</t>
    </r>
  </si>
  <si>
    <t xml:space="preserve">De intocmit factura colloseum events:
300 macheta
1.5 kg etaj real macheta (97.5)
690 (85 buc tort la 125gr si 65 ron/kg)
</t>
  </si>
  <si>
    <t>Butaforie 3 etaje (un etaj real) ca in poza. Lavanda o pun cei de la Bragadiru. El trebuie sa fie alb simplu.
--
85 x felie 125 grame (Foi de bezea cu nuca, crema de mascarpone cu coacaze, foi de bezea cu nuca, crema de mascarpone cu zmeura.)</t>
  </si>
  <si>
    <t>238 RON factura cu OP Sole Events</t>
  </si>
  <si>
    <t>ATTENTIE || FARA NUCI || ALERGIE LA NUCI :
25 x mini-brownie
25 x mini-carrot cake
25 x mini-straciatella
25 x mini-raspberry vanilla
25 x mini-cupcake (alb/bordeaux)
500 gr bezele artizanale (alb/bordeaux)</t>
  </si>
  <si>
    <t>Andreea (Sole)
0734850806</t>
  </si>
  <si>
    <t>Str Dogarilor 39</t>
  </si>
  <si>
    <t>1 x cutie verde (1/3, cookie ciocolata 1/3 choux ciocolata, 1/3  brownie)
1 x degustare tort nunta (felii patrate/dreptunghiulare)</t>
  </si>
  <si>
    <t>Zamfirescu Racoti &amp; Asociatii
0744599569</t>
  </si>
  <si>
    <t>O minge 2 kg (Stiee Andreea)</t>
  </si>
  <si>
    <t>Mr Luta</t>
  </si>
  <si>
    <t>83g x 130 + 1,5 kg = 12.29 kg tort x 75 lei / kg (factura Mogosoaia IT QUEST &amp; Management)</t>
  </si>
  <si>
    <t>130 x felii tort triomousse 83g!!!
1,5 kg tort real fistic, imbracat in pasta alba simpla ca butaforia pe care le-am dat-o|| compozitie triomousse</t>
  </si>
  <si>
    <t>907.5  ron tort (165)
50 ron sos
(1 kg)
Macheta
(400 ron)</t>
  </si>
  <si>
    <t>Soiree, Pipera 2</t>
  </si>
  <si>
    <t xml:space="preserve">165 x felie mac si lamaie (mai putin acru)
2 x portii vegetariene (ce vrea Andreea)
1 kg sos 
+
Macheta cu 4 etaje reale (1 etaj real) ca in poza din decor
</t>
  </si>
  <si>
    <t>Refacere macheta(200 RON)
1.5 kg etaj real (97.5)
220 portii la 125 grame (1787.5)</t>
  </si>
  <si>
    <t>Refacere macheta din poza fisier décor - 3 etaje (unul real).
+
220  x monoportie rotunda, naked, cu zmeura si coacaze in varf. (Foi de bezea cu nuca, mousse de ciocolata cu zmeura, foi de bezea cu nuca, crema de mascarpone cu coacaze)</t>
  </si>
  <si>
    <t>Savart (str George Enescu nr 2-4/sector 1 Buc; zona Ateneu/ in spatele bisericii Albe)</t>
  </si>
  <si>
    <t>3kg x Tort fluturi|| fistic cu zmeura|| doar numele "Daria Ariana" + 6 cakepops in culorile tortului (verde, galben)</t>
  </si>
  <si>
    <t xml:space="preserve">
Anca Stanoiu
+40 727 831 787</t>
  </si>
  <si>
    <t>de facut factura:
714 RON candy
238 RON (50 euro) inchiriere masa</t>
  </si>
  <si>
    <t>Dulciuri Candy-Bar (90 pax) - Tematica Turn Eiffel (alb creme/roz pastelat)
--
60 x mini-tarta ciocolata &amp; caramel
60 x mini-brownie 
60 x mini-pavlova
60 x macarons mix 
40 x briose (tematica turnul eiffel || alb crem/roz pastelat)
40 x turta dulce turnul eiffel
60 x fursecuri spritate  
1.55 kg bezele artizanale
+
MASA CANDY-BAR SWEETS + GEAMURI
+
suport macarons mic plexiglass. (stie mirela R.)</t>
  </si>
  <si>
    <t>Adina Panait(Magic Place Grand)
0755081111</t>
  </si>
  <si>
    <t>factura facuta</t>
  </si>
  <si>
    <t>Choux cu vanilie 8 buc
Tarta cu fructe 12 buc
Tarta cu ciocolata 10 buc
Tarta cu lămâie 10 buc</t>
  </si>
  <si>
    <t>3 x cutii degustari torturi (3 clienti diferiti) + fisa pe fiecare produs</t>
  </si>
  <si>
    <t>Lara Carol,Strada Colonel Gheorghe Costescu Nr. 3</t>
  </si>
  <si>
    <t>5 x tort fistic</t>
  </si>
  <si>
    <t>degustare Parcul Carol</t>
  </si>
  <si>
    <t>50 reducere, fara brrrr</t>
  </si>
  <si>
    <t xml:space="preserve">2 x cozonac raw vegan cu nuca </t>
  </si>
  <si>
    <t>Olivia Carol</t>
  </si>
  <si>
    <t>845 RON factura pe "Games international slot machine srl"</t>
  </si>
  <si>
    <t>Games International, Veranda Mall</t>
  </si>
  <si>
    <t>1 x tort 6.5 kilograme Masina Mercedes C-Klass ca in poza. Sa nu fie stickere-le pe masina dar sa ramana "GAMES" la numar. 
--
Pe suport, in loc de "Happy Birthday" sa scrie "Games International". Nu includem logoul din dreapta jos a suportului.
--
Mercedess C Class este modelul masinii</t>
  </si>
  <si>
    <t>Iulian (Game International)
0723734998</t>
  </si>
  <si>
    <t>Degustare Laborator</t>
  </si>
  <si>
    <t xml:space="preserve">1 x degustare compozitii toart nunta din toate tipurile foarte frumos decorate
2 x briosa cu crema de branza
2 x choux ciocolata
2 x choux vanilie
2 x choux cafea
2 x choux fistic
1 x Platou Miniprajituri 3 persoane
3 x mini-bite carrot cake
3 x mini-bite raspberry vanilla
3 x cookie ciocolata
3 x cookie afine
3 x mousse diferite (putem da acelasi lucru ca la lido)
</t>
  </si>
  <si>
    <t>Crina Barbu &amp; Ana Caranovic</t>
  </si>
  <si>
    <t xml:space="preserve">De intocmit factura colloseum events:
690 (122 buc tort la 125gr si 65 ron/kg)
</t>
  </si>
  <si>
    <t>117 x portii trio mousse 125 gr
+ 
2 x portie fara gluten 125 gr
+
1 x portie fara lactoza 125 gr
+
2 x portie vegan 125 gr</t>
  </si>
  <si>
    <t>Total Mancare: 2404,95 RON (510 Euro)
Taxa Amenajare: 300 RON</t>
  </si>
  <si>
    <t>Autoklass Chitila ( Rudeni nr 22)</t>
  </si>
  <si>
    <t xml:space="preserve">Dulciuri - 60 persoane (4.5 Euro/Persoana)
30 x cookie ciocolata (0.75 kg || 25 gr/buc)
30 x cookie afine (0.75 kg || 25 gr/buc)
60 x mini - brownie (1.5 kg || 25 gr/buc)
60 x mini-tarta fructe (1.35 kg || 22.5 gr/buc)
60 x mini-tarta ciocolata &amp; caramel (1.35 kg || 22.5 gr/buc)
30 x macarons ciocolata (0.75 kg || 25 gr/buc)
30 x macarons vanilie (0.75 kg || 25 gr/buc)
---
320 bucati - 7 sortimente - 7.2 kg (120 gr/Persoana)        
Sarate - 60 persoane (4 Euro /Persoana)
60 x Saratele Branza (1 kg || 17.5 gr/buc)
60 x Pizzete cu Mozzarella (0.75 kg || 12.5 gr/buc)
60 x Briosa Sarata 50 (3 kg || 50 gr/buc)
60 x Mini-Bite Quiche Lorraine (1.2 kg || 20 gr/buc)
60 x Mini-Bite Tarte Ricotta si Spanac  (1.2 kg || 20 gr/buc)  
60 x Choux cu Crema de Branza si Verdeturi (1.9 kg || 30 gr/buc)
---
400 bucati - 6 sortimente - 9 kg (150 gr/Persoana) </t>
  </si>
  <si>
    <t>Remus (Tempo)
0722251101</t>
  </si>
  <si>
    <t xml:space="preserve">2 x degustare nunta
</t>
  </si>
  <si>
    <t>Florin Soiree
0 730 185 548</t>
  </si>
  <si>
    <t>2 x platouri de miniprajituri de 5 persoane
neapart sa puneti sticker pe ele cu LARA SWEETS</t>
  </si>
  <si>
    <t>Catalin LARA</t>
  </si>
  <si>
    <t>factura pe DOT</t>
  </si>
  <si>
    <t>Promenada Mall, etaj 2 , restaurant Trickshot</t>
  </si>
  <si>
    <t>2xplatou de miniprajituri 10 persoane
25xnegrese
25X felii de tort fistic decorate
1x tort de cafea 2kg decorat cu figurinele de mai jos sa scrie pe el “ La multi ani , Sergiu”</t>
  </si>
  <si>
    <t>Laura Ciuhu
0722543650</t>
  </si>
  <si>
    <t>4 x amandina</t>
  </si>
  <si>
    <t>de printar factura</t>
  </si>
  <si>
    <t>Taupe
Choux cu vanilie 3 buc
Tarta cu fructe 6 buc
Tarta cu lămâie 4 buc
Tarta cu ciocolata 4 buc
Comanda Lido
Choux cu vanilie 3buc
Tarta cu fructe 5 buc
Tarta cu lămâie 4 buc
Tarta cu ciocolata 4 buc
+
Cat mai multe amandine la gustare si vanzare</t>
  </si>
  <si>
    <t>70 RON FARA BRR</t>
  </si>
  <si>
    <t>16;00</t>
  </si>
  <si>
    <t>N.A</t>
  </si>
  <si>
    <t>1 x LPV</t>
  </si>
  <si>
    <t>Mirela LPV</t>
  </si>
  <si>
    <t>140 ron fara brr</t>
  </si>
  <si>
    <t>1 x 2 kg raspberry vannila</t>
  </si>
  <si>
    <t>Vlad Margaritescu</t>
  </si>
  <si>
    <t>de facut factura colloseum events 150 euro (1.5 euro/pers pt 90 de persoane(</t>
  </si>
  <si>
    <t>Prajituri Candy-Bar:
120 x mini-raspberry vanila
120 x mini-carrot cake 
120 x mini-straciatella</t>
  </si>
  <si>
    <t>250 RON plata prin  OP.</t>
  </si>
  <si>
    <t xml:space="preserve">Strada muresana, nr. 26, sector 3 ( Grădinița Castelul fermecat olimpia) </t>
  </si>
  <si>
    <t xml:space="preserve">tort (intoleranta proteina lapte de vaca ) 
1 x Tort  blat ulei, mousse cioco albă + cioco neagra, 3 kilograme, Mesaj" La mulți ani, Anastasia! 3 ani </t>
  </si>
  <si>
    <t>Dana Stoicovici
0769286638</t>
  </si>
  <si>
    <t>1 x tort 1.6 kg framboisier
1 x tort 1.6 kg fistic
--
Decorate ca pe website si tinut cont ca se va taia din ele si va trebui sa arate omogen toate feliile.</t>
  </si>
  <si>
    <t>170 Ron cu bon</t>
  </si>
  <si>
    <t>Gradinita Universul copiilor din domnesti</t>
  </si>
  <si>
    <t>3 kg snickers. REVENE ANDREEA
+ 
certificat conformitate</t>
  </si>
  <si>
    <t>Andreea Raduca
0766510791</t>
  </si>
  <si>
    <t>200 RON cash cu bon</t>
  </si>
  <si>
    <t>George Enescu 11</t>
  </si>
  <si>
    <t>10xminitarta lamaie
10x minitarta caramel
10xmacarons
10xnegresa
10 x choux fistic
--
Laure: sa fie fff frumos ambalate ca le dau cadou intr-o singura cutie.Eventual cu o fundita</t>
  </si>
  <si>
    <t>Elena Visan (Tempo)
 ‭0745121201‬</t>
  </si>
  <si>
    <t>125 factura cu op</t>
  </si>
  <si>
    <t>Gradinita Acorns, Popa Soare 63</t>
  </si>
  <si>
    <t>1 x tort OREO 1 kg cu poza Tom &amp; Jerry aplicata peste el
+ 
certificat conformitate</t>
  </si>
  <si>
    <t>Carmen Tepelea
0722283923</t>
  </si>
  <si>
    <t>1 x tort 2 kg cafea</t>
  </si>
  <si>
    <t>Bogdan Bestoiu</t>
  </si>
  <si>
    <t>de scazut datorie LBE</t>
  </si>
  <si>
    <t>str. Lascar Catargiu, nr. 15</t>
  </si>
  <si>
    <t>1 x tort 1.6 kg citron decorat ca pe website</t>
  </si>
  <si>
    <t>Anca Anghelescu 
0723539339</t>
  </si>
  <si>
    <t xml:space="preserve"> 3x platou de miniprajituri 10 persoane
3x platou cafea 10 persoane</t>
  </si>
  <si>
    <t xml:space="preserve">De intocmit factura colloseum events:
550 macheta
1.5 kg etaj real (97.5 ron)
818.75 (102 buc tort la 125gr si 65 ron/kg)
</t>
  </si>
  <si>
    <t xml:space="preserve">100x monoportie rotunda 125 gr (blat de cacao, mousse de ciocolata neagra si zmeura in interior)
rotunde, invelite in fulgi de ciocolata neagra cu o zmeura in varf.
+
1 x prajitura pentru persoana diabet
+
1 x prajitura raw vegana
cutie zahar pudra pentru ornat monoportiile
+
macheta 3 etaje(ultimul etaj real) ca in poza
</t>
  </si>
  <si>
    <t>Cristina Gheorghe (Palatul Bragadiru)
0743226064</t>
  </si>
  <si>
    <t>520 cash cu bon</t>
  </si>
  <si>
    <t>Bragadiru, str. Monumentului 16A</t>
  </si>
  <si>
    <t>4 kg tort berry chocolate. 2 etaje. "Tort Acadele Colorate". Designul este pe website. Mesajul este "La Multi Ani, Sonia" si trebuie sa adaugam cifra "8"
--
"Am vb la laborator si au confirmat ca se poate face cu un mic etaj. Asa as vrea... cu etaj. "</t>
  </si>
  <si>
    <t>Madalina Herman
0745026768
mady0812@yahoo.com</t>
  </si>
  <si>
    <t>achitat prin website</t>
  </si>
  <si>
    <t xml:space="preserve">Str. Lev Tolstoi nr. 25, ap. 2, interfon 2, sector 1, București </t>
  </si>
  <si>
    <t>1 x tort berry chocolate 2 kg, "Mama, te iubim"</t>
  </si>
  <si>
    <t>Ilinca Mihaila
0722532464</t>
  </si>
  <si>
    <t>fara nimic, incaseaza Dan</t>
  </si>
  <si>
    <t>Strada Fetesti, nr. 5, Bl H 27 Sc B</t>
  </si>
  <si>
    <t>platou minipraji de 5 persoane
1 tort inima strawberry love</t>
  </si>
  <si>
    <t>Anca Marinescu
0751111039</t>
  </si>
  <si>
    <t xml:space="preserve">Strada Siret 65 </t>
  </si>
  <si>
    <t>4 x cutie verde umplute cu brownies si cookies (de doua feluri)</t>
  </si>
  <si>
    <t>Pachet Luxoft</t>
  </si>
  <si>
    <t>a platit avansul de 350 lei + 770 lei</t>
  </si>
  <si>
    <t>Soiree:
550 tortul
400 butaforie
Pers Fizica:
1100 candy-bar</t>
  </si>
  <si>
    <t>120 x felie tort fistic (100 grame)
1 x butaforie tort ca in poza cu etaj real. TREBUIE SA COMANDAM FLORILE
---
DE AMENAJAT Candy-Bar:
50 x briosa decorata tematic
50 x choux fistic
50 x pavlova
45 x tarte fructe
45 x tartce ciocolata
20 x biscuiti tematici
60 x macarons fistic 
60 x macarons tonka
500 grame bezele artizanale tematice</t>
  </si>
  <si>
    <t>Alexandra Timaru
0765018543</t>
  </si>
  <si>
    <t>NU se incaseaza nimic la livrare. Ia Laura banii direct</t>
  </si>
  <si>
    <t>str costisa nr 21</t>
  </si>
  <si>
    <t>1 x tort framboisier 3 kg (rotund) decorat cu fructe si macarons. Mesajul este "La Multi Ani, Ana!"
+
20 x felie decorata framboisier 125 grame</t>
  </si>
  <si>
    <t>Ana
0734432832</t>
  </si>
  <si>
    <t xml:space="preserve">De intocmit factura colloseum events:
550 macheta
1.5 kg etaj real macheta (97.5)
881.4 (113 buc tort la 125gr si 65 ron/kg)
</t>
  </si>
  <si>
    <t xml:space="preserve">105 x felie 125 gr (Foi de bezea cu nuca si crema de mascarpone cu coacaze (partea de jos), Foi de bezea cu nuca si crema de mascarpone cu zmeura) (decorate cu zmeura si coacaze pe o parte)
--
8 x negrese de post
--
macheta 3 etaje (utlimul etaj real) ca in poza.  FLORILE DE SUS SA FIE ROZ, NU CREM!
</t>
  </si>
  <si>
    <t>1 x degustare torturi
1 x degustare candy-bar 3 persoane</t>
  </si>
  <si>
    <t>Degustare Andreea Baluta (Miruna)
0728994853</t>
  </si>
  <si>
    <t>420 op persoana fizica</t>
  </si>
  <si>
    <t>Putul lui Zamfir 36, etaj 3. De sunat inainte ca sa iasa cineva sa preia tortul.</t>
  </si>
  <si>
    <t>1 x tort decorat "Unicorn 2"(OREO-3.5 kg cantitate totala a tortului) Mesajul este "La Multi Ani, Ines Luna!"
+ 
certificat conformitate</t>
  </si>
  <si>
    <t>s-a achitat deja pe website. ORICAND DUPA 12:00 pana in 16:00</t>
  </si>
  <si>
    <t>Strada Lunca Tarnavei 11E, casa cu usa albastra, vis-a-vis de vila cu gard maro.</t>
  </si>
  <si>
    <t>1 x tort decorat "Tort Mickey Mouse si Stelute". 2.5 kg greutate totala (Raspberry Vanilla cu cat mai putin zahar). 
ATENTIE: Tortul sa fie pe albastru/bleu in loc de rosu.
+ certificat conformitate</t>
  </si>
  <si>
    <t>Ana Maria Petre
0721778302
anamaria_hello@yahoo.com</t>
  </si>
  <si>
    <t>Degustare Laborato</t>
  </si>
  <si>
    <t>degustare torturi
+ degustare miniprajituri 2 persoane</t>
  </si>
  <si>
    <t>Madalina Alina Ionescu
0768858963</t>
  </si>
  <si>
    <t xml:space="preserve">75 lei / kg - factura IT QUEST &amp; Management
factura </t>
  </si>
  <si>
    <t>5kg tort dreptunghiular, decorat cat mai frumos cum vreti voi||duo mousse cu visine||"Felicitari promotiei 2018-2019 SIM"</t>
  </si>
  <si>
    <t>Selectie 3 prajituri noi. Cate 2 din fiecare. 
(6 in total)</t>
  </si>
  <si>
    <t>Selectie 3 prajituri noi. Cate 1 din fiecare. 
(6 in total)</t>
  </si>
  <si>
    <t>Laura Ciuhu</t>
  </si>
  <si>
    <t xml:space="preserve">1 x degustare torturi nunta
+ 
1 x degustare candy-bar 2 persoane:
 macarons mix
 mini-tarte fructe
 mini-tarte ciocolata
 pavlova
 choux a la creme mix
 mini-tarte lamaie cu bezea flambata
 mini carrot cake
 mini raspberry vanilla
</t>
  </si>
  <si>
    <t>300 RON plateste cu POS-ul</t>
  </si>
  <si>
    <t>Strada George Enescu nr11-11A ( Tempo)</t>
  </si>
  <si>
    <t>20 x pavlova
20 x choux fistic
20 x minitarte lamaie
20 x minitarte fructe
30 x negresa (sa fie felii maricele cum le-am mai dus)</t>
  </si>
  <si>
    <t>Lucian Militaru (Tempo)
0722332892</t>
  </si>
  <si>
    <t>36 felii tort x 7 RON felia. De intocmit factura op SC DECO FOOD SRL</t>
  </si>
  <si>
    <t>Tort patrat 125 gr:
6 x felie framboisier PATRAT
6 x felie duo-mousse visine PATRAT
6 x felie tort fistic si zmeura PATRAT
6 x felie tort straciatella PATRAT
6 x felie carrot cake PATRAT
6 x felie trio mousse PATRAT
---
De degustat:
2 x tarta mare ciocolata
2 x tarta mare fructe
2 x tarta mare lamaie</t>
  </si>
  <si>
    <t>192 tort
25 poza comestibila
+
10% discount
(195 RON cash cu bon)
---
+ 93 farfurie</t>
  </si>
  <si>
    <t>Strada Agricultori, 21-25</t>
  </si>
  <si>
    <t>1.6 kg tort chocolate delight cu poza comestibila lipita pe el. (poza este in décor).
+
Cana. (ATENTIE NU UITATI CANA)
----
Atentie: Tortul va fi pus intr-o farfurie personalizata cu diametru de 15 de cm. De impachetat frumos in cutie de tort</t>
  </si>
  <si>
    <t>Monica Nitescu (BNI)
0722450598</t>
  </si>
  <si>
    <t>Ridicare Flori</t>
  </si>
  <si>
    <t>Floria, Piata Dorobanti, Bucharest 010588</t>
  </si>
  <si>
    <t>Ridicare Flori pentru Alexandra Timaru. Se intreaba de "Flori Eveniment Alexandra". Sunt deja platite. Trebuie doar luate</t>
  </si>
  <si>
    <t>500 Ron de intocmit factura pe DOT</t>
  </si>
  <si>
    <t>Calea Vitan, Nr.25 C,Bloc C1,Scara 2,Etaj 1, Apart.34, Interfon 134. Blocul de langa mall Vitan</t>
  </si>
  <si>
    <t xml:space="preserve">20x pavlova
20xchoux fistic
20xminitarte lamaie
20x minitarte fructe
20X minitarte caramel
30X negrese
20X mixt macarons
1x tort de 1,6 kg Framboisier cu multe fructe si macarons decorat sa scrie pe el “ La multi ani, Nico” </t>
  </si>
  <si>
    <t>Ana Maria Ducuta
0724036199‬</t>
  </si>
  <si>
    <t>219 RON cash cu bon</t>
  </si>
  <si>
    <t>1 x tort duo mousse cu visine. Mesaj "La Multi Ani, Sonia"
1 x platou miniprajituri 10 persoane</t>
  </si>
  <si>
    <t>180 RON cash cu bon</t>
  </si>
  <si>
    <t>Strada Caporal Anghelache 24, Bl. M27, Ap 14, Etaj 2</t>
  </si>
  <si>
    <t>1 x 1.5 kg tort decorat "Unicorn 2" (OREO) cu mesajul "La Multi Ani, Andra!"</t>
  </si>
  <si>
    <t>Cristina 
0722874431</t>
  </si>
  <si>
    <t>Alina Anton - 20 piscoturi? :))</t>
  </si>
  <si>
    <t>Laura CIuhu</t>
  </si>
  <si>
    <t>3 feluri de mousse in pahare de sticla. Cate 2 din fiecare (6 in total). Recomandarile Andreei</t>
  </si>
  <si>
    <t>Protocol Drgustare</t>
  </si>
  <si>
    <t>Strada Zagazului 13</t>
  </si>
  <si>
    <t>1x toate variantele de tort sa fie impecabile
1x platou de miniprajituri 5 persoane
 10x bucati negresa
3 x variante briose ca la Mercedes</t>
  </si>
  <si>
    <t>Costin Cepi patron Simfonia
+40 (745) 066 816‬</t>
  </si>
  <si>
    <t>factura amberry hall</t>
  </si>
  <si>
    <t>1 x tort fistic 3.5 kg
1 x tort fistic 1.5 kg</t>
  </si>
  <si>
    <t>1 x cutie miniprajituri 5 persoane (cutie cu display)</t>
  </si>
  <si>
    <t>300 ron Cash cu bon</t>
  </si>
  <si>
    <t>Firma Ownzones, Bldv. Vasile Milea nr. 4</t>
  </si>
  <si>
    <t>Tort Fistic 4 kg decorat dreptunghiular ca cel pentru nunta cu zmeura</t>
  </si>
  <si>
    <t>Andrei
0721 717 872</t>
  </si>
  <si>
    <t>120 ron fara brr</t>
  </si>
  <si>
    <t>BLU PARTY, Strada Magura Vulturului 42</t>
  </si>
  <si>
    <t>Tort Fistic 1.6 kg</t>
  </si>
  <si>
    <t>1 x platou torturi nunta
1 x platou miniprajituri 2 persoane</t>
  </si>
  <si>
    <t>Degustare Tort si Candy-Bar</t>
  </si>
  <si>
    <t>Protocol Degsutare</t>
  </si>
  <si>
    <t>1 x tarta mare fructe
1 x tarta mare ciocolata
1 x tarta mare lamaie</t>
  </si>
  <si>
    <t>De facut 2 facturi pe Selari</t>
  </si>
  <si>
    <t>Taupe:
Choux vanilie 4 
Choux fistic 4 
Tarta cu lămâie 4
Tarta cu fructe 4
Tarta cu ciocolata 4
Lido:
Choux vanilie 4 
Choux fistic 4 
Tarta cu lămâie 4
Tarta cu fructe 4
Tarta cu ciocolata 4</t>
  </si>
  <si>
    <t>de stabilit ora sambata 15.06</t>
  </si>
  <si>
    <t xml:space="preserve">degustare torturi 
-duo mousse cu visine
-chocolate fiesta
-fistic si zmeura
-framboisier
</t>
  </si>
  <si>
    <t>Degustare Anca Stanoiu
0727 831 787</t>
  </si>
  <si>
    <t>Strada Flavia nr.9 (de sunat cand ajungeti acolo, locatia fiind alaturara pe o strada noua ce nu exista pe google maps), oras Pantelimon!</t>
  </si>
  <si>
    <t>4,5 kg  Tort Minnie Mouse Rosu|| compozitia trio mousse cu blat suplimentar si mai multa gelatina || nume "Rebeca Eveline" + cifra 1 + lumanare cifra 1 + 5 cake pops infipte in tort</t>
  </si>
  <si>
    <t>Gheorghe Elena Raluca
0761412751</t>
  </si>
  <si>
    <t>platou minipraji de 5 persoane</t>
  </si>
  <si>
    <t>360 RON cash cu bon</t>
  </si>
  <si>
    <t>Restaurant Tratoria Roma, strada Mantuleasa 31</t>
  </si>
  <si>
    <t>1 x tort decorat 3 kg "Tort Unicorn 2" (oreo) cu mesajul "La Multi Ani, Nadia"
+ certificat conformitate</t>
  </si>
  <si>
    <t>RO27741790- PIZZERIA LA STRADA</t>
  </si>
  <si>
    <t>Gradina Floreasca, Bulevardul Mircea Eliade nr.6</t>
  </si>
  <si>
    <t>AMENAJARE CANDY-BAR 30 persoane (120 Euro + 300 RON)
40 x macarons mix
30 x mini-tarte fructe
30 x mini-tarte ciocolata
30 x mini-tarta cu lamaie si bezea flambata
30 x pavlova
30 x choux fistic
50 x  briose decorate (alb/roz/mov lila)
2 kg bezele artizanale (alb/roz/mov lila)
-----
Tort "Rainbow Unicorn" 2 kg (Fistic si Zmeura) - 260 RON
-------
26 x felie fistic si zmeura decorate 120 grame - 374 RON</t>
  </si>
  <si>
    <t>Elizabeta Zsigmond
0765566173</t>
  </si>
  <si>
    <t>Prietena Diana.  Cash cu bon</t>
  </si>
  <si>
    <t>Restaurant Voievodal soseaua Bucuresti-Ploiesti nr 10, Baneasa</t>
  </si>
  <si>
    <t>1 x tort decorat 6 kg (2 nivele ca in poza). COMPOZITIE PERSONALIZATA (OREO FARA LACTOZA) NU SE ACOPERA TORTUL IN PASTA DE ZAHAR.
---
Se pastreaza toate figurinele in afara de porc, tigru si magar. Pe cubuletele din fata punem "Ilinca".  
+
certificat conformitate</t>
  </si>
  <si>
    <t>Alina Necsu
0761430647</t>
  </si>
  <si>
    <t>170 portii 100 grame duo mousse cu visine cu alcool (15 kg - 880 RON)
macheta 90 cm cu zuccotto etaj real (400 RON). ETAJUL REAL CU PAPAYA SI PORTOCALA</t>
  </si>
  <si>
    <t>Tatiana Motatu(Soiree)
0766227678
motatu.tatiana@gmail.com</t>
  </si>
  <si>
    <t xml:space="preserve">Completeaza Andreea:
</t>
  </si>
  <si>
    <t>40 mix macarons 40 mix choux, 40 mix tarte, 40 pavlova, 40 raspberry vanilla</t>
  </si>
  <si>
    <t>Iris Tocari</t>
  </si>
  <si>
    <t>717 RON factura sole events. Plata cash</t>
  </si>
  <si>
    <t>40 x briose (bleu, verde, galben, mov)
40 x cake pops (bleu, verde, galben, mov)
45 x choux fistic
40 x tiramisu
40 x pavlova
20 x mini carrot cake
20 x min raspberry vanilla
250 grame bezele (bleu, verde, galben, mov)</t>
  </si>
  <si>
    <t>260 ron cash cu bon</t>
  </si>
  <si>
    <t xml:space="preserve"> Calea Giulesti 43, bl 14A sc 3, et 2, ap si interfon 84</t>
  </si>
  <si>
    <t>2 x Tort Duo Mousse visine mici</t>
  </si>
  <si>
    <t>Gabi
0769788412</t>
  </si>
  <si>
    <t>Tort citron 1,6 kg decorat ca pe site + "La multi ani, Cristina!"</t>
  </si>
  <si>
    <t>????
0739924098</t>
  </si>
  <si>
    <t>120 lei / kg || de intocmita factura pe persoana fizica Brindusa (Stie Madalina)</t>
  </si>
  <si>
    <t>1,6 kg triomousse ||"La multi ani, mami!"
1,6 kg fistic ||"La multi ani, mami!"
AMBELE SA FIE CONGELATE PE CAT SE POATE- vor fi transportate la Piatra Nemt</t>
  </si>
  <si>
    <t>Brandusa
0722351666</t>
  </si>
  <si>
    <t>1430 (tort)
550 (butaforie)
50 (sos)</t>
  </si>
  <si>
    <t>260 x portie framboisier (100 grame)
+ 
sos 1 kg
+
+ BUTAFORIE CA IN POZA PE 3 ETAJE CU 1 ETAJ REAL. De pastrat 2 figurine cu stalpi electrici uniti prin fire. In loc de sigla cu smart wires, de facut o casca galbena de inginer. De pus o placuta cu mesajul "Facultatea de Energetica, Promotia 2015-2019".
+
De ridicat daca exista capsuri + butaforie</t>
  </si>
  <si>
    <t>300 ron factura tort persoana fizica Andreea Petre. 75 ron/kg</t>
  </si>
  <si>
    <t>1 x tort 4 kg dreptunghiular fistic cu zmeura ( cu zmeura in loc de capsuni la decor)</t>
  </si>
  <si>
    <t>180 RON cash cu bon cu 10% discount</t>
  </si>
  <si>
    <t>Bd dacia 42 et 2 ap 4 interfon 4</t>
  </si>
  <si>
    <t>1 x tort ricotta si fructe confiate 1.5 kg</t>
  </si>
  <si>
    <t>Nicoleta Almaj (BNI)
0728875686</t>
  </si>
  <si>
    <t>2 x set degustari tort nunta (toate compozitiile)
+
fisa descriere</t>
  </si>
  <si>
    <t>De facut doua facturi separate pe Selari Investment</t>
  </si>
  <si>
    <t>Taupe
Choux vanilie 4
Fistic Patrat 3
framboisier patrat 3
ricotta si fructe confiate patrat 3
Tarta cu ciocolata 4
Tarta cu lămâie 3
Tarta cu fructe 3
---
Lido
Choux vanilie 3
Tarta cu ciocolata 4
Tarta cu lămâie 4
Tarta cu fructe 4
Fistic Patrat 3
framboisier patrat 3
ricotta si fructe confiate patrat 3</t>
  </si>
  <si>
    <t>de incasat tudor cash fara brr</t>
  </si>
  <si>
    <t>ING ROMANIA, Bulevardul Iancu de Hunedoara 48</t>
  </si>
  <si>
    <t>3 x platou 10 persoane
---
Neaparat de sunat daca se intarzie</t>
  </si>
  <si>
    <t>Vlad Sabau
0721430377</t>
  </si>
  <si>
    <t>7290 platit</t>
  </si>
  <si>
    <t xml:space="preserve">7290 avans si restul o alta factura cu 14 zile scadenta
---
LUXOFT PROFESSIONAL ROMANIA SRL </t>
  </si>
  <si>
    <t>Luxoft</t>
  </si>
  <si>
    <t>Candy-Bar (305 oameni):
150 x briose
110 x tarte fructe
110 choux fistic
110 x tarta lamaie si bezea
110 x mousse ciocolata la pahar
110 x mousse vanilie si zmeura la pahar
20 x macarons lamaie
20 x macarons zmeura
20 x macarons fructe padure
--------------------
Platouri (1050 oameni)
600 x mini-briose/briose
600 x mini-choux fistic
600 x tarte caramel
600 x brownie
600 x mini raspberry vanilla
600 x chocolate chip cookie
600 x mini carrot cake</t>
  </si>
  <si>
    <t>LUXOFT</t>
  </si>
  <si>
    <t>Strada Duta Gheorge Nr. 10</t>
  </si>
  <si>
    <t>De cumparat 2 figurine "Stalp de Tensiune". A vorbit Alina Barbu deja la magazin. Detaliile Firmei pentru factura le ai pe whatsapp</t>
  </si>
  <si>
    <t>Nu stim Numele
0726226720</t>
  </si>
  <si>
    <t>s-a achitat deja pe website</t>
  </si>
  <si>
    <t xml:space="preserve">Str. Mircea Eliade, nr. 1, sector 1, Bucuresti, Club Floreasca </t>
  </si>
  <si>
    <t>1 x Tort Ricotta &amp; Fructe Confiate (3 kg)</t>
  </si>
  <si>
    <t>Daniela Bodeanu
0723325909</t>
  </si>
  <si>
    <t>Calea Vitan nr.23D sector 3. Este deasupra la PHD( pizza)</t>
  </si>
  <si>
    <t>1 x Tort Berry chocolate, cu mosse-ul de zmeura , 2 kilograme, Mesaj" Cifra 7". Décor Darth Vader
+ 
certificat conformitate</t>
  </si>
  <si>
    <t>Sorina Mangre
0740994472</t>
  </si>
  <si>
    <t>171 RON factura pe selari investment</t>
  </si>
  <si>
    <t>Comanda Taupe
Tarta cu zmeura 3
Tarta cu lamaie 3
Choux cu vanilie 4
Fistic Patrat 3
framboisier patrat 3
ricotta si fructe confiate patrat 3</t>
  </si>
  <si>
    <t>3 x platouri 10 persoane</t>
  </si>
  <si>
    <t>3 x cozonac raw vegan cu Turmeric</t>
  </si>
  <si>
    <t>Grigorescu(Dan)
0729057479</t>
  </si>
  <si>
    <t>500 cu cash fara brr</t>
  </si>
  <si>
    <t>50x pavlova
20xchoux fistic
20xminitarte lamaie
20x minitarte fructe
20X minitarte caramel
50Xnegresa ( sa fie felii maricele cum le-am mai dus)</t>
  </si>
  <si>
    <t xml:space="preserve">Protocol Degustare </t>
  </si>
  <si>
    <t>Baba Novac 9-11, pizzeria "La Strada"</t>
  </si>
  <si>
    <t>1 x platou degustare mousse-uri nunta cu biletele cu nume
1 x platou miniprajituri 2 persoane 
1 x tiramisu la pahar
1 x panna cotta la pahar</t>
  </si>
  <si>
    <t>Tort 2 kg (Stie Andreea)</t>
  </si>
  <si>
    <t>1 x 1.6 kg tort duo-mousse visine</t>
  </si>
  <si>
    <t>Bogdan</t>
  </si>
  <si>
    <t xml:space="preserve">2 x framboisier monoportie patrata
2 x fisitc monoportie patrata
2 x ricotta cu fructe confiata monoportie patrata
--
selectie de 3 mousse-uri in cani dragute, de care vrea Andreea. (Aduce Tudor Canile)
</t>
  </si>
  <si>
    <t>3 platouri de 5 persoane cu 10 % discount (297 RON)
--
Sc CERNEA RISK MANAGEMENT, 40488726</t>
  </si>
  <si>
    <t>Str Aristide Pascal 29-31, sect 3</t>
  </si>
  <si>
    <t>1 x platou 15 persoane ( choux-urile sa fie verde aprins si prajiturile sa fie puse pe tavite aurii si aranjate frumos, deoarece se dau cadou)</t>
  </si>
  <si>
    <t>Marius Cernea (BNI)
0722717476</t>
  </si>
  <si>
    <t>120 cash fara bon</t>
  </si>
  <si>
    <t>Alina LPV</t>
  </si>
  <si>
    <t>576 RON cash cu bon</t>
  </si>
  <si>
    <t>Carpatic,  Splaiul Independentei nr.319, In incinta Sema Parc</t>
  </si>
  <si>
    <t>1 x tort honney 4.8 kg dreptunghiular cu mesajul "Te iubim, Smări!"</t>
  </si>
  <si>
    <t>Iulia Iordan
0722482080</t>
  </si>
  <si>
    <t>16 kg x 75 lei (factura Mogosoaia IT QUEST &amp; Management)</t>
  </si>
  <si>
    <t>175 x felii DREPTUNGHIULARE tort mousse de cioco alba+ mousse fructe de padure + fructe de padure prin compozitie + blat vanilie de 83g!!!
1,5 kg tort real compozitia de mai sus, imbracat in pasta alba simpla ca butaforia pe care le-am dat-o</t>
  </si>
  <si>
    <t>CARD (POS) cu bon + certificat de confrmitate</t>
  </si>
  <si>
    <t>Lasertag, Splaiul Independentei nr.319, In incinta Sema Parc</t>
  </si>
  <si>
    <t>4,5 kg tort dreptunghiular||compozitie OREO|| minecraft ca in poza, fara cele 2 figurine oameni dar cu figurina verde, oaia alba, porcusorul roz mai multe TNT, cubulete cu figuri etc|| La multi ani, ALEX + cifra 9 (pe tip minecraft)</t>
  </si>
  <si>
    <t>Mihai Gabriela (lasertag)
+40 724 517 860</t>
  </si>
  <si>
    <t>cash cu bon + conformitate</t>
  </si>
  <si>
    <t>LaserMaxx Park Lake Mall, Strada Liviu Rebreanu nr. 4</t>
  </si>
  <si>
    <t>3,5 x Tort Unicorn 2(Ilinca)||Rastberry Vanilla||"La multi ani, Maia!"</t>
  </si>
  <si>
    <t>Cisteian Despina
0724577858</t>
  </si>
  <si>
    <t>17 kg x 75 lei (factura Mogosoaia IT QUEST &amp; Management)</t>
  </si>
  <si>
    <t>185 x felii tort fistic 83g!!!
1,5 kg tort real fistic, imbracat in pasta alba simpla ca butaforia pe care le-am dat-o</t>
  </si>
  <si>
    <t>350 platiti de Andra</t>
  </si>
  <si>
    <t>1127.5 RON (20.5 kg tort) + 50 RON (500 grame raw-veg) si 400 macheta la soiree
---
 350 ron manopera flori op nedelcearu</t>
  </si>
  <si>
    <t>206 x felie tort ricotta &amp; fructe confiate
5 x felie raw vegan tiramisu
 1 x macheta tort cu etaj real ca in poza comenzii 8 din 13,05,2019
 Atentie: Tortul sa aiba 3 etaje inalte, ca in poza, iar florile sa fie din pasta de zahar.</t>
  </si>
  <si>
    <t>Andra Nedelcearu (Soiree)
0745621182
N/A</t>
  </si>
  <si>
    <t>a achitat 200</t>
  </si>
  <si>
    <t>910 RON tort
400 RON macheta (de facut factura persoana fizica si trimis Tudor</t>
  </si>
  <si>
    <t>Simfonia, Strada Dimitrie Pompei 10b</t>
  </si>
  <si>
    <t>135 x felie citron (100 grame)
+ butaforie 3 nivele cu ultimul nivel real ca in poza
-----
+ Ridicat Macheta Tort</t>
  </si>
  <si>
    <t>Simona Bria (Simfonia)
0765451494</t>
  </si>
  <si>
    <t>3 kg x 150 card (POS) cu bon</t>
  </si>
  <si>
    <t>Cherie Hotel Boutique &amp; Restaurant
str. Cornelia 26, Sector 4, Bucuresti</t>
  </si>
  <si>
    <t>3Kg x tort decorat Jungle Party||carrot cake||"Cezar Gabriel" si "1 an"</t>
  </si>
  <si>
    <t>Carbunaru Nicoleta
0722619623</t>
  </si>
  <si>
    <t>717 RON cu op, factura pe corporate management events, RO33608889</t>
  </si>
  <si>
    <t>Str. Gara Herăstrău nr.4, sector 2, București</t>
  </si>
  <si>
    <t>Pentru botez baiat:
40 x briose (Albastru pal, alb)
50 x cake pops culori(albastru pal, alb)
50 x choux fistic
45 x asortiment de mini carrot cake si raspberry vanilla
45 x pavlova
500 grame bezele (albastru pal, alb)</t>
  </si>
  <si>
    <t>Andreea
0734850806</t>
  </si>
  <si>
    <t>Factura coloseum events
4 ron/ choux
65 ron/kg
----
de verificat cu laura</t>
  </si>
  <si>
    <t>1 x Piecee Montee (ca in poza):
105 x choux vanilie
105 x choux musetel
- glasate cu caramel-
-----------
107 x felii triunghiulare duo-mousse vinie (125 grame)</t>
  </si>
  <si>
    <t>Cristina Gheorghe
0743226064</t>
  </si>
  <si>
    <t>Factura Soiree:
962.5 tortul
700 RON macheta</t>
  </si>
  <si>
    <t xml:space="preserve">175 x felie duo mousse visine (100 grame)
+
Macheta 4 etaje (cu un etaj real) cu etaj superior roz in loc da auriu si cu varfurile pastei de zahar roz in loc de auriu. De printat poza ei si lipit pe ultimul etaj ca in model
</t>
  </si>
  <si>
    <t>Sumudica (soiree)
(0723291631)</t>
  </si>
  <si>
    <t>1 x Tort Honey 3.5 kilograme, Mesaj" La Mulți Ani, Taie! "</t>
  </si>
  <si>
    <t>Silvia Fiscuci</t>
  </si>
  <si>
    <t>Factura emisa Taupe + Lido</t>
  </si>
  <si>
    <t>Taupe:
3 x Choux cu vanilie
3 x Choux cu fistic
4  x Tarta cu fructe
3 x Tarta cu ciocolata
----
Lido:
4 x Choux cu vanilie
4 x Choux cu fistic
4 x Tarta cu fructe 
4 x Tarta cu ciocolata
4 x Tarta cu lămâie</t>
  </si>
  <si>
    <t xml:space="preserve">De intocmit factura Amberry Hall. 
2.5 x platou de 10 persoane.
 </t>
  </si>
  <si>
    <t>50 x choux fistic
80 x pavlova
50 x tarte fructe</t>
  </si>
  <si>
    <t>507 RON cash fara brrr</t>
  </si>
  <si>
    <t>Gradinita 50, Strada Nicolae Iorga 5</t>
  </si>
  <si>
    <t>1 x tort decorat masinuta rosie cu mesajul "La Multi Ani, Luca"
+ certificat conformitate</t>
  </si>
  <si>
    <t>???
0736168780</t>
  </si>
  <si>
    <t>factura Mogosoaia IT QUEST &amp; Management, 1 leu coaja</t>
  </si>
  <si>
    <t>seara cand vrem noi</t>
  </si>
  <si>
    <t>350 coji(175 maracons) de macarons cu lemongrass</t>
  </si>
  <si>
    <t>2 x degustare nunta
1 x cutie verde negrese
1 x cutie verde cookies
---
+
1 x briosa blat cu vanilie, fructe si pepite ciocolata cu crema mascarpone
1 x briosa blat cu vanilie, fructe, gem capsuni si crema mascarpone
1 x briosa blat ciocolata, gem visine, crema mascarpone</t>
  </si>
  <si>
    <t>Degustare Palatul Bragadiru
0733527201</t>
  </si>
  <si>
    <t xml:space="preserve">
4 kg  x 120 lei
cash cu bon</t>
  </si>
  <si>
    <t>1 x 2,5kg x Framboisier, cu poza atasata
Lateralele tortului sa fie albe
 + de scris pe lateral fata "Liceul Eugen Lovinescu, Promotia 2014-2019" + "Clasa a IV a A", tortul sa fie alb pe lateral si eventual si rama pozei sa fie tot alba ca sa nu incarcam prea mult tortul(clientul ne lasa pe noi sa alegem cum credem mai bine)
+
1 x 1,5 kg trio mousse, cu mesajul "Clasa a IV a A"</t>
  </si>
  <si>
    <t>Pinzaru Cristina (lasertag)
0751123213</t>
  </si>
  <si>
    <t>360 RON cu 10% discount. De intocmit factura pe fundatie acorns</t>
  </si>
  <si>
    <t>Acorns Nursery, Intrarea Poiana 8</t>
  </si>
  <si>
    <t>1 x tort 3 kg framboisier cu mesajul "Happy Birthday, Baby Acorns!" pe o placuta cu aceleasi culori ca textul din imagini.
+
Pe tort se lipeste si logo-ul acorns scos pe pasta de zahar
+ 
Decorat restul tortului cu fructe/macarons</t>
  </si>
  <si>
    <t>Valentina Secara (BNI)
0722476581</t>
  </si>
  <si>
    <t>Adriana Chirtu
0726356480</t>
  </si>
  <si>
    <t>de facut factura selari investment
---
conform anexei contractului</t>
  </si>
  <si>
    <t>Tarta mare cu fructe 4 buc
Tarta mare cu lămâie 4 buc
Tarta mare cu ciocolata 4 buc
Choux mare cu fistic 4 buc
Choux mare cu vanilie 4buc
Felie tort fistic cu zmeura 4 buc
Felie tort framboisier 4 buc
Felie tort ricola cu fructe confiate 4 buc
------
Degustare Cristi Opait: 
1 x briosa blat cu vanilie, fructe si pepite ciocolata cu crema mascarpone
1 x briosa blat cu vanilie, fructe, gem capsuni si crema mascarpone
1 x briosa blat ciocolata, gem visine, crema mascarpone</t>
  </si>
  <si>
    <t>Dana Stoicescu
0773995201‬</t>
  </si>
  <si>
    <t>780 cu 10% discount de incasat op</t>
  </si>
  <si>
    <t>Colegiul Grigore Moisil  Bulevardul Timișoara 33, București 061309</t>
  </si>
  <si>
    <t>Tort Personalizat 6 kg 2 etaje - compozitie chocolate delight. Cu mesajul "Promotia 2019 Colegiul National Grigore Moisil" pe placuta de pe etajul superior
---
In loc de elementele muzicale, sa facem pe tort pe etajul de jos niste design-uri super simple pentru fiecare materie:
Muzica: note muzicale
Romana: o carte
Biologie: un strand ADN
Informatica: &lt;Hello World/&gt;
Matematica: radical din 2
Chimie: Molecula Serotonina</t>
  </si>
  <si>
    <t>Loredana Vasilescu (BNI)
0731352045</t>
  </si>
  <si>
    <t>Apostol</t>
  </si>
  <si>
    <t>Str. Cuza Voda, nr. 147, restaurant Thalia</t>
  </si>
  <si>
    <t xml:space="preserve">1 x Tort Duo Mousse cu zmeura. Mesaj: La Mulți Ani, Bibanus'! </t>
  </si>
  <si>
    <t>Iulia Stanculescu
0722248361</t>
  </si>
  <si>
    <t>Situatia Soiree</t>
  </si>
  <si>
    <t>Intrarea Paltinului 14 Otopeni</t>
  </si>
  <si>
    <t>1 x tort 2 kg framboisier decorat ca pe website</t>
  </si>
  <si>
    <t xml:space="preserve">Laura Pascariu
0766585108
Laurapascariu85@yahoo.com </t>
  </si>
  <si>
    <t>480 RON cu 10% discount. De intocmit factura pe fundatie acorns</t>
  </si>
  <si>
    <t>Acorns Nursery, Strada Popa Soare 63</t>
  </si>
  <si>
    <t>1 x tort 4 kg framboisier cu mesajul "Happy Birthday, Baby Acorns!" pe o placuta cu aceleasi culori ca textul din imagini.
+
Pe tort se lipeste si logo-ul acorns scos pe pasta de zahar
+ 
Decorat restul tortului cu fructe/macarons</t>
  </si>
  <si>
    <t>De intocmit factura
soiree</t>
  </si>
  <si>
    <t>320 x felie citron 
fara macheta
+
Ridicat macheta veche + candy-bar</t>
  </si>
  <si>
    <t>Ridicare Candy-Bar</t>
  </si>
  <si>
    <t>Maison 13, Strada Dumbrava Roșie 2</t>
  </si>
  <si>
    <t>Ridicare vesela candy-bar</t>
  </si>
  <si>
    <t>3 cozonaci (2 x nuca, cacao si rom + 1 x personalizat cu nuca, cacao, rom si RAHAT)</t>
  </si>
  <si>
    <t>Braseria Lido, Bulevardul General Gheorghe Magheru nr. 3-5</t>
  </si>
  <si>
    <t>1 x tarta mare cu fructe
1 x tarta mare cu lamaie
1 x tarta mare cu ciocolata
1 x choux mare cu fistic
1 x choux mare cu vanilie
1 x felie tort fistic cu zmeura, 125 g, decorata
1 x felie tort framboisier, 125 g, decorata
1 x felie tort ricota cu fructe confiate, 125 g, decorata
1 x macarons mare ciocolata
1 x macarons mare vanilie
1 x macarons mare tonka</t>
  </si>
  <si>
    <t>Braseria Lido
Cristi 0722219621</t>
  </si>
  <si>
    <t>Factura plata prin op</t>
  </si>
  <si>
    <t>40 x briose  (roz, mov, alb)
50 x cake pops (roz, mov alb)
50 x choux fistic
45 x tiramisu la pahar
45 x pavlova
500 grame bezele (roz, mov, alb)</t>
  </si>
  <si>
    <t>Restaurant Sole
0734850806</t>
  </si>
  <si>
    <t>transfer direct catre Dan</t>
  </si>
  <si>
    <t>transfer direct catre Dan + certificat de conformitate</t>
  </si>
  <si>
    <t>Strada Poienii colt cu Vasile Voiculescu, Buftea (cerut share location de la DAN)</t>
  </si>
  <si>
    <t>2 x platouri Mini Prajituri 10 persoane
 2 x platouri Macarons
 3 x cozonaci ( 1 cu rahat si fructe confiate, 1 cu rahat si mac si 1 cu nuca , cacao si rom)
AMBALATE CAT MAI FRUMOS in cutiile verzi (am vorbit cu clientul si e ok sa fie mai mici si mai multe)</t>
  </si>
  <si>
    <t>Teodora Parvu +40 752 292 337</t>
  </si>
  <si>
    <t>de intocmit factura Dot</t>
  </si>
  <si>
    <t>revine Laura(Piata Lahovari)</t>
  </si>
  <si>
    <t>1 x Tort Citron 1,6 kg decorat frumos cu mesajul „La multi ani Sandra“
1X Tort vegan fistic 1,6 kg decorat frumos cu mesajul „ La multi ani Sandra“
1,6 kg Tort caramel + ciocolata decorat cu mesajul "La multi ani, Dutu!"
20 x macarons caramel
20 x minitarte caramel
20 x choux caramel</t>
  </si>
  <si>
    <t>Sandra Olanescu
(0723) 669 933</t>
  </si>
  <si>
    <t>2:30:00 PM (neaparat sa ajunga pana la 14:30 cand e programata degustarea)</t>
  </si>
  <si>
    <t>2:00:00 PM(sa plece odata cu candy barul de mai sus)</t>
  </si>
  <si>
    <t>Degustare Magic Place Grant</t>
  </si>
  <si>
    <t>2 x cutii degustare cu toate variantele de mousseuri (neaparat varianta noastra clasica de duo mousse cu visine si trio mousse) + 1 x cutie de minipraji de 5 persoane</t>
  </si>
  <si>
    <t>Degustare Mogosoaia
+40 769 308 105</t>
  </si>
  <si>
    <t>de platit cei 600 ramasi</t>
  </si>
  <si>
    <t>factura Mogosoaia IT QUEST &amp; Management 600 lei (6 kg duo mousse * 70 lei + tort decorat 180 lei) diferenta de la tort de 80 lei + 1050 candy bar va plati clientul direct la mine(fara brrrrr)</t>
  </si>
  <si>
    <r>
      <rPr>
        <b/>
        <sz val="11"/>
        <color rgb="FF000000"/>
        <rFont val="Calibri"/>
        <family val="2"/>
        <charset val="1"/>
      </rPr>
      <t xml:space="preserve">70 x portii de 83g duo-mousse cu visine
+
2 kg tort decorat|| tortul in forma de roata neagra cu profil pe margine (zimtii pe lateral) + dunga alba si in loc de "frank" sa fie scris “yikkohama” + casca portocalie cu logo printat "zabi racing" + "Stilo" si fara "BT Performance" + </t>
    </r>
    <r>
      <rPr>
        <b/>
        <u/>
        <sz val="11"/>
        <color rgb="FF000000"/>
        <rFont val="Calibri"/>
        <family val="2"/>
        <charset val="1"/>
      </rPr>
      <t xml:space="preserve">cele 2 steagru de FINISH
</t>
    </r>
    <r>
      <rPr>
        <b/>
        <sz val="11"/>
        <color rgb="FF000000"/>
        <rFont val="Calibri"/>
        <family val="2"/>
        <charset val="1"/>
      </rPr>
      <t>+
candy bar 50 persoane:
briose - 30 buc
mousse vanilie si zmeura la pahar - 30 buc
choux mix - 60 buc (15 vanilie/15 ciocolata/15 caramel/ 15 fistic)
tiramisu la pahar - 30 buc
tarte fructe - 30 buc 
tarte ciocolata - 30 buc
mini pavlova - 30 buc
!!!!: Nu uitai sa luati literele de lemn "Candy-Bar" din cofetarie. Tine foarte mult la ele!</t>
    </r>
  </si>
  <si>
    <t>Zaberca - Mogosoaia
+40 730 750 678</t>
  </si>
  <si>
    <t xml:space="preserve">De intocmit factura:
1650 tortul
50 sos zmeura
400 macheta
</t>
  </si>
  <si>
    <t xml:space="preserve">300 x duo mousse cu visine
+ 1 kg sos de zmeura
---------
1 x macheta 3 etaje cu baza cu diametru de 40 de cm cu FLORI REALE ca in poza de </t>
  </si>
  <si>
    <t>400 platiti</t>
  </si>
  <si>
    <t>400 factura prin op pentru Ruxandra Georgescu. 745 de intocmit factura la Simfonia</t>
  </si>
  <si>
    <t xml:space="preserve">100 x felie tort fistic cu zmeura (100 grame portia cu glasaj verde si decorat)
 1 x butaforie cu etaj real ca in prima poza din #1 din 11,05,2019
 1 x cake topper ca in a doua poza din #1 din 11,05,2019
 Atentie: Etajul superior il doreste verde pal in loc de roz pal!!!
</t>
  </si>
  <si>
    <t>Ruxandra Georgescu (Simfonia Pompei) 
0766567898
N/A</t>
  </si>
  <si>
    <t>factura Kokos</t>
  </si>
  <si>
    <t xml:space="preserve">Kokos, Bulevardul Pipera 43, Voluntari </t>
  </si>
  <si>
    <t xml:space="preserve">1) Pentru candy bar clasic(40 buc):
10 x minipavlova
10 x minitarte fructe
10 x macarons 
10 x mini choux
2) Candy bar raw vegan (80 buc 25g)
20 x tort cocos
20 x caju cu afine
20 x caju cu turmeric
10 x caju cu fistic
10 x chesse cake raw vegan
(FARA CACAO la RAW VEGAN)
3) separat vor:
50 x macarons (diverse culori, cat mai colorati)
25 x pahare Panna Cotta
</t>
  </si>
  <si>
    <t>spatiu joaca Kokos 0768657297</t>
  </si>
  <si>
    <t>Factura candy-bar. S. C. MAX ESTATE S. R. L -  RO 33079117</t>
  </si>
  <si>
    <t>cake pops - 60 buc 
briose - 60 buc (culori pastelate)
mousse vanilie si zmeura la pahar - 60 buc
choux mix - 80 buc (20 vanilie/20 ciocolata/20 caramel/ 20fistic)
tiramisu la pahar - 60 buc 
mini pavlova - 60 buc
macarons mix - 160 buc
bezele (culori pastelate)</t>
  </si>
  <si>
    <t>65 kg +500 butaforia / de intocmit factura Colosseum</t>
  </si>
  <si>
    <t>95x felii decorate triunghiulare 125 g trio mousse
1 x macheta 3 etaje ultimul real, poze din comanda #2/28.05.2019 si in directorul décor</t>
  </si>
  <si>
    <t>Palatul Bragadiru
(0743) 226 064</t>
  </si>
  <si>
    <t xml:space="preserve"> factura intocmita</t>
  </si>
  <si>
    <t>Amenajare Candy-Bar 40 persoane:
22 x mini briose ciocolata
40 x mini tarte fructe
40 x mini choux fistic
40 x chocolate chip cookie
40 x mini raspberry vanilla
40 x pavlova
40 x carrot cake
+ cutie lumanari aurii, de luat de langa casele de marcat
---
1 x tort decorat snickers 5 kg doua etaje ("Tort Inimioare Roz). Poza este in fisier</t>
  </si>
  <si>
    <t>1252 RON</t>
  </si>
  <si>
    <t>150 portii 100 grame duo mousse cu visine (15 kg - 825 RON)
macheta 90 cm cu zuccotto etaj real (400 RON)</t>
  </si>
  <si>
    <t>Candy bar +tort botez (pending degustare in mai)</t>
  </si>
  <si>
    <t>262.5 ron factura tort persoana fizica Andreea Petre</t>
  </si>
  <si>
    <t>262.5 RON</t>
  </si>
  <si>
    <t>1 x tort 3.5 kg dreptunghiular fistic cu zmeura ( cu zmeura in loc de capsuni la decor)</t>
  </si>
  <si>
    <t>1 x tort decorat 3 kg duo mousse zmeura (400 ron)
180 x monoportii duo mousse zmeura (18 kg x 55 = 990 RON + 540 RON extra manopera)
1 x candybar 110 persoane (1551 RON)</t>
  </si>
  <si>
    <t>495 RON</t>
  </si>
  <si>
    <t>990 tort si 400 macheta la soiree, 350 ron manopera flori op nedelcearu</t>
  </si>
  <si>
    <t>1690 RON</t>
  </si>
  <si>
    <t>180 x felie tort ricotta &amp; fructe confiate
 1 x macheta tort cu etaj real ca in poza comenzii 8 din 13,05,2019
 Atentie: Tortul sa aiba 3 etaje inalte, ca in poza, iar florile sa fie din pasta de zahar.</t>
  </si>
  <si>
    <t>300 RON</t>
  </si>
  <si>
    <t>780 cu 10% discount de incasat fara BRR</t>
  </si>
  <si>
    <t>702 RON</t>
  </si>
  <si>
    <t>0 RON</t>
  </si>
  <si>
    <t>1760 RON</t>
  </si>
  <si>
    <t>oricand</t>
  </si>
  <si>
    <t>320 x felie citron 
fara macheta
---
+ ridicare macheta tort &amp; candy-bar</t>
  </si>
  <si>
    <t>dan</t>
  </si>
  <si>
    <t>225 RON</t>
  </si>
  <si>
    <t>717 RON</t>
  </si>
  <si>
    <t>923 RON</t>
  </si>
  <si>
    <t>628 RON</t>
  </si>
  <si>
    <t>1730 RON</t>
  </si>
  <si>
    <t>665 RON</t>
  </si>
  <si>
    <t>1904 RON</t>
  </si>
  <si>
    <t>2100 RON</t>
  </si>
  <si>
    <t>400 factura prin op pentru Ruxandra Georgescu. 650 de intocmit factura la Simfonia</t>
  </si>
  <si>
    <t>1413 RON</t>
  </si>
  <si>
    <t>Chiajna, str Viitorului, nr 24 E</t>
  </si>
  <si>
    <t>1.5 x chocolate fiesta cu mesajul "La mulți ani, Ingrid!", decorat cu Floricele, gărgărițe</t>
  </si>
  <si>
    <t>Corina Moisa
+40 728 838 193</t>
  </si>
  <si>
    <t>1 x platou miniprajituri 5 persoane (degustare candybar)
1 x platou torturi nunta</t>
  </si>
  <si>
    <t>Degustare Soiree - Florin
0730185548</t>
  </si>
  <si>
    <t>Cadou pentru luxoft</t>
  </si>
  <si>
    <t>1 x Cheesecake 1 kg decorat cu foarte multe fructe in cutie tort de cadou
+ 
1 x platou miniprajituri 5 persoane in cutie verde</t>
  </si>
  <si>
    <t>Cadou Luxoft</t>
  </si>
  <si>
    <t>60 felii tort x 7 RON felia. De intocmit factura SC DECO FOOD SRL</t>
  </si>
  <si>
    <t xml:space="preserve"> </t>
  </si>
  <si>
    <t xml:space="preserve">5 x felie framboisier
5 x felie duo-mousse visine
5 x felie tort fistic si zmeura
5 x felie tort straciatella
5 x felie carrot cake
5 x felie trio mousse
+
3 x platouri aurii dreptunghiulare fiecare cu urmatoarea selectie de torturi:
2 x Felie Tort Duo-Mousse cu Visine 
2 x Felie Tort Fistic cu Zmeura
2 x Felie Tort Straciatella 
2 x Felie Tort Carrot Cake 
2 x Felie Tort Trio Mousse </t>
  </si>
  <si>
    <t>factura AM GRUP:
1567 tortul
50 sos zmeura</t>
  </si>
  <si>
    <t>285 x felie framboisier (vanilla mousse cake with raspberry and almonds)
+ 1 kg sos de zmeura</t>
  </si>
  <si>
    <t xml:space="preserve"> factura WAISE FACTOR ENTERTEAINMENT.</t>
  </si>
  <si>
    <t>Vivolis Events, Șoseaua București-Ploiești 155, București</t>
  </si>
  <si>
    <t>200 x felii duo-mousse zmeura ( 20 kg - 1440 RON cu 10% discount inclus)
1 x macheta cu etaj real cu o placuta cu pe penultimul etaj cu "Liceul Teoretic C.A.Rosetti - Promoția 2019"( 600 RON)</t>
  </si>
  <si>
    <t>Ioana M. 
0727337131
N/A</t>
  </si>
  <si>
    <t>Ridica Tudor de la Laborator</t>
  </si>
  <si>
    <t>1 x platou  (mouss'uri + carrot cake) decorate frumos
+
3 x pahar mousse zmeura si vanilie
 3 x pahar mousse cafea si ciocolata
3 x pahar tiramisu
+
1 x cutie miniprajituri 5 persoane</t>
  </si>
  <si>
    <t>Degustare Osteria Ciao Niky</t>
  </si>
  <si>
    <t xml:space="preserve"> factura persoana fizica</t>
  </si>
  <si>
    <t>Red Angus, centrul vechi  Strada Franceză 56</t>
  </si>
  <si>
    <t>1 x tort trio-mousse 1 kg cu "7" facut din pasta de zahar pe tort 
+ certificat conformitate</t>
  </si>
  <si>
    <t>Manuela Voicila (BNI)
0723344592</t>
  </si>
  <si>
    <t>de bagat datorie Borotea</t>
  </si>
  <si>
    <t>Uruguay 12, et 3, ap 7, intre Arc si Charles de Gaulle</t>
  </si>
  <si>
    <t xml:space="preserve">1,6 x citron decorat ca pe site + ambalaj in cutie frumoasa (de rezolvat Tudor)
</t>
  </si>
  <si>
    <t xml:space="preserve">Borotea
0729990663
</t>
  </si>
  <si>
    <t>Cash cu bon. 80 RON/kg</t>
  </si>
  <si>
    <t>Strada Nerva Traian, Nr. 3, etaj 7</t>
  </si>
  <si>
    <t>2 x 1.6 kg tort decorate frumos (Ce vrea Andreea) cu mesajul "La Multi Ani, Rasvan!"</t>
  </si>
  <si>
    <t>Rasvan Toader
0752512509</t>
  </si>
  <si>
    <t>1 x platou miniprajituri 2 persoane;
+
felie mousse-uri cate avem</t>
  </si>
  <si>
    <t>degustare Laura (Aristrocat Events)</t>
  </si>
  <si>
    <t>1,6 x chocolate fiesta decorat ca pe site + ambalaj in cutie frumoasa (de rezolvat Tudor)
+ 30 pavlova 
+30 minitarte chiocolata
+ platou cafea 20 persone</t>
  </si>
  <si>
    <t>LUXOFT PROFESSIONAL ROMANIA S.R.L.
--
Tort : 6 kg x 120 RON = 720 RON
Briose: 60 x 5 RON = 300 RON
Cake Pops: 60 x 4 RON= 240 RON
cu 10% discount</t>
  </si>
  <si>
    <t>Insula Copiilor, Complex Herastrau, Parc Herăstrău, București</t>
  </si>
  <si>
    <t xml:space="preserve">2 x Tort 3 kg fistic cu zmeura dreptunghiulare decorate exact ca pe website
60 x cake pops ciocolata multicolore (ca in pozele din Torturi decorate)
60 x briose ciocolata multicolore cu elemente de decor facute din pasta de zahar care sa se asorteze (floricele, fluturas, etc)
+ 
certificat conformitate
+
Aranjat candy-bar
</t>
  </si>
  <si>
    <t>Adriana Ababei (Luxoft)
0743318474
CAbabei@luxoft.com</t>
  </si>
  <si>
    <t>1555 factura soiree (400 macheta + 1155 tortul)</t>
  </si>
  <si>
    <t>210 x felie fistic si zmeura
---
1 x macheta cu etaj real (3 etaje) tema ca in tortul atasat in dropbox. (28.05.2019-Ioana Miroiu)
Tortul sa fie ca cel in poza dar sa aibe trei etaje. Sa aibe obligatori toca. Pe etajul din mijloc sa fie o placuta cu urmatorul mesaj: 
"  Colegiul Național Spiru Haret – Promoția 2019"</t>
  </si>
  <si>
    <t>Ioana Miroiu (Soiree)
0727337131
N/A</t>
  </si>
  <si>
    <t>cash + conformitate</t>
  </si>
  <si>
    <t>Calea Calarasilor, 253, bl 67, sc 1, ap 19, et. 4</t>
  </si>
  <si>
    <t>2kg Framboisier|| décor cool cu o inimoara si initialele "C" si "D"</t>
  </si>
  <si>
    <t>Daniela Barnea (Cosmin Bodeanu)
0723325909</t>
  </si>
  <si>
    <t>laura</t>
  </si>
  <si>
    <t xml:space="preserve"> factura Tempo Advertising</t>
  </si>
  <si>
    <t>Swan Lake Pipera, Soseaua Bucuresti Nord 15-23, Cladirea Henley, Swan Office &amp; Technology Park</t>
  </si>
  <si>
    <t>85 x briosa blat cu vanilie, fructe si pepite ciocolata cu crema mascarpone
85 x blat cu vanilie, fructe, gem capsuni si crema mascarpone
85 x blat ciocolata, gem visine, crema mascarpone
+ 255 x logo rotund de pus pe fiecare briosa
+ajutor in asezarea lor pe mese</t>
  </si>
  <si>
    <t>Oana Ciobanu(Mercedes)
0742555956
Paul
0745121203 (de sunat Paul cand se ajunge la Adresa)</t>
  </si>
  <si>
    <t>THE GOOD COMPANY PARTNERSHIP SRL ,33191764,, J40/6019/2014,STR. PICTOR STEFAN DIMITRESCU 11 B</t>
  </si>
  <si>
    <t xml:space="preserve">Bld. Marasesti nr. 2B, et. 5 ap 24, interfon 24 </t>
  </si>
  <si>
    <t>25 cupcakes cu ce vrem noi</t>
  </si>
  <si>
    <t>The good company-Delia Margarit</t>
  </si>
  <si>
    <t>dupa 15:00</t>
  </si>
  <si>
    <t>mousse-uri si ceva minipraji</t>
  </si>
  <si>
    <t xml:space="preserve"> factura pe dot (398 platouri + 384 torturile)</t>
  </si>
  <si>
    <t>Splaiul Unirii 45, Bl M15, sc 3, sect 3</t>
  </si>
  <si>
    <t>2 x Tort  Duo Mousse cu visine 1.6 kg cu placute pe care sa scrie "La Multi Ani, Sandra!", ca in whatsapp
2X platou niniprajituri 10 persoane</t>
  </si>
  <si>
    <t>Sanda Olanescu</t>
  </si>
  <si>
    <t>De incasat de la Diana</t>
  </si>
  <si>
    <t>Zitec, 165 Splaiul Unirii, TNO2 Building, 6th floor</t>
  </si>
  <si>
    <t>1 x platou miniprajituri 10 persoane</t>
  </si>
  <si>
    <t>Diana Lara Consulting</t>
  </si>
  <si>
    <t>pending address</t>
  </si>
  <si>
    <t>25 rulouri cu vanilie (stie andreea)</t>
  </si>
  <si>
    <t>factura intocmita 2/2</t>
  </si>
  <si>
    <t>Bld. Nerva Traian, nr 3, etaj 3</t>
  </si>
  <si>
    <t>2 x platouri de minipraji de 10 persoane</t>
  </si>
  <si>
    <t>Getica 95
 (0744350020)</t>
  </si>
  <si>
    <t>de intocmit factura Coloseum
65 lei / kg tort (125 * 130 * 65)= 1056.25 lei + butaforie 500 lei + candy bar 20 persoane * 3 euro (4.8 lei)= 288</t>
  </si>
  <si>
    <t>Calea Rahovei 147-153</t>
  </si>
  <si>
    <t>130 x felii triunghiulare decorate tort 125g
Compozitie tort (de jos in sus): Foaie de bezea cu nuca, mouse de ciocolata cu zmeura, foaie de bezea cu nuca, crema de mascarpone cu coacaze, foaie de bezea cu nuca, fructe de padure deasupra (coacaze, zmeura). Fructele din compozitie sunt fructe intregi. V-am atasat si o poza de la degustare, compozitia incercuita este cea pe care o vreau.
1X butaforie 6 nivele ultimul etaj tort real conform poza comanda #1 / 22.05.2019
V liniuta sub el F
1x candy bar copii ( 20 persoane) alegem noi ce se potriveste
Sa contina cake pops, cuppcakes, tarte fructe/ciocolata/lamaie, choux'uri( dar mai micute sa nu fie foarte mari) si ce mai considerati dumneavoastra ca este potrivit pentru copii. Sa fie micute sa le poata manca usor, sunt sigura ca fiind copii nu vor folosi lingurite le vor lua cu mana</t>
  </si>
  <si>
    <t>Palatul Bragadiru -Roxana
‭‭(0733) 527 201‬</t>
  </si>
  <si>
    <t>e cadou, bani ii incaseaza Dan de la Anca Marinescu</t>
  </si>
  <si>
    <t>Bd.Camil Ressu nr.42 bl.A12 sc.1 et.5 ap.21 sector 3</t>
  </si>
  <si>
    <t>2.5 kg Tort chocolate fiesta ||"La Multi Ani, Ale!"
1.5 kg Tort Ursulet|"La Multi Ani, Ale!"
1 x platou de minipraji 5 persoane
+ certificat conformitate</t>
  </si>
  <si>
    <t>Gabriel Cojocaru 
+40 723 993 344</t>
  </si>
  <si>
    <t xml:space="preserve">cash cu bon + conformitate </t>
  </si>
  <si>
    <t>Cinema City (Park Lake mall)</t>
  </si>
  <si>
    <t>4 kg tort trio mousse, imbracat in pasta de zahar (cu crema de unt) pe care se aseaza un laptop care sa aiba pe spate logo APPLE si pe ecranul laptopului sa fie poza cu cainele de mai jos.||"Happy birthday NOA!" (sunt poze pe whatsapp pentru comanda #2/17.05.2019)</t>
  </si>
  <si>
    <t>prietena Maner</t>
  </si>
  <si>
    <t>Factura intocmita Tudor (770- reducere probleme)</t>
  </si>
  <si>
    <t xml:space="preserve"> Strada Dumbrava Roșie 2</t>
  </si>
  <si>
    <t>1 x Tort Coronita Printesa (9 kg - 60 persoane) - Trio Mousse cu cata gelatina vrem
 Initialele ""i a"" in loc de ""m"".</t>
  </si>
  <si>
    <t>Andreea (Maison 13) 
0724243489
N/A</t>
  </si>
  <si>
    <t>666.4 RON candybar si 450 RON Tort catre Amalt Com SRL.
----
S-a inapotiat 119 RON si 150 RON extra.</t>
  </si>
  <si>
    <t>Amberry Hall, Șoseaua București Nord nr 15-23</t>
  </si>
  <si>
    <t xml:space="preserve">1 x tort 6 kg Raspberry Vanilla de 2 etaje ca in poza #1 cu un singur ursulet cu caciulita si o placuta similara dar mai mare pe care sa scrie ""Robert"". Tortul nu va fi acoperit in pasta de zahar, ci finisat ca in poza #2. 
 --
 Amenajat Candy Bar 40 persoane:
 12 x panna cotta vanilie si zmeura
 22 x tarte fructe
 36 x choux fistic
 22 x tarta ciocolata
 22 x mini pavlova
 22 x macarons mix
 22 x mini carrot cake
</t>
  </si>
  <si>
    <t>Andra Petrescu (Amberry Hall) 
0723264197
N/A</t>
  </si>
  <si>
    <t>La laborator degustare. Asezate frumos</t>
  </si>
  <si>
    <t>platou miniprajituri 3 persoane + mousse vanilie zmeura + tiramisu</t>
  </si>
  <si>
    <t>Andreea BLU Party (Degustare Nunta)
0727852766
N/A</t>
  </si>
  <si>
    <t>150 Euro (717 RON)</t>
  </si>
  <si>
    <t>Restaurant Sole, Bulevardul Iancu de Hunedoara 48 ETAJ 15, București</t>
  </si>
  <si>
    <t>30 x mini pavlova
30 x mini-tarta de lamaie cu bezea flambata
13 x macarons verzi (fistic)
13 x macarons albi (vanilie)
13 x macarons galben (lamaie)
13 x macarons roz ( ???whatever)
30 x mini-tarte fructe
30 x tiramisu (la pahar)
30 x mousse vanilie cu so de zmeura (la pahar)</t>
  </si>
  <si>
    <t>Restaurant Sole
0774093495</t>
  </si>
  <si>
    <t>de intocmit factura soiree: 400 butaforie + 550 tort</t>
  </si>
  <si>
    <t>100 x felie duo mousse visine
2 x felie tort vegan 
---
1 x butaforie 5 nivele cu etajul de sus real. Facem doar macheta. Florile le vor aseza ei la locatie</t>
  </si>
  <si>
    <t>Client Soiree
N/A
N/A</t>
  </si>
  <si>
    <t>cash cu bon + certificat de confrmitate (325 - 10% reducere BNI)</t>
  </si>
  <si>
    <t>Str. Siret nr 15 zona piata Domenii/ Grivita</t>
  </si>
  <si>
    <t>2.5 kg Tort racheta tenis (dreptunghiular)|| OREO|| "La multi ani, Dominic!"(jos intre mingiile de tenis unde e "Julie" pe site)</t>
  </si>
  <si>
    <t>Mirela Mateescu(BNI)
+40 722 432 336</t>
  </si>
  <si>
    <t>1316 RON factura fizica Cristina Cimpeanu</t>
  </si>
  <si>
    <t>Casa Doina, Șoseaua Pavel Dimitrievici Kiseleff 4, București</t>
  </si>
  <si>
    <t xml:space="preserve">1 x carrot cake (1 kg)
---
1 x tort decorat duo mousse visine (4.2 kg compozitie, 5.5 kg cu tot cu decor)
Atentie!!: Tortul va fi pe doua etaje. Etajul de baza va fi  un "pink ruffle" ca in POZA 1  iar etajul de deasupra va fi ca in POZA 2. Pe tort, se va execute un cake topper auriu din lemn asemanator celui din poza.
Tortul va vea un support metalic pentru sustinere
----
Candy-Bar 35 persoane:
35 x briose vanile cu pepite de ciocolata (roz) 
35 x choux fistic
35 x mini-pavlova
35 x mini tarte fructe
35 x mini tarte ciocolata neagra si caramel
35 x macarons mix 
+
500 grame bezele roz pal
</t>
  </si>
  <si>
    <t>Cristina Cimpeanu
0722874431</t>
  </si>
  <si>
    <t>factura, Amalt Com srl 
RO16125663 
J23/177/2004
Voluntari, Ilfov</t>
  </si>
  <si>
    <t>Amenajare Candy-Bar 60 pers:
18 x cupcake pepite ciocolata
33 x tarte fructe
9 x choux fistic
9 x choux cafea
9 x choux ciocolata
9 x choux vanilie
33 x tarta ciocolata
33 x tarta lamaie
33 x mini pavlova
33 x macarons mix
33 x mini carrot cake
33 x mini raspberry vanilla</t>
  </si>
  <si>
    <t>Andre Petrescu (Amberry Hall)</t>
  </si>
  <si>
    <t>De intocmit factura VTM cu OP</t>
  </si>
  <si>
    <t>Academia de Paintball, Sos. Vergului nr. 18, sector 2, Bucuresti</t>
  </si>
  <si>
    <t>1 x tort Avengers 3 Etaje Snickers (5 kg compozitie + 3 kg figurine)
----------
+ certificat conformitate</t>
  </si>
  <si>
    <t>Alina Budeanu
0747285285</t>
  </si>
  <si>
    <t xml:space="preserve"> factura Getica 95 1/2</t>
  </si>
  <si>
    <t>ridicarea laborator</t>
  </si>
  <si>
    <t>6kg x Tort Duo mousse cu visine, dreptunghiular cu poza printata cu promotia 89(de impartit si printat poza in 2 x A4) (liceul Al. Vlahuta). De facut rama la poza din pasta de zahar + in fata tortului, pe suport (cum te uiti la poza) sa fie facut bustul lui Al Vlahuta din fata liceului, pozele sunt we whatsapp la comanda #1/23.05.2019</t>
  </si>
  <si>
    <t>Factura DOT 2/2</t>
  </si>
  <si>
    <t>1 x negresa taiata bucati si pusa in cutia. verde. Minim 15 bucati
1x pandispan cu visine taiat bucati si pus in cutia verde. Minim 15 bucati
Sa fie facute vineri sa fie proaspete!!!</t>
  </si>
  <si>
    <t xml:space="preserve"> factura Soiree:
400 butaforie
+
825 tort</t>
  </si>
  <si>
    <t xml:space="preserve">150 x felie duo mousse visine
+
butaforie fara etaj real, 3 etaje, 40-45 cm inaltime, fundal crem cu drip bleu, figurina iepuras, decor cu bezele, macarons, perle mici din zahar, poza in comenzi #2 din 8.05 </t>
  </si>
  <si>
    <t>Diana Lukacs (botez Soiree) 
0769190068</t>
  </si>
  <si>
    <t>factura Mogosoaia (revine Dan cu datele)</t>
  </si>
  <si>
    <t>Butaforie simpla alba 3 nivele ca in poza de pe grupul "Echipa Lara Sweets"</t>
  </si>
  <si>
    <t>Butaforie Mogosoaia Lake View 0741159114</t>
  </si>
  <si>
    <t>d4u n bn</t>
  </si>
  <si>
    <t xml:space="preserve">3kg Tort Naked Oreo || decorat ca pe site + La multi ani Matteo!!! 
+ 2 x felii de tort Raw Vegan Tiramisu </t>
  </si>
  <si>
    <t>Claudia Gheorghiu 
0728980999
clau_giana@yahoo.com</t>
  </si>
  <si>
    <t xml:space="preserve"> factura intocmita VTM cu OP</t>
  </si>
  <si>
    <t>VTM,
Str. Dr. Iacob Felix nr. 87</t>
  </si>
  <si>
    <t>Se impart in trei pachete egale. Cate unul pentru fiecare etaj: 
57 x Pavlova
57 x Tarte caramel
57 x Choux fistic
57 x Tarte Fructe
57 x Macarons mix
57 x Brownie
57 x Cookie Afine
57 x Cookie Ciocolata</t>
  </si>
  <si>
    <t>Vulpoiu &amp; Toader Management
Alina Budeanu
 0747285285</t>
  </si>
  <si>
    <t>cash fara bon</t>
  </si>
  <si>
    <t>Cabinet</t>
  </si>
  <si>
    <t>1,6 Duo mousse</t>
  </si>
  <si>
    <t>Simina</t>
  </si>
  <si>
    <t xml:space="preserve"> factura Clinica Life Med</t>
  </si>
  <si>
    <t>Strada Plugarilor 18</t>
  </si>
  <si>
    <t xml:space="preserve">
1x platou miniprajituri 10 persoane</t>
  </si>
  <si>
    <t>Clinica Life med
‭‭‭(0726) 200 527‬</t>
  </si>
  <si>
    <t>degustare protocol</t>
  </si>
  <si>
    <t>Ridicare laborator</t>
  </si>
  <si>
    <t>1 x platou 10 persoane minprajituri
+ 1 x platou 10 persoane coffee</t>
  </si>
  <si>
    <t>Degstare BNI</t>
  </si>
  <si>
    <t xml:space="preserve"> Factura DOT 1/2</t>
  </si>
  <si>
    <t>1,6 kg tort duo mosse visine
1,6 kg tort fistic vegan</t>
  </si>
  <si>
    <t>Sandra Olanescu
‭(0723) 669 933‬</t>
  </si>
  <si>
    <t>la laborator</t>
  </si>
  <si>
    <t>degustare torturi si mini prajituri botez 15.06</t>
  </si>
  <si>
    <t>1280 factura soiree (400 macheta + 935 tortul)</t>
  </si>
  <si>
    <t>170 x felie duo mousse zmeura
---
1 x macheta cu etaj real (3 etaje) tema OSCAR
Tortul sa fie ca cel in poza dar sa aibe trei etaje. Pe etajul de dinainte de statueta sa fie o placuta cu urmatorul mesaj: 
" LICEUL TEORETIC JEAN MONNET - PROMOTIA 2019"</t>
  </si>
  <si>
    <t>Colonel Costescu Gheorghe nr.3</t>
  </si>
  <si>
    <t>1 x platou miniprajituri 2 persoane
1 x platou felii mousse-uri cate avem</t>
  </si>
  <si>
    <t>Laura Ciuhu
0722543650 
N/A</t>
  </si>
  <si>
    <t>Andreea tine degustarea</t>
  </si>
  <si>
    <t>cash cu bon (250 lei - 15% reducere)</t>
  </si>
  <si>
    <t>Gradinita Acorns (Strada Popa Soare 63)</t>
  </si>
  <si>
    <t>2.5 kg Tort Raspberry Vanilla decorat ca pe site + "LA MULTI ANI, ALEX!"</t>
  </si>
  <si>
    <t>Hanu Raluca 0720302395</t>
  </si>
  <si>
    <t>720 ron factura persoana fizica</t>
  </si>
  <si>
    <t>Gradinita Avenor, Str. Alexandru Constantinescu nr 65, sector 1
---
Tortul trebuie predat la poartă (dl Gil) , și informat portarul ca este pt Ian Angelescu de la “Year 1 Blue”.</t>
  </si>
  <si>
    <t>1 x tort raspberry vanilla 6 kg decorat ca in poza + o lumanare cu cifra 6 (Tortul in forma de santier de constructie, ca in pozele Mirunei)
+ 
certificat de conformitate cu ingrediente
ATENTIE: Tortul sa NU contina ciocolata neagra sau cacao (poate fi ciocolata alba), NU alune, nuci sau migdale.</t>
  </si>
  <si>
    <t>Cerasela Anghelescu  (Miruna)
0752167787</t>
  </si>
  <si>
    <t>factura de intocmit, stie Tudor</t>
  </si>
  <si>
    <t>Șoseaua Nordului 7-9, București</t>
  </si>
  <si>
    <t>Comanda:
5 x felie tort straciatella;
5 x felie tort citron;
5 x felie tort carrot cake;
5 x felie tort fistic;
5 x felie tort duo mousse visine;
5 x felie tort trio-mousse;
5 x felie ricotta cu fructe confiate;
20 x choux fistic mari (de test)</t>
  </si>
  <si>
    <t>Florin (Restaurant Fattoria)</t>
  </si>
  <si>
    <t>ridicare Laborator</t>
  </si>
  <si>
    <t>1 x platou minipraji 5 persoane</t>
  </si>
  <si>
    <t>Degustare Dan - Getica 95</t>
  </si>
  <si>
    <t>Laura ( degustare Complex Herastrau) 
N/A</t>
  </si>
  <si>
    <t>cash cu bon + conformitate (15%reducere voucher)</t>
  </si>
  <si>
    <t>Str . Aura Buzescu 51 (Vatra Luminoasa)</t>
  </si>
  <si>
    <t>3 kg Tort Mickey &amp; Minie Mouse || compozitie Banana Chocolate || cele 2 figurine cat mai expresive si simpatice, fara flori pe bat si funda de jos +  lateralul sa fie doar in 2 culori…ceva de fata si ceva de baiat + decorat la picioarele figurinelor cu floricele, fluturasi si ce mai vreti voi||sprijinit de tort sa fie o foaie din pasta de zagar cu "La multi ani, Sara &amp; Aris" si undeva pe tort sa fie lipita si cifra 3</t>
  </si>
  <si>
    <t>Alina Toader  0722610561</t>
  </si>
  <si>
    <t>Swan Lake Pipera, 
Oana Ciobanu, 0742555956</t>
  </si>
  <si>
    <t>Cate 5 din fiecare:
Brioșe cu fructe ( afine,zmeura,căpșune ) și crema de mascarpone.
Brioșe cu pepite de ciocolata și crema de mascarpone.
Brioșe cu fructe și pepite de ciocolata cu crema de mascarpone.
Brioșe de ciocolata și crema de ciocolata ( ganache).
Brioșe de ciocolata și crema de mascarpone.
---
Vor fi trimise la degustare direct la client</t>
  </si>
  <si>
    <t>Degustare Laura</t>
  </si>
  <si>
    <t>Strada Fetesti, nr 5, bl H27, sc B</t>
  </si>
  <si>
    <t>1 kg tort Honey</t>
  </si>
  <si>
    <t>Anca Elena Oprea 0751111039</t>
  </si>
  <si>
    <t>Strada Italiana nr. 1-7, Chiajna</t>
  </si>
  <si>
    <t>1 x platou minipraji de 10 persone
1 x platou minipraji de 5 persoane</t>
  </si>
  <si>
    <t>bon cu CARD (POS)</t>
  </si>
  <si>
    <t>2,5 kg tort Oreo, glazura cu drop, cu manusa lui Thanos ca element central din pasta de zahar si in rest jumatati de oreo(ca pe site), fara bomboane+ banuti de ciocolata ca la tortul Honey. In afara de manusa lui Thanos sa nu avem pasta de zahar.||"La multi ani, Rares!"</t>
  </si>
  <si>
    <t>Georgiana 
0730112397</t>
  </si>
  <si>
    <t>163.2 (192 lei cu reducere 15%)</t>
  </si>
  <si>
    <t>Ferdinand I, 118, ap 107</t>
  </si>
  <si>
    <t>1,6 Kg duo mousse cu visine, decorat ca pe site || "La multi ani, tanti Milica!"</t>
  </si>
  <si>
    <t>409 RON cash cu BON (195 e tortul)</t>
  </si>
  <si>
    <t>Str Secuilor, nr. 7 Bl. B31, sc. 1, etj 3, ap 10 interfon 010</t>
  </si>
  <si>
    <t>1 x platou 10 persoane
2 x Pasca cu brânză și stafide
12 x macarons (6 zmeura, 3 cafea, 3 mure) 
+
1.5 kg tort trio mousse, decorat in pasta de zahar albe cu bilute colorate cum a fost cel de la gradinita. Mesaj: "La Multi Ani, Bya!" (tot la fel scris) 
Atentie: Sa nu fie f inalt</t>
  </si>
  <si>
    <t>Iulia Stanculescu 
0722248361
N/A</t>
  </si>
  <si>
    <t>lasertag, Splaiul Independentei nr.319, In incinta Sema Parc</t>
  </si>
  <si>
    <t>1 x Tort Sabie Minecraft OREO ( 3.5 Kg CU TOTUL);
Cifra 8 si mesajul "LA MULTI ANI, CIPRIAN!";
Tortul sa fie dreptunghiular sau patrat;</t>
  </si>
  <si>
    <t xml:space="preserve">Ana Slavu (lasertag) 
0721568342; anaslavu7@gmail.com  </t>
  </si>
  <si>
    <t>216 cash cu bon (250 cu 10% discount)</t>
  </si>
  <si>
    <t>Bd Decebal Nr 9, Bl S13 Sc 3, Ap 63 et7, interfon 63 sect 3</t>
  </si>
  <si>
    <t xml:space="preserve">1 x tort 1.6 kg (1.2 kg compozitie) decorat ca in poza "Bob the builder -Valentina Secara" de pe whatsapp
--
Sa ramana "Liam" scris pe tort si doar "happy birthday" scris jos </t>
  </si>
  <si>
    <t>Valentina Secara
0722476581
N/A</t>
  </si>
  <si>
    <t>factura intocmita, Amalt Com srl 
RO16125663 
J23/177/2004
Voluntari, Ilfov</t>
  </si>
  <si>
    <t>Amenajare Candy-Bar 80 pers PASTELAT:
24 x cupcake pepite ciocolata
45 x tarte fructe
12 x choux fistic
12 x choux cafea
12 x choux ciocolata
12 x choux vanilie
45 x tarta ciocolata
45 x mini pavlova
45 x macarons mix
45 x mini carrot cake</t>
  </si>
  <si>
    <t>De intocmit factura Op Gabriela Topa</t>
  </si>
  <si>
    <t>Aida Bistro, Calea Rahovei 147-153 (Langa Palatul Bragadiru)</t>
  </si>
  <si>
    <t>Tort Decorat Dreptunghi (30 x 40 cm) Fistic
DETALII IN WHATSAPP
---
Amenajare Candy-Bar pana la 14:00:
15 x panna cotta zmeura (pahar mic ca pe site)
15 x panna cotta cafea (pahar mic ca pe site)
10 x choux fistic (glasaj verde)
10 x choux vanilie (glasaj alb)
10 x choux cafea (glasaj maro deschis)
10 x choux ciocolata (glasaj maro inchis)
30 x mini pavlova
30 x tarta ciocolata
30 x tarta fructe
5 x macarons zmeura
5 x macaron fistic
5 x macarons lamaie
5 x macarons cocos
5 x macarons fructe de padure
---
+ certificat conformitate</t>
  </si>
  <si>
    <t>Gabriela Topa
0736999153
 gabriela.topa@mdrap.ro</t>
  </si>
  <si>
    <t>Teiul Doamnei, nr. 8 , bl 21, sc A, ap. 42, sector 2</t>
  </si>
  <si>
    <t>1,6 tort duo mousse cu visine || decorat ca pe site ||"Happy Birthday" pe o foaie de pasta de zahar sprijinita de tort</t>
  </si>
  <si>
    <t>Lavinia
0761929830</t>
  </si>
  <si>
    <t xml:space="preserve">cash cu bon (192 lei cu 15% reducere) </t>
  </si>
  <si>
    <t>Str. Logofat Luca Stroici 13, ansamblu PREMIO, Bl A, etaj 6, ap 603</t>
  </si>
  <si>
    <t>1,6 tort duo mousse cu visine || decorat cu funda de ciocolata postata de Alina Barbu ||" 35 is the new black" scris pe foaie din pasta de zahar sprijinit de tort</t>
  </si>
  <si>
    <t>Simina Paunescu 
0756090083</t>
  </si>
  <si>
    <t>factuara intocmita</t>
  </si>
  <si>
    <t>3kg Tort Lego Ninjago|| Snikers||"La multi ani, Filip" + undeva cifra 7</t>
  </si>
  <si>
    <t>Gabriela Banciu 
40 744 440 621</t>
  </si>
  <si>
    <t>4Kg x trio mousse dreptunghiular cu tema handbal;
Terenul din strat de ciocolata, contur teren + porti din pasta zahăr 2D(lipite de tort) + contur handbalist cu alb și îmbrăcat cu un tricou albastru cu numărul 22 cu numele Alex scris cu alb. Mai jos poze orientative. Fata de cele de mai sus avem mâna liberă sa îl îmbogățim cum credem noi de cuviință. Poze in comezile la comanda #1/15.05.2019</t>
  </si>
  <si>
    <t>Maria Zamfir( Lasertag) (0722) 242 798</t>
  </si>
  <si>
    <t xml:space="preserve"> factura pe Kokos (75 lei /kg). NEAPARAT RESPECTATI ORA!</t>
  </si>
  <si>
    <t>3 kg Noisette dreptungiular pentru copii cu ciocolata neagra cu lapte, inclusiv la glasaj care sa fie de tip drop|| scris pe foita din pasta de zahar "La multi ani, Theea!" decorat in genul celui de pe site cat mai frumos sa facem impresie la noul spatiu de joaca(cu fundele alea postate de Alina pe 13.05.2019 la tortul "you are the best")</t>
  </si>
  <si>
    <t>de urmarit platile primtie la festival</t>
  </si>
  <si>
    <t>Parcul Bazilescu</t>
  </si>
  <si>
    <t>panou lemn. Vine bogdan sa ni-l dea din garaj la 9:00</t>
  </si>
  <si>
    <t>Festival Green Frest 
N/A
N/A</t>
  </si>
  <si>
    <t xml:space="preserve">40 x Panna cotta zmeura
 40 x panna cotta tiramisu
 50 x choux fistic (mari)
 50 x choux ciocolata (mari)
   50 x choux vanilie (mari)
     15 x felie tort citron
 15 x felie tort fistic
 15 x felie tort framboisier
 15 x felie chocolate delight
 15 x tort oreo
 15 x tort carrot cake
+
+ lada frigorifica
</t>
  </si>
  <si>
    <t>3.5 euro/persoana.  factura amberry hall</t>
  </si>
  <si>
    <t>Amberry Hall Lights, Bulevardul Tudor Vladimirescu 22, București</t>
  </si>
  <si>
    <t xml:space="preserve">Amenajare Candy-Bar 110 pers
 33 x panna cotta vanilie &amp; zmeura
 61 x tarte fructe
 16 x choux fistic
 16 x choux cafea
 16 x choux ciocolata
 16 x choux vanilie
 61 x tarta ciocolata
 61 x mini pavlova
 61 x macarons mix
 61 x mini carrot cake
</t>
  </si>
  <si>
    <t>Soiree: 935 tort, 200 sos, 400 butaforie, 714 candybar 
--
OP Laura Pascariu
714 candybar</t>
  </si>
  <si>
    <t>170 x felie tort chocolate delight
--
2 kg sos caramel
--
1 x butaforie "Tort Art Deco Royal Black 
--
1 x candy-bar:
50 x tarta lamaie
50 x tarta fructe &amp; vanilie
50 x choux fistic (mai mici)
50 x pavolva
50 x macarons mix
20 x cupcake vanilie si visine
50 x straciatella mini-bite
30 x panna cota zmeura
50 x carrot cake mini-bite
30 x panna cota cafea</t>
  </si>
  <si>
    <t xml:space="preserve">Laura Pascariu (Soiree)
0766585108
Laurapascariu85@yahoo.com </t>
  </si>
  <si>
    <t>283.9 RON cash cu BON. 15% discount inclus</t>
  </si>
  <si>
    <t>1 x platou cafea 10 persoane personalizat:
18 x negresa
5 x cookie ciocolata
5 x cookie afine
--
1 x platou miniprajituri 10 persoane personalizat:
20 x tarta ciocolata
20 x macaron
16 x choux fistic</t>
  </si>
  <si>
    <t>Radu Popoiu</t>
  </si>
  <si>
    <t>Ridicare Produse furnizori</t>
  </si>
  <si>
    <t>Bulevardul Basarabiei, nr. 256, in incinta Faur</t>
  </si>
  <si>
    <t>De sunat 0724.431.558 cu 30' inainte. Trebuie sa platim 271.34 RON si ridicat factura</t>
  </si>
  <si>
    <t>Ridicare Colet Ambalajeria .ro</t>
  </si>
  <si>
    <t>strada Colonel Costescu Gheorghe nr 3</t>
  </si>
  <si>
    <t xml:space="preserve">1x degustare  Salon Angel miniprajituri
 1 x degustare Salon Angel mouss-uri
</t>
  </si>
  <si>
    <t>Laura (Degustare) 
0722543550
N/A</t>
  </si>
  <si>
    <t>de trimis Dan factura pe 455 cu discount 10 %</t>
  </si>
  <si>
    <t>ridica Dan de la laborator</t>
  </si>
  <si>
    <t>3,5 kg Tort Minion cu figurina (cel de 130 lei facut de noi)|| Snikers||Doar numele "ZENO" pe suportul tortului, si cifra 1 lipita de tort pe partea galbena, eventual acolo unde puneti cifra partea aia de picurare sa fie mai sus.</t>
  </si>
  <si>
    <t>Alexandrina Culea
0729057479</t>
  </si>
  <si>
    <t>750 cash cu bon</t>
  </si>
  <si>
    <t xml:space="preserve">1 x butaforie tort (650 RON) ||
Unde e text sa scrie "Rodica" (revenire Laura comanda #1 din 8.05 pe whatsapp)
+
Etajul superior de 4 kg - duo mousse (380 RON)
+
38 x felie duo mousse visine decorata
+
Candy-Bar 40 persoane:
18 x macarons vanilie(alb)
16 x macarons zmeura(roz)
16 x macarons fistic (verde)
30 x Minitarte fructe
30 x Pavlova cu fructe
25 x briose tematice (Rodica 18)
25 x briose tematice roz (fără steguleț, Personalizate conform cu tortul)
30 x mousse capsuni (pahar)
30 x choux vanilie si fructe (monoprajitura - stie Mirela)
</t>
  </si>
  <si>
    <t>Steluta
‭0726727117</t>
  </si>
  <si>
    <t>degustare laborator</t>
  </si>
  <si>
    <t xml:space="preserve">Toate torturile de nunta
+ 
miniprajituri 3 persoane
+ 
cate sortimente de tort decorat avem
</t>
  </si>
  <si>
    <t>Andreea (degustare maison 13) 
07242434a89
N/A</t>
  </si>
  <si>
    <t xml:space="preserve">Toate torturile de nunta
 —
 Eveniment 8 iunie fara canybar
</t>
  </si>
  <si>
    <t>Simona Brie (degustare simfonia) 
07654514a94
N/A</t>
  </si>
  <si>
    <t>20 % reducere, cash fara brrrr. Ia da banii</t>
  </si>
  <si>
    <t>1kg de duo mousse cu visine || "La multi ani!" 
2,2Kg duo mousse cu visine ||La multi ani!
4 x tarte cu vanilie si zmeura (125 g)</t>
  </si>
  <si>
    <t>Emilia conta 
0723658132</t>
  </si>
  <si>
    <t xml:space="preserve">1 x toate tipurile de mouss-uri 1 x cutie miniprajituri ( mixt) </t>
  </si>
  <si>
    <t>Laura ( degustare Reinaevents) 
0722543650
N/A</t>
  </si>
  <si>
    <t>Laura ( degustare TMC organizator evenimente corporate) 
N/A</t>
  </si>
  <si>
    <t>Merg cu ele la restaurant</t>
  </si>
  <si>
    <t xml:space="preserve">3 x pahar mousse zmeura si vanilie
 3 x pahar mousse cafea si ciocolata
 1 x Felie din fiecare tort nunta (Citron, Zuccotto, Frambosier, Duo-Mousse Visine, Fistic)
 16 x choux mic (4 fistic, 4 vanilie, 4 cafea, 4 ciocolata)
 1 x platou miniprajituri 5 persoane
</t>
  </si>
  <si>
    <t>Tudor Radacineanu (Degustare Restaurant Fattoria) 
0724255551
N/A</t>
  </si>
  <si>
    <t xml:space="preserve">1 x platou miniprajituri 3 persoane
 1 x degustare torturi nunta
</t>
  </si>
  <si>
    <t>Degustare Nunta (Client Andreea) 
N/A
N/A</t>
  </si>
  <si>
    <t>ridicare vitrina</t>
  </si>
  <si>
    <t>RIN GRAND HOTEL, Șoseaua Vitan-Bârzești 7D, București 042121</t>
  </si>
  <si>
    <t>Trebuie sa ridicam o vitrina si o masa. Va fi si Tudor acolo pentru ajutor</t>
  </si>
  <si>
    <t>Ridicare Vitrina</t>
  </si>
  <si>
    <t xml:space="preserve">1 x toate tipurile de mouss-uri
 1 x cutie miniprajituri (mixt)
</t>
  </si>
  <si>
    <t>Laura ( degustare ReemBolroom) 
0722543650
N/A</t>
  </si>
  <si>
    <t>Afriso, Bulevardul Tudor Vladimirescu 45, București</t>
  </si>
  <si>
    <t>1 x cutie miniprajituri 5 persoane in cutie verde cu bulinute</t>
  </si>
  <si>
    <t>Camelia Deschu
0722299181
camelia.deschu@afriso.ro</t>
  </si>
  <si>
    <t>de facturat soiree: 5 kg x 55 lei (275), 15 kg x 100 lei (1500), si 275 lei discount</t>
  </si>
  <si>
    <t>Soiree, Strada Pipera 2</t>
  </si>
  <si>
    <t>Framboisier 20 kg (4 etaje pe suport metalic) decorat ca in poza de pe whatsapp. Florile le vor adauga ei ulterior. 
--
De adaugat felii framboisier separate daca tortul nu are 20 de kg pana atingem gramajul.</t>
  </si>
  <si>
    <t>Organizator Evenimente (Soiree) 
0721259465
N/A</t>
  </si>
  <si>
    <t>540 +420 cash cu bon la livrare. Achita și tortul livrat dimineata</t>
  </si>
  <si>
    <t>Restaurant Thalia, str cuza voda nr. 147</t>
  </si>
  <si>
    <t xml:space="preserve">1 x Tort Snikers 4,5 kg, pe patrat
 Mesaj: ""La Multi Ani, Bya!""
 Atentie: sa se verifice poza de decor de la comanda 1 din 10,05,2019
+ certificat conformitate
</t>
  </si>
  <si>
    <t>2 x platou miniprajituri 5 persoane (degustare candybar)
2 x platou torturi nunta
-----
Are doua degustari
--
+ RIDICARE VESELA CANDY-BAR</t>
  </si>
  <si>
    <t>Achita la livrarea à doua toată comanda</t>
  </si>
  <si>
    <t>Gradinita / After school Happy Time, Str Dumitru Papazoglu nr 185</t>
  </si>
  <si>
    <t>1 x Tort Oreo 3-3,5 kg, îmbrăcat în pasta de zahar alba și cu multe bilute, bomboanele colorate divers.
  Mesaj "La Mulți Ani, Bya!" 
Atentie: sa se verifice poza de decor de la comanda 2 din 10,05,2019
+ certificat conformitate</t>
  </si>
  <si>
    <t>Laborator</t>
  </si>
  <si>
    <t>Dan ( Mogoșoaia Lake View) 
N/A
N/A</t>
  </si>
  <si>
    <t xml:space="preserve">1 kg Trio mousse cu mesajul ""Happy Birthday, you are the best!""
 </t>
  </si>
  <si>
    <t>Denisa Donache 
0741140838
N/A</t>
  </si>
  <si>
    <t>La laborator</t>
  </si>
  <si>
    <t>1 x platou miniprajituri 2 persoane cu orice avem la indemana. Vine sa stabilim detalii cake topper si logistica flori pentru tort.
----
Asezate de degustare</t>
  </si>
  <si>
    <t>Degustare Andra Nedelcearu (Soiree - 8 Iunie)
0745621182</t>
  </si>
  <si>
    <t>de scazut din datorie</t>
  </si>
  <si>
    <t>Strada Siret 65</t>
  </si>
  <si>
    <t xml:space="preserve"> 4 x felii de tort diferite decorate
 De pus in cutie verde cu bulinute
</t>
  </si>
  <si>
    <t>Laura pop 
0723246767
N/A</t>
  </si>
  <si>
    <t>cash cu bon (162.5 RON tortul + 199x2 RON platourile)</t>
  </si>
  <si>
    <t>Restaurant Potcoava, Str. 9 Mai nr.51, sector 6, Bucuresti</t>
  </si>
  <si>
    <t>2 x platou 10 persoane
1 x tort decorat Hello Kitty
(Carrot Cake de 1.25 kg acoperit cu crema de branza)
!!!!!!!!!ATENTIE: FARA ZAHAR/INDULCITOR/MIERE la tortul copilului. Nu are relevanta gustul</t>
  </si>
  <si>
    <t>Andra Solomon (Miruna)
0722806888</t>
  </si>
  <si>
    <t xml:space="preserve">120 (tort) + 166.6 (miniprajituri). 
--
Amalt Com srl 
RO16125663 
J23/177/2004
Voluntari, Ilfov </t>
  </si>
  <si>
    <t>Drumul Potcoavei Nr. 23</t>
  </si>
  <si>
    <t xml:space="preserve">1 x tort framboisier 1.6 kg|| Placuta cu mesajul: "Ce-mi doresc eu mie, sa-ti creasca si tie!
Cu Drag, Tuchi!
--
1 x platou miniprajituri 10 persoane
</t>
  </si>
  <si>
    <t>fara brrr dar cu certificat conformitate</t>
  </si>
  <si>
    <t>Joseph Restaurant Str. Prof. Dr. Ion Cantacuzino nr.8</t>
  </si>
  <si>
    <t>3,5 kg Tort Noisette (fara gluten) in genul pozei de pe whatsapp din 06.05.2019,ideea e sa para inalt ca in poza, decorat cu "chocolate drip", macarons cu foita de aur, capsuni, bucati de ciocolata, bomboane ca la chocolate fiesta de pe site + foita de aur in parti ca in poza din comenzi + Happy Birthday din platic, culoare auriu neaparat ca in poza (De gasit Mirela) +10 Minipavlova + 10 minitarte fructe + 10 minitarte lamaie + 10 minitarte cioco + 24 macarons(6 vanilie, 6 caramel, 6 zmeura, 6 chocolate) + 12 choux (3 fistic, 9 vanilie) + 6 cupcakes vanilla with mascarpone and sprinkles</t>
  </si>
  <si>
    <t>Asezate frumos de degustare:
1 x felie tort framboisier
1 x felie tort fistic
1 x felie tort oreo
--
Vin 3 persoane! De stabilit compozitia si macheta</t>
  </si>
  <si>
    <t>Degustare Ruxandra Georgescu ( Simfonia Pompei 1 iunie)
0766567898</t>
  </si>
  <si>
    <t xml:space="preserve"> FACTURA INTOCMITA SOIREE (AM GRUP)
---
400 butaforie
--
 907.5 (165 felii tort la 100 grame)
--
2142 (candybar 150 persoane)
--
150 (3 kg sos zmeura)
</t>
  </si>
  <si>
    <t>CERTIFICAT CONFORMITATE + LISTA INGREDIENTE SI ALERGENI
--
3 kg sos zmeura
--
165 x portie citron(100 grame - BLATUL CEL MAI GROS)
---
Amenajare Candy-Bar:
24 x cupcake pepite ciocolata + crema ciocolata
24 x cupcake visine + crema vanilie
102 x tarta fructe
102 x choux mix
102 x macarons mix
102 x tarte lamaie
102 x tarte ciocolata
102 x mini pavlova
---
Butaforie + etaj real Tort Nunta Flori Elegante</t>
  </si>
  <si>
    <t>Oana (Soiree)
0755101179</t>
  </si>
  <si>
    <t>cash cu bon ii preia Laura saptamana viitoare</t>
  </si>
  <si>
    <t>Soseaua Gheorghe Ionescu Sisesti 269, Osteria Giardino del Lago</t>
  </si>
  <si>
    <t>55 portii tort feliat, felii decorate 125g ||compozitia fistic|| butaforie cu etaj real cf. comanda #1/03.05 de pe whatsapp</t>
  </si>
  <si>
    <t>Client George  +40 743 107 312</t>
  </si>
  <si>
    <t>Ridicare de la Laborator</t>
  </si>
  <si>
    <t>Alexandru 0723538084</t>
  </si>
  <si>
    <t>Tratoria Roma, Mantuleasa 31</t>
  </si>
  <si>
    <t>10 x felii decorate tort fistic 
10 x felii decorate tort cafea 
10 x felii decorate tort lamaie si mac 
10 x carrot cake. 
Feliile sa fie identice sa poata fi date clientilor pentru testare si sa fie de 125 g</t>
  </si>
  <si>
    <t>Tratoria Roma Cornel ‭
0722368745</t>
  </si>
  <si>
    <t>650 fara brr. 30% discount inclus</t>
  </si>
  <si>
    <t>1 x tort botez masinute (2 kg) || Duo Mousse Zmeura
--
1 x tort duo-mousse cu zmeura (4 kg)
--
1 x tort framboisier (1 kg)
--
30 x miniprajituri (Stie Andreea)</t>
  </si>
  <si>
    <t>Corina LPV</t>
  </si>
  <si>
    <t>Dl APostol</t>
  </si>
  <si>
    <t>4 kg Tort Owl Family||Oreo||La multi ani, Karinna||9 ani||</t>
  </si>
  <si>
    <t>Vasile George Cosmin(Lasertag)
0743188622</t>
  </si>
  <si>
    <t>cash fara brrrr, reducere 50% Olivia</t>
  </si>
  <si>
    <t>Sediul LARA</t>
  </si>
  <si>
    <t>1 x Tort Framboisier de 1,6Kg + 69 buc - mini tarta fructe + 69 buc - mini choux + 69 buc - mousse mignon
---
!!! ATENTIE: Prajiturile de repartizat in mod egal in platouri aurii ca sa poata fi scoase si servite in ele</t>
  </si>
  <si>
    <t>Olivia Oancea Carol</t>
  </si>
  <si>
    <t xml:space="preserve"> factura intocmita AM GRUP AGENT (SOIREE)</t>
  </si>
  <si>
    <t>270 portii x duo mousse visine (100 grame -25 kg) 
+
1 x Butaforie fara etaj real (TEMA ADVENTURE)</t>
  </si>
  <si>
    <t>Andrei Radulescu (Soiree)
07..56..06..89..36</t>
  </si>
  <si>
    <t>Cash cu bon. 10% discount BNI inclus</t>
  </si>
  <si>
    <t>Str. Mitrita Constantinescu nr 10</t>
  </si>
  <si>
    <t>1 x 1.6 kg tort chocolate delight || La Multi BNI, Nico!</t>
  </si>
  <si>
    <t>toate tipurile de mouss-uri plus daca se pot face tarte, macaros mari sau altceva ce se poate servi la restaurant</t>
  </si>
  <si>
    <t>Degustare Tratoria Roma (Laura)
0722543650</t>
  </si>
  <si>
    <t xml:space="preserve"> factura  intocmita persoana fizica</t>
  </si>
  <si>
    <t>Str Gral Ioan V Culcer. Nr 78</t>
  </si>
  <si>
    <t>2 x 1.6 kg tort chocolate delight</t>
  </si>
  <si>
    <t>Plata prin OP. 150 RON/kg cu 10 % discount inclus</t>
  </si>
  <si>
    <t>Colegiul Gheorge Lazar, Bulevardul Regina Elisabeta 48, București</t>
  </si>
  <si>
    <t>1 x tort decorat toba 6.3 kg (4.8 kg compozitie) || Chocolate Fiesta
----------
DETALIILE SUNT PE GRUP</t>
  </si>
  <si>
    <t>ASEZATE PENTRU DEGUSTARE:
5 x choux fistic
5 x choux vanilie
5 x choux cafea
5 x ciocolata
3 x panna cotta zmeura si vanilie</t>
  </si>
  <si>
    <t>106.4 cash cu bon</t>
  </si>
  <si>
    <t>Modoran Ene, nr. 1, Bl. C 10, et 8, ap. 43</t>
  </si>
  <si>
    <t>1 x 1.25 kg Tort Chocolate Delight || La Multi Ani, Daniela!</t>
  </si>
  <si>
    <t>Frate Madalina Lupu
0763856325</t>
  </si>
  <si>
    <t>2 cutii x toate variantele mousse cu felii decorate</t>
  </si>
  <si>
    <t>Laura Degustare
0722543650</t>
  </si>
  <si>
    <t xml:space="preserve">5 kg tort Fornite(2 etaje)|| Raspberry vanilla|| pe banner sa fie # 10 Teenager Royale|| Cristian sa apara pe tabela aia sprijinita de tort </t>
  </si>
  <si>
    <t>Rodica Zaharia (lasertag)
0720770894</t>
  </si>
  <si>
    <t>factura intocmita Comrad Events 2/2</t>
  </si>
  <si>
    <t>Strada Aeroportului 88, comuna Cornetu (Bragadiru)</t>
  </si>
  <si>
    <t>10 tarte ciocolata, 10 mini pavlova, 10 choux fistic, 10 choux vanilie, 10 tarta lamaie, 10 macaron fistic, 10 macaron vanilie</t>
  </si>
  <si>
    <t>Botez sefa Metropolitan
Dan (0729057479)</t>
  </si>
  <si>
    <t>Platita prin website</t>
  </si>
  <si>
    <t>Calea Grivitei 238, Bl. C, Sc. B, Et. 1, Apt. 10, interfon 10</t>
  </si>
  <si>
    <t>1 x tort citron (2.5 kg) || "La Multi Ani Cipette!"</t>
  </si>
  <si>
    <t>Alina-Nicoleta Obada
0751283817
obada.alinanicoleta@yahoo.com</t>
  </si>
  <si>
    <t>819 bon cu card (POS). Reducere 10%</t>
  </si>
  <si>
    <t>7 kg tort Tort Robot Bumblebee pe 2 etaje||se va face o baza postament - Stie Andreea ||Compozitie Oreo|| "La multi ani, Oliver!" Cifra 12</t>
  </si>
  <si>
    <t xml:space="preserve">Claudia Bujenita (Lasertag)
0722435578
N/A
</t>
  </si>
  <si>
    <t>1865.2 RON (546 Simfonia + 1301.2 Madalina Lupu)</t>
  </si>
  <si>
    <t>1865.2 (1060 a platit Lupu) iar 546 e restant Simfonia</t>
  </si>
  <si>
    <t>Simfonia Ballroom, Bulevardul Dimitrie Pompeiu 10 B</t>
  </si>
  <si>
    <t>1 x Butaforie Tort
66 x portii de tort citron de 120 grame
candybar 40 persoane:
---
70 x macarons mix
30 x choux fistic
30 x tarta lamaie
30 x tarta fructe
20 x minibites carrot cake
20 x minibites straciatella
10 x cupcake decorate tematic
---
+ 1 tort chocolate delight (1 kg) || La multi ani! || + o lumanare * pentru om matur (80 RON) 
+ casoleta 200 grame zmeura (N/A)</t>
  </si>
  <si>
    <t xml:space="preserve">Madalina Lupu
0768810967
madalinalupu15@gmail.com 
</t>
  </si>
  <si>
    <t xml:space="preserve"> factura intocmita Coloseum</t>
  </si>
  <si>
    <t>1 x framboisier 1.6 kg
1 x citron 1.6 kg
1 x honney 1.6 kg</t>
  </si>
  <si>
    <t>Roxana Chiritoiu
0733527201</t>
  </si>
  <si>
    <t>factura intocmita Comrad Events 1/2</t>
  </si>
  <si>
    <t>Metropolitan club&amp;events, sos Pipera 48, Salonul Portofino, botez Vlad Alexandru</t>
  </si>
  <si>
    <t xml:space="preserve">3 x torturi de 3 kg||Rastberry Vanilla|| tema jungla cu 3 figurine pe unul dintre torturi si naume :leu, girafa, maimuta si in rest decorat cu fructe si macarons ca pe site + scris pe foita din pasta de zahar  "Vlad Alexandru" sau pe suportul tortului, cum va este mai usor + 80 cakepops glazurate in ton cu tortul </t>
  </si>
  <si>
    <t>Botez sefa Metropolitan</t>
  </si>
  <si>
    <t>platita la facutra mare pe 05-mai</t>
  </si>
  <si>
    <t>Modoran Ene, nr. 1, Bl. C 10, et 8, ap. 43
(0763856325)</t>
  </si>
  <si>
    <t>2 x platouri miniprajituri 10 persoane (Scos macarons. Sa ramana doar 100 mini prajituri)
* Sa le asezam frumos pe tavite pentru ca se duc cu ele la cununie*</t>
  </si>
  <si>
    <t>(45 a fost cu cardul si 80 am scazut din datoria Dnei Pop)</t>
  </si>
  <si>
    <t>festival II</t>
  </si>
  <si>
    <t>1 x tort drepunghi framboisier (4.2 kg) || "Fuck you all! I'm 18 now!"
--
1 x tort rotund fistic (3 kg) || "Am 14 ani si-s tare!"</t>
  </si>
  <si>
    <t xml:space="preserve">Andra Petrescu (Amberry Hall)
0723264197
N/A
</t>
  </si>
  <si>
    <t>festival I</t>
  </si>
  <si>
    <t>NU</t>
  </si>
  <si>
    <t>De programat degustare</t>
  </si>
  <si>
    <t xml:space="preserve">opm@suterpalace.ro </t>
  </si>
  <si>
    <t>0721 845 045</t>
  </si>
  <si>
    <t>WANDA NICOLAU(Hotel Suter)</t>
  </si>
  <si>
    <t>2635 ron</t>
  </si>
  <si>
    <t>Soiree Pipera. Trebuie sa revina cu design pentru butaforie</t>
  </si>
  <si>
    <t>150 portii 100 grame framboisier (15 kg - 825 RON)
butaforie tort (400 RON)
candybar 100 persoane (300 euro/1410 RON)
REVINE CU DESIGNUL DE TORT!</t>
  </si>
  <si>
    <t>Iuliana Carp</t>
  </si>
  <si>
    <t>1404 ron</t>
  </si>
  <si>
    <t>De verificat</t>
  </si>
  <si>
    <t>Candy-Bar (30 persoane): minibriose ciocolata, minitarte cu fructe, mini tarte cu ciocolata si caramel, macarons, pavlova, mini carrot cake (564 RON)
Tort: 4 kg tort fistic cu zmeura inglobat intr-o macheta "Black Luxury" (1 sau 2 etaje) (400 RON butaforie + 440 RON fistic)</t>
  </si>
  <si>
    <t>1252 ron</t>
  </si>
  <si>
    <t>Soiree Pipera</t>
  </si>
  <si>
    <t>0766227678</t>
  </si>
  <si>
    <t>Tatiana Motatu(Soiree)</t>
  </si>
  <si>
    <t>nu</t>
  </si>
  <si>
    <t>?</t>
  </si>
  <si>
    <t>de intocmit factura AM GRUP AGENT</t>
  </si>
  <si>
    <t>3481 ron</t>
  </si>
  <si>
    <t>Andreea Dragomir (Soiree)</t>
  </si>
  <si>
    <t>1014 ron</t>
  </si>
  <si>
    <t>ort + Candybar (completeaza tudor in programator)</t>
  </si>
  <si>
    <t>2800 ron</t>
  </si>
  <si>
    <t xml:space="preserve">Pipera la sala Soiree </t>
  </si>
  <si>
    <t>18 kg tort chocolate delight (990 RON)
1 x butaforie "Tort Art Deco Royal Black (400 RON)
1 x candy-bar (completeaza tudor in comanda) - (1410 RON)</t>
  </si>
  <si>
    <t>Laura Pascariu - SOIREE</t>
  </si>
  <si>
    <t>CARD(POS) cu bon</t>
  </si>
  <si>
    <t>360 ron</t>
  </si>
  <si>
    <t>Chez Marie( Strada General H. M. Berthelot 44)</t>
  </si>
  <si>
    <t>3kg tort ricotta si fructe confiate + figurina Agnes (de pe comenzi whatsapp)
Mesaj: || AGNES MARIE - 1 an</t>
  </si>
  <si>
    <t>DE CONFIRMAT COMANDAAAA</t>
  </si>
  <si>
    <t>+40 733 786 527</t>
  </si>
  <si>
    <t>Janin Ionescu</t>
  </si>
  <si>
    <t>Factura</t>
  </si>
  <si>
    <t>1604.5 ron</t>
  </si>
  <si>
    <t>Simfonia - dimitrie pompei</t>
  </si>
  <si>
    <t>Butaforie Tort (450 RON)
66 portii de tort citron de 120 grame (520 RON)
candybar 45 persoane (634.5 RON)
+ 1 tort chocolate delight (1 kg) || La multi ani! || + o lumanare * pentru om matur (80 RON) 
+ casoleta 200 grame zmeura (N/A)</t>
  </si>
  <si>
    <t>0768810967</t>
  </si>
  <si>
    <t>Madalina Lupu (simfonia)</t>
  </si>
  <si>
    <t>bon cu CARD (POS) 10 % reducere</t>
  </si>
  <si>
    <t>819 ron</t>
  </si>
  <si>
    <t>Sema Parc</t>
  </si>
  <si>
    <t>14:30 - 15:00</t>
  </si>
  <si>
    <t>7 kg tort Tort Robot Bumblebee pe 2 etaje||Compozitie Oreo|| "La multi ani, Oliver!" Cifra 12</t>
  </si>
  <si>
    <t>0722435578</t>
  </si>
  <si>
    <t>Claudia Bujenita (Lasertag)</t>
  </si>
  <si>
    <t>200 ron</t>
  </si>
  <si>
    <t>Drumul Binelui, nr 19-21, bl 5, sc 1, et 4, ap 38, sector 4</t>
  </si>
  <si>
    <t>???Tudor</t>
  </si>
  <si>
    <t>2 x platouri miniprajituri 10 persoane (Scos macarons. Sa ramana doar 100 mini prajituri) 
* Sa le asezam frumos pe tavite pentru ca se duc cu ele la cununie*</t>
  </si>
  <si>
    <t>Madalina Lupu</t>
  </si>
  <si>
    <t>seara, cand se poate</t>
  </si>
  <si>
    <t>2 x pasca (una cu cuicolata daca se poate)+ 2 x cozonaci (unul cu nuca si unul cu mac, daca nu ce ramane)</t>
  </si>
  <si>
    <t>Cartier Greenfield Baneasa
----
Aleea Teisani</t>
  </si>
  <si>
    <t>La alegere</t>
  </si>
  <si>
    <t>1 x pasca ciocolata
1 x pasca clasica</t>
  </si>
  <si>
    <t>0741352505</t>
  </si>
  <si>
    <t>Alexandra Timofte</t>
  </si>
  <si>
    <t xml:space="preserve"> cash cu bon</t>
  </si>
  <si>
    <t>2 x cozonac nuca si cacao
1 x pasca branza si stafide</t>
  </si>
  <si>
    <t>Iulia Stanculescu</t>
  </si>
  <si>
    <t>plata cu card</t>
  </si>
  <si>
    <t>Erou Iancu Nicolae 158</t>
  </si>
  <si>
    <t>Pana in Ora 16:00</t>
  </si>
  <si>
    <t>6 x pavlova
6 x choux vanilie
2 x cozonac nuca
1 x cozonat raw-vegan cu nuca
1 x platou prajituri cafea 10 persoane</t>
  </si>
  <si>
    <t>0 726 332 335</t>
  </si>
  <si>
    <t>Adela Del Lucis</t>
  </si>
  <si>
    <t>Str. Dealul Cotmeana Nr. 2, Sector 5</t>
  </si>
  <si>
    <t>1 x cozonac cu nuca (mai mare un pic si cu MUUUUUUUUUUUUUUUUUUUUUUUUUUUUUUUUUUUULTAAAAAAAAAA UMPLUTURA)</t>
  </si>
  <si>
    <t>Petro Cirstea</t>
  </si>
  <si>
    <t>Fara brrr</t>
  </si>
  <si>
    <t>Aleea Raul Sadului nr 4 bloc A11</t>
  </si>
  <si>
    <t>2 x cozonac nuca</t>
  </si>
  <si>
    <t>0 724 288 126</t>
  </si>
  <si>
    <t>Florin Draghescu</t>
  </si>
  <si>
    <t>factura intocmita si trimisa</t>
  </si>
  <si>
    <t>Strada Johannes Kepler nr 47</t>
  </si>
  <si>
    <t>ultima livrare cat mai tarziu posibil</t>
  </si>
  <si>
    <t>3.5 kg Tort Framboisier (îmbrăcat în pasta de zahar sau varianta fără pasta de zahăr), tortul nostru cu iepuras dar in loc de iepurasul de sus al nostru sa il punem iepurasul gri din comenzi  pe 24 aprilie la 10:30 + 2 morcovi , Mesaj "Paște Fericit!"
+
1 x kg de mini prăjituri (câte doua cutii de 0.5 kg),
2 x cozonaci cu nuca și cacao
1 x Pasca cu brânză și stafide.</t>
  </si>
  <si>
    <t xml:space="preserve"> Mărioara Crestin</t>
  </si>
  <si>
    <t>reducere 10%</t>
  </si>
  <si>
    <t>Sos Colentina, nr. 16 , bl A2, ap. 27, etaj 4 (Complex Rose Garden)</t>
  </si>
  <si>
    <t>16:00-17:00</t>
  </si>
  <si>
    <t>3 x cozonac cu nuca + 3 x pasca +2 x  platou minipraji 5 persoane + cutie 4 briose(cate un model din fiecare) + tort iepuras paste 2 kg (duo mousse cu visine)  + cozonac raw vegan cu turmeric</t>
  </si>
  <si>
    <t>0 736 168 780</t>
  </si>
  <si>
    <t>Sorina UNCI</t>
  </si>
  <si>
    <t>factura CIF: 36183626 , CARD cu bon (POS)</t>
  </si>
  <si>
    <t>Str. Petricani, nr. 54, sector 2</t>
  </si>
  <si>
    <t>12:00 - 16:00</t>
  </si>
  <si>
    <t>2 x coznac cu nuca 1 kg
2X cozonac cu fructe confiate 1kg
2 x pasca branza stafide 1Kg</t>
  </si>
  <si>
    <t>Anca Bobirca</t>
  </si>
  <si>
    <t>Sos Stefan cel Mare nr 25, bl 28 sc B AP 41 SECTOR 2 interfon 41</t>
  </si>
  <si>
    <t>dupa 14</t>
  </si>
  <si>
    <t>1 x Tort Citron 1 kg || LA MULTI ANI IUBIREA NOASTRA! TE IUBIM DORIS!
1 x Cozonac Cacao, Nuca si Rom 1 kg
1 x Cozonac Rahat si Fructe Confiate 1 kg
1 x Pasca 1 kg</t>
  </si>
  <si>
    <t>Andra Pogacean</t>
  </si>
  <si>
    <t>`</t>
  </si>
  <si>
    <t xml:space="preserve"> factura intocmita Dot 8/8</t>
  </si>
  <si>
    <t>????Laura</t>
  </si>
  <si>
    <t>30 minichoux cu caramel, 30 minitarte cu caramel, 30 macarons caramel, 5 pasca, 1 pasca vegana (daca se poate- un cheesecake simplu cu stafide inauntru), 2 cozonaci cu rahat, 1 cozonac raw cu mac, un cozonac cu glazura de ciocolata row,1 tort cu fistic (sau cum aveti mousse-ul acela vegan cu fistic). si 30 bomboane vegane roz/violet, si 20 mini snickers.</t>
  </si>
  <si>
    <t>Giancarol (0720056417)
Dna Olanescu (0723160011)</t>
  </si>
  <si>
    <t>Sandra Olanescu</t>
  </si>
  <si>
    <t xml:space="preserve"> factura intocmita Gematex</t>
  </si>
  <si>
    <t>Str Erou Iancu Nicolae 34, Voluntari</t>
  </si>
  <si>
    <t>pana in 12</t>
  </si>
  <si>
    <t>4 cozonaci cu nuca, 1 pasca, 1 platou miniprajituri de 10 persoane</t>
  </si>
  <si>
    <t>‭(0745) 031 394</t>
  </si>
  <si>
    <t>Maria Parcalabescu</t>
  </si>
  <si>
    <t>factura Cepi 2/2 intocmia</t>
  </si>
  <si>
    <t>blvd Iancu de Hunedoara nr 4, bloc H5, scara 1, etaj 5, apt 13.</t>
  </si>
  <si>
    <t>Platou 10 persoane, 2 cozonaci cu cacao, nuca si rom + 1 cozonac  cu mac, + 1 cozonac nuca suplimentat pe 25.04</t>
  </si>
  <si>
    <t>0744352941</t>
  </si>
  <si>
    <t>Silvia Cepi</t>
  </si>
  <si>
    <t>fara brrr 30% reducere</t>
  </si>
  <si>
    <t>ii ridca Apostol din Laborator</t>
  </si>
  <si>
    <t>3 x cozonaci (unul nuca, unul fructe confiate si unul de care mai aveti). + 1 pasca. La urgenta cei 3 cozonaci pot fi de care se poate + pasca (am ajustat pretul)</t>
  </si>
  <si>
    <t>Simona</t>
  </si>
  <si>
    <t>fara brrr, 10% reducere</t>
  </si>
  <si>
    <t>duce Dan</t>
  </si>
  <si>
    <t>cand vrem noi dar sa sunam</t>
  </si>
  <si>
    <t>Cozonac Raw Vegan cu Turmeric</t>
  </si>
  <si>
    <t>0724320712</t>
  </si>
  <si>
    <t>Grigorescu</t>
  </si>
  <si>
    <t>cash fara brr</t>
  </si>
  <si>
    <t>Director</t>
  </si>
  <si>
    <t>cash cu bon. 10% discount</t>
  </si>
  <si>
    <t>Strada Lastarisului 6</t>
  </si>
  <si>
    <t>dupa 13:00</t>
  </si>
  <si>
    <t>(3 x cozonac nuca, 2 x cozonac rahat si fructe confiate, 1 x cozonac rahat si mac, 1 x pasca , 1 platou miniprajituri 10 persoane + suplimentat in 26.04 prajituri cafea 10 persoane + cutie cadou 4 briose)</t>
  </si>
  <si>
    <t>0747285285</t>
  </si>
  <si>
    <t>Alina Budeanu (VTM)</t>
  </si>
  <si>
    <t xml:space="preserve">NU </t>
  </si>
  <si>
    <t>promovare blog</t>
  </si>
  <si>
    <t>se intelege Dan cu ea</t>
  </si>
  <si>
    <t>Cozonac cu nuca fara cacao si mai multa nuca + 1 pasca + platou minipraji de 5 persoane</t>
  </si>
  <si>
    <t xml:space="preserve">Zana Scutecel </t>
  </si>
  <si>
    <t>1 x 1.6 kg Tort compozitie personalizata* cu mesajul" La Multi Ani! LY" **** STIE ANDREA DETALIILE
* caramel sarat, cu blat de nuci si mousse de ciocolata alba si cafea"</t>
  </si>
  <si>
    <t>Chirana Mergiu</t>
  </si>
  <si>
    <t>TUdor</t>
  </si>
  <si>
    <t>fara brrr 50% reducere</t>
  </si>
  <si>
    <t>Carol</t>
  </si>
  <si>
    <t>4 x cacao nuca rom + 1 vegan cu mac</t>
  </si>
  <si>
    <t>Diana</t>
  </si>
  <si>
    <t>reducere 50%  fara brrrr</t>
  </si>
  <si>
    <t>seara</t>
  </si>
  <si>
    <t>1 buc - cozonac raw vegan cu caju și mac și 1 buc -cozonac raw vegan cu nuca + 1 cozonac nuca</t>
  </si>
  <si>
    <t>ridicare de la laborator</t>
  </si>
  <si>
    <t>seara sau pe 27 dimintata pana in 8:00</t>
  </si>
  <si>
    <t>2 x cozonaci cu nuca+ cozonac fructe confiate+ 1 pasca stafide + 1 pasca ciocolata + 1 cutie 4 briose</t>
  </si>
  <si>
    <t>Alina Stan</t>
  </si>
  <si>
    <t>TUDOR</t>
  </si>
  <si>
    <t>CASH CU BON DISCOUNT 30%. SA SE MENTIONEZE ASTA!</t>
  </si>
  <si>
    <t>Nicolae Filipescu 50</t>
  </si>
  <si>
    <t xml:space="preserve">
3 x pasca ciocolata, 
1 x  pasca cu branza si stafide
2 x cozonaci cu nuca cacao si rom
2 x cozonaci fructe confiate si rahat
1 cozonac row caju
1 cozonac raw nuca.</t>
  </si>
  <si>
    <t>0726697785</t>
  </si>
  <si>
    <t>CASH CU BON</t>
  </si>
  <si>
    <t>1 x cozonac raw-vegan caju
1 x cozonac raw-vegan cu nuca
3 x cutii 4 briose
2 x pasca ciocolata</t>
  </si>
  <si>
    <t>Factura DOT 7/8</t>
  </si>
  <si>
    <t>1 x 1.6 kg tort fistic</t>
  </si>
  <si>
    <t>Ridicare de la laborato</t>
  </si>
  <si>
    <t xml:space="preserve">9 x (tavita rosie, 1 x cozonac mare, 1 x pasca, 2 x punga 5 macarons tematic watercolour) </t>
  </si>
  <si>
    <t>Cosuri Cadou LARA Sweets</t>
  </si>
  <si>
    <t xml:space="preserve"> factura Dot intocmita 6/8</t>
  </si>
  <si>
    <t>ridicare din laborator</t>
  </si>
  <si>
    <t>un cozonac cu nuca, unul cu mac, unul cu rahat, 2 pasca , 1 pasca cu ciocolata, un platou de 10persoane miniprajituri</t>
  </si>
  <si>
    <t xml:space="preserve"> factura Dot intocmita 5/8</t>
  </si>
  <si>
    <t>stie apostol</t>
  </si>
  <si>
    <t xml:space="preserve"> 2 cozonaci cu nuca, 2 cu rahat, 2, mac, 3 pasca, 1 pasca ciocolata ,un platou de 10 persoana miniprajituri</t>
  </si>
  <si>
    <t>‭(0724) 036 19</t>
  </si>
  <si>
    <t>Ana Maria Ducuta</t>
  </si>
  <si>
    <t>Drumul pădurea neagră nr 52 a bloc Rubin 42 b</t>
  </si>
  <si>
    <t>Prima parte a zilei pana in 13:00</t>
  </si>
  <si>
    <t>1 x cozonac nuca
1 x pasca</t>
  </si>
  <si>
    <t>paula_baroti2000@yahoo.com</t>
  </si>
  <si>
    <t>Paula Baroti</t>
  </si>
  <si>
    <t>Zagazului 13</t>
  </si>
  <si>
    <t>dupa 12</t>
  </si>
  <si>
    <t>5 cozonaci cu cacao si nuca + cosul LARA SWEETS pentru Simfonia</t>
  </si>
  <si>
    <t>0 745 066 816</t>
  </si>
  <si>
    <t>Costin Cepi</t>
  </si>
  <si>
    <t>fara brrr dar cu cert conformitate</t>
  </si>
  <si>
    <t>Parafisual Verde, Corbeanca, Trattoria Paradis</t>
  </si>
  <si>
    <t>Tort FIGURINA MINION 2 kg ||compozitie snickers || "Happy birthday, Annie!"||</t>
  </si>
  <si>
    <t>Valentina Secara</t>
  </si>
  <si>
    <t>Nicolae Filipescu, nr. 50</t>
  </si>
  <si>
    <t>2 x cozonac nuca, 1 x pasca clasica, 1 x pasca ciocolata</t>
  </si>
  <si>
    <t>Strada Crisul Alb, nr 31, et 2, ap 4, sector 4, Bucuresti</t>
  </si>
  <si>
    <t>de sunat</t>
  </si>
  <si>
    <t>1 x Pasca - 75 RON
8 X Min Tarta Fructe - 32 RON</t>
  </si>
  <si>
    <t>prisacariu.anca@gmail.com</t>
  </si>
  <si>
    <t xml:space="preserve"> 0732719121</t>
  </si>
  <si>
    <t>Anca Godeanu</t>
  </si>
  <si>
    <t>factura persoana fizica op.</t>
  </si>
  <si>
    <t>?????Tudor</t>
  </si>
  <si>
    <t xml:space="preserve">1 x cozonac nuca si cacao 1 kg
1 x cozonac nuca si mac 1kg
2 x pasca 1kg
20 x choux fistic </t>
  </si>
  <si>
    <t>0 744 625 550</t>
  </si>
  <si>
    <t>Bogdan Buzdugan</t>
  </si>
  <si>
    <t>str. Bucegi nr. 91.</t>
  </si>
  <si>
    <t>18:00-19:00</t>
  </si>
  <si>
    <t>2 x cozonac nuca
2 x pasca
10 x briose tematice (2 individual si restul in cutii de 4)</t>
  </si>
  <si>
    <t>0723506647</t>
  </si>
  <si>
    <t>Ileana</t>
  </si>
  <si>
    <t>fara brr cu certificat conformitate</t>
  </si>
  <si>
    <t>Matei Basarab 64, bloc L110, scara 2, ap 49, interfon 49</t>
  </si>
  <si>
    <t>dupa 16:00</t>
  </si>
  <si>
    <t>1 x cozonac 1kg
1 x pasca 1kg</t>
  </si>
  <si>
    <t>0729 997 449</t>
  </si>
  <si>
    <t>Diana Sabau</t>
  </si>
  <si>
    <t>Factura intocmita fist team logistic</t>
  </si>
  <si>
    <t>Drumulul Gilaului 28,Complex FORTUNA, etaj 2(FIRST TEAM LOGISTIC) - de sunat inainte sa se plece catre el</t>
  </si>
  <si>
    <t>7 cozonaci  cu nuca 
+3 pască stafide 1kg,  
+1 pască fără stafide cu ciocolată</t>
  </si>
  <si>
    <t>0 768 101 953</t>
  </si>
  <si>
    <t xml:space="preserve">George </t>
  </si>
  <si>
    <t>Drumul Murgului, nr. 4, Bl 2 bis, sc 1, ap 31, interfon 31, sector 3</t>
  </si>
  <si>
    <t>pana 11:00 sau dupa 17:00</t>
  </si>
  <si>
    <t>1 x cozonac nuca 1KG
1 x cozonac rahat cu mac 1kg
+ 1 pasca 1 kg
+ prajitura Vanilla Rose Stone (110 g)
+ Tarta Lemon Pie (125 g)</t>
  </si>
  <si>
    <t>0721 624 541</t>
  </si>
  <si>
    <t>Alina (Magic Castle)</t>
  </si>
  <si>
    <t>cu factura si chitanța pe Estetiq Solutions</t>
  </si>
  <si>
    <t>Str Romulus 35</t>
  </si>
  <si>
    <t>4 x cozonac cu nuca + 2 x pasca cu stafide</t>
  </si>
  <si>
    <t>Comanda Tudor</t>
  </si>
  <si>
    <t>de bagat Tudor la datorie</t>
  </si>
  <si>
    <t>Str Apusului nr58 bl 70B, sc2, et2 ap 29, sector6</t>
  </si>
  <si>
    <t>pana in 13:00</t>
  </si>
  <si>
    <t>1kg cozonac nuca + 1kg pasca stafide</t>
  </si>
  <si>
    <t>00 40 (727) 627 760
00 40 (21) 760 21 72</t>
  </si>
  <si>
    <t>Laura POP pt Ionas Maria</t>
  </si>
  <si>
    <t>Cristina</t>
  </si>
  <si>
    <t>cash fara brrr/ 50% discount</t>
  </si>
  <si>
    <t>le ridicade la laborator</t>
  </si>
  <si>
    <t>1 pasca cu stafide + 1 platou minipraji 10 persoane</t>
  </si>
  <si>
    <t>LAURA</t>
  </si>
  <si>
    <t xml:space="preserve">intodusa in factura anterioara </t>
  </si>
  <si>
    <t>1 x cozonac nuca + 1 pasca stafide</t>
  </si>
  <si>
    <t>0 752 081 211</t>
  </si>
  <si>
    <t>Alexandra Vornicu</t>
  </si>
  <si>
    <t>cos mic 90 lei</t>
  </si>
  <si>
    <t xml:space="preserve">Brabu cristina </t>
  </si>
  <si>
    <t>cash cu bon 10% discount inclus</t>
  </si>
  <si>
    <t>Bulevardul Unirii 13</t>
  </si>
  <si>
    <t>Pana in ora 13:00</t>
  </si>
  <si>
    <t xml:space="preserve">2 x cozonac nuca
2 x pasca
1 x platou miniprajituri 10 persoane
</t>
  </si>
  <si>
    <t>0725920821</t>
  </si>
  <si>
    <t>Dorina</t>
  </si>
  <si>
    <t xml:space="preserve">s-a achitat cu cardul pe website. </t>
  </si>
  <si>
    <t>Splaiul Unirii 168, bl T1, et 1, ap 106, interfon 106</t>
  </si>
  <si>
    <t>3 x cozonac cu nuca si Rom</t>
  </si>
  <si>
    <t>0723590098</t>
  </si>
  <si>
    <t>Iulia Iatagan</t>
  </si>
  <si>
    <t xml:space="preserve">s-a achitat cu cardul pe website.  factura intocmita pe CUI: RO36647980 </t>
  </si>
  <si>
    <t>soseaua bucuresti-ploiesti 42-44, corp b1, etaj 1, sector 1</t>
  </si>
  <si>
    <t>1 x tort raw vegan cocos 1 kg</t>
  </si>
  <si>
    <t>Elena Meier</t>
  </si>
  <si>
    <t>1,6 kg tort Fistic + lumanari cifra 6 si 2 ||“La multi ani, Taie!”
+ 2 x Pasca
+1 x Cozonac cu nuca și cacao</t>
  </si>
  <si>
    <t>factura intocmita Brandusa</t>
  </si>
  <si>
    <t>Strada Maria Ghiculeasa, nr. 47, sector 2</t>
  </si>
  <si>
    <t>12:00-14:00</t>
  </si>
  <si>
    <t>2 x cozonac nuca
1 x pasca
1 x cozonac raw vegan mac &amp; caju</t>
  </si>
  <si>
    <t>Andreea Grama</t>
  </si>
  <si>
    <t>card cu bon (POS)</t>
  </si>
  <si>
    <t>Restaurant Sole</t>
  </si>
  <si>
    <t>5 kg x Tort Nunta Bujori si Accente Aurii ||compozitia duo mousse cu visine ||fara mesaj sau nume</t>
  </si>
  <si>
    <t>0724278826</t>
  </si>
  <si>
    <t>Alexandrina Culea</t>
  </si>
  <si>
    <t>cei 6 cozo de mai sus</t>
  </si>
  <si>
    <t>dot</t>
  </si>
  <si>
    <t xml:space="preserve"> Factura intocmita life med</t>
  </si>
  <si>
    <t>strada Plugarilor 18</t>
  </si>
  <si>
    <t>6 x cozonac cu nuca
2 x coconac mac
2 x cozonac fructe
5 x pasca</t>
  </si>
  <si>
    <t>0737038524</t>
  </si>
  <si>
    <t>Clinica Life Med (Lificiu)</t>
  </si>
  <si>
    <t>plata sambata</t>
  </si>
  <si>
    <t>Spitalul De urgență floreasca, etaj 4, cabinet prof dr mircea beuran</t>
  </si>
  <si>
    <t>pana in 14:00</t>
  </si>
  <si>
    <t>1 x Cos mare|| de scris frumos pe o foaie "Florin Bobirca" si capsat de cos</t>
  </si>
  <si>
    <t>0 726 157 827</t>
  </si>
  <si>
    <t>cash cu bon (15 % reducere voucher)</t>
  </si>
  <si>
    <t>str. Jean Steriadi nr. 54, bl. M19, sc. 1, et. 3, ap. 7, interfon 07.</t>
  </si>
  <si>
    <t>Cozonac cu nuca, cacao si rom - 2 buc. (150)
Pasca - 2 buc. (150)
Briosa pui - 5 buc. (65)
Briosa cos cu oua - 5 buc. (65)</t>
  </si>
  <si>
    <t>Gabriela Costandache</t>
  </si>
  <si>
    <t>cash cu bon 10 % discount</t>
  </si>
  <si>
    <t>Lascar Catargiu nr. 15</t>
  </si>
  <si>
    <r>
      <rPr>
        <b/>
        <sz val="11"/>
        <color rgb="FF000000"/>
        <rFont val="Calibri"/>
        <family val="2"/>
        <charset val="1"/>
      </rPr>
      <t xml:space="preserve">4 x cozonac cu cacao, nuca si rom 1kg
+ 2 cozonaci custom cu cacao, nuca si rom si rahat (de adaugat rahat in compozitie ca asa vrea clientul) si unul dintre cozonaci sa aiba mai </t>
    </r>
    <r>
      <rPr>
        <b/>
        <sz val="11"/>
        <color rgb="FF2E75B6"/>
        <rFont val="Calibri"/>
        <family val="2"/>
        <charset val="1"/>
      </rPr>
      <t xml:space="preserve">multa umplutura 70% in loc de 50 % cum e in prezent(SA IL SEMNATI)
</t>
    </r>
    <r>
      <rPr>
        <b/>
        <sz val="11"/>
        <color rgb="FF000000"/>
        <rFont val="Calibri"/>
        <family val="2"/>
        <charset val="1"/>
      </rPr>
      <t>+ 2 raw cu mac si caju
+ 4 x pasca cu stafide 1 kg</t>
    </r>
  </si>
  <si>
    <t>0723539339</t>
  </si>
  <si>
    <t>Anca Anghelescu birou</t>
  </si>
  <si>
    <t>Str Tudor Arghezi nr 28, et 4</t>
  </si>
  <si>
    <t>3 cutii cu pasca 1kg</t>
  </si>
  <si>
    <t>(0769) 151 463 Asistenta Ana Maria</t>
  </si>
  <si>
    <t>Laura POP pt Dr Rodica Tudor</t>
  </si>
  <si>
    <t>426 RON cash cu bon (10% discount paste inclus)</t>
  </si>
  <si>
    <t>str George Enescu nr 11, etaj 5</t>
  </si>
  <si>
    <t xml:space="preserve">CORINA : 2 x cozonac nuca
1 x pasca
1 x cutie prajituri 5 persoane
--------------
RALUCA: 1 x cozonac nuca
1 x cozonac mac si fructe confiate
</t>
  </si>
  <si>
    <t>0 745 121 201</t>
  </si>
  <si>
    <t>Elena Visan</t>
  </si>
  <si>
    <t>factura Kinesis advertising intocmita</t>
  </si>
  <si>
    <t>Crisana nr. 3, Et. 1, Ap. 2, sector 1.</t>
  </si>
  <si>
    <t>12:00-13:00</t>
  </si>
  <si>
    <t>20 x cutie cu 4 brioșe tematice de Paște, modèle diferite, ambalate drăguț</t>
  </si>
  <si>
    <t>Mihai Turcu, Kinesis</t>
  </si>
  <si>
    <t>De facut factura care se va achita cash cu bon fiscal pe care sa fie CUI. + REDUCERE 10%</t>
  </si>
  <si>
    <t>Str. Dr. Iacob Felix nr. 87</t>
  </si>
  <si>
    <t xml:space="preserve">Sunt pachete pentru niste angajati VTM. Fiecare pachet trebuie facut separat:
Mihai Barbulescu (4 x cozonac nuca)
-
Lucian Vutescu (1 x cozonac nuca, 1 x cozonac fructe confiate, 1 x pasca)
-
Roxana Radoi ( cozonac raw vegan cu nuca)
-
Adriana Cojocaru
1 x cozonac rahat si fructe confiate
1 x pasca
-
Cristina Balasa (1 x cozonac nuca)
-
Natalia Visnevschi (3 x cozonac nuca 225)
</t>
  </si>
  <si>
    <t>Alina Budeanu - 0747285285</t>
  </si>
  <si>
    <t>Vulpoiu &amp; Toader Management</t>
  </si>
  <si>
    <t>factura intocmita 1/2</t>
  </si>
  <si>
    <r>
      <rPr>
        <sz val="11"/>
        <color theme="1"/>
        <rFont val="Calibri"/>
        <family val="2"/>
        <scheme val="minor"/>
      </rPr>
      <t xml:space="preserve">Se impart in trei pachete egale. Cate unul pentru fiecare etaj: 
57 x Pavlova
57 x Tarte caramel
57 x Choux fistic
57 x Tarte Fructe
57 x Macarons mix
57 x Brownie
57 x Cookie Afine
57 x Cookie Ciocolata
</t>
    </r>
    <r>
      <rPr>
        <b/>
        <sz val="11"/>
        <color rgb="FF000000"/>
        <rFont val="Calibri"/>
        <family val="2"/>
        <charset val="1"/>
      </rPr>
      <t xml:space="preserve">
+ + 110 flyere discount paste</t>
    </r>
  </si>
  <si>
    <t>Fact Cepi 1/2 intocmita</t>
  </si>
  <si>
    <t>Bld. Ion Mihalache nr. 65, et. 1, ap. 3, sector 1</t>
  </si>
  <si>
    <t>Platou pentru 5 persoane + cozonac cu cacao nuca si rom - din partea Silvia Cepi</t>
  </si>
  <si>
    <t>Zoe Mergeani</t>
  </si>
  <si>
    <t xml:space="preserve"> Cristina</t>
  </si>
  <si>
    <t>Armark ( CA Rosetti nr 5)</t>
  </si>
  <si>
    <t>10:00 - 16:00</t>
  </si>
  <si>
    <t>7 x cozonaci cu nuca</t>
  </si>
  <si>
    <t xml:space="preserve">Eliza Lesanu -Artmark </t>
  </si>
  <si>
    <t>30 x pasca clasica
20 x cozonac nuca
10 x rahat si fructe confiate</t>
  </si>
  <si>
    <t>Targ Petrom II</t>
  </si>
  <si>
    <t>factura intocmita universum events</t>
  </si>
  <si>
    <t>Fix Botanical Pub
( Palatul Universul, Strada Ion Brezoianu, Etaj 1)</t>
  </si>
  <si>
    <t xml:space="preserve">
CANDYBAR
40 x briose "Universum" 
40 x macarons mix
50 x mini pavlova 
30 x mini tarte fructe
20 x min tarte ciocolata  
40 x choux fistic
----------------
+ certificat conformitate
+ vesela candy-bar</t>
  </si>
  <si>
    <t>Alexandra
Grigorie
(0762330533)</t>
  </si>
  <si>
    <t>Universum Events</t>
  </si>
  <si>
    <t>Factura DOT 4/8</t>
  </si>
  <si>
    <t>1 x 1.6 kg tort opera</t>
  </si>
  <si>
    <t>70 x cozonac cu nuca
15 x cozonac cu mac
15 x fructe confiate
20 x pasca
10 x pasca ciocolata
10 x cosuri mici
5 x cosuri mari
20 x cutii verzi miniprajituri
10 x cutii verzi choux-uri mix
3 x platou miniprajituri 20 persoane
3 x platour macarons 30 persoane
20 x cutii  rosii 7 macarons mix
1 x macheta iepuras paste</t>
  </si>
  <si>
    <t>Targ Petrom</t>
  </si>
  <si>
    <t>2250/4500 credit</t>
  </si>
  <si>
    <t>10 x cos (Tavita Mare, Pasca 1 kg, Cozonac Nuca 1 kg,  Punga Cantucci 200 grame, Punga 10 macarons tematic paste, cupcake pui)</t>
  </si>
  <si>
    <t>LPV (Florin)</t>
  </si>
  <si>
    <t>reducere 30% fara brrrr</t>
  </si>
  <si>
    <t>sediu LARA Carol</t>
  </si>
  <si>
    <t>2 x 1 kg cozonac cu nuca, cacao si rom + 1kg pasca stafide ambalat + 1kg  pasca ciocolata fara ambalare de cadou</t>
  </si>
  <si>
    <t>Simona Carol 5/5</t>
  </si>
  <si>
    <t>2 x 1kg cozonac cu nuca, cacao si rom + 1kg pasca stafide ambalat cadou ambalate in tavita</t>
  </si>
  <si>
    <t>Simona Carol 4/5</t>
  </si>
  <si>
    <t>1kg cozonac cu nuca, cacao si rom + 1 pasca</t>
  </si>
  <si>
    <t>Simona Carol 3/5</t>
  </si>
  <si>
    <t>avans intocmit\ de lasat contract cu stapila neaparat in Vitan</t>
  </si>
  <si>
    <t>MIDOCAR Vitan si MIDOCAR Otopeni</t>
  </si>
  <si>
    <t>ok</t>
  </si>
  <si>
    <t xml:space="preserve">230 briose tematice de paste ambalate individual (58 buc “Urechi de iepuras”, 58 buc “Cos cu oua”, 57 buc “Codita de iepuras” si 57 buc “pui”) </t>
  </si>
  <si>
    <t>Alina.Memu@midocar.ro</t>
  </si>
  <si>
    <t>Alina Memu 0744.501.221</t>
  </si>
  <si>
    <t>Briose Paste Midocar</t>
  </si>
  <si>
    <t>factura emisa pana aici- borotea platit</t>
  </si>
  <si>
    <t xml:space="preserve">1,6 kg Framboisier(Blat Migdale + Blat Pandispan)  + 1,6 Tort vanilie si ciocolata (mai multe nuante, stie andreea) * exact ca cele trimise la ziua copiilor dar fara decor
</t>
  </si>
  <si>
    <t>0729990663</t>
  </si>
  <si>
    <t>Borotea</t>
  </si>
  <si>
    <t>factura intocmita Squarebox</t>
  </si>
  <si>
    <t>Gara Herastrau 2-4, etaj 7, Square 7</t>
  </si>
  <si>
    <t xml:space="preserve">2 x cozonaci cu nuca </t>
  </si>
  <si>
    <t>0 722 351 666</t>
  </si>
  <si>
    <t>Brandusa</t>
  </si>
  <si>
    <t>cash cu bon discount 10%</t>
  </si>
  <si>
    <t>Vitioara 38A 
(SA SUNAM CAND AJUNGEM)</t>
  </si>
  <si>
    <r>
      <rPr>
        <b/>
        <sz val="11"/>
        <color rgb="FF000000"/>
        <rFont val="Calibri"/>
        <family val="2"/>
        <charset val="1"/>
      </rPr>
      <t xml:space="preserve">2 x cozonac nuca
2 x cozonac mac &amp; rahat
1 x pasca
1 x raw vegan caju
6 x minicos de paste (tavita mica, 5 macaron pui, 1 x briosa pui, 1 x minicozonac)
1 x cos mare ((Tavita Mare, Pasca 1 kg, Cozonac Nuca 1 kg,  Punga Cantucci 200 grame, Punga 10 macarons tematic paste, cupcake pui, </t>
    </r>
    <r>
      <rPr>
        <b/>
        <i/>
        <sz val="11"/>
        <color rgb="FF000000"/>
        <rFont val="Calibri"/>
        <family val="2"/>
        <charset val="1"/>
      </rPr>
      <t>VIN</t>
    </r>
    <r>
      <rPr>
        <b/>
        <sz val="11"/>
        <color rgb="FF000000"/>
        <rFont val="Calibri"/>
        <family val="2"/>
        <charset val="1"/>
      </rPr>
      <t>)
------------
!!! ATENTIE: SA FIE FRUMOS AMBALATE!!!</t>
    </r>
  </si>
  <si>
    <t>0 (744) 759 815</t>
  </si>
  <si>
    <t>Victor Tartacuta</t>
  </si>
  <si>
    <t>1 x 1.5 tort fistic decorat cu macarons</t>
  </si>
  <si>
    <t>Ana Maria</t>
  </si>
  <si>
    <t>Palatul Bragadiru</t>
  </si>
  <si>
    <t>Pana in 17:00</t>
  </si>
  <si>
    <t xml:space="preserve">3 x (tavita rosie, 1 x cozonac mare, 1 x pasca, 2 x punga 5 macarons tematic watercolour) </t>
  </si>
  <si>
    <t>Factura DOT 3/8</t>
  </si>
  <si>
    <t>bon total vineri</t>
  </si>
  <si>
    <t>plata e in totalul de vineri</t>
  </si>
  <si>
    <t>Stie Tudor</t>
  </si>
  <si>
    <t xml:space="preserve">2 x briose cu puiut ,
1 x briosa cos oua, 
1 x  briosa urechi iepuras
1 x  pasca cu branza si stafide
</t>
  </si>
  <si>
    <t xml:space="preserve"> 500 g cozonac cu nuca, cacao si rom + 500 g pasca stafide ambalat cadou(tavita poza site)</t>
  </si>
  <si>
    <t>Simona Carol 2/5</t>
  </si>
  <si>
    <t xml:space="preserve">22 x cozonaci cu nuca </t>
  </si>
  <si>
    <t>+40 722 351 666</t>
  </si>
  <si>
    <t>Ridicare de la laborator. De ajuuns la 15:00</t>
  </si>
  <si>
    <t>1 x platou miniprajituri 5 persoane
1 x toate compozitii tort nunta</t>
  </si>
  <si>
    <t>Raluca Lupulescu (Hollywood Multiplex)</t>
  </si>
  <si>
    <t>Escalada Sema Parc. La 12:00 trebuie sa fie tudor Acolo</t>
  </si>
  <si>
    <t>1 x platou miniprajituri 5 persoane
1 x platou torturi nunta</t>
  </si>
  <si>
    <t>Degustare Escalada</t>
  </si>
  <si>
    <t>Strada Jean Texier Nr. 3. Etaj 4. Agro Green Terra</t>
  </si>
  <si>
    <t>9:00-17:00</t>
  </si>
  <si>
    <t>2x cozonac cu nuca, cacao si rom + 2 x cozonac cu rahat si mac + 2x rahat cu fructe confirmate + 2x pasca cu branza si stafide</t>
  </si>
  <si>
    <t>+40 752 081 211</t>
  </si>
  <si>
    <t>1 x platou miniprajituri 5 persoane (sa fie de 5 ca sunt 5 persoane la degustare)
1 x platou torturi nunta</t>
  </si>
  <si>
    <t>Degustare Museum of Senses</t>
  </si>
  <si>
    <t>de scazut din datorie LBE</t>
  </si>
  <si>
    <t>cand se poate in timpul zilei</t>
  </si>
  <si>
    <t>8 x cos (Tavita Mare, Pasca 1 kg, Cozonac Nuca 1 kg,  Punga Cantucci 200 grame, Punga 10 macarons tematic paste, cupcake pui)</t>
  </si>
  <si>
    <t>Cosuri LBE</t>
  </si>
  <si>
    <t>Str lt. Gheorghe Stalpeanu, nr 29,sector 1</t>
  </si>
  <si>
    <t xml:space="preserve">1.5 kg carrot cake || 2 figurine (ben10 + extraterestru || (sa nu il imbrace in pasta de zahar) + sa scrie la multi ani andrei! 
</t>
  </si>
  <si>
    <t>0722416512</t>
  </si>
  <si>
    <t>Ana Maria (LARA)</t>
  </si>
  <si>
    <t>Degustare la Laborator</t>
  </si>
  <si>
    <t xml:space="preserve">1 x Miniprajituri 5 persoane + 1 x minipraji raw vegan 5 persoane + ce mai aveti prin laborator atunci </t>
  </si>
  <si>
    <t>0722852127</t>
  </si>
  <si>
    <t>Degustare Voucher- Parasca Iulia Cristina(4 persoane)</t>
  </si>
  <si>
    <t>1 cozonac cu fructe confiate + 1 pasca + 1 cutie miniprajituri de 5 persoane</t>
  </si>
  <si>
    <t>Anca Anghelescu birou (degustare)</t>
  </si>
  <si>
    <t>1 x tort oreo 1 kg decorat ca pe website cu placuta "La Multi Ani, Florin^2" (florin la patrat)</t>
  </si>
  <si>
    <t>factura intocmita si trimisa. Se plateste cumulat cu comanda de pe 27.04 -3328 RON</t>
  </si>
  <si>
    <t>1 x platou mini prajituri de 10 persoane 
1 x platou mini prajituri de 5 persoane
1 x platou de fursecuri cafea 10 persoane
+
1 x tort intalt citron decorat in marmura 3 kg + buchet trandafiri
+
1 x cozonac nuca proaspat + 1 x pasca
+
1 x tort 3 etaje (10 kg) decorat identic cu modelul de pe mail alb-negru + bust + cake topper
+
33 trandafiri (10 lei)
--------
Detalii in Email si la Mirela + DE INTREBAT MIRUNA CE SA SCRIE PE TORTURI</t>
  </si>
  <si>
    <t>Marioara Crestin</t>
  </si>
  <si>
    <t>Lollipop Playground , str . Avrig 63</t>
  </si>
  <si>
    <t>14:30-15:00</t>
  </si>
  <si>
    <t>3,5 Kg x Unicorn 2|| oreo|| La multi ani, Rebeca - Iris! , 6 ani</t>
  </si>
  <si>
    <t>Andreea Jianu</t>
  </si>
  <si>
    <t>Cash fara brrr</t>
  </si>
  <si>
    <t>Tort Snickers 3 kg Paw Patron 3 figurine || "La Multi Ani Andrei" || Sa fie facut ca si tortul "Naked" Snickers dar in loc de dulciuri sa aibe cele 3 figurine</t>
  </si>
  <si>
    <t>0722.416.512</t>
  </si>
  <si>
    <t>Ana Maria Conta</t>
  </si>
  <si>
    <t>Petre Păun nr. 3, bloc 69D,scara1,ap.50</t>
  </si>
  <si>
    <t>3 x Raw Vegan Pistachio Pillow
2 x Felie tort tiramisu raw-vegan</t>
  </si>
  <si>
    <t>Florin Ionescu</t>
  </si>
  <si>
    <t xml:space="preserve"> Factura intocmita DOT 2/8</t>
  </si>
  <si>
    <t>un platou de miniprajituri pt 10 persoane + un tort de 1,6 kg mousse dou cu visine</t>
  </si>
  <si>
    <t>0723166069</t>
  </si>
  <si>
    <t>4,5 KG tort Bumblebee|| compozitia OREO|| "La multi ani, Andrei" - 8 ani</t>
  </si>
  <si>
    <t>0 729 006 124</t>
  </si>
  <si>
    <t>Cristina Cojocaru</t>
  </si>
  <si>
    <t xml:space="preserve"> Factura intocmita pe DOT 1/8</t>
  </si>
  <si>
    <t>Str. Carol Davila 56 + certificat conformitate</t>
  </si>
  <si>
    <t>1 x platou miniprajituri 10 persoane
+
 1 x platou miniprajituri 20 persoane (la alegere Andreea)
+
1 x raw-vegan turmeric
1 x raw-vegan nuca
1 x raw-vegan mac 
+ certificat conformitate</t>
  </si>
  <si>
    <t>0722543650</t>
  </si>
  <si>
    <t>datorie borotea</t>
  </si>
  <si>
    <t>Restaurant Fattoria, Șoseaua Nordului 7-9, București</t>
  </si>
  <si>
    <t>1,6 kg Framboisier(Blat Migdale + Blat Pandispan) cu decoratiune o stea plina||“La multi ani fericiti, Alexia!” ||  + 1,6 Tort vanilie si ciocolata (mai multe nuante, stie andreea) ||“La multi ani fericiti, Mario!” cu decoratiune o cutie decartofi mcdonalds + trei Pavlova la frapiera
+
1 x platou miniprajituri din partea casei
+
Certificat Conformitate + 50 vouchere</t>
  </si>
  <si>
    <t>(0729) 990 663</t>
  </si>
  <si>
    <t>cash cu bon (reducere 10 % voucher)</t>
  </si>
  <si>
    <t>1 x pasca + 1 cozonac mac + 1 fructe confiate</t>
  </si>
  <si>
    <t>0722171850</t>
  </si>
  <si>
    <t>Carina</t>
  </si>
  <si>
    <t>card cu bon (POS), reducere 15% cupon + ne face intrare la clubul Zarva</t>
  </si>
  <si>
    <t>Club Zarva || str. Gramont, 38</t>
  </si>
  <si>
    <t>4 kg Tort Tort Rainbow Unicorn (130 lei) "dar partea alba ( nu unicornul) sa fie roz cat mai intens"|| blat de post cu banane, mousse ciocolata cu lapte si visine || Numele "Miruna" unde se poate  + platou de minipraji de 10 persoane</t>
  </si>
  <si>
    <r>
      <rPr>
        <b/>
        <sz val="11"/>
        <color rgb="FF000000"/>
        <rFont val="Calibri"/>
        <family val="2"/>
        <charset val="1"/>
      </rPr>
      <t xml:space="preserve">Alergiile de care sa se tina cont : Caju, fistic, </t>
    </r>
    <r>
      <rPr>
        <b/>
        <u/>
        <sz val="11"/>
        <color rgb="FF000000"/>
        <rFont val="Calibri"/>
        <family val="2"/>
        <charset val="1"/>
      </rPr>
      <t>ou sunt cele pe analize</t>
    </r>
    <r>
      <rPr>
        <b/>
        <sz val="11"/>
        <color rgb="FF000000"/>
        <rFont val="Calibri"/>
        <family val="2"/>
        <charset val="1"/>
      </rPr>
      <t>. Lista extinsa este cu mango, rodie, migdale, nuci, alune, pecan, alune padure, arahide, castane, soia.</t>
    </r>
  </si>
  <si>
    <t>0742170363</t>
  </si>
  <si>
    <t>Ava Pircub</t>
  </si>
  <si>
    <t xml:space="preserve"> factura intocmita persoana fizica Simona/ reducere 30%</t>
  </si>
  <si>
    <t>le ridica Apostol de la laborator</t>
  </si>
  <si>
    <t>1,5 Kg tort fistic cu zmeura + 1,5 kg tort bailey's + cert de conformitate</t>
  </si>
  <si>
    <t>0722 329 178</t>
  </si>
  <si>
    <t>Simona Carol</t>
  </si>
  <si>
    <t>La 17:00 sa fie Tudor cu platouri acolo</t>
  </si>
  <si>
    <t>1 x platou miniprajituri 5 persoane
1 x torturi nunta</t>
  </si>
  <si>
    <t>Degustare Party Starters</t>
  </si>
  <si>
    <t xml:space="preserve"> factura intocmita BLU PARTY SRL ( RO 18230940)</t>
  </si>
  <si>
    <t>Gradina Sevaletelor, str. Sfanta Ecaterina nr 11</t>
  </si>
  <si>
    <t>Tort Snickers Decorat pe 2 etaje 5.5 kg cu tematica politist. (poze in comenzi)</t>
  </si>
  <si>
    <t>Nicolae Filipescu 50. ap 2, interfon 2</t>
  </si>
  <si>
    <t>2 x cozonaci + o pasca</t>
  </si>
  <si>
    <t>Degustare Simina</t>
  </si>
  <si>
    <t>cash livrare</t>
  </si>
  <si>
    <t>Sediul VTM</t>
  </si>
  <si>
    <t>3 x platou miniprajituri 10 persoane</t>
  </si>
  <si>
    <t>0736637297</t>
  </si>
  <si>
    <t>George Baraitaru (VTM)</t>
  </si>
  <si>
    <t>cash fara brrr discount 30%</t>
  </si>
  <si>
    <t>1.2 Framboisier + 20 macarons (fara cafea)</t>
  </si>
  <si>
    <t>factura intocmita Trusted Advisor Strategy &amp; Finance (17800814)</t>
  </si>
  <si>
    <t>Micul Lord (Strada Petre Ispirescu nr. 54)</t>
  </si>
  <si>
    <t>Tort 3.2 kg personalizat || "La Multi Ani, Erica" - Stie Andreea</t>
  </si>
  <si>
    <t>Dna Magda - 0745.101.507</t>
  </si>
  <si>
    <t>Ioana Arsenie</t>
  </si>
  <si>
    <t xml:space="preserve">Laborator </t>
  </si>
  <si>
    <t>Degustare compozitie OREO+ duomousse cu visine + triomousse + minipraji, una din fiecare</t>
  </si>
  <si>
    <t>Claudia Bujenita (Sema park)</t>
  </si>
  <si>
    <t>intocmita Agro Green Terra SRL. RO33825730 J/40/13558/20.11.2014 STR Frumoasa Nr 41 Sector 1, Bucuresti</t>
  </si>
  <si>
    <t xml:space="preserve">15 x cozonac nuca, cacao &amp; rom (1 kg) (1125 RON)
+
5 x punga celofan cu 7 bucati macarons (motive florale II -Din catalog) 
(245 RON)
+
5 x punga celofan cu 3 bucati macarons (motive florale II -Din catalog) 
(105 RON)
+
5 x punga celofan cu 3 biscuiti decorati
(150 RON) 
</t>
  </si>
  <si>
    <t>seara la Tudor</t>
  </si>
  <si>
    <t>1,6 Kg Tort Duo Mousse cu visine decorat ca pe site</t>
  </si>
  <si>
    <t>0723246767</t>
  </si>
  <si>
    <t>Laura POP</t>
  </si>
  <si>
    <t>Cozonac nuca + pasca + cate 2 minipraji din fiecare + ceva vegan + ceva de post</t>
  </si>
  <si>
    <t>Gabriela Costandache (degustare voucher)</t>
  </si>
  <si>
    <t>1 x pasca
1 x cozonac</t>
  </si>
  <si>
    <t>Degustare Laura (Brandusa)</t>
  </si>
  <si>
    <t>(Tavita Mare, Pasca 1 kg, Cozonac Nuca500 grame,  Punga Cantucci 200 grame, Punga 10 macarons tematic paste, cupcake pui) + vin de la Tudor</t>
  </si>
  <si>
    <t>50 % reducere</t>
  </si>
  <si>
    <t>2.5 kg || Snickers || Tort Decorat dupa modelul de jos
Comentarii: Tortul este pentru un domn care este campion moto si implineste 32 de ani. Detine un ONG care se numeste racing academy iar BMW este sponsorul lui principal. Astfel, cele elementele pe care trebuie sa le integram in tort sunt:
1) Cifra "32"
2) Logo Rotund BMW
3) Culoarea Portocaliu
4) Logo Rotund Racing Academy
5) Figurina Motocicleta (multe puncte bonus daca reusiti sa-i faceti chiar motocicleta lui)</t>
  </si>
  <si>
    <t>0747173271</t>
  </si>
  <si>
    <t>1 x cozonac cu nuca 1kg</t>
  </si>
  <si>
    <t>degustare Dan</t>
  </si>
  <si>
    <t>1 kg cozonac cu nuca, cacao si rom + 500 g pasca stafide ambalat cadou(tavita poza site)</t>
  </si>
  <si>
    <t>0722329178</t>
  </si>
  <si>
    <t>Simona Carol 1/5</t>
  </si>
  <si>
    <t>Drumul Gilăului 28
Complex FORTUNA, etaj 2, FIRST TEAM LOGISTIC</t>
  </si>
  <si>
    <t>1kg cozonac + 1 kg pasca  + pliante</t>
  </si>
  <si>
    <t>FIRST TEAM LOGISTIC</t>
  </si>
  <si>
    <t>0763 15 60 60</t>
  </si>
  <si>
    <t>Elena</t>
  </si>
  <si>
    <t>50 pavlova si 50 minitarte cu caramel</t>
  </si>
  <si>
    <t>Deegustare la laborator</t>
  </si>
  <si>
    <t>1 x platou miniprajituri 5 persoane
1 x platou torturi copii
1 x platou torturi nunta</t>
  </si>
  <si>
    <t>0726247868</t>
  </si>
  <si>
    <t>Andreea Dragomir</t>
  </si>
  <si>
    <t>1kg cozonac fructe confiate + 2 x pasca la 1 Kg</t>
  </si>
  <si>
    <t>pila petrom</t>
  </si>
  <si>
    <t>1Kg cozonac nuca + 1 kg fructe confiate + 1kg pasca stafide (cea care ne baga la targul Petrom- totul sa fie impecabil)</t>
  </si>
  <si>
    <t>+40 745 121 201</t>
  </si>
  <si>
    <t>ANULATA</t>
  </si>
  <si>
    <t>degustare candy bar 3 euro /pers +
1 x platou torturi nunta</t>
  </si>
  <si>
    <t>+40 733 527 201</t>
  </si>
  <si>
    <t>Roxana Chiritoiu (Bragadiru)</t>
  </si>
  <si>
    <t>toate tipurile de mouss-uri, 
+un platou de 5 persoane miniprajituri, 
+ produsele de cafea tot asa o cutie cu toate</t>
  </si>
  <si>
    <t>degustare Braseria Lido</t>
  </si>
  <si>
    <t>1 x platou degustare tort nunta 
1 x platou miniprajituri candybar</t>
  </si>
  <si>
    <t>Degustare Soiree</t>
  </si>
  <si>
    <t>Degustare Iki-Land</t>
  </si>
  <si>
    <t>str Baltagului nr 7a, bl P2,</t>
  </si>
  <si>
    <t>11:00 - 12:00</t>
  </si>
  <si>
    <t>1 x Tort Framboisier de 1.2 kg, Mesaj: La Mulți Ani, Mami!</t>
  </si>
  <si>
    <t>0755075914</t>
  </si>
  <si>
    <t>Gabriela Topa (sora ei)</t>
  </si>
  <si>
    <t>factura intocmita AM grup agent</t>
  </si>
  <si>
    <t>1 x Tort Duo Mousse cu Zmeura 1.6 kg</t>
  </si>
  <si>
    <t>cutie 5 persone minipraji cu mai multe variante de choux + compozitii torturi naked + 1 minicozonac cu nuca, cacao si rom</t>
  </si>
  <si>
    <t>Degustare  Events Artmark</t>
  </si>
  <si>
    <t>Degustare
1 x platou miniprajituri 3 persoane
1 x platou torturi nunta</t>
  </si>
  <si>
    <t>Carp Iuliana</t>
  </si>
  <si>
    <t>achitat pe site</t>
  </si>
  <si>
    <t>tr. Lev N. Tolstoi nr. 25, ap. 2, sector 1, Bucuresti, interfon 2</t>
  </si>
  <si>
    <t>Tort Chocolate Fiesta - 1.5 Kg</t>
  </si>
  <si>
    <t>ilincamihaila@gmail.com</t>
  </si>
  <si>
    <t>0722532464</t>
  </si>
  <si>
    <t>Ilinca Mihaila</t>
  </si>
  <si>
    <t>1xTort sabie Minecraft ||3Kg un etaj||Oreo||La multi ani, Matei! + cifra 10 ca in poza - TORTUL SA FIE DREPTUNGHIULAR
+
1xTort Fornite 2||3kg - un etaj||Oreo||La multi ani, Ionut! + cifra 10 - TORTUL SA FIE DREPTUNGHIULAR si sa aiba banner-ul ca in poza!</t>
  </si>
  <si>
    <t>0786766665</t>
  </si>
  <si>
    <t>Andreea Cristescu
(LASERTAG)</t>
  </si>
  <si>
    <t>1 x platou minipraji 10 persoane</t>
  </si>
  <si>
    <t>Client Simina</t>
  </si>
  <si>
    <t>factura intocmita</t>
  </si>
  <si>
    <t>Bulevardul Theodor Pallady 40G</t>
  </si>
  <si>
    <t>75 x choux fistic
57 x tarta caramel
72 x macarons mix
68 x pavlova
45 x cookie ciocolata
45 x tarta fructe
45 x bezele cu lamaie
45 x briose pepite ciocolata cu crema ciocolata cu banut logo conferinta
amenajare + vesela candy-bar + certificat conformitate</t>
  </si>
  <si>
    <t>0 722 519 589</t>
  </si>
  <si>
    <t>Bianca Danciu</t>
  </si>
  <si>
    <t>Soseaua Mihai Bravo, Bloc P22, Scara A, Interfon 24</t>
  </si>
  <si>
    <t>1 x cos cadou (1 x mini cozonac, 2 x cupcake "pui", 10 x macarons "Pui", 1 x mini tavitza rosie)</t>
  </si>
  <si>
    <t>0746201416</t>
  </si>
  <si>
    <t>Nicoleta</t>
  </si>
  <si>
    <t>cash cu bn</t>
  </si>
  <si>
    <t>Str. Novaci nr. 10 , bloc P 60, sc 3, et 4, ap 77, interfon 77.</t>
  </si>
  <si>
    <t>Tort Oreo 1.5 kg, La Mulți Ani, Edy!
(vrea sa arate exact ca în poza de pe site)</t>
  </si>
  <si>
    <t>+40 736 999 153</t>
  </si>
  <si>
    <t>Gabriela Topa</t>
  </si>
  <si>
    <t>degustare compozitie Oreo + cate o miniprajitura din fiecare (choux, pavlova, macarons, tarta)</t>
  </si>
  <si>
    <t>0726263263</t>
  </si>
  <si>
    <t>Client Sema Park</t>
  </si>
  <si>
    <t>3,6 kg Duo Mousse cu visine pe doua etaje || Happy Birthday, Dominic ! sub urare sa apara cifra "1" fara nimic altceva</t>
  </si>
  <si>
    <t>0755630320</t>
  </si>
  <si>
    <t>Anita VTM</t>
  </si>
  <si>
    <t>Cash cu Bon</t>
  </si>
  <si>
    <t>Tort Rainbow Unicorn || Carrot Cake || 3 kg || "La Multi Ani, Daria!"</t>
  </si>
  <si>
    <t>0724563327</t>
  </si>
  <si>
    <t>Adriana Bengui (lasertag)</t>
  </si>
  <si>
    <t>fara brr discount 50%</t>
  </si>
  <si>
    <t>Tort Unicorn 2 || 3 kg || 1 kg Oreo + 1 kg Duo Mousse Visine + 1 kg decor ||La Multi Ani, Ilinca</t>
  </si>
  <si>
    <t>Tort Manute Straciatella 1 kg</t>
  </si>
  <si>
    <t>Clienta Andreea</t>
  </si>
  <si>
    <t>reducere 50% promovare fara brrrr</t>
  </si>
  <si>
    <t>Parcul Caol (Dan)</t>
  </si>
  <si>
    <t>1x platou miniprajituri 10 persoane</t>
  </si>
  <si>
    <t>Alina blog</t>
  </si>
  <si>
    <t>1,6 Kg Tort Duo Mousse cu visine + 1 x platou minipraji de 5 persoane</t>
  </si>
  <si>
    <t>Mobexpert</t>
  </si>
  <si>
    <t xml:space="preserve"> factura intocmita AM GRUP AGENT</t>
  </si>
  <si>
    <t>1 x Butaforie 4 etaje cu un etaj Real -750 RON
430 x portie Duo Mousse cu Visine - 100 grame/portie (2365 RON)
60 x portie tort post - 100 grame/portie (330 RON)
20.7 kg miniprajituri soiree (2691)
2.3 kg miniprajituri post (299)
---------------------
Total: 6435 RON
-550 RON discount
+ Totul ambalat in capsuri cu cele de post separate</t>
  </si>
  <si>
    <t>Allianz Tiriac - Eveniment Soiree</t>
  </si>
  <si>
    <t>platou miniprajituri 10 persoane + 10 pliante paste</t>
  </si>
  <si>
    <t>Facem cinste :)</t>
  </si>
  <si>
    <t>3 x platouri de 10 persoane minipraji</t>
  </si>
  <si>
    <t>0736338538</t>
  </si>
  <si>
    <t>Alisa Florea DSV!!!</t>
  </si>
  <si>
    <t>Romexpo</t>
  </si>
  <si>
    <t>50 x choux fistic
50 x tarta caramel
50 x macarons mix
50 x pavlova
50 x cookie afine
50 x cookie ciocolata
+ vesela candy-bar + certificat conformitate</t>
  </si>
  <si>
    <t>Sponsorizare LPV</t>
  </si>
  <si>
    <t>sala Soiree Pipera</t>
  </si>
  <si>
    <t>3 x degustare minprajituri</t>
  </si>
  <si>
    <t>Hilton Athenee Palace</t>
  </si>
  <si>
    <t>1 kg Chocolate Fiesta</t>
  </si>
  <si>
    <t>0724255551</t>
  </si>
  <si>
    <t>Dana</t>
  </si>
  <si>
    <t>George Constantinescu 3, intrare A, etaj 7, Nestle Romania</t>
  </si>
  <si>
    <t>0720491333</t>
  </si>
  <si>
    <t>Sorina Stancu</t>
  </si>
  <si>
    <t>Plata prin OP</t>
  </si>
  <si>
    <t>100 x choux fistic
75 x tarta caramel
95 x macarons mix
90 x pavlova
60 x cookie ciocolata
60 x tarta fructe
60 x bezele cu lamaie
60 x briose pepite ciocolata cu crema ciocolata cu banut logo conferinta
amenajare + vesela candy-bar + certificat conformitat</t>
  </si>
  <si>
    <t xml:space="preserve">Bianca Danciu </t>
  </si>
  <si>
    <t>Strada Eugen Lovinescu 14</t>
  </si>
  <si>
    <t>1 x tort decorat 1 kg duo mousse || stie Andreea figurina si detaliile</t>
  </si>
  <si>
    <t>tudor</t>
  </si>
  <si>
    <t>George Boboc</t>
  </si>
  <si>
    <t>La Laborator</t>
  </si>
  <si>
    <t>1 x cutie torturi nunta
1 x platou 3 persoane</t>
  </si>
  <si>
    <t>Degustare - Eveniment 6 Iulie Botez</t>
  </si>
  <si>
    <t>Strada Cornelia Nr. 34</t>
  </si>
  <si>
    <t>Tort Noisette 2 Kg</t>
  </si>
  <si>
    <t>Cladirea Unirii View, Blv Corneliu Coposu nr. 6-8, etaj 1</t>
  </si>
  <si>
    <t>1 x Platou miniprajituri 10 persoane
1 x Platou prajituri cafea 10 persoane</t>
  </si>
  <si>
    <t>0727 765 520</t>
  </si>
  <si>
    <t>Strada Mitrita Constantinescu 10</t>
  </si>
  <si>
    <t>1 x tort Bailey's 1 kg cu extra effort la decor</t>
  </si>
  <si>
    <t>Manuela Voicila</t>
  </si>
  <si>
    <t>sediu VTM (Strada Iacob Felix 87)</t>
  </si>
  <si>
    <t>4 x Cozonac Mari Nuca &amp; Cacao</t>
  </si>
  <si>
    <t>Alina Budeanu 0747285285</t>
  </si>
  <si>
    <t>Degustare VTM</t>
  </si>
  <si>
    <t>1 x degustare torturi nunta, 1 x degustare candybar (cu mai multe pavlova)</t>
  </si>
  <si>
    <t>Sediul Nestle, str. George Constantinescu, nr 3, sector 2</t>
  </si>
  <si>
    <t>1x  platou miniprajituri de 10 persoane + 1 platou minipraji de 5 persoane</t>
  </si>
  <si>
    <t>0766 464. 793</t>
  </si>
  <si>
    <t>Sabina Stanciu</t>
  </si>
  <si>
    <t>incasare POS</t>
  </si>
  <si>
    <t>10 choux + ceva</t>
  </si>
  <si>
    <t>0731824000
0770524857</t>
  </si>
  <si>
    <t>Clienti Acorns</t>
  </si>
  <si>
    <t>1 x cutie tort nunta
1 x cutie degustare compozitii copii
1 x platou degustare 5 persoane</t>
  </si>
  <si>
    <t>Ruxandra Georgescu - Evenimente Simfonia Pompei (1 iunie - 80 persoane)</t>
  </si>
  <si>
    <t>Gheorghe lazar nr. 4</t>
  </si>
  <si>
    <t>1,6kg tort Framboisier fără zahăr</t>
  </si>
  <si>
    <t>0721208757</t>
  </si>
  <si>
    <t>Mariana</t>
  </si>
  <si>
    <t>Calea 13 Septembrie nr.120
Sector 5,Bucureşti, Romania</t>
  </si>
  <si>
    <t>1 x punguta cantuccini, 1 x punguta cookie ciocolata, 1 x minicozonac nuca, 1 x sticla vin</t>
  </si>
  <si>
    <t>0744302233</t>
  </si>
  <si>
    <t>Degustare Nicoleta</t>
  </si>
  <si>
    <t>Duo mousse cu visine 2kg</t>
  </si>
  <si>
    <t>0771183017</t>
  </si>
  <si>
    <t>Madalina Carol</t>
  </si>
  <si>
    <t>Ministerul dezvoltării regionale și administrații publice
Adres Bd. Libertății nr 16, latura nord, sect 5.</t>
  </si>
  <si>
    <t>Tort Fistic și zmeura de 2 kg + o cutiuță cu 10 miniprajituri (2 pavlove + 2 tarte cu caramel + 2 choux fistic + 2 tarte lamaie + 1 macaron fistic si 1 macaron caramel)</t>
  </si>
  <si>
    <t>50 x mini pavlova, 50 x mini tarte caramel</t>
  </si>
  <si>
    <t>Calea Grivitei 140, ap. 9, interfon 209C</t>
  </si>
  <si>
    <t>Un platou miniprajituri 3 persoane</t>
  </si>
  <si>
    <t>Radu Gasler</t>
  </si>
  <si>
    <t>Platou minprajituri 5 persoane
1 x degustare Compozitii tort nunta</t>
  </si>
  <si>
    <t>Degustare Madalina Lupu - Simfonia</t>
  </si>
  <si>
    <t>Clienta nemultumita de la LASERTAG</t>
  </si>
  <si>
    <t>Strada Politehnicii nr 3, bloc I2.</t>
  </si>
  <si>
    <t>9-14 sau 17-20</t>
  </si>
  <si>
    <t>Trio Mousse 1,6 kg + 1 x platou miniprajituri de 5 persoane</t>
  </si>
  <si>
    <t>0721719739</t>
  </si>
  <si>
    <t>Corina Buzoianu (lasertag)</t>
  </si>
  <si>
    <t>31-apr</t>
  </si>
  <si>
    <t>plata cu POS!!!</t>
  </si>
  <si>
    <t>Cherie Hotel Boutique &amp; Restaurant - Strada Cornelia 26, București</t>
  </si>
  <si>
    <t>14:00-15:00</t>
  </si>
  <si>
    <t>1 x tort snickers de 3 kg  || Unicorn 2|| Antonia Maria ,  7 ani + 1 x tort snickers de 3 kg taiere mot exact cum ai mai facut dar pe rotund, un bleu deschis (MAT), fara poezie + instrument muzical + microfon + pensula + ancora|| Nicholas Gabriel și împlinește 1 anișor (numele scris pe suportul tortului ca la unicorn 2)</t>
  </si>
  <si>
    <t>0723362857</t>
  </si>
  <si>
    <t>mot + unicorn 2 (Carmen)</t>
  </si>
  <si>
    <t>factura Coloseum intocmita</t>
  </si>
  <si>
    <t>palatul Bragadiru</t>
  </si>
  <si>
    <t>2 x 1,5 kg tort Fistic cu zmeura + 2 kg tort Rainbow Unicorn cu umplutura Carrot Cake || "Lamulti ani, Eva! 6 ani"</t>
  </si>
  <si>
    <t>+40741692840 Augustin Radu</t>
  </si>
  <si>
    <t>Client Bragadiru</t>
  </si>
  <si>
    <t>Duo mousse cu visine 1,6Kg + platou minipraji 10 persoane CUSTOM(20 choux + 25 macarons mixt ce avem + 11 tarte ciocolata )</t>
  </si>
  <si>
    <t xml:space="preserve"> factura DOT 2/2</t>
  </si>
  <si>
    <t>Stie  Apostol</t>
  </si>
  <si>
    <t>orice ora</t>
  </si>
  <si>
    <t>2 platouri miniprajituri de 10 persoane plus 2 cozonaci cu nuca.</t>
  </si>
  <si>
    <t xml:space="preserve">Laura </t>
  </si>
  <si>
    <t xml:space="preserve"> factura DOT 1/2</t>
  </si>
  <si>
    <t>20 macarons caramel, 20 tarte caramel si 20 choux cu caramel</t>
  </si>
  <si>
    <t>Platou minprajituri 5 persoane
1 x degustare Compozitii tort nunta
1 x degustare Compozitii tort copii</t>
  </si>
  <si>
    <t>Parcul Carol</t>
  </si>
  <si>
    <t xml:space="preserve">2 x 1.6 kg tort decorat ca in pozele din comenzi whapp (chocolate delight &amp; Raspberry Vanilla) ||Pe tort trebuie inclus logo-ul VTM
10 x biscuti vulpe ca in poza de mai jos whapp
10 x macarons pictat cu vulpe (Mirela tu decizi)
</t>
  </si>
  <si>
    <t>degustare palatul Bragadiru toate variantele de choux  inclusiv cel cu crema de vanilie si musetel, plus toate variantele de torturi mousse-uri inclusiv daca se poate ceva ce au gustat de la vechiul furnizor blat crocant brownie plus ceva crema sarata. Nu stiu ce ar putea fi dar asta doar daca se poate. Produsele sa fie insotite de compozitii iar choux/urile sa fie dimensiunea care va fi pe  croguenbouche. Degustarea maine ora 13,30 la doamna Cristina Gheorghe. Va rog sa fie totul impecabil pt ca sotul e francez</t>
  </si>
  <si>
    <t>Cristina Gheorghe 0743 226 064</t>
  </si>
  <si>
    <t>Degustare Bragadiru - choux</t>
  </si>
  <si>
    <t>Baldovin Parcalabu, nr. 7, etaj 1, ap. 3</t>
  </si>
  <si>
    <t>2 x pavlova mare (105g)  + sos zmeura + 4 x Merveilleux cu crema de cafea si ciocolata rasa + 4 x Merveilleux cu frisca si zmeura liofilizata + 4 x Panna cotta cu cafea si sos caramel + 3 felii (120 g) tort mousse fistic cu zmeura</t>
  </si>
  <si>
    <t>0722675728</t>
  </si>
  <si>
    <t>Nicolae Iliescu</t>
  </si>
  <si>
    <t>cash fara brrr</t>
  </si>
  <si>
    <t>Drumul Valea Danului, nr 29-31, sc A, ap 10, et 3</t>
  </si>
  <si>
    <t>12:00 - 14:00</t>
  </si>
  <si>
    <t>Poire Au Vanille 1 kg + certificat conformitate</t>
  </si>
  <si>
    <t>0740218232</t>
  </si>
  <si>
    <t>Adina Escu</t>
  </si>
  <si>
    <t>1 x cutie torturi nunta
1 x platou 5 persoane</t>
  </si>
  <si>
    <t>Degustare -Domeniul cu ciresi</t>
  </si>
  <si>
    <t>factura intocmita pe dot 2/2</t>
  </si>
  <si>
    <t>1 x 1.6 kg tort fistic, 1 x 1.6 kg tort Framboisier, 1 x 1.6 kg pavlova mare</t>
  </si>
  <si>
    <t>Cate un tort decorat Raw-Vegan din urmatoarele:                                   “Cheesecake” 
Tort Coconut
Tort Tiramisu
Peanut Butter Cake
Coffee Caramel Cake
Ferrero Tart</t>
  </si>
  <si>
    <t>Sesiune Foto Uber Eats</t>
  </si>
  <si>
    <t>Datorie</t>
  </si>
  <si>
    <t>220 cookie ciocolata</t>
  </si>
  <si>
    <t>Laura Pop</t>
  </si>
  <si>
    <t xml:space="preserve">2 x cutie degustare tort (Citron, Fistic, Duo Mousse, Trio Mousse, Chocolate Delight, Framboisier)
+
1 platou miniprajituri 5 persoane </t>
  </si>
  <si>
    <t>????Miruna</t>
  </si>
  <si>
    <t>16:00 - 17:00</t>
  </si>
  <si>
    <t xml:space="preserve">Tort Duo Mousse 1kg , </t>
  </si>
  <si>
    <t>40 722 248 361</t>
  </si>
  <si>
    <t>Strada Mitrita Constantinescu nr 10</t>
  </si>
  <si>
    <t>14:00-17:00</t>
  </si>
  <si>
    <t>1.6Kg tort framboisier -"Mulți ani înainte, Mami!"</t>
  </si>
  <si>
    <t>0723344592</t>
  </si>
  <si>
    <t>factura intocmita pe dot 1/2</t>
  </si>
  <si>
    <t>un tort Froamboisier de 1,6 kg</t>
  </si>
  <si>
    <t>6ul</t>
  </si>
  <si>
    <t>2 x cutie tort || 2 x cutie candy-bar || 1 x cutie prajituri</t>
  </si>
  <si>
    <t>Degustare candy SOIREE</t>
  </si>
  <si>
    <t>str. secuilor nr 7 bl B31 scara 1 etaj 3 interfon 010 sect 4</t>
  </si>
  <si>
    <t>pan in 17:00</t>
  </si>
  <si>
    <t>Tort Duo Mousse maxim 1.5 kg, Mesaj: La Mulți Ani, mămico!</t>
  </si>
  <si>
    <t>factura intocmita Bragadiru</t>
  </si>
  <si>
    <t>260 tort lamaie si mac, 8 tiramisu vegan, 1 desert fara ou (cred ca poate sa fie tot tiramisu ca daca este vegan nu are ou corect?), 1 desert pentru un invitat alergic la alune, nuci, etc (ce vreti dumneavoastra) si 1 desert pentru un invitat alergic la gluten + sirop farfurii</t>
  </si>
  <si>
    <t>Bragadiru</t>
  </si>
  <si>
    <t>Column1</t>
  </si>
  <si>
    <t>Persoana Introducere</t>
  </si>
  <si>
    <t>Confirmat Comanda</t>
  </si>
  <si>
    <t>Adresa</t>
  </si>
  <si>
    <t>Ora Livrare</t>
  </si>
  <si>
    <t>E-mail</t>
  </si>
  <si>
    <t>Telefon</t>
  </si>
  <si>
    <t>Nume Client</t>
  </si>
  <si>
    <t>Card</t>
  </si>
  <si>
    <t>Cash</t>
  </si>
  <si>
    <t>TOTAL:</t>
  </si>
  <si>
    <t>Ziua 2</t>
  </si>
  <si>
    <t>Ziua 1</t>
  </si>
  <si>
    <t>TARG PETROM</t>
  </si>
  <si>
    <t>Week IV:</t>
  </si>
  <si>
    <t>COMENZI NECONFIRMATE</t>
  </si>
  <si>
    <t>ACHITAT pe 15.04.2019</t>
  </si>
  <si>
    <t>Cristina Moculescu</t>
  </si>
  <si>
    <t>Doctor Rodica Tudor</t>
  </si>
  <si>
    <t>Teleanu Dan</t>
  </si>
  <si>
    <t>Adina Craciunoiu</t>
  </si>
  <si>
    <t>Roxana Rosca</t>
  </si>
  <si>
    <t>torturi festival</t>
  </si>
  <si>
    <t>Dr Pantis</t>
  </si>
  <si>
    <t>1 x nuca + 1 x stafide Ionas Maria</t>
  </si>
  <si>
    <t>Sandu Angela</t>
  </si>
  <si>
    <t>3 x pasca pt Dr Rodica</t>
  </si>
  <si>
    <t>3 cutii minipraji</t>
  </si>
  <si>
    <t>Detalii Comanda</t>
  </si>
  <si>
    <t>Suma</t>
  </si>
  <si>
    <t>Data</t>
  </si>
  <si>
    <t>Cutie Cabinet Nutritie</t>
  </si>
  <si>
    <t>Credit Ramas</t>
  </si>
  <si>
    <t>Cutie Degustari Raw Vegan</t>
  </si>
  <si>
    <t>Credit Initial</t>
  </si>
  <si>
    <t>Sambata - 27.04.2019</t>
  </si>
  <si>
    <t>Vineri - 26.04.2019</t>
  </si>
  <si>
    <t>Joi - 25.04.2019</t>
  </si>
  <si>
    <t>Miercuri - 24.04.2019</t>
  </si>
  <si>
    <t>Marti - 23.04.2019</t>
  </si>
  <si>
    <t>Luni - 22.04.2019</t>
  </si>
  <si>
    <t>Pasca Ciocolata</t>
  </si>
  <si>
    <t>Pasca Normala</t>
  </si>
  <si>
    <t>Raw Mac</t>
  </si>
  <si>
    <t>Raw Turmeric</t>
  </si>
  <si>
    <t>Raw Nuca</t>
  </si>
  <si>
    <t>Clasic Mac</t>
  </si>
  <si>
    <t>Clasic Fructe</t>
  </si>
  <si>
    <t>Clasic Nuca</t>
  </si>
  <si>
    <t>Mini Clasic Nuca</t>
  </si>
  <si>
    <t>Total pasca</t>
  </si>
  <si>
    <t>Total cozonac 1 kg</t>
  </si>
  <si>
    <t>Total cozonac 500 g</t>
  </si>
  <si>
    <t>Tort pentru comanda tort decorat Ana Anton (10.07)</t>
  </si>
  <si>
    <t>topa</t>
  </si>
  <si>
    <t>Irina Beuran</t>
  </si>
  <si>
    <t>Geta</t>
  </si>
  <si>
    <t>Iulie</t>
  </si>
  <si>
    <t>Marioara</t>
  </si>
  <si>
    <t>Iunie</t>
  </si>
  <si>
    <t>Pharmapharm</t>
  </si>
  <si>
    <t>Mai</t>
  </si>
  <si>
    <t>mai</t>
  </si>
  <si>
    <t>Kinesis</t>
  </si>
  <si>
    <t>Aprilie</t>
  </si>
  <si>
    <t>Citron + platou 10 pers (marioara)</t>
  </si>
  <si>
    <t>Martie</t>
  </si>
  <si>
    <t>tort 1.5 kg + 10 macarons</t>
  </si>
  <si>
    <t>Februarie</t>
  </si>
  <si>
    <t>Naked 2 kg</t>
  </si>
  <si>
    <t>Ianuarie</t>
  </si>
  <si>
    <t>Opera 2.7 kg</t>
  </si>
  <si>
    <t>December</t>
  </si>
  <si>
    <t>Pret</t>
  </si>
  <si>
    <t>Vanzare</t>
  </si>
  <si>
    <t>RON</t>
  </si>
  <si>
    <t>Debit</t>
  </si>
  <si>
    <t>Noiembrie</t>
  </si>
  <si>
    <t>LPV</t>
  </si>
  <si>
    <t>Month</t>
  </si>
  <si>
    <t>Str. Luceafarului nr 29 Chiajna</t>
  </si>
  <si>
    <t>13:00 - 13:30</t>
  </si>
  <si>
    <t>Tort compoziție Oreo 3,5 kg personalizat conform pozei ||La Mulți Ani, Sami!</t>
  </si>
  <si>
    <t>0723383065</t>
  </si>
  <si>
    <t>Dima</t>
  </si>
  <si>
    <t>3 buc din fiecare minipraji din platourile de minipraji</t>
  </si>
  <si>
    <t>Degustare Dan</t>
  </si>
  <si>
    <t>Sema Park</t>
  </si>
  <si>
    <r>
      <rPr>
        <b/>
        <sz val="11"/>
        <color rgb="FF000000"/>
        <rFont val="Calibri"/>
        <family val="2"/>
        <charset val="1"/>
      </rPr>
      <t>3.5 kg Berry Chocolate (</t>
    </r>
    <r>
      <rPr>
        <b/>
        <i/>
        <u/>
        <sz val="11"/>
        <color rgb="FF000000"/>
        <rFont val="Calibri"/>
        <family val="2"/>
        <charset val="1"/>
      </rPr>
      <t>cu fructe padure</t>
    </r>
    <r>
      <rPr>
        <b/>
        <sz val="11"/>
        <color rgb="FF000000"/>
        <rFont val="Calibri"/>
        <family val="2"/>
        <charset val="1"/>
      </rPr>
      <t>) Tort Logo Spider Man ||"La multi ani, Rares!" 7 ani - scris ca la minecraft  + un platou de miniprajituri 10 persoane</t>
    </r>
  </si>
  <si>
    <t>0747171332</t>
  </si>
  <si>
    <t>ION RAMONA</t>
  </si>
  <si>
    <t>DSV ;) facem cinste</t>
  </si>
  <si>
    <t>3kg Oreo || Unicorn 2||La multi ani, Iarina Maria! 6 ani</t>
  </si>
  <si>
    <t>0723309224</t>
  </si>
  <si>
    <t>Neata Steluta</t>
  </si>
  <si>
    <t>Brownies(rotund) si cookies care sa incapa in cutia rotunda</t>
  </si>
  <si>
    <t>Pop Laura</t>
  </si>
  <si>
    <t>Tort 3.5 KG</t>
  </si>
  <si>
    <t>ANdreea</t>
  </si>
  <si>
    <t>DA</t>
  </si>
  <si>
    <t>Magic castle</t>
  </si>
  <si>
    <t>Tort unicorn roz cu caluti si coroana, custom pe whatsapp|| compozitie Berry chocolate|| Doar "Ana" litere cu roz pe suportul tortului sau daca merge undeva pe tort cu litere albe</t>
  </si>
  <si>
    <t>0721624541</t>
  </si>
  <si>
    <t>Alina Burducea</t>
  </si>
  <si>
    <t>5kg kg Berry Chocolate Tort Logo Spider Man 2 etaje ||"La multi ani, Cristian!" scris ca la minecraft</t>
  </si>
  <si>
    <t>DAN</t>
  </si>
  <si>
    <t>Rducere 50%</t>
  </si>
  <si>
    <t>ridicare laborator Apostol</t>
  </si>
  <si>
    <t>Duo mousse cu visine 1,6kg + trio mousse 1,6 kg</t>
  </si>
  <si>
    <t>fara brrr (probabil)</t>
  </si>
  <si>
    <t>1 kg duo mousse visine || "La multi ani, Andrei!"</t>
  </si>
  <si>
    <t>40724688055</t>
  </si>
  <si>
    <t>Alina Ionescu</t>
  </si>
  <si>
    <t>2 x Rulada Raw Vegana (120)
3 x felii tort (54 RON)</t>
  </si>
  <si>
    <t>ceva</t>
  </si>
  <si>
    <t>Laura Bejean</t>
  </si>
  <si>
    <t>factura intocmita AM GRUP AGENT</t>
  </si>
  <si>
    <r>
      <rPr>
        <b/>
        <sz val="11"/>
        <color rgb="FF000000"/>
        <rFont val="Calibri"/>
        <family val="2"/>
        <charset val="1"/>
      </rPr>
      <t xml:space="preserve">417 portii x 120 grame Tort Fistic </t>
    </r>
    <r>
      <rPr>
        <b/>
        <u/>
        <sz val="11"/>
        <color rgb="FF000000"/>
        <rFont val="Calibri"/>
        <family val="2"/>
        <charset val="1"/>
      </rPr>
      <t xml:space="preserve">pe triunghi </t>
    </r>
    <r>
      <rPr>
        <b/>
        <sz val="11"/>
        <color rgb="FF000000"/>
        <rFont val="Calibri"/>
        <family val="2"/>
        <charset val="1"/>
      </rPr>
      <t xml:space="preserve">cu Fulgi de Ciocolata Neagra (2750 RON)
4 kg sos pentru ornat farfurii (Andreea Alege) (200 RON)
550 banuti ciocolata </t>
    </r>
    <r>
      <rPr>
        <b/>
        <u/>
        <sz val="11"/>
        <color rgb="FF000000"/>
        <rFont val="Calibri"/>
        <family val="2"/>
        <charset val="1"/>
      </rPr>
      <t>Mega Image</t>
    </r>
    <r>
      <rPr>
        <b/>
        <sz val="11"/>
        <color rgb="FF000000"/>
        <rFont val="Calibri"/>
        <family val="2"/>
        <charset val="1"/>
      </rPr>
      <t xml:space="preserve"> (800 RON)</t>
    </r>
  </si>
  <si>
    <t>fara brrrr reducere de 20%(50 lei poza) + conformitate</t>
  </si>
  <si>
    <t>ridicare la laborator</t>
  </si>
  <si>
    <t>la finalul programului LPV</t>
  </si>
  <si>
    <t>29-Mar</t>
  </si>
  <si>
    <t>1 x Tort framboiser1.5Kg cu poza pe vafa sau pasta de zahar (rotund) si ceva cu elsa sau frozen</t>
  </si>
  <si>
    <t>0728094760</t>
  </si>
  <si>
    <t>Vali LPV</t>
  </si>
  <si>
    <t>25-Mar</t>
  </si>
  <si>
    <t>fara brrr reducere de 20%(50 lei poza) + conformitate</t>
  </si>
  <si>
    <t>28-Mar</t>
  </si>
  <si>
    <t xml:space="preserve"> 1x tort framboisier 1,5 kg cu poza pe vafa sau pasta de zahar si ceva cu elsa sau frozen  (dreptughiular)</t>
  </si>
  <si>
    <t xml:space="preserve">2  panacota cu para si vin, 2 mouse de fistic si zmeura, 2 mousse lamaie si mac. </t>
  </si>
  <si>
    <t>Degustare Palatul Bragadiru</t>
  </si>
  <si>
    <t>65 lei/kg</t>
  </si>
  <si>
    <t>19.8 kg triomouse portionat 120g(160 portii) + 1 platou minipraji 10 persoane</t>
  </si>
  <si>
    <t>Platou 10 persoane miniprajituri</t>
  </si>
  <si>
    <t>Sandra Olanescu (degustare juridice.ro)</t>
  </si>
  <si>
    <t>14:00 - 16:00</t>
  </si>
  <si>
    <t>1 x platou miniprajituri 5 persoane + 5 x minipavlova + 1 x panna cotta (vin alb cu pere) + 1 panna cotta  cafea si sos caramel</t>
  </si>
  <si>
    <t>1 x platou miniprajituri 5 persoane
1 x platou cu toate felii torturi nunta</t>
  </si>
  <si>
    <t xml:space="preserve">Degustare Ambery Hall </t>
  </si>
  <si>
    <t>Degustare Le Chateau</t>
  </si>
  <si>
    <t>cu livrarea kit-ului de degustare ( miniprajituri si toate compozitiile de tort)</t>
  </si>
  <si>
    <t>Degustare Palatul Ghica</t>
  </si>
  <si>
    <t>26-Mar</t>
  </si>
  <si>
    <t>4 felii tort fistic 4 felii tort citron 4 felii tort ricotta 4 felii tort duo mousse 4 felii tort chocolate delight 4 felii framboisier + 3 platouri 5 persoane cu Pavlova extra + EXXTRAA cutie pavlova</t>
  </si>
  <si>
    <t>500 g rulada raw-vegana nuca
200 g bomboane ciocolata raw vegan</t>
  </si>
  <si>
    <t>0743246767</t>
  </si>
  <si>
    <t xml:space="preserve"> factura intocmita Life med</t>
  </si>
  <si>
    <t>Parcul carol</t>
  </si>
  <si>
    <t>2 x platouri 10 persoane</t>
  </si>
  <si>
    <t>Strada Doctor Iacob Felix, Nr 87, (etajele 3,4,5)</t>
  </si>
  <si>
    <t>3 platouri x (30 x pavlova, 30 x tarte caramel, 30 x choux fistic, 30 xTarte Fructe, 30 x Macarons mix, 30 x brownie, 30 x Cookie Afine, 30 x Cookie Ciocolata) + 110 flyere discount</t>
  </si>
  <si>
    <t>Vulpoi &amp; Toader Management - Alina Budeanu</t>
  </si>
  <si>
    <t>297 - 10% (cash cu factura pe estetique solutions )</t>
  </si>
  <si>
    <t>Strada Romulus 25</t>
  </si>
  <si>
    <t>1 x platou 10 persoane
1 x platou 5 persoane
(in loc de macarons sa fie tarte cu fructe)</t>
  </si>
  <si>
    <t>0722450598</t>
  </si>
  <si>
    <t>Monica Nitescu (Estetique Solutions)</t>
  </si>
  <si>
    <t>cash cu bon(de luat de la lasertag)</t>
  </si>
  <si>
    <t>3 Kg, compozitie Oreo || Nemo ca la ziua lui Andrei al Anei|| "La multi ani, Ilinca" 8 ani</t>
  </si>
  <si>
    <t>0744579761</t>
  </si>
  <si>
    <t>Lasertag (Cristina Paveliu)</t>
  </si>
  <si>
    <t>str. Hatmanul Arbore nr 11.</t>
  </si>
  <si>
    <t>1.5 kg Snickers || Fortnite magar (stie mirela) ||"LMA, DRAGON!"</t>
  </si>
  <si>
    <t>0743058513</t>
  </si>
  <si>
    <t>Dragos Cozaciuc</t>
  </si>
  <si>
    <t>cash cu bon(incasat POS)</t>
  </si>
  <si>
    <t>1,6 kg Framboisier, sa aibe pe el sigla CFR si sa scrie La multi ani Tata!</t>
  </si>
  <si>
    <t>+40731389921</t>
  </si>
  <si>
    <t>Client CFR</t>
  </si>
  <si>
    <t>str novaci nr 10, bl P60, scara 3, interfon 77, sect 5</t>
  </si>
  <si>
    <t>1,2 kg tort Fistic și zmeura || La mulți ani, mami! + degustare pt candy bar și bucatele mici din torturile naked</t>
  </si>
  <si>
    <t>0736999153</t>
  </si>
  <si>
    <t xml:space="preserve">Gabriela Topa </t>
  </si>
  <si>
    <t>cash cu bon (15% reducere)</t>
  </si>
  <si>
    <t>Citron de 2 kg || "La mulți ani! Pentru cea mai scumpa prietena!"</t>
  </si>
  <si>
    <t>corina.fgheorghe@yahoo.com</t>
  </si>
  <si>
    <t>0728838193</t>
  </si>
  <si>
    <t>Corina Moisa</t>
  </si>
  <si>
    <t>str. Aromei nr 96 la Ambasad'or</t>
  </si>
  <si>
    <r>
      <rPr>
        <b/>
        <sz val="11"/>
        <rFont val="Calibri"/>
        <family val="2"/>
        <charset val="1"/>
      </rPr>
      <t xml:space="preserve">6 kilograme maxim, pe 2 etaje || compoziție Oreo || Baza sa fie în culorile curcubeului, cu o bufniță mare sus și doua pe înălțimea tortului, iar etajul de sus sa fie alb cu buline de diferite dimensiuni in culorile curcubeului || </t>
    </r>
    <r>
      <rPr>
        <b/>
        <i/>
        <u/>
        <sz val="11"/>
        <rFont val="Calibri"/>
        <family val="2"/>
        <charset val="1"/>
      </rPr>
      <t>HAPPY BIRTHDAY IANA! 8 YEARS</t>
    </r>
  </si>
  <si>
    <t>0799950950</t>
  </si>
  <si>
    <t>Caju, Str Nicolae Golescu nr 16</t>
  </si>
  <si>
    <t>1,6 kg framboisier,foi de migdale, mousse de vanilie si zmera|| decorat ca pe whatsapp (cei doi cu parul fructe care se pupa..)</t>
  </si>
  <si>
    <t>+40 765 297 177</t>
  </si>
  <si>
    <t>Alexandra</t>
  </si>
  <si>
    <t>fara brr, 50% reducere</t>
  </si>
  <si>
    <t>Sediu LARA Carol</t>
  </si>
  <si>
    <t>1.5 tort Honey + platou minipraji 10 persoane CUSTOM(20 choux + 25 macarons mixt ce avem + 11 tarte ciocolata )</t>
  </si>
  <si>
    <t>Simfonia 650 incasati</t>
  </si>
  <si>
    <t>Simfonia Pipera</t>
  </si>
  <si>
    <t>pana in 17</t>
  </si>
  <si>
    <t>24 kg Duo Mousse cu zmeura - 1560 RON
Macheta 4 etaje - 650 RON (restituite 200 RON cand o primim inapo</t>
  </si>
  <si>
    <t>0737 338 899</t>
  </si>
  <si>
    <t xml:space="preserve">Simfonia (Valentin) </t>
  </si>
  <si>
    <t>le ridica direct din laborator</t>
  </si>
  <si>
    <t>Platou miniprajituri pentru 10 persoane si un platou de coffee cookis pt 5</t>
  </si>
  <si>
    <t>1x framboisier + figurina de pasta de zahar, model 50shades of gray (femeie plimba in lesa un barbat) ramane sa vb cu mirela sa vedem cat costa</t>
  </si>
  <si>
    <t>stie Andreea</t>
  </si>
  <si>
    <r>
      <rPr>
        <u/>
        <sz val="11"/>
        <rFont val="Calibri"/>
        <family val="2"/>
        <charset val="1"/>
      </rPr>
      <t>card</t>
    </r>
    <r>
      <rPr>
        <b/>
        <sz val="11"/>
        <rFont val="Calibri"/>
        <family val="2"/>
        <charset val="1"/>
      </rPr>
      <t xml:space="preserve"> cu bon si conformitate</t>
    </r>
  </si>
  <si>
    <t>Tort fornite 2 de 1,6 kg|| oreo|| "La multi ani, Edi!"
Tort teren fotbal de 1,6 kg|| oreo||"La multi ani, Cipri!" (detalii in comenzi pe whatsapp)</t>
  </si>
  <si>
    <t>alexandracln_23@yahoo.com</t>
  </si>
  <si>
    <t>0720510212</t>
  </si>
  <si>
    <t>Alexandra Calin (Lasertag)</t>
  </si>
  <si>
    <t>Platou 5 persoane miniprajituri + compozitii tort nunta</t>
  </si>
  <si>
    <t>degustare Simposio Ballroom</t>
  </si>
  <si>
    <t>Pavlova ca la tudor</t>
  </si>
  <si>
    <t>Borotea acasa</t>
  </si>
  <si>
    <t>1.6 kg Tort Duo Mousse cu Visine. "Decorat cu atentie va rog"</t>
  </si>
  <si>
    <t>Magic castle (Str Cerceilor nr. 10)</t>
  </si>
  <si>
    <t>anulata</t>
  </si>
  <si>
    <t>0751893837</t>
  </si>
  <si>
    <t>Cristina Macovei, Magic Castle</t>
  </si>
  <si>
    <t>compozitii torturi si 3 platouri x 5 persoane (miniprajituri)</t>
  </si>
  <si>
    <t>Degustari Soiree</t>
  </si>
  <si>
    <t xml:space="preserve">Degustare torturi compozitiile noi + praji cafea + minipraji </t>
  </si>
  <si>
    <t>0741159114</t>
  </si>
  <si>
    <t>Mogosoaia Lake View</t>
  </si>
  <si>
    <t>Ridicare de la Bon Mariage</t>
  </si>
  <si>
    <t>in cutii verzi, 2 cutii miniprajituri, ( una si minitarte si pavlova) alta cu choux diverse variante,torturi la fel ca la Bragadiru</t>
  </si>
  <si>
    <t>Degustare Bon Mariage</t>
  </si>
  <si>
    <t>factura intocmita dot 2/2</t>
  </si>
  <si>
    <t>stie Apostol</t>
  </si>
  <si>
    <t>1 x tort fistic 1,6Kg + 1x platou minipraji 10 persone</t>
  </si>
  <si>
    <t>factura intocmita dot 1/2</t>
  </si>
  <si>
    <t>1 x Tort pavlova la vaza ||La multi ani, Tudor|| + sirop zmeura</t>
  </si>
  <si>
    <t>Ziua Tudor Mircea</t>
  </si>
  <si>
    <t>Alex</t>
  </si>
  <si>
    <t>minipraji + torturi</t>
  </si>
  <si>
    <t>Degustare Casa Bia</t>
  </si>
  <si>
    <t>?????Alex</t>
  </si>
  <si>
    <t xml:space="preserve">mini prajituri + torturi </t>
  </si>
  <si>
    <t>Degustare Maison</t>
  </si>
  <si>
    <t>0733 527 201</t>
  </si>
  <si>
    <t>factura intocmita 4/4</t>
  </si>
  <si>
    <t>Strada Drumeagului, Nr. 9, Sector 3</t>
  </si>
  <si>
    <t>1 x Tort Oreo "Naked" 3 kg (285 RON) + Figurina Star Wars BB8 (100 RON)</t>
  </si>
  <si>
    <t>ana.diceanu@brain4strategy.com</t>
  </si>
  <si>
    <t>0740 426 835</t>
  </si>
  <si>
    <t>ANA Maria Diceanu</t>
  </si>
  <si>
    <t>Restaurant Piatra Alba (drumul taberei) cu certificat de conformitate</t>
  </si>
  <si>
    <t>Tort mousse ciocolata fructe padure (1.5 kg) 152 lei</t>
  </si>
  <si>
    <t>+40 758 017 279</t>
  </si>
  <si>
    <t>Ruxandra Stefan</t>
  </si>
  <si>
    <t>Strada emil racovita, nr 8, bl u1, sc 1, ap 15, sector 4, bucuresti, interfon 15- tel 0722938684</t>
  </si>
  <si>
    <t>Tort Framboisier model personalizat de aproximativ 3.5 kilograme.
Mesaj tort Happy Birthday, Clara! Si undeva sa fie cifra 12</t>
  </si>
  <si>
    <t>0722 938 684</t>
  </si>
  <si>
    <t>Geta Ticu (Miruna)</t>
  </si>
  <si>
    <t>Platita Card pe Website</t>
  </si>
  <si>
    <t>Calea Călărași, nr. 253, bl. 67, sc. 1, ap/interfon 19, etaj 4, sector 3</t>
  </si>
  <si>
    <t>Tort Chocolate Delight 1.6 kg, || "La Multi Ani!"</t>
  </si>
  <si>
    <t>dana.birnea@gmail.com</t>
  </si>
  <si>
    <t>+40723325909</t>
  </si>
  <si>
    <t>Dana Birnea</t>
  </si>
  <si>
    <t>cash cu bon sema park</t>
  </si>
  <si>
    <t>Tort Trio Mousse || 4 kg || "La multi ani, Darius"||</t>
  </si>
  <si>
    <t>cristina.feraru89@yahoo.com</t>
  </si>
  <si>
    <t>0761678758</t>
  </si>
  <si>
    <t>Cristina Mioara Feraru (lasetag)</t>
  </si>
  <si>
    <t>cash + bon + conformitate</t>
  </si>
  <si>
    <t>1 x platou prajituri 5 persoane + bon si cert conformitate</t>
  </si>
  <si>
    <t>0745579102</t>
  </si>
  <si>
    <t>Laura Bejan</t>
  </si>
  <si>
    <t>un tort pt. sport jumatate fistic, jumatate lamaie</t>
  </si>
  <si>
    <t>Degustare sport</t>
  </si>
  <si>
    <t>Laborator Alexandriei</t>
  </si>
  <si>
    <t xml:space="preserve">degustare tort cununie de 200 persoane </t>
  </si>
  <si>
    <t>40 (769) 687 424‬</t>
  </si>
  <si>
    <t>Degustare Simfonia</t>
  </si>
  <si>
    <t>datorie Borotea</t>
  </si>
  <si>
    <t>30 x minipavlova + 20 minitarte cu ciocolata si caramel</t>
  </si>
  <si>
    <t>‭(0729) 990 663</t>
  </si>
  <si>
    <t>Factura pe "Vision Events SRRL" trimisa</t>
  </si>
  <si>
    <t>IMPACT HUB, Splaiul Unirii 165, Timpuri Noi Square, Building 2, 1st Floor, Sala San Francisco</t>
  </si>
  <si>
    <t>6 x Platou Prajituri Cafea 20 + persoana pentru refill</t>
  </si>
  <si>
    <t>Vision Event Production</t>
  </si>
  <si>
    <t>datorie autorizatii</t>
  </si>
  <si>
    <t>ridicare de la laborator CATALIN</t>
  </si>
  <si>
    <t>platou minipraji 5 persoane</t>
  </si>
  <si>
    <t>Geanina (Autorizatii)</t>
  </si>
  <si>
    <t>factura intocmita 3/4</t>
  </si>
  <si>
    <t>Platou 30 macarons + certificat conformitate</t>
  </si>
  <si>
    <t>1.6 Kg tort cafea</t>
  </si>
  <si>
    <t>Alexanra Parau Soiree</t>
  </si>
  <si>
    <t>Framboisier 2kg || La multi ani, Corina! + Framboisier 1,6kg</t>
  </si>
  <si>
    <t>Cash cu factura pe estetique Solutions</t>
  </si>
  <si>
    <t>Strada Romulus, Nr. 35</t>
  </si>
  <si>
    <t>1 x platou prajituri 10 persoane + 1 x platou prajituri 5 persoane (10% discount)</t>
  </si>
  <si>
    <t>Monica Nitescu</t>
  </si>
  <si>
    <t>Pachet degustari</t>
  </si>
  <si>
    <t>Str. Magura Vulturului nr. 42</t>
  </si>
  <si>
    <t>1 x Tort Chocolate Delight 1.6 kg || Placuta cu  "La multi ani, mami!"</t>
  </si>
  <si>
    <t>Andreea Petre (Blu Party_</t>
  </si>
  <si>
    <t>Platou cafea 5 persoane + platou miniprajituri 5 persoane + prajituri monoportie (vanilla rose stone, blueberry finger, raspberry pillow sau orice misto stim )</t>
  </si>
  <si>
    <t>Degustare Orlando (Cafenea)</t>
  </si>
  <si>
    <t>1 x cutie  macarons foita de aur + 1 x cutie  verde cu buline (mini-tarte + pavlove) +  1 x cutie verde cu buline (choux fistic, choux vanilie, choux cafea) +  cutie verde cu buline  prajituri cafea</t>
  </si>
  <si>
    <t>Degustare Louis Voitton</t>
  </si>
  <si>
    <t>Factura Tudor</t>
  </si>
  <si>
    <t>30 cutii cu 4 macarons- roz deschis, Rosu, Bleu, verde</t>
  </si>
  <si>
    <t xml:space="preserve">Suzana Vasilachi </t>
  </si>
  <si>
    <t>Discount 12%+5% (Elisa Playground)</t>
  </si>
  <si>
    <t>Elisa Playground (Str. Lucacesti 19 A)</t>
  </si>
  <si>
    <t>Tort Noisette || 2Kg || La multi ani, Alexandra! + ceva portativ cu note muzicale (pasta de zahar)</t>
  </si>
  <si>
    <t>0751577671</t>
  </si>
  <si>
    <t>Elisa Playground</t>
  </si>
  <si>
    <t>cash cu bon (de incasat)</t>
  </si>
  <si>
    <t>5Kg tort ACADELE COLORATE || Snickers || "La multi ani!" pe o acadea si  "MATEI 12" pe alta acadea</t>
  </si>
  <si>
    <t>crina.cosoreanu@gmail.com</t>
  </si>
  <si>
    <t>0744574243</t>
  </si>
  <si>
    <t>Crina Cosoreanu (lasertag)</t>
  </si>
  <si>
    <t>Fara brrrrrrrr</t>
  </si>
  <si>
    <t>Crisul Alb, nr. 31, bloc nou, etaj 2, ap 4, sector 4</t>
  </si>
  <si>
    <t>Tort Framboisier 1kg || Exact compozitia de la ziua dl Apostol</t>
  </si>
  <si>
    <t>factuara intcmita</t>
  </si>
  <si>
    <r>
      <rPr>
        <b/>
        <sz val="11"/>
        <color rgb="FF000000"/>
        <rFont val="Calibri"/>
        <family val="2"/>
        <charset val="1"/>
      </rPr>
      <t xml:space="preserve">9Kg - Varianta Modificata Duo Mousse:blat de migdale, mousse de ciocolata neagra, iar in locul mousse-ului de ciocolata alba, asezam stratul de crema de vanilie in care inseram bucati de zmeura. - </t>
    </r>
    <r>
      <rPr>
        <b/>
        <u/>
        <sz val="11"/>
        <color rgb="FF000000"/>
        <rFont val="Calibri"/>
        <family val="2"/>
        <charset val="1"/>
      </rPr>
      <t>DESIGN PE MAIL</t>
    </r>
  </si>
  <si>
    <t xml:space="preserve">humamarian@yahoo.com </t>
  </si>
  <si>
    <t>0762114499</t>
  </si>
  <si>
    <t>Familia Huma (Simfonia)</t>
  </si>
  <si>
    <t>Tort tematica Unicorn 9kg</t>
  </si>
  <si>
    <t>Simfonia</t>
  </si>
  <si>
    <t>de incasat de la ELENA cad ajungem la Simfonia</t>
  </si>
  <si>
    <t>225</t>
  </si>
  <si>
    <t>1 x tort citron 2.5 kg "La Multi Ani, Lili"</t>
  </si>
  <si>
    <t>0723953193</t>
  </si>
  <si>
    <t>Elena (Simfonia)</t>
  </si>
  <si>
    <t>Erou Iancu Nicolae 158, voluntari</t>
  </si>
  <si>
    <t>Framboisier 1,6 kg - decorat 1-8 martie + 20 choux (10 vanilie + 5 cu ciocolata si 5 cu fistic)</t>
  </si>
  <si>
    <t>(0726) 332 335</t>
  </si>
  <si>
    <t>Adela del Luci 3/3</t>
  </si>
  <si>
    <t>cash fara brrrr + conformitate (50% reducere)</t>
  </si>
  <si>
    <t>le ridica din Alexandriei</t>
  </si>
  <si>
    <t xml:space="preserve">Platou miniprajituri 10 persoane </t>
  </si>
  <si>
    <t>0724358661</t>
  </si>
  <si>
    <t>catalin Carol</t>
  </si>
  <si>
    <t>cash fara brrr(50% reducere)</t>
  </si>
  <si>
    <t>tort fistic 1.6 (decor ca ultimii, facut de andreea)  + platou minipraji 10 persoane CUSTOM(20 choux + 25 macarons mixt ce avem + 11 tarte ciocolata )</t>
  </si>
  <si>
    <t>fara brrr plata la Dan 4/4</t>
  </si>
  <si>
    <t>strada George Enescu nr 8A - ap5</t>
  </si>
  <si>
    <t>1 x Raspberry Love + 4 mini pavlova</t>
  </si>
  <si>
    <t>0720709264</t>
  </si>
  <si>
    <t>Anca Marinescu 4/4 (contact Roberta Leonardo)</t>
  </si>
  <si>
    <t>factura intocmita DOT 4/4</t>
  </si>
  <si>
    <t>Nicolae Filipescu 50, parter interfon 2</t>
  </si>
  <si>
    <t>16 cutii x 6 macarons + 1,6 Kg tort Citron</t>
  </si>
  <si>
    <t>Simina (LAURA)</t>
  </si>
  <si>
    <t>factura intocmita Dot 3/4</t>
  </si>
  <si>
    <t>Sediu Lara Carol</t>
  </si>
  <si>
    <t>tort Framboisier 1,6 kg</t>
  </si>
  <si>
    <t>Framboisier 2kg || La multi ani, Corina si Dragos!</t>
  </si>
  <si>
    <t>Framboisier 1,6 kg - decorat 1-8 martie</t>
  </si>
  <si>
    <t>Adela del Luci 2/3</t>
  </si>
  <si>
    <t xml:space="preserve">factura intocmita </t>
  </si>
  <si>
    <t>Strada Kepler 47</t>
  </si>
  <si>
    <t>1 x platou mini prajituri 10 persoane
1 x tort citron 1.6 kg</t>
  </si>
  <si>
    <t>de sunat Miruna</t>
  </si>
  <si>
    <t>la parcul Carol</t>
  </si>
  <si>
    <t>1 platouri miniprajituri 10 persoane</t>
  </si>
  <si>
    <t xml:space="preserve">Marian Raducanu </t>
  </si>
  <si>
    <t>factura intocmita pers fizica Radu Popoiu</t>
  </si>
  <si>
    <t>Vasile Lascar 30, et 2, sect 2 - Next Energy</t>
  </si>
  <si>
    <t>tort  Citron 1,6 kg + un platou miniprajituri 5 persoane</t>
  </si>
  <si>
    <t>‭(0722) 537 817</t>
  </si>
  <si>
    <t xml:space="preserve">Radu Popoiu </t>
  </si>
  <si>
    <t>factura intocmita DOT2/4</t>
  </si>
  <si>
    <t>6 x torturi de 1,6Kg ( 5 x Framboisier + 1 x Fistic)</t>
  </si>
  <si>
    <t>DOT (LAURA)</t>
  </si>
  <si>
    <t>cash cu bon (398) 1 platou a fost dus in alta parte si dat cu 50% discount ca degustare</t>
  </si>
  <si>
    <t>Bulevardul Pipera nr.1-IA,Voluntari,Cladirea de birouri Integral Business</t>
  </si>
  <si>
    <t>2 platouri cu miniprajituri 10 persoane</t>
  </si>
  <si>
    <t>Adela del Luci 1/3</t>
  </si>
  <si>
    <t>factura intocmita pe LIFE MED</t>
  </si>
  <si>
    <t>8 x torturi de 1,6 kg (2 x fistic + 2 x mousse cu visine + 2 x cafea+ 2 x Framboisier) + 1 platou praji 10 persone</t>
  </si>
  <si>
    <t>Str Secuilor, nr 7, bl B31, sc 3, et 3, ap 39, sector 4</t>
  </si>
  <si>
    <t>1 x Tort Chocolate Delight 1,6 kg || La multi ani, Filip! 
+ 1 Tort Duo mousse cu visine 1kg ||La multi ani Filip! + platou</t>
  </si>
  <si>
    <t>0726199545</t>
  </si>
  <si>
    <t>Mihaela (Emilia)</t>
  </si>
  <si>
    <t>factura intocmita 2/4</t>
  </si>
  <si>
    <t xml:space="preserve"> Strada Cretei 6A</t>
  </si>
  <si>
    <t>5 x  platouri minipraji de 5 persoane + 1 cutie 4 briose</t>
  </si>
  <si>
    <t>0740426835</t>
  </si>
  <si>
    <t xml:space="preserve">ANA Maria Diceanu </t>
  </si>
  <si>
    <t>factura intocmita cash cu bon</t>
  </si>
  <si>
    <t>Soseaua Bucuresti Ploiesti nr. 1A</t>
  </si>
  <si>
    <t>2 x torturi de 1,6 kg ( 1 x chocolate delight + 1 x Framboisier)</t>
  </si>
  <si>
    <t>0723660043</t>
  </si>
  <si>
    <t>Sorin Trifa (Carpatcement)</t>
  </si>
  <si>
    <t>de bagat Dan la datorie</t>
  </si>
  <si>
    <t>Acasa la Borotea (Stie Alex)</t>
  </si>
  <si>
    <t>1 x Framboisier 1,6 kg + platou praji de 10 perssoane custom (23 pavlova + 23 choux cu fistic + 10 tarte ciocolata)</t>
  </si>
  <si>
    <t>fara brrr plata la Dan 3/4</t>
  </si>
  <si>
    <t>Chiajna, Strada Italia nr 1-7 - sediul Ford Trucks</t>
  </si>
  <si>
    <t>2 x Raspberry Love</t>
  </si>
  <si>
    <t>0751 111 039</t>
  </si>
  <si>
    <t xml:space="preserve">Anca Marinescu 3/4 </t>
  </si>
  <si>
    <t>fara brrr plata la Dan 2/4</t>
  </si>
  <si>
    <t>Strada Aviator Petre Cretu nr 49 - Birou notarial Alina Tinta</t>
  </si>
  <si>
    <t>9:00-14:00</t>
  </si>
  <si>
    <t>1 x Raspberry Love</t>
  </si>
  <si>
    <t xml:space="preserve"> 0742 239 446</t>
  </si>
  <si>
    <t>Anca Marinescu 2/4 (contact Alina Tinta)</t>
  </si>
  <si>
    <t>fara brrr plata la Dan 1/4</t>
  </si>
  <si>
    <t>trada Fetesti, nr 10, Bl V13, scara A, ap 3, interfon 3, etaj 1, ap 3</t>
  </si>
  <si>
    <t>9:00-18:00</t>
  </si>
  <si>
    <t>0723857038</t>
  </si>
  <si>
    <t>Anca Marinescu 1/4 (contact Marinescu Silvia)</t>
  </si>
  <si>
    <t>Barter + factura intocmita tort</t>
  </si>
  <si>
    <t>Intrarea Poiana 8  Candy-bar'ul este pentru 8-Martie dimineata</t>
  </si>
  <si>
    <t>Candy-Bar 5 x platou 10 persoane + 1 tort duo mousse cu visine</t>
  </si>
  <si>
    <t>Acorns</t>
  </si>
  <si>
    <t>Popa Soare 63. Candy-bar'ul este pentru 8-Martie dimineata</t>
  </si>
  <si>
    <t>Candy-Bar 8 x platou 10 persoane + 1 tort duo mousse cu visine</t>
  </si>
  <si>
    <t>factura intocmita(Afriso), de semnat impreuna cu restul doc</t>
  </si>
  <si>
    <t>Le ridica din Alexandriei</t>
  </si>
  <si>
    <t>1 platou minipraji 5 persoane</t>
  </si>
  <si>
    <t>0730088158</t>
  </si>
  <si>
    <t>Dan Alupoaie</t>
  </si>
  <si>
    <t>factura inctocmita, de semnat</t>
  </si>
  <si>
    <t>Strada Raspantiilor 20 A</t>
  </si>
  <si>
    <t>15 briose individuale</t>
  </si>
  <si>
    <t>ralcom exhibitions(Tudor)</t>
  </si>
  <si>
    <t>o cutie dedicata cu 4 briose</t>
  </si>
  <si>
    <t>10 x cutii miniprajituri CUSTOM (albe cu stick mare lara pe capac) cu 14 prajituri/cutie (4 x tarte ciocolata + 4 tarte lamaie + 3 choux fistic cu vanilie + 3 macarons dark chocolate) + 11 stickere LARA mici in punga (ii trebuie)</t>
  </si>
  <si>
    <t>0733170123</t>
  </si>
  <si>
    <t xml:space="preserve">Daniela Cojocariu </t>
  </si>
  <si>
    <t>2 x platou minipraji de 5 persoane</t>
  </si>
  <si>
    <t>factura intocmita AM GRUP AGENT SRL</t>
  </si>
  <si>
    <t>Bulevardul Pipera 2</t>
  </si>
  <si>
    <t>28 Kg miniprajituri</t>
  </si>
  <si>
    <t>Bulevardul Ghencea 122</t>
  </si>
  <si>
    <t>Restaurant Bulevard</t>
  </si>
  <si>
    <t>n/A</t>
  </si>
  <si>
    <t>ora 12 la Opera vase si decor( macheta)
ora 16.00 prajiturile</t>
  </si>
  <si>
    <t>12:00:00 PM / 16:00</t>
  </si>
  <si>
    <r>
      <rPr>
        <b/>
        <sz val="11"/>
        <rFont val="Calibri"/>
        <family val="2"/>
        <charset val="1"/>
      </rPr>
      <t xml:space="preserve">Macheta alba cu statuie aurie -trimit poza
Mini Pavlova -100 buc
Tarta cu lamaie -100 buc
Macarons ( albi, vernil, roz, bej) - cate 25 din fiecare culoare -100 Total
Choix cu ce vreti dar cu capc alb-100 buc
Tarte ciocolata - 100 buc
</t>
    </r>
    <r>
      <rPr>
        <b/>
        <i/>
        <sz val="11"/>
        <rFont val="Calibri"/>
        <family val="2"/>
        <charset val="1"/>
      </rPr>
      <t>Statuia sa fie asezata in varful machetei de 3 etaje  “la ora 4” -nu din fata ( ora 6) nici din lateral (ora 3)</t>
    </r>
  </si>
  <si>
    <t>0788600100</t>
  </si>
  <si>
    <t>CONAF -400 pers-Opera Romana (Cristina)</t>
  </si>
  <si>
    <t>factura intocmita DOT 1/4</t>
  </si>
  <si>
    <t>lara carol</t>
  </si>
  <si>
    <t xml:space="preserve">1 x platou miniprajituri 10 persoane </t>
  </si>
  <si>
    <t>factura intocmita LPV - de semnat</t>
  </si>
  <si>
    <t>10 platouri cu miniprajituri 10 persoane  + cate vouchere?(LAURA)</t>
  </si>
  <si>
    <t>0724288126</t>
  </si>
  <si>
    <t>Comanda LPV(Florin Draghescu)</t>
  </si>
  <si>
    <t>Tort (ce avem) + miniprajituri</t>
  </si>
  <si>
    <t xml:space="preserve">Grigore Alexandrescu nr 89 - 97, cladirea Metropolis, etaj 6, sector 1 </t>
  </si>
  <si>
    <t>2 x cutie delicata cu 4 briose</t>
  </si>
  <si>
    <t>0758 368 551</t>
  </si>
  <si>
    <t>Carmen Cechirdan</t>
  </si>
  <si>
    <t>Drumul taberei</t>
  </si>
  <si>
    <t>1x tort 3 kg duo mousse cu visine</t>
  </si>
  <si>
    <t>0758017279</t>
  </si>
  <si>
    <t>30 x biscuiti cookies ambalati in pungute cu stiker LARA pe punguta</t>
  </si>
  <si>
    <t>Erou Iancu Nicolae 158, Voluntari</t>
  </si>
  <si>
    <t>pana la 16:00</t>
  </si>
  <si>
    <t>3 cutii minichoux astfel : 30 de bucati in fiecare cutie jumatate cu fistic, jumatate cu vanilie. 
Practic 90 de minichoux livrati in 3 cutii</t>
  </si>
  <si>
    <t>Adela del Lucis</t>
  </si>
  <si>
    <t>factura intocmita 1/4 - 20%</t>
  </si>
  <si>
    <r>
      <rPr>
        <b/>
        <sz val="11"/>
        <rFont val="Calibri"/>
        <family val="2"/>
        <charset val="1"/>
      </rPr>
      <t xml:space="preserve">(Alexandru Serbanescu, nr 58A, sector 1 </t>
    </r>
    <r>
      <rPr>
        <b/>
        <i/>
        <u/>
        <sz val="11"/>
        <rFont val="Calibri"/>
        <family val="2"/>
        <charset val="1"/>
      </rPr>
      <t>(Neaparat sector 1)</t>
    </r>
  </si>
  <si>
    <t>2 x platou miniprajituri 5 persoane</t>
  </si>
  <si>
    <t>ANA Maria Diceanu - CEO Agentie de PR BRAIN 4 Strategy, Presedinte Global Women in PR</t>
  </si>
  <si>
    <t>Seara</t>
  </si>
  <si>
    <t>25 cutii x 4 briose
8 cutii x 6 briose
4 cutii/platouri miniprajituri pt 5 pers
2 cutii/platouri pt 10 persoane.</t>
  </si>
  <si>
    <t>Mihai Turcu (Kinesis)</t>
  </si>
  <si>
    <t>de intocmit factura pe Iridex</t>
  </si>
  <si>
    <t>Sos. Bucuresti – Ploiesti nr.17</t>
  </si>
  <si>
    <t>Tort 10.5 kg (Blat Vanilie, Mousse Vanilie &amp; Fistic, Bob Zmeura) - decor Laura, Mirela + 2 x Platou Mini Prajituri 10 Persoane(Din Partea Laurei )</t>
  </si>
  <si>
    <t>0736008800</t>
  </si>
  <si>
    <t>Ileana Stavrica (Iridex)</t>
  </si>
  <si>
    <t>Cadou Laura</t>
  </si>
  <si>
    <t>Str. N. Iorga nr. 19</t>
  </si>
  <si>
    <t>platou miniprajituri pt 20 persoane + tort Citron 2 kg</t>
  </si>
  <si>
    <t>‭(0721) 720 675</t>
  </si>
  <si>
    <t>Mirela (Miko Palace)</t>
  </si>
  <si>
    <t>Aviator Popisteanu nr28</t>
  </si>
  <si>
    <t>25 de cupcakes care sa fie cu trifoi cu 3 foi( o frunza Sasha, o frunza 10 ani si o frunza gargaritza) ||Sa fie impachetate individual</t>
  </si>
  <si>
    <t>+40 (722) 695 800</t>
  </si>
  <si>
    <t>Alina Dumitrascu</t>
  </si>
  <si>
    <t>factura, cash cu bon</t>
  </si>
  <si>
    <t>Bulevardul Pipera 43, Voluntari</t>
  </si>
  <si>
    <t>Pavlova 6Kg la VAZA || Pe un biscuite de ciocolata sau o bezea sau pe orice altceva gasiti potrivit dorim sa scrieti “La multi ani, David Iosif!” + turta</t>
  </si>
  <si>
    <t>0768657297</t>
  </si>
  <si>
    <t>KOKOSS</t>
  </si>
  <si>
    <t>trebuie sunata doamna Luminita inainte de livrare ca sa vina si ea la locul livrarii cu florile (tortul este pentru cuscra dansei)</t>
  </si>
  <si>
    <t>soseaua Virtutii 20, Bl. R11 F</t>
  </si>
  <si>
    <t>11-12:00</t>
  </si>
  <si>
    <t>Tort duo mousse cu visine || décor ca in poza din colectia noua, semiluna nu dunga centrala, 1.25-1.5 kg</t>
  </si>
  <si>
    <t>0740055787</t>
  </si>
  <si>
    <t>Luminita Nanu</t>
  </si>
  <si>
    <t>factura 2 intocmita</t>
  </si>
  <si>
    <t>livrarile vor fi luni (de completat)</t>
  </si>
  <si>
    <t>37 x (4 cutii briose primavara + 3 macarons in celofan strans cu snur alb/rosu)</t>
  </si>
  <si>
    <t>PHARMAFARM ( Miruna )1</t>
  </si>
  <si>
    <t>Loc de joaca Happy Planet, Soseaua Vergului 59,</t>
  </si>
  <si>
    <t>Tort Rainbow Unicorn || 4 kg || Raspberyy Vanilla || La Multi Ani, Maria! || 6 ani</t>
  </si>
  <si>
    <t>neagu_valentina1982@yahoo.com</t>
  </si>
  <si>
    <t>0735159275</t>
  </si>
  <si>
    <t>Bucuroiu Valentina</t>
  </si>
  <si>
    <t>factura intocmita LASER TAG</t>
  </si>
  <si>
    <t>520</t>
  </si>
  <si>
    <t>Tort Robot Bumblebee || 4 kg (1 etaj) || Oreo || "La multi ani, Razvan!"</t>
  </si>
  <si>
    <t>alexandrupopescu80@gmail.com</t>
  </si>
  <si>
    <t>0721945060</t>
  </si>
  <si>
    <t>Lasertag (Alexandru Popescu)</t>
  </si>
  <si>
    <t>Buftea Lake Resort, salon Aqua</t>
  </si>
  <si>
    <t>Tort Ursulet pansat 5 kg|| OREO|| cu 40 marturii</t>
  </si>
  <si>
    <t>office@purpleeffectevents.ro</t>
  </si>
  <si>
    <t>0721 574 912</t>
  </si>
  <si>
    <t>Purple Events - Florentina Dan</t>
  </si>
  <si>
    <t>reducere 20%, cash , bon, conformitate</t>
  </si>
  <si>
    <t>Restaurant Hugo, Strada Clopotarii Vechi, nr. 10</t>
  </si>
  <si>
    <t>Tort cu Fistic si Zmeura de 4 KG ca la ziua Dianei ||FILIP STEFAN + textul cu nasha|| décor taiere motz|| vorb Emilia cu Reta + 2 platouri de miniprajituri 10 persoane (cu macarons doar de fistic)</t>
  </si>
  <si>
    <t>0723658132</t>
  </si>
  <si>
    <t xml:space="preserve">Emilia de la conta </t>
  </si>
  <si>
    <t>Stie Alex</t>
  </si>
  <si>
    <t>Macheta Tort Nunta (stie mirela)</t>
  </si>
  <si>
    <t>Laurentiu- Restaurant Boulevard</t>
  </si>
  <si>
    <t>390</t>
  </si>
  <si>
    <t>Tort Rainbow Unicorn || 3 kg (1 etaj) || snickers || La Multi Ani, Alexandra!</t>
  </si>
  <si>
    <t>ioana_badulescu2003@yahoo.com</t>
  </si>
  <si>
    <t>0723034711</t>
  </si>
  <si>
    <t>Lasertag (Ioana Badulescu)</t>
  </si>
  <si>
    <t>20% reducere cash fara brrr</t>
  </si>
  <si>
    <t>Le ridica din Laborator???</t>
  </si>
  <si>
    <t>2 x platouri miniprajituri 5 persoane + 1 x pachet tort tort 1.25 kg duo mousse cu visine + buchet</t>
  </si>
  <si>
    <t>27.-feb</t>
  </si>
  <si>
    <t>in factura Dot</t>
  </si>
  <si>
    <r>
      <rPr>
        <b/>
        <sz val="11"/>
        <rFont val="Calibri"/>
        <family val="2"/>
        <charset val="1"/>
      </rPr>
      <t xml:space="preserve">Word Class Promenada la Sergiu Sandu </t>
    </r>
    <r>
      <rPr>
        <b/>
        <u/>
        <sz val="11"/>
        <rFont val="Calibri"/>
        <family val="2"/>
        <charset val="1"/>
      </rPr>
      <t>(NEAPARAT SA AJUNGA ALEX)</t>
    </r>
  </si>
  <si>
    <t>3 platouri minipraji 10 persoane</t>
  </si>
  <si>
    <t>Sergiu Sandu - 0745974305</t>
  </si>
  <si>
    <t>40 x cutii de 4 briose + 1 platou de minipraji 10 persoane din partea Laurei</t>
  </si>
  <si>
    <t>factura intocmita pe Comrad Events</t>
  </si>
  <si>
    <t>ridica de la laborator sau ii livram. Vedem pe 1 dimineata</t>
  </si>
  <si>
    <t>Tort Citron 1Kg  || decorat ca pe site|| + platou minipraji de 10 persoane CUSTOM  (16 tarte cu ciocolata, 8 tarte lamaie, 16 choix fistic, 8 choix vanilie,  8 macarons fistic)</t>
  </si>
  <si>
    <t>0722998665</t>
  </si>
  <si>
    <t>Metropolitan (Amalia Gherghel)</t>
  </si>
  <si>
    <t>am intarziat</t>
  </si>
  <si>
    <t>1 x chocolate delight 1.25 kg</t>
  </si>
  <si>
    <t>+40 747 136 089</t>
  </si>
  <si>
    <t>"Factura pe numele meu si platesc prin virament"</t>
  </si>
  <si>
    <t>1 x cutie 6 briose, 1 x cutie 6 macarons cu foita aur, 1 x platou miniprajituri 5 persoane, 1 x platou cafea 10 persoane</t>
  </si>
  <si>
    <t>factura intocmita si plasata in comenzi 2/2</t>
  </si>
  <si>
    <t>Calea Grivitei 54</t>
  </si>
  <si>
    <t>20 X cutii 3 macarons cu snur de martisor</t>
  </si>
  <si>
    <t>+40 (768) 404 385‬</t>
  </si>
  <si>
    <t>Doru Traila</t>
  </si>
  <si>
    <t>sediu Lara Carol</t>
  </si>
  <si>
    <t>1 x platou 10 persoane + 1 cutie macarons 6 foita de aur + 1 cutie dedicata 6 briose</t>
  </si>
  <si>
    <t xml:space="preserve">Dan </t>
  </si>
  <si>
    <t>DSP - Pache Protopopescu 39, pentru Cristina Moculescu din partea Laurei Pop</t>
  </si>
  <si>
    <t>12:00-15:00</t>
  </si>
  <si>
    <t>Duo mousse cu visine 1,5Kg||ornat 1-8 martie</t>
  </si>
  <si>
    <r>
      <rPr>
        <b/>
        <sz val="11"/>
        <rFont val="Calibri"/>
        <family val="2"/>
        <charset val="1"/>
      </rPr>
      <t xml:space="preserve">1 pentru fete Alexandriei + 1 pentru fete Costescu </t>
    </r>
    <r>
      <rPr>
        <b/>
        <u/>
        <sz val="11"/>
        <rFont val="Calibri"/>
        <family val="2"/>
        <charset val="1"/>
      </rPr>
      <t>(LIVRARE DOMNUL APOSTOL)</t>
    </r>
  </si>
  <si>
    <t>2 x platouri miniprajituri 10 persone</t>
  </si>
  <si>
    <t xml:space="preserve"> factura LPV 2/2 - in comenzi</t>
  </si>
  <si>
    <t>factura la comanda 1 LAURA</t>
  </si>
  <si>
    <t>plata la comanda 1</t>
  </si>
  <si>
    <r>
      <rPr>
        <b/>
        <sz val="11"/>
        <rFont val="Calibri"/>
        <family val="2"/>
        <charset val="1"/>
      </rPr>
      <t xml:space="preserve">Bulevardul Coposu, Nr. 3, langa farmacia Dona </t>
    </r>
    <r>
      <rPr>
        <b/>
        <u/>
        <sz val="11"/>
        <rFont val="Calibri"/>
        <family val="2"/>
        <charset val="1"/>
      </rPr>
      <t>(LIVRARE DOMNUL APOSTOL)</t>
    </r>
  </si>
  <si>
    <t>3 torturi de 1,5 kg || fistic, miere, duo cu visine|| + 1 platou de 10 persoane cu prajituri cafea + 1 platou cu miniprajituri pt 10 persone</t>
  </si>
  <si>
    <t>‭(0726) 697 785</t>
  </si>
  <si>
    <t>Laura (Simina)</t>
  </si>
  <si>
    <t>facturaDot intocmita si plasata in comenzi</t>
  </si>
  <si>
    <t xml:space="preserve">DL APOSTOL
3 - Anamaria Ducuta
1- Mama Bogdan
1-Monica Bozienita- Ralcom
1-Vasilica Curatenie
2-Sandra Olanescu </t>
  </si>
  <si>
    <t>toata ziua</t>
  </si>
  <si>
    <t>8 platouri miniprajituri de 10 persoane</t>
  </si>
  <si>
    <t>20 % reducere fara brrrrrr</t>
  </si>
  <si>
    <t>Le ridica din Laborator</t>
  </si>
  <si>
    <t>1 kg tort Framboisier și 1 kg tort Noisette</t>
  </si>
  <si>
    <t>Vlad Margaritescu(LPV)</t>
  </si>
  <si>
    <t>Factura Life Med 3/3- in comenzi</t>
  </si>
  <si>
    <r>
      <rPr>
        <b/>
        <sz val="11"/>
        <rFont val="Calibri"/>
        <family val="2"/>
        <charset val="1"/>
      </rPr>
      <t>Sediu Lara Carol</t>
    </r>
    <r>
      <rPr>
        <b/>
        <u/>
        <sz val="11"/>
        <rFont val="Calibri"/>
        <family val="2"/>
        <charset val="1"/>
      </rPr>
      <t xml:space="preserve"> LIVRARE DOMNUL APOSTOL</t>
    </r>
  </si>
  <si>
    <t>1 platou miniprajituri 10 persoane + 1,25 KG Tiramisu raw vegan</t>
  </si>
  <si>
    <t>LIFCIU ACASA</t>
  </si>
  <si>
    <t>Factura Life Med 2/3 - in comenzi</t>
  </si>
  <si>
    <t>o cutie 30 macarons + o cutie cu 20 macarons + 3 platouri praji de 10 persoane</t>
  </si>
  <si>
    <t>Clinica Life Med (lificiu)</t>
  </si>
  <si>
    <t>factura pe LPV 1/2 -in comenzi</t>
  </si>
  <si>
    <t>10 platouri cu miniprajituri de 10 persoane + 10 vouchere</t>
  </si>
  <si>
    <t>in factura de mai sus</t>
  </si>
  <si>
    <t>Acasa la Borotea</t>
  </si>
  <si>
    <t>tort Citron de 2 kg + 1 platou miniprajituri 10 persoane + 20 mini choux cu fistic + 6 cutii cu 6 macarons foita de aur</t>
  </si>
  <si>
    <t>Adrian Borotea (Asociatia romana pentru Energie Eoliana)</t>
  </si>
  <si>
    <t>factura intocmita si trimisa la client cu comanda 1</t>
  </si>
  <si>
    <t>Sediul CEZ (Bulevardul Ion Ionescu de la Brad 2)</t>
  </si>
  <si>
    <t>30 de cutii cu 6 macarons, 2 platouri cu miniprajituri pentru 10 persoane. Martisoarele sunt pt Colege, 2 patouri sunt pt 2 directori Cez ( stie el)</t>
  </si>
  <si>
    <t>Verificare Telefonica</t>
  </si>
  <si>
    <t>am primit</t>
  </si>
  <si>
    <t>prajituri + tort</t>
  </si>
  <si>
    <t>Sotie Borotea</t>
  </si>
  <si>
    <t>cristina paveliu</t>
  </si>
  <si>
    <t>???? Miruna</t>
  </si>
  <si>
    <t>Nu am primit</t>
  </si>
  <si>
    <t>Cristina Mioara Feraru</t>
  </si>
  <si>
    <t>MPACT HUB, Splaiul Unirii 165, Timpuri Noi Square, Building 2, 1st Floor, Sala San Francisco</t>
  </si>
  <si>
    <t>factura intocmita General Promo</t>
  </si>
  <si>
    <t>Suzana Vasilachi (General Promo)</t>
  </si>
  <si>
    <t>Discount 12%+5% (Elisa Playground) cash cu bon</t>
  </si>
  <si>
    <t>nu stim cum sa incasam</t>
  </si>
  <si>
    <t>Tort tematica Unicorn 9Kg</t>
  </si>
  <si>
    <t>8 x torturi de 1,6 kg (2 x fistic +  2 x mousse cu visine + 2 x cafea+ 2 x Framboisier)</t>
  </si>
  <si>
    <t>1 x Tort Chocolate Delight 1,6 kg || La multi ani, Filip! + 1 platou praji
+ 1 Tort Duo mousse cu visine 1kg ||La multi ani Filip!</t>
  </si>
  <si>
    <t>factura intocmita(Afriso) + bon</t>
  </si>
  <si>
    <t>cash fara brrrrrr</t>
  </si>
  <si>
    <t>Cate un tort din fiecare (ce se poate cu accent pe cele cu ciocolata) + miniprajituri (neaparat tarte cu ciocolata) si ce se mai poate</t>
  </si>
  <si>
    <t>factura intocmita 1/4</t>
  </si>
  <si>
    <t>Nu am Primit</t>
  </si>
  <si>
    <t>lificiu 1771</t>
  </si>
  <si>
    <t>factura intocmita si plasata in comenzi 1/2</t>
  </si>
  <si>
    <t>20 X cutii 6 macarons cu snur de martisor+20x 3 macarons</t>
  </si>
  <si>
    <t>discount 50%, fara brrr</t>
  </si>
  <si>
    <t>Sediu LARA CAROL</t>
  </si>
  <si>
    <t>1 x platou Mini prajituri 5 persoane</t>
  </si>
  <si>
    <t>0769636976</t>
  </si>
  <si>
    <t>Tudor Carol</t>
  </si>
  <si>
    <t>nu am primit</t>
  </si>
  <si>
    <t>datorie…</t>
  </si>
  <si>
    <t>Tort Citron 1Kg  || "La mulți ani, Mădă și Roby!"</t>
  </si>
  <si>
    <t>cutie dedicata 6 briose + 6 macarons cu foita de aur</t>
  </si>
  <si>
    <t>factura intocmita si plasata in comenzi</t>
  </si>
  <si>
    <t>livrarile vor fi vineri(de completat)</t>
  </si>
  <si>
    <t>30 x (4 cutii briose primavara + 3 macarons in celofan strans cu snur alb/rosu)</t>
  </si>
  <si>
    <t>Siret 65 (de dus Tudor) trebuie sa tina pana dimineata cand vor fi daruite</t>
  </si>
  <si>
    <r>
      <rPr>
        <b/>
        <sz val="11"/>
        <rFont val="Calibri"/>
        <family val="2"/>
        <charset val="1"/>
      </rPr>
      <t xml:space="preserve">2 platouri de prajituri 5 persoane cu </t>
    </r>
    <r>
      <rPr>
        <b/>
        <u/>
        <sz val="11"/>
        <rFont val="Calibri"/>
        <family val="2"/>
        <charset val="1"/>
      </rPr>
      <t xml:space="preserve">macarons mixt </t>
    </r>
  </si>
  <si>
    <t>Str. Tudor Arghezi, nr. 28, etaj 4, Cabinet Doctor Rodica Tudor, din partea Laurei Pop</t>
  </si>
  <si>
    <r>
      <rPr>
        <b/>
        <sz val="11"/>
        <rFont val="Calibri"/>
        <family val="2"/>
        <charset val="1"/>
      </rPr>
      <t xml:space="preserve">Tort duo mousse cu visine ||1,5 kg ||cu decor ca pozele de 1-8 martie (ingrediente, flori, macarons) + o cutie de miniprajituri 5 persone cu </t>
    </r>
    <r>
      <rPr>
        <b/>
        <u/>
        <sz val="11"/>
        <rFont val="Calibri"/>
        <family val="2"/>
        <charset val="1"/>
      </rPr>
      <t xml:space="preserve">macarons mixt </t>
    </r>
  </si>
  <si>
    <t xml:space="preserve">24 cutii de cate 3 macarons simpli + 1 x platou miniprajituri 10 pers + 6 x cutie 6 macarons(2 zmeura, 2 fistic, 2 tonca) </t>
  </si>
  <si>
    <t>0726219695</t>
  </si>
  <si>
    <t>reducere 15 %(factura este trimisa catre el pe whatsapp)</t>
  </si>
  <si>
    <t>Sediul Bosh (Strada Horia Măcelariu 30-34)</t>
  </si>
  <si>
    <t>2 x cutii 30 macarons simple + 2 x cutii 20 macarons simple + 1 cutie 20 macarons cu foita de aur</t>
  </si>
  <si>
    <t>0724353212</t>
  </si>
  <si>
    <t>Adrian Balsanu (Buderus)</t>
  </si>
  <si>
    <t xml:space="preserve">1 platou miniprajituri 5 persoane </t>
  </si>
  <si>
    <t>Client Andreea</t>
  </si>
  <si>
    <t>fara bon(20% reducere)</t>
  </si>
  <si>
    <t>Le ridica Alex</t>
  </si>
  <si>
    <t>40 miniprajituri + 4Kg tort Noisette (decor vorbit cu Alex)</t>
  </si>
  <si>
    <t>0729011521</t>
  </si>
  <si>
    <t>Comanda Alex</t>
  </si>
  <si>
    <t>Cutie 50 mini-choux</t>
  </si>
  <si>
    <t>26-feb</t>
  </si>
  <si>
    <t>Fabrica de Chibrituri 9-11</t>
  </si>
  <si>
    <t>0761655892</t>
  </si>
  <si>
    <t>Miniprajituri secretara stat</t>
  </si>
  <si>
    <t>Strada Sevastopol nr. 9, Spitalul Sanador, Pentru domnul Conferentiar Teleanu Dan, din partea Laurei Pop, prieena domanei Dr. Craciunoiu</t>
  </si>
  <si>
    <t>1 x platou 10 persoane</t>
  </si>
  <si>
    <t>le livreaza claudiu si ioana</t>
  </si>
  <si>
    <t>1x platou fursecuri cafea; 1 x piramida macarons 4 etaje (caramel, zmeura, fistic, ciocolata); 2 x platou ieftin bites; 1 x platou 10 scump (macarons cu pralina in loc de caramel)</t>
  </si>
  <si>
    <t>Cristina Dragna</t>
  </si>
  <si>
    <t>21-feb</t>
  </si>
  <si>
    <t>diverse</t>
  </si>
  <si>
    <t>Nu stim cine e - domn de la poarta</t>
  </si>
  <si>
    <t>FACTURA  facuta si incasata</t>
  </si>
  <si>
    <t>Strada Caraiman 63, Sector 1</t>
  </si>
  <si>
    <t>1 x Duo Mousse  (2kg) + 2 x platouri miniprajituri 10 persoane</t>
  </si>
  <si>
    <t>0722286910</t>
  </si>
  <si>
    <t>Mihaela Danaila</t>
  </si>
  <si>
    <t>Biroul din Carol</t>
  </si>
  <si>
    <t>cutie x 6 macarons normal + cutie x 6 macarons foita</t>
  </si>
  <si>
    <t>Ana Maria LARA</t>
  </si>
  <si>
    <t>factura intocmita, de semnat impreuna cu restul doc</t>
  </si>
  <si>
    <r>
      <rPr>
        <b/>
        <sz val="11"/>
        <color rgb="FF000000"/>
        <rFont val="Calibri"/>
        <family val="2"/>
        <charset val="1"/>
      </rPr>
      <t xml:space="preserve">20 cutii cu 6 macarons diferite, 2 platouri de 10 persoane cu miniprajituri, 30 minichox (15 x choux fistic, 5 x choux ciocolata, 5 x choux cafea, 5 x choux vanilie) + </t>
    </r>
    <r>
      <rPr>
        <b/>
        <u/>
        <sz val="11"/>
        <color rgb="FF000000"/>
        <rFont val="Calibri"/>
        <family val="2"/>
        <charset val="1"/>
      </rPr>
      <t>50 de vouchere</t>
    </r>
  </si>
  <si>
    <t xml:space="preserve">Adrian Borotea </t>
  </si>
  <si>
    <t>Str. Ion Agarbiceanu, nr. 3-11, Bl.A, etaj 4, ap 39, interfon 39 (Complex Evocasa Armona)</t>
  </si>
  <si>
    <t>Tort Opera 1,25 Kg || "La multi ani, Cristi!"</t>
  </si>
  <si>
    <t>0731031151</t>
  </si>
  <si>
    <t>RuxandraRadu</t>
  </si>
  <si>
    <t>Sediua LARA CAROL</t>
  </si>
  <si>
    <t>Frambosier de 15 persoane(2Kg)</t>
  </si>
  <si>
    <t>Tort pentru Dnul Apostol</t>
  </si>
  <si>
    <t>Sediu LARA CAROL0L</t>
  </si>
  <si>
    <t>Cutie cu 25 macarons foita aur (variantele pe care le-am stabilit) + 25 choux toate variantele. Sa fie cat sa intre frumos in cutie (pot fi si mai putine)</t>
  </si>
  <si>
    <t>factura ulterioara cu comanda din 01 Martie Life Med 1/3 - in comenzi</t>
  </si>
  <si>
    <t>Clinica LifeMed(Plugarilor 18)</t>
  </si>
  <si>
    <t>20 macarons + 20 minitarte (caramel + fructe) + 20 minichox fistic + 20 minichesecake + platou cafea 10 persone</t>
  </si>
  <si>
    <t>0726200527</t>
  </si>
  <si>
    <t>Lificiu</t>
  </si>
  <si>
    <t>Alexandru Obregia, nr. 8, bl.OD2, scara 5, etaj 2</t>
  </si>
  <si>
    <t>1,5 kg tort ciocolata fructe padure + 10 macarons</t>
  </si>
  <si>
    <t>0721550801</t>
  </si>
  <si>
    <t>Andreea Pieptea</t>
  </si>
  <si>
    <t>o ridica de la laborator</t>
  </si>
  <si>
    <t>5 tarte caramel + 10 pavlova + 10 choux diverse</t>
  </si>
  <si>
    <t>0784883664</t>
  </si>
  <si>
    <t>Mocanu Raluca</t>
  </si>
  <si>
    <t>Kiddo play academy Baneasa, Baneasa Shopping City</t>
  </si>
  <si>
    <r>
      <rPr>
        <b/>
        <sz val="11"/>
        <color rgb="FF000000"/>
        <rFont val="Calibri"/>
        <family val="2"/>
        <charset val="1"/>
      </rPr>
      <t xml:space="preserve">Tort trio mouse - 3 tipuri ciocolata 3.5 kg, personalizare: o inima mare rosie pasta de zahar </t>
    </r>
    <r>
      <rPr>
        <b/>
        <u/>
        <sz val="11"/>
        <color rgb="FF000000"/>
        <rFont val="Calibri"/>
        <family val="2"/>
        <charset val="1"/>
      </rPr>
      <t>"Acoperit in alb"</t>
    </r>
    <r>
      <rPr>
        <b/>
        <sz val="11"/>
        <color rgb="FF000000"/>
        <rFont val="Calibri"/>
        <family val="2"/>
        <charset val="1"/>
      </rPr>
      <t xml:space="preserve"> cu "Love" inauntru si sub ea scris "La Multi Ani, Andreea!"</t>
    </r>
  </si>
  <si>
    <t>0723193690</t>
  </si>
  <si>
    <t>Diaconu Simona</t>
  </si>
  <si>
    <t>factura pe Comrad Events, plata cash (comanda asta plus cea trecuta 200 RON) total factura 655 lei</t>
  </si>
  <si>
    <t>tort 3.5 kg minion || banana, ciocolata alba &amp; vanilie || Platou 20 persoane miniprajituri (DIN PARTEA LARA SWEETS)</t>
  </si>
  <si>
    <t>cash la livrare</t>
  </si>
  <si>
    <t>700(300)</t>
  </si>
  <si>
    <t>Tort Minecraft 2 - 7Kg || compozitie OREO||" La multi ani, Matei" 10 Ani || sa pui si aici cateva figurine din Minecraft</t>
  </si>
  <si>
    <t>0744528727</t>
  </si>
  <si>
    <t>Daniela Stere</t>
  </si>
  <si>
    <t>La Laborator - Tudor</t>
  </si>
  <si>
    <t>Degustare nunta</t>
  </si>
  <si>
    <t>Degustare Tudor</t>
  </si>
  <si>
    <t>La locatia Simfonia - Miruna</t>
  </si>
  <si>
    <t>Degustarea Simfonia (Maria)</t>
  </si>
  <si>
    <t>La locatia Simfonia -Miruna</t>
  </si>
  <si>
    <t>Degustare botez</t>
  </si>
  <si>
    <t>degustare produse candy bar</t>
  </si>
  <si>
    <t>075577789</t>
  </si>
  <si>
    <t xml:space="preserve">Navaro </t>
  </si>
  <si>
    <t>degustare mini prajituri</t>
  </si>
  <si>
    <t>soiree</t>
  </si>
  <si>
    <t>22-feb</t>
  </si>
  <si>
    <t>10% reducere (cash cu bon)</t>
  </si>
  <si>
    <t>Aleea Privighetorilor 85 (la gradina zoologica)</t>
  </si>
  <si>
    <t>11:00 - 15:00</t>
  </si>
  <si>
    <t>mini tarta delight 20 buc; mini choux 20 buc; mousse mignon 10 buc; mini pavlova 10 buc</t>
  </si>
  <si>
    <t>0724212329</t>
  </si>
  <si>
    <t>Catalina Danila (de la Simina)</t>
  </si>
  <si>
    <t>Achitat</t>
  </si>
  <si>
    <t>Ne suna vineri sa ne spuna unde ne vedem</t>
  </si>
  <si>
    <t>1.25 x tort noisette || " La mulți ani, Lissa!"</t>
  </si>
  <si>
    <t>stefana.ungureanuu@yahoo.com</t>
  </si>
  <si>
    <t xml:space="preserve">
0743492169</t>
  </si>
  <si>
    <t>Stefana Ungureanu</t>
  </si>
  <si>
    <t xml:space="preserve">ridica de la laborator </t>
  </si>
  <si>
    <t>Oreo 2 kg|| fara pasta de zahar dar decorat cat mai fumos + figura StarWars  si "La multi ani, Matei" 7 ani</t>
  </si>
  <si>
    <t>Ridica domnul apostol de la laborator</t>
  </si>
  <si>
    <t>15 x mini choux fistic, 30 x macarons, 15 x pavlova || 1 x tort fistic (design ca cel vechi - de intrebat TUDOR) 1 kg || 1 x tort honey 2k cu "La Multi Ani, Sandra"</t>
  </si>
  <si>
    <t>Tort Fortnite - 4Kg || compozitie Oreo, "La multi ani, Luca" cifra 9 sau scris 9 ani + lumanare cu cifra 9</t>
  </si>
  <si>
    <t>0723347742</t>
  </si>
  <si>
    <t>LaserTag(Baboi Monica)</t>
  </si>
  <si>
    <t>Factura - Tudor</t>
  </si>
  <si>
    <t>Strada Zepelinului nr 24Gradinita Paintbrush  din Corbeanca</t>
  </si>
  <si>
    <t>SEARCH E-MAIL : "comanda BLUPARTY #1"</t>
  </si>
  <si>
    <t>0786036092</t>
  </si>
  <si>
    <t>BLU PARTY</t>
  </si>
  <si>
    <t>pentru clientii lui</t>
  </si>
  <si>
    <t>Degustare mini-prajituri</t>
  </si>
  <si>
    <t>draghescu</t>
  </si>
  <si>
    <t>Str. Plesul 32, sector 6</t>
  </si>
  <si>
    <t>Tort Opera,1.8 kg text YOU!!! Yes you! You're simply the best!(60 ani barbat roker)</t>
  </si>
  <si>
    <t>0721109526</t>
  </si>
  <si>
    <t>Eugenia Isvan</t>
  </si>
  <si>
    <t>Nerva Traian nr. 3, etaj 2, Pharmafarm</t>
  </si>
  <si>
    <t>Intre 9 si 15:00</t>
  </si>
  <si>
    <t>12 miniprajituri(2buc x 6 sortimente) + 6 macarons (2 buc x 3 sortimente)</t>
  </si>
  <si>
    <t>????????</t>
  </si>
  <si>
    <t>Adela Petcu (Pharmafarm)</t>
  </si>
  <si>
    <t>le ridica de la laborator</t>
  </si>
  <si>
    <t>1 kg mini prajituri mix</t>
  </si>
  <si>
    <t>Domn Mobilier</t>
  </si>
  <si>
    <t>Pitari Hristache, Nr 40</t>
  </si>
  <si>
    <t>De sunat si programat maine dimineata</t>
  </si>
  <si>
    <t>20 macarons alesi pe muchie si 20 miniprajituri</t>
  </si>
  <si>
    <t>0722352921</t>
  </si>
  <si>
    <t>Degustare Loredana Visa(VO Comunications)</t>
  </si>
  <si>
    <r>
      <rPr>
        <b/>
        <sz val="11"/>
        <color rgb="FF000000"/>
        <rFont val="Calibri"/>
        <family val="2"/>
        <charset val="1"/>
      </rPr>
      <t xml:space="preserve">5 x torturi simple cu decor (variantele curente de compozitii) </t>
    </r>
    <r>
      <rPr>
        <sz val="11"/>
        <color theme="1"/>
        <rFont val="Calibri"/>
        <family val="2"/>
        <scheme val="minor"/>
      </rPr>
      <t xml:space="preserve">+ </t>
    </r>
    <r>
      <rPr>
        <b/>
        <sz val="11"/>
        <color rgb="FF000000"/>
        <rFont val="Calibri"/>
        <family val="2"/>
        <charset val="1"/>
      </rPr>
      <t>3 x 6 macarons foita aur (galben, roz, alb)</t>
    </r>
    <r>
      <rPr>
        <sz val="11"/>
        <color theme="1"/>
        <rFont val="Calibri"/>
        <family val="2"/>
        <scheme val="minor"/>
      </rPr>
      <t xml:space="preserve"> +</t>
    </r>
    <r>
      <rPr>
        <b/>
        <sz val="11"/>
        <color rgb="FF000000"/>
        <rFont val="Calibri"/>
        <family val="2"/>
        <charset val="1"/>
      </rPr>
      <t xml:space="preserve"> 10 x cookie ciocolata + tarta ciocolata + tarta gem</t>
    </r>
  </si>
  <si>
    <t>Photoshoot 2</t>
  </si>
  <si>
    <t>clasic+rawvegan</t>
  </si>
  <si>
    <t>0732806011</t>
  </si>
  <si>
    <t>Restaurat Bulevard</t>
  </si>
  <si>
    <t>cutie mini prajituri</t>
  </si>
  <si>
    <t>Strada armeneasca 33</t>
  </si>
  <si>
    <t>6 x minipavlova, 6x macaron mix, 6 x tarta fructe, 6 x mini cofee cake, 6 x tarta caramel &amp; ciocolata, 6 x mini choux</t>
  </si>
  <si>
    <t>0729997449</t>
  </si>
  <si>
    <t>Dupa 14</t>
  </si>
  <si>
    <t>cutie mini prajituri, cutie torturi, cutie raw vegan</t>
  </si>
  <si>
    <t>0726697997</t>
  </si>
  <si>
    <t>Step up Events</t>
  </si>
  <si>
    <t>teatru national tudor arghezi nr 12 sala studio</t>
  </si>
  <si>
    <t>0728983960</t>
  </si>
  <si>
    <t>Embassy Park</t>
  </si>
  <si>
    <t>Str. Fetesti nr. 5, bl. H27, Sc B, Ap 18, interfon 218</t>
  </si>
  <si>
    <t>1Kg Rasberry Love + 6 minitarta lemon pie + 6 mini pavlova + 6 mini choux, + 6 (ce mai ai din restul ca miniprajituri ca degustare) si ceva raw vegan tot ca degustare.</t>
  </si>
  <si>
    <t>0751111039 sau 0751111585</t>
  </si>
  <si>
    <t xml:space="preserve">Anca </t>
  </si>
  <si>
    <t>3 Kg Minecraft 1 etaj imbracat pasta zahar mai simplu cu cateva figurine|| berry chocolate || "La multi ani, Mihnea! 10 ani"</t>
  </si>
  <si>
    <t>froamboasier 8kg, 3 etaje cu figurine minecraft fara a fi imbracat in pasta zahar|| "La multi ani Cosmin, 7 ani"</t>
  </si>
  <si>
    <t>olguta@gmail.com</t>
  </si>
  <si>
    <t>0721250525</t>
  </si>
  <si>
    <t>Lasertag (Olguta Orzan)</t>
  </si>
  <si>
    <t>cash far bon</t>
  </si>
  <si>
    <t>Bistro 37-39, Str Basarabia 37-39</t>
  </si>
  <si>
    <t xml:space="preserve">Tort Hello Kitty 3.3 Kg||Berry Chocolate|| "Valentina 4 ani" (scrisul cum vrem noi) </t>
  </si>
  <si>
    <t>0723672214</t>
  </si>
  <si>
    <t>Cati</t>
  </si>
  <si>
    <t>1 x tort Raw-Vegan Cheese Cake &amp; Zmeura + 1 x Tort Raw-Vegan Tiramisu || 1 x Duo mousse ciocolata cu visine + 1 x Tort cu foi de nuci, crema de cafea si ciocolata || 12 briose (cate 2 din fiecare model) ||                                      10 x pavlova
10 x choux fistic
10 x tarta ciocolata
10 x tarta lamaie
10 x tarta fructe
10 x mini cheese cake
10 x mini straciatella
10 x mini carrot cake
10 x mini raspberry vanilla                                                                                                                                     50 macarons mix  (inclusiv cele 3 variante cu foita aur separat)||                                                                                     10 x mini tarta gem (felie tarta gem)                                                                                                   10 x fursec alune                                                                                                       10 x cookie afine                                                                                                          10 x mini negresa                                                                                                         10 x cantucci                                                                                                               10 x mini tarta ciocolata (felie tarta ciocolata) ||                                                 5 x tor decorat 5 compozitii nunta (cele curente)</t>
  </si>
  <si>
    <t>Produse 1-8 Martie (SEDINTA FOTO)</t>
  </si>
  <si>
    <r>
      <rPr>
        <sz val="11"/>
        <color theme="1"/>
        <rFont val="Calibri"/>
        <family val="2"/>
        <scheme val="minor"/>
      </rPr>
      <t xml:space="preserve">1 x felie de tort decorata din feicare compozitie + platou minipraji (2x choux fistic, 2 x tarte caramel, 2 x pavlova, 2 x macarons caramel, 2 x macarons vanilie, 2 x mini cheese cake, 2 x macaron fructe) - </t>
    </r>
    <r>
      <rPr>
        <b/>
        <sz val="11"/>
        <color rgb="FF000000"/>
        <rFont val="Calibri"/>
        <family val="2"/>
        <charset val="1"/>
      </rPr>
      <t xml:space="preserve">SUNT PATRU DEGUSTARI. </t>
    </r>
    <r>
      <rPr>
        <sz val="11"/>
        <color theme="1"/>
        <rFont val="Calibri"/>
        <family val="2"/>
        <scheme val="minor"/>
      </rPr>
      <t>TOTUL X4</t>
    </r>
  </si>
  <si>
    <t>4 x Degustare Simfonia</t>
  </si>
  <si>
    <t>B-dul. Nicolae Grigorescu nr. 2</t>
  </si>
  <si>
    <t>Tort de 3kg, invelit in martipan si cu umplutura bailey’s. Ornament cu Mario || David || 5 ani</t>
  </si>
  <si>
    <t xml:space="preserve">0723 165 399 </t>
  </si>
  <si>
    <t>Oachi Party (Elena Dobre)</t>
  </si>
  <si>
    <t xml:space="preserve">10 % reducere client fidel, </t>
  </si>
  <si>
    <t>(Str Viitorului, nr 24 E, Roșu, Chiajna, România 052826) ?????</t>
  </si>
  <si>
    <t>Tort Opera 1,5 Kg  || La multi ani, Dragos</t>
  </si>
  <si>
    <t>30 % reducere / conta - Achitat</t>
  </si>
  <si>
    <t xml:space="preserve">Str. Drumul Taberei 134, Bl. 713, Sc. A Et 10 </t>
  </si>
  <si>
    <t>pana in 16:00 cand vrem noi</t>
  </si>
  <si>
    <t>Tort Opera 1,5Kg || ”TATI, Te iubim”</t>
  </si>
  <si>
    <t>office@larasistem.ro</t>
  </si>
  <si>
    <t>0732747836</t>
  </si>
  <si>
    <t>Elena Badea</t>
  </si>
  <si>
    <t>prima locatie simfonia</t>
  </si>
  <si>
    <r>
      <rPr>
        <sz val="11"/>
        <color theme="1"/>
        <rFont val="Calibri"/>
        <family val="2"/>
        <scheme val="minor"/>
      </rPr>
      <t xml:space="preserve">1 x felie de tort decorata din feicare compozitie + platou minipraji (2x choux fistic, 2 x tarte caramel, 2 x pavlova, 2 x macarons caramel, 2 x macarons vanilie, 2 x mini cheese cake, 2 x macaron fructe) - </t>
    </r>
    <r>
      <rPr>
        <b/>
        <sz val="11"/>
        <color rgb="FF000000"/>
        <rFont val="Calibri"/>
        <family val="2"/>
        <charset val="1"/>
      </rPr>
      <t xml:space="preserve">SUNT DOUA DEGUSTARI. </t>
    </r>
    <r>
      <rPr>
        <sz val="11"/>
        <color theme="1"/>
        <rFont val="Calibri"/>
        <family val="2"/>
        <scheme val="minor"/>
      </rPr>
      <t>TOTUL X2</t>
    </r>
  </si>
  <si>
    <t>2 x Degustare Simfonia</t>
  </si>
  <si>
    <t>Tort Opera 1,5Kg</t>
  </si>
  <si>
    <t>Simona conta</t>
  </si>
  <si>
    <t>Spitalul Universitar de Urgenta Bucuresti(eroilor), de sunat cand ajungem acolo</t>
  </si>
  <si>
    <t>Degustare (torturi si miniprajituri Clasice) 2 cutii mari</t>
  </si>
  <si>
    <t>(Adina Craciunoiu) Laura Pop</t>
  </si>
  <si>
    <t>Pipera</t>
  </si>
  <si>
    <t xml:space="preserve">macarons 
minichoux mai mici, cat tartele
cupcakes cele mai mici
biscuiti personalizati cu decor nunta/botez
mini pavlova
panetone cu ciocolata, gaura pe mijloc si decor fructe
bezele pe bat 
minitarte 3 sortimente
miniprajituri 3 sortimente
pahare mousse
marshmellows pe bat cu decor
cakepops
</t>
  </si>
  <si>
    <t>0723597512</t>
  </si>
  <si>
    <t>Degustare Metropolitan</t>
  </si>
  <si>
    <t>din partea casei pentru ca Opera trimisa cu eroii in pijamale a fost tare</t>
  </si>
  <si>
    <t>Sos Oltenitei, 22, bloc 4A</t>
  </si>
  <si>
    <t xml:space="preserve">Tort Opera 1 Kg </t>
  </si>
  <si>
    <t>iulianaradulescu@hotmail.co.uk</t>
  </si>
  <si>
    <t>0765 445 486</t>
  </si>
  <si>
    <t>Iuliana Murariu</t>
  </si>
  <si>
    <t>NiKo Palace Piata Romana (Nicolae Iorga nr.19
Bucuresti, România 050374)</t>
  </si>
  <si>
    <t>1 x chocolate passion + 1 x raw vegan delight</t>
  </si>
  <si>
    <t>andupandu24@yahoo.com</t>
  </si>
  <si>
    <t>0774421063</t>
  </si>
  <si>
    <t>Geanina Anda Ilie</t>
  </si>
  <si>
    <t>cash</t>
  </si>
  <si>
    <t>Ridica personal din Laborator</t>
  </si>
  <si>
    <t xml:space="preserve">1 x raspberry love </t>
  </si>
  <si>
    <t>0724688055</t>
  </si>
  <si>
    <t>Matei Basarab 16, Ilfov, Voluntari</t>
  </si>
  <si>
    <t>1 x raspberry love (85 ron + 20 ron livrarea)</t>
  </si>
  <si>
    <t>rothsteinmiriams@gmail.com</t>
  </si>
  <si>
    <t>0734573272</t>
  </si>
  <si>
    <t>Miriam Sasu</t>
  </si>
  <si>
    <t>3.5 kg tort ciocolata cu lapte</t>
  </si>
  <si>
    <t>Mirela</t>
  </si>
  <si>
    <t>cash cu bon - Achitat</t>
  </si>
  <si>
    <t>inima Raspberry Love 1Kg + Inima Chocolate Passion 1kg</t>
  </si>
  <si>
    <t>0744632078</t>
  </si>
  <si>
    <t>Petrescu Laurentiu</t>
  </si>
  <si>
    <t>cash fara bon(-10%) - Achitat</t>
  </si>
  <si>
    <t>inima Raspberry Love 1Kg</t>
  </si>
  <si>
    <t>Prieten Anamaria</t>
  </si>
  <si>
    <t>cash fara bon(-50%) - Achitat</t>
  </si>
  <si>
    <t>cash fara bon(-10%)</t>
  </si>
  <si>
    <t xml:space="preserve">10 macarons(3 dark chocolate, 3 fistic, 2 tonka, 2 zmeura) + un platou raw vegan valentines day (cele 8 bucati) </t>
  </si>
  <si>
    <t>0762471189</t>
  </si>
  <si>
    <t>Florica Oana</t>
  </si>
  <si>
    <t>Anamaria de la conta</t>
  </si>
  <si>
    <t>str. Stefan Mihaileanu 40 B, sector 2 (300 RON cu 10% discount)</t>
  </si>
  <si>
    <t>Tort Masinute Cifre || Berry Chocolate||3 kg|| "La multi ani, Marc!"|| + PE TORT SA FIE CIFRA 1 !!!( MINIMUL DE ZAHAR POSIBIL PENTRU COMPOZITIE)</t>
  </si>
  <si>
    <t>nalmaj@yahoo.com</t>
  </si>
  <si>
    <t>0728875686</t>
  </si>
  <si>
    <t>Nicoleta Almaj</t>
  </si>
  <si>
    <t>O ridica ea de la laborator!</t>
  </si>
  <si>
    <t>Inima Raspberry Love</t>
  </si>
  <si>
    <t>biamidan@yahoo.com</t>
  </si>
  <si>
    <t xml:space="preserve">Calea Floreasca 169A, clădirea B, etaj 6, Bucuresti </t>
  </si>
  <si>
    <t>1 x Tort Raw-Vegan Cheese Cake &amp; Zmeura + 1 x Tort Raw-Vegan Tiramisu</t>
  </si>
  <si>
    <t>mateidianamaria@gmail.com</t>
  </si>
  <si>
    <t>+40722216898</t>
  </si>
  <si>
    <t>Diana Matei</t>
  </si>
  <si>
    <t>factura cu Plata prin Banca</t>
  </si>
  <si>
    <t>Gradinita Tiny Toes, strada Raspantiilor 15</t>
  </si>
  <si>
    <t xml:space="preserve">2.5 KG|| La Multi Ani, Luiza|| Lumanare Cifra 4 || Mousse Miere cu Vanilie si Zmeura || Baby Friendy  fara zahar </t>
  </si>
  <si>
    <t>ralucamariahrisca@gmail.com</t>
  </si>
  <si>
    <t>+40 (746) 965 187</t>
  </si>
  <si>
    <t>Raluca Maria Hrisca</t>
  </si>
  <si>
    <t>Eugen Lovinescu 14, sediu GBC</t>
  </si>
  <si>
    <t>Mix mini prajituri (choux-uri, tarte fructe)</t>
  </si>
  <si>
    <t>0760677994</t>
  </si>
  <si>
    <t>Laurentiu GBC</t>
  </si>
  <si>
    <t>Str. Ferme F nr. 15, Otopeni</t>
  </si>
  <si>
    <t>0721257165</t>
  </si>
  <si>
    <t>La Seratta (Irina Ropcea)</t>
  </si>
  <si>
    <t>la 10 trebuie sa plece mini prajiturile, la 16-18 sa ajunga torturile feliate || 105 RON praji|| 55 RON tort</t>
  </si>
  <si>
    <t>21 kg mini prajituri (macarons, choux, pavlova, tarte, cheesecake stracciatella) 36 kg tort (duo mousse, mousse ricotta, mousse cioc neagra cafea caramel)</t>
  </si>
  <si>
    <t>Eveniment Soiree</t>
  </si>
  <si>
    <t>Institutul Nicolae Iorga, str. Aviatorilor nr. 1</t>
  </si>
  <si>
    <t>30 min pavlova, 30 mini choux, 30 tarte caramel</t>
  </si>
  <si>
    <t>0722669992</t>
  </si>
  <si>
    <t>Rosemarie Olanescu</t>
  </si>
  <si>
    <t>Cutie mica se inmaneaza mamicii cu complimente din partea cofetariei</t>
  </si>
  <si>
    <t>Framboisier ornat frumos, 2.5 kg, || "La Multi Ani, Sabina!" + cutie mica monoportie opera</t>
  </si>
  <si>
    <t>0755156752</t>
  </si>
  <si>
    <t>Lasertag</t>
  </si>
  <si>
    <t>Șoseaua Pantelimon 300</t>
  </si>
  <si>
    <t>135 de miniprajituri ca cele de la degustare (choux, pavlove, macarons, tarte)</t>
  </si>
  <si>
    <t>contact@animatiecopii.ro</t>
  </si>
  <si>
    <t>0773358336</t>
  </si>
  <si>
    <t>Clubul Copiilor Pantelimon(Alina Butnaru)</t>
  </si>
  <si>
    <t>Splaiul Unirii, nr 45., bl. M15, sc. C, ap 96, etaj 7, interfon 96</t>
  </si>
  <si>
    <t>20 x mini pavlova, 30 x macarons mix, 30 x mini choux fistic +  degustare torturi clasice+  cutie  mare produse vegane (toruri/miniprajituri)</t>
  </si>
  <si>
    <t>0723669933</t>
  </si>
  <si>
    <t>Cash - 260 cu discount 50%</t>
  </si>
  <si>
    <t>Pe giulesti ("Stie Alex" - Andreea</t>
  </si>
  <si>
    <t>2 kg || OREO || Tort cu Figurina PUG || "La Multi Ani,Remus!", " Mr. Pug loves you" (stie Andreea)</t>
  </si>
  <si>
    <t>strada secuilor nr. 7 bl b31, sc 1, et 3 ap 10</t>
  </si>
  <si>
    <t>Tort Ciocolata Fructe de Padure, 2kg (15 pers), décorat finut || "La Multi Ani, Dragos"</t>
  </si>
  <si>
    <t>0722248361</t>
  </si>
  <si>
    <t>Iulia Stanculescu (Miruna Stoiu)</t>
  </si>
  <si>
    <t>pipera+conformitate+email</t>
  </si>
  <si>
    <t>degustare soiree</t>
  </si>
  <si>
    <t>Sediu Lara Carol(neaparat la 11)</t>
  </si>
  <si>
    <t>o cutie mini praji normale si o cutie mica raw veg (fara torturi doar miniprajituri)</t>
  </si>
  <si>
    <t>Degustare Dan (Grigorescu cladiri birouri)</t>
  </si>
  <si>
    <t>Livrare in Birou Carol</t>
  </si>
  <si>
    <t>"Tort Fistic ca cel de pe 25 ianuarie" - de sunat simi</t>
  </si>
  <si>
    <t>au petreceri acolo pana la 21 si sunt acolo, Adresa: Bulevardul Pipera 43, Voluntari</t>
  </si>
  <si>
    <t>cutie torturi (raw + normale) +mini prajituri</t>
  </si>
  <si>
    <t xml:space="preserve">0766 572 950 </t>
  </si>
  <si>
    <t xml:space="preserve">degustare Kokoss </t>
  </si>
  <si>
    <t>Abonament</t>
  </si>
  <si>
    <t>Strada Siret, 65</t>
  </si>
  <si>
    <t>18 mini-prajituri, selectia Andreei</t>
  </si>
  <si>
    <t>liviu.radacineanu@ralcom.ro</t>
  </si>
  <si>
    <t>Abonament - Radacineanu</t>
  </si>
  <si>
    <t>Total Euro</t>
  </si>
  <si>
    <t>pipera</t>
  </si>
  <si>
    <t>Torturi nunta si mini prajituri +machete</t>
  </si>
  <si>
    <t xml:space="preserve">- </t>
  </si>
  <si>
    <t>Degustare SIMFONIA</t>
  </si>
  <si>
    <t>achitat</t>
  </si>
  <si>
    <t>Hotelul Ibis, Gara de Nord, Camera 625. Se lasa la receptie pentru a fi dusa Staretilor de la Putna. CERTIFICAT DE CONFORMITATE NEAPARAT</t>
  </si>
  <si>
    <t>ATENTIE LA ASEZARE PLS: degustare clasic+raw vegan (praji + torturi)</t>
  </si>
  <si>
    <t>Tudor Radacineanu</t>
  </si>
  <si>
    <t>Calea Rahovei , nr 266-268 , Corp 3,et 1, Sect 5, in Electromagnetica GTS Solution</t>
  </si>
  <si>
    <t>degustare clasiv + raw vegan</t>
  </si>
  <si>
    <t>(0721) 211 950 || 0723246767</t>
  </si>
  <si>
    <t>Roxana Focsa (Laura Pop)</t>
  </si>
  <si>
    <t>Calea Grivitei 148, Scara A, et 5, ap 23, interfon 23C, || intrarea pe Iacob Neggruzi vis-à-vis de muzeul CFR</t>
  </si>
  <si>
    <t>(0761) 332 235 || 0723246767</t>
  </si>
  <si>
    <t>Doamna Dr. Pantis (Laura Pop)</t>
  </si>
  <si>
    <t xml:space="preserve">2 kg Tort Citron  cu "La Multi Ani, Rose" || platou raw vegan 15 pers || platou prajiutir clasice 15 Pers </t>
  </si>
  <si>
    <t>mini praji normale si raw veg</t>
  </si>
  <si>
    <t>degustare dan introdusa de andreea pe 5</t>
  </si>
  <si>
    <t>Intrarea Potcoavei, 71D, Voluntari, Intrarea de la Zoo,din Aleea privighetorilor</t>
  </si>
  <si>
    <t>Degustare (clasic+vegan)</t>
  </si>
  <si>
    <t>(0722) 683 449|| 0723246767</t>
  </si>
  <si>
    <t>Dr Sandru Angela</t>
  </si>
  <si>
    <t>3 cutii miniprajituri clasice in foita- 8 praji in fiecare</t>
  </si>
  <si>
    <t>Suma EURO</t>
  </si>
  <si>
    <t>Perioada</t>
  </si>
  <si>
    <t>8 cozonaci (4 fructe, 4 nuca) + 500 trufe vegane</t>
  </si>
  <si>
    <t>Simina + degustare Dan Florea</t>
  </si>
  <si>
    <t>1-jan</t>
  </si>
  <si>
    <t>bon, cash la livrare</t>
  </si>
  <si>
    <t>Tort Opera 2 Kg + print Eroii in pijamale</t>
  </si>
  <si>
    <t>ridica ei de la laborator</t>
  </si>
  <si>
    <t>cutie mix mini prajituri pentru degustare/cadou LPV</t>
  </si>
  <si>
    <t>LPV PRAJITURI FETE</t>
  </si>
  <si>
    <t>31-jan</t>
  </si>
  <si>
    <t>Torturi nunta+mini prajituri</t>
  </si>
  <si>
    <t>degustare Soiree</t>
  </si>
  <si>
    <t>30-jan</t>
  </si>
  <si>
    <t>Băneasa Shopping City</t>
  </si>
  <si>
    <t xml:space="preserve">0749 161 606 </t>
  </si>
  <si>
    <t xml:space="preserve">Degustare Dan - Kiddo Play Academy   </t>
  </si>
  <si>
    <t>NECONFIRMATE Dan</t>
  </si>
  <si>
    <t>NECONFIRMATE Andreea</t>
  </si>
  <si>
    <t>Str. Traian Popovici 77, Zona Piata Alba-Iulia - Dudesti</t>
  </si>
  <si>
    <t>0723 601 371</t>
  </si>
  <si>
    <t xml:space="preserve">Degustare Dan - Fit Fun Kids  </t>
  </si>
  <si>
    <t>Confirmare Degustare</t>
  </si>
  <si>
    <t>Confirmare Comanda</t>
  </si>
  <si>
    <t>Mentiuni</t>
  </si>
  <si>
    <t>Ora Livrarii</t>
  </si>
  <si>
    <t>Plata cash, + certificat conformitate</t>
  </si>
  <si>
    <t>Shambala - Strada Montreal, Nr 10 || 0726059402 (va sun cu livrare din partea mirunei)</t>
  </si>
  <si>
    <t>31 jan</t>
  </si>
  <si>
    <t>2.7 kg tort opera || " La Multi Ani, Ioana!" + 20 x choux fistic, 15 pavlova, 15 tarte ciocolata, 15 tarte fructe, macarons</t>
  </si>
  <si>
    <t>Client Miruna</t>
  </si>
  <si>
    <t>le ridica tudor de la laborator</t>
  </si>
  <si>
    <t xml:space="preserve">Degustare Tudor </t>
  </si>
  <si>
    <t>Strate Gheorghe Titeica 178 || 10:00 || Achitat|| Cabinet Doctor Diana Artene (0723246767), (0722330982)</t>
  </si>
  <si>
    <t>Cutie Torturi (Raw + Normale), Cutie Minipraji Normale, Cutie Praji Vegane + lista produse si ingrediente</t>
  </si>
  <si>
    <t>Cabinet Nutritie (Pop Laura)</t>
  </si>
  <si>
    <t>Plata Cash</t>
  </si>
  <si>
    <t>Str Viitorului, nr 24 E, Roșu, Chiajna, România 052826 ||0728838193 ||corina.fgheorghe@yahoo.com</t>
  </si>
  <si>
    <t>31 ian</t>
  </si>
  <si>
    <t>3kg Tort bailey's || "La Multi Ani!" cu trandafiri galbeni si mov si stetoscop alb cu negru</t>
  </si>
  <si>
    <t>Strada Siret, nr 65, 0723246767</t>
  </si>
  <si>
    <t>30jan</t>
  </si>
  <si>
    <t>Degustare Raw Vegan (torturi + prajituri)|| cutii frumoasa + lista produse</t>
  </si>
  <si>
    <t>Sediu Lara Corol (Strada Vasile Lascăr 171, Sector 2, Bucureşti, 0722 722 790 – Carmen)</t>
  </si>
  <si>
    <t>29 jan</t>
  </si>
  <si>
    <t xml:space="preserve">Degustare Dan - Enjoy Party  </t>
  </si>
  <si>
    <t>Sediu Lara Corol (Calea Vitan 289, Bucuresti, 0770 295 068 – Rosioru Marilena)</t>
  </si>
  <si>
    <t>Degustare Dan - Joy4all</t>
  </si>
  <si>
    <t>Sediu Lara Corol (Șoseaua Pantelimon 300, 0773 358 336)</t>
  </si>
  <si>
    <t xml:space="preserve">Degustare Dan - Clubul Copiilor </t>
  </si>
  <si>
    <t>Degustare Tudor Arsenie</t>
  </si>
  <si>
    <t>Strada Pitar Mos 6</t>
  </si>
  <si>
    <t>28 jan</t>
  </si>
  <si>
    <t>Degustare Tudor Istrate</t>
  </si>
  <si>
    <t>Degustare Tudor BB</t>
  </si>
  <si>
    <t>??</t>
  </si>
  <si>
    <t>Lasertag ||0728838193 ||corina.fgheorghe@yahoo.com</t>
  </si>
  <si>
    <t>26 ian</t>
  </si>
  <si>
    <t>4 kg Tort Noisette -| "La Multi Ani, Rari!" , La Multi Ani, Tudor!</t>
  </si>
  <si>
    <t>Lasertag || 0724 583 852</t>
  </si>
  <si>
    <t>5Kg, tort Minecraft || Raspberry Vanilla ||  cu mesajul suplimentar "La multi ani Andreea" + cifra 9</t>
  </si>
  <si>
    <t>Suzana Dan</t>
  </si>
  <si>
    <t>Lasertag || 0734010882 || denisa_tkd@yahoo.com</t>
  </si>
  <si>
    <t>5 KG tort Minecraft ||compozitie OREO || "La multi ani Tudor" + cifra 8</t>
  </si>
  <si>
    <t>Denisa Ciugnicov</t>
  </si>
  <si>
    <t>sediul lara CarolAdresa - Strada Avrig nr 63 Bl E 2 ,sector 2 Bucuresti</t>
  </si>
  <si>
    <t>25 ian</t>
  </si>
  <si>
    <t>Cutie Minprajituri + Cutie Torturi + Cutie Torturi Raw - Vegan</t>
  </si>
  <si>
    <t>degustare Tudor</t>
  </si>
  <si>
    <t>23 ian</t>
  </si>
  <si>
    <t>reducere 50% fata de site pentru ca ne-a adus om la interviu</t>
  </si>
  <si>
    <t>Il ridica Simona direct din Alexandriei</t>
  </si>
  <si>
    <t>Tort fistic cu fructe de padure ca la ziua Dianei 1,5 KG + caserola 20 macarons</t>
  </si>
  <si>
    <t>Le va lua direct de la laborator</t>
  </si>
  <si>
    <t>2 x cutii miniprajituri</t>
  </si>
  <si>
    <t>Cristina candybar</t>
  </si>
  <si>
    <t>24 ian</t>
  </si>
  <si>
    <t>Magic Castle||0723286498, bosoancarazvan@yahoo.com||
Academia de tenis Ilie Năstase, Intrarea Cerceilor 7, București</t>
  </si>
  <si>
    <r>
      <rPr>
        <sz val="11"/>
        <color theme="1"/>
        <rFont val="Calibri"/>
        <family val="2"/>
        <scheme val="minor"/>
      </rPr>
      <t>3,5 kg || Tort Framboisier || La multi ani Anya, 10 ani, 
YOUTUBE(</t>
    </r>
    <r>
      <rPr>
        <b/>
        <sz val="11"/>
        <color rgb="FF000000"/>
        <rFont val="Calibri"/>
        <family val="2"/>
        <charset val="1"/>
      </rPr>
      <t>Andreea de discutat decorul cu el, duminica 20.01.2019</t>
    </r>
    <r>
      <rPr>
        <sz val="11"/>
        <color theme="1"/>
        <rFont val="Calibri"/>
        <family val="2"/>
        <scheme val="minor"/>
      </rPr>
      <t>)</t>
    </r>
  </si>
  <si>
    <t>Razvan Bosoanca</t>
  </si>
  <si>
    <t>florin draghescu</t>
  </si>
  <si>
    <t>23-jan</t>
  </si>
  <si>
    <t xml:space="preserve">2x platou miniprajituri </t>
  </si>
  <si>
    <t>Strada Antonn Pann, nr. 17</t>
  </si>
  <si>
    <t>Raw Vegan + Clasice (torturi + prajituri)</t>
  </si>
  <si>
    <t>Strada Uranus 132</t>
  </si>
  <si>
    <t>cash la ridicare (banii sunt la andreea - de predat alex)</t>
  </si>
  <si>
    <t>ridica de la lab</t>
  </si>
  <si>
    <t>tarziu cand e gata</t>
  </si>
  <si>
    <t>22-jan</t>
  </si>
  <si>
    <t>1x tort ciocolata portocale 1.5 kg (120 lei) – décor fulgi+print pasta de zahar (20 lei)</t>
  </si>
  <si>
    <t>cash la dl apostol de predat simonei</t>
  </si>
  <si>
    <t>Dupa 12 cand e gata</t>
  </si>
  <si>
    <t>20 macs mix, 1 coz nuca</t>
  </si>
  <si>
    <t>corina lpv</t>
  </si>
  <si>
    <t>21-jan</t>
  </si>
  <si>
    <t>Degustarea se tine la laborator</t>
  </si>
  <si>
    <t>1 cutie miniprajituri + 1 cutie raw vegan</t>
  </si>
  <si>
    <t>cat mai tarziu livrate pe Siret 65</t>
  </si>
  <si>
    <t>Cat mai tarziu</t>
  </si>
  <si>
    <t>Degustare Bistro Dorobanti</t>
  </si>
  <si>
    <t>plata cash</t>
  </si>
  <si>
    <t>Șoseaua ștefan cel mare Nr 234 . Bl 77. Sc c. Ap 89. Etaj 3 Interfon 089c || ancu_boca@yahoo.com ||0726157827</t>
  </si>
  <si>
    <t>tort Raw Vegan Cheesecake || 0.75 kg || "La Multi Ani, Bunica"</t>
  </si>
  <si>
    <t>prin banca</t>
  </si>
  <si>
    <t xml:space="preserve">Arenele BNR, Strada Doctor Joseph Lister 35 || eugenia_isvan@yahoo.com || 0721 109526 </t>
  </si>
  <si>
    <t>tort opera || 2Kg finut, elegant pentru ziua mamei de 80 de ani</t>
  </si>
  <si>
    <t>Persoanza Fizica</t>
  </si>
  <si>
    <t>Lasertag || 0741676375</t>
  </si>
  <si>
    <t xml:space="preserve">5.5 kg || tort "BOO"|| oreo|| "La Multi Ani, Matei!" </t>
  </si>
  <si>
    <t>Cosmin-Iulian Diaconu</t>
  </si>
  <si>
    <t>15 kg tort (750), butaforie (400), candybar 100 pers(300 euro)</t>
  </si>
  <si>
    <t>Sediul Soiree (+certificat conformitate)</t>
  </si>
  <si>
    <t>19-Jan</t>
  </si>
  <si>
    <t>Torturi</t>
  </si>
  <si>
    <t>16-jan</t>
  </si>
  <si>
    <t>pana la urma va fi fara bani</t>
  </si>
  <si>
    <t xml:space="preserve">Nu mai repede ca e surpriza - Simina 0726 697 785 </t>
  </si>
  <si>
    <t>2 x Platoruri aniversare mini prajituri + un tort pavlova 17 persoane + tort de ciocolata 17 persoane</t>
  </si>
  <si>
    <t>Comanda Laura</t>
  </si>
  <si>
    <t>sediul din Carol</t>
  </si>
  <si>
    <t>18-jan</t>
  </si>
  <si>
    <t>Tort fistic cu fructe de padure ca la ziua Dianei 1,5 KG</t>
  </si>
  <si>
    <t>Comanda Emilia conta</t>
  </si>
  <si>
    <t>sediu lara carol (la Iris)</t>
  </si>
  <si>
    <t>sediu lara carol (Casa Pixie)</t>
  </si>
  <si>
    <t>sediu lara carol (Elisa Playground)</t>
  </si>
  <si>
    <t>1.25 kg Tort Noisette -| "La Multi Ani, Rari!"</t>
  </si>
  <si>
    <t>sediu lara carol</t>
  </si>
  <si>
    <t>Cutie miniprajituri</t>
  </si>
  <si>
    <t>Laura - Giulio</t>
  </si>
  <si>
    <t>Cutie Minprajituri + Cutie Torturi Normal + Cutie Torturi Raw-Vegan</t>
  </si>
  <si>
    <t xml:space="preserve">Lasertag || eugenia_isvan@yahoo.com || 0721 109526 </t>
  </si>
  <si>
    <r>
      <rPr>
        <sz val="11"/>
        <color theme="1"/>
        <rFont val="Calibri"/>
        <family val="2"/>
        <scheme val="minor"/>
      </rPr>
      <t>4.5 kg framboisier - " La Multi Ani, Matei" + "</t>
    </r>
    <r>
      <rPr>
        <b/>
        <sz val="11"/>
        <color rgb="FFFF0000"/>
        <rFont val="Calibri"/>
        <family val="2"/>
        <charset val="1"/>
      </rPr>
      <t>10 x No. 1</t>
    </r>
    <r>
      <rPr>
        <sz val="11"/>
        <color theme="1"/>
        <rFont val="Calibri"/>
        <family val="2"/>
        <scheme val="minor"/>
      </rPr>
      <t>"</t>
    </r>
  </si>
  <si>
    <t>13-Jan</t>
  </si>
  <si>
    <r>
      <rPr>
        <sz val="11"/>
        <color theme="1"/>
        <rFont val="Calibri"/>
        <family val="2"/>
        <scheme val="minor"/>
      </rPr>
      <t xml:space="preserve">5 kg tort Tiramisu + décor , 1.5 kg saratele, 60 mini tarte fructe - </t>
    </r>
    <r>
      <rPr>
        <b/>
        <sz val="11"/>
        <color rgb="FF000000"/>
        <rFont val="Calibri"/>
        <family val="2"/>
        <charset val="1"/>
      </rPr>
      <t>"La Multi Ani, David"</t>
    </r>
  </si>
  <si>
    <t>Simona Diaconescu</t>
  </si>
  <si>
    <t>10-Jan</t>
  </si>
  <si>
    <t>Bd. Nicolae Grigorescu, nr 2, bl. W1, sc C, et 10, ap 132, interfon 132 || ouatu.cristina@yahoo.com</t>
  </si>
  <si>
    <r>
      <rPr>
        <sz val="11"/>
        <color theme="1"/>
        <rFont val="Calibri"/>
        <family val="2"/>
        <scheme val="minor"/>
      </rPr>
      <t>1.25 kg framboisier ||" La Multi Ani, Piticul Nostru. Te Iubim Mult, Carmen!" + "</t>
    </r>
    <r>
      <rPr>
        <b/>
        <sz val="11"/>
        <color rgb="FF000000"/>
        <rFont val="Calibri"/>
        <family val="2"/>
        <charset val="1"/>
      </rPr>
      <t>13.01.2019</t>
    </r>
    <r>
      <rPr>
        <sz val="11"/>
        <color theme="1"/>
        <rFont val="Calibri"/>
        <family val="2"/>
        <scheme val="minor"/>
      </rPr>
      <t>"</t>
    </r>
  </si>
  <si>
    <t>Cristina Ouatu</t>
  </si>
  <si>
    <t>Plata Prin OP</t>
  </si>
  <si>
    <t xml:space="preserve"> Lasermaxx ParkLake (etaj 1, Str. Liviu Rebreanu Nr 4) || diana.popescu78@gmail.com ||0722 193 593                                                    Detalii Factura: PROJECT MANAGEMENT ACCESS TRAINING &amp; DEVELOPMENT S.R.L.
CUI: RO33777390
RG: J40/12976/2014
adresa: str. Agatha Birsescu, nr. 14, Bucuresti, sector 3
IBAN: RO65INGB0000999904654577- plata va fi facuta online</t>
  </si>
  <si>
    <r>
      <rPr>
        <sz val="11"/>
        <color theme="1"/>
        <rFont val="Calibri"/>
        <family val="2"/>
        <scheme val="minor"/>
      </rPr>
      <t xml:space="preserve">1 x Tort Minecraft | Raspberry Vanilla | 3 kg |"La Multi Ani, Andrei!" + cifra </t>
    </r>
    <r>
      <rPr>
        <b/>
        <sz val="11"/>
        <color rgb="FF000000"/>
        <rFont val="Calibri"/>
        <family val="2"/>
        <charset val="1"/>
      </rPr>
      <t>9</t>
    </r>
  </si>
  <si>
    <t>Diana Popescu</t>
  </si>
  <si>
    <t>Str. George Constantinescu, nr 3, etaj 7, sediul Nestle || 0730192802</t>
  </si>
  <si>
    <t>20 x pavlova, 20 x choux fistic, 20 x tarte fructe, 20 x macarons mix</t>
  </si>
  <si>
    <t>Ioana Plopeanu</t>
  </si>
  <si>
    <t>Raluca Vocheci – Calea Vacaresti 276, Garanti bank</t>
  </si>
  <si>
    <t>10-11</t>
  </si>
  <si>
    <t>15-jan</t>
  </si>
  <si>
    <t xml:space="preserve">tort opera, 20 mini prajituri </t>
  </si>
  <si>
    <t>comanda mirela</t>
  </si>
  <si>
    <t>13-jan</t>
  </si>
  <si>
    <t xml:space="preserve"> B-dul. Nicolae Grigorescu nr. 2, sector 3, București</t>
  </si>
  <si>
    <t>Str. Postelnicului , nr 12, sector 1, Bucuresti</t>
  </si>
  <si>
    <t>WEEK II</t>
  </si>
  <si>
    <t>Plata cash</t>
  </si>
  <si>
    <t>7-Jan</t>
  </si>
  <si>
    <t>1x Tort Opera (900g), 1x tort Poire au vanille (1 kg), 1 x Bailey’s (2 kg)</t>
  </si>
  <si>
    <t>Ruxandra Soiree</t>
  </si>
  <si>
    <t>Factura:
STORM MEDIA TECHNOLOGY SRL
J40/2043/2016
CIF: 35639369
RO23INGB0000999905616021
ADRESS: BD. FERDINAND I, NR. 58, SC. A, ET. 2, AP.5, BUCURESTI, ROMANIA
Armen Hovhannisyan ADMINISTRATOR
TELEFON: +4031 437 83 60</t>
  </si>
  <si>
    <t>1x Tort Opera 0.75kg + 1x Tort Poire au Vanille 0.75 kg</t>
  </si>
  <si>
    <t>Edgar Isaakyan</t>
  </si>
  <si>
    <t>30 pachete vegane</t>
  </si>
  <si>
    <t>victor Gomoiu</t>
  </si>
  <si>
    <t>Tort Poire Vanille</t>
  </si>
  <si>
    <t>Flavia Tomescu</t>
  </si>
  <si>
    <t xml:space="preserve">Miniprajituri + Prajituri cafenea 30 persoane </t>
  </si>
  <si>
    <t>Bogdan LPV</t>
  </si>
  <si>
    <t>NECONFIRMATE</t>
  </si>
  <si>
    <t>Persoana Fizica</t>
  </si>
  <si>
    <t>Scoala0 Montesara || Intrarea Balaci 9-11, sector 4 Telefon: 0745766424</t>
  </si>
  <si>
    <t>1x Tort Tiramisu 1.8 kg (raw veg) (298 ron)( sa scrie "La Multi Ani, Damian!")</t>
  </si>
  <si>
    <t>Sonia Suteu (Client Website)</t>
  </si>
  <si>
    <t>persoana fizica</t>
  </si>
  <si>
    <t>calea giulesti nr 513, poarta maro, nu cea maro, sunt doua la acelasi nr</t>
  </si>
  <si>
    <t>1 x tort tiramisu raw veg (1.25 kg) 20 x trufe alune de padure, 30 x mignon raw veg caju si afine</t>
  </si>
  <si>
    <t>Catalina Paun</t>
  </si>
  <si>
    <t>Tort Harry Potter (2 etaje) “Happy Birthday, Lumi!”Vanilie Mere (4.8 kg)</t>
  </si>
  <si>
    <t>Lasertag (Flavia Tomescu)</t>
  </si>
  <si>
    <t>4.5 kg FORTNITE Blat Cacao, Crema de Ciocolata Alba &amp; Neagra “La multi ani, Damian!”</t>
  </si>
  <si>
    <t>Lasertag (Sonia Suteu)</t>
  </si>
  <si>
    <t>WEEK I</t>
  </si>
  <si>
    <t>Confirmare Primire</t>
  </si>
  <si>
    <t>Am Primit</t>
  </si>
  <si>
    <t>Factura LPV</t>
  </si>
  <si>
    <t>31.12.2018</t>
  </si>
  <si>
    <t>Cosuri Corporate (30 buc)</t>
  </si>
  <si>
    <t>Ion Mihalache 205 , florarie vizavi piata domenii - 0724304599</t>
  </si>
  <si>
    <t>13:00:00-14:00</t>
  </si>
  <si>
    <t>1 x 1 kg tort naked mousse ciocolata neagra &amp; visine (95 ron) , 30 tarte fructe (79 ron)</t>
  </si>
  <si>
    <t xml:space="preserve">Violeta Matache </t>
  </si>
  <si>
    <t>Il ridica bogdan</t>
  </si>
  <si>
    <t>2 x tort fistic</t>
  </si>
  <si>
    <t>Este Achitata</t>
  </si>
  <si>
    <t>Strada Siret nr 65. , 0723246767</t>
  </si>
  <si>
    <t>Oricand</t>
  </si>
  <si>
    <t>1 x tort fistic ca al laurei</t>
  </si>
  <si>
    <t>Perzoana Fizica</t>
  </si>
  <si>
    <t>Strada Zagazului, 13-19, Scara C, etaj 6, apartament 635. 0721378378</t>
  </si>
  <si>
    <t>13:00-14:30</t>
  </si>
  <si>
    <t>1 x tort fistic ca al laurei(din partea casei), 20 x choux fistic, 10 x mini pavlova, 10 x macarons mix (120 RON), 3 x cozonac nuca si cacao (225 RON)</t>
  </si>
  <si>
    <t>Patricia Cepi</t>
  </si>
  <si>
    <t>Este achitata</t>
  </si>
  <si>
    <t>Luat de la laborator sau uber</t>
  </si>
  <si>
    <t>1 x tort fistic ca al laurei, 2 x cozonac nuca, 30x choux fistic, 40 x minipavlova, 40 x macarons mix, 20 x tarta fructe, 2 x cozonac</t>
  </si>
  <si>
    <t>Tudor R.</t>
  </si>
  <si>
    <t>Aviatorilor 45</t>
  </si>
  <si>
    <t>1 x 1 kg mini pavlova, 1 x 1 kg  min carrot cake, 1 x 4.5 kg framboisier (pe el sa scrie "Georgi iz za best!"</t>
  </si>
  <si>
    <t>Ambery Hall</t>
  </si>
  <si>
    <t>Fara ///</t>
  </si>
  <si>
    <t>Aflam pe 28/12</t>
  </si>
  <si>
    <t>1 x 1 kg baileys</t>
  </si>
  <si>
    <t>Persoana fizica</t>
  </si>
  <si>
    <t>Octavian Goga 23, Bl. M106, Sc. 2, Et. 5, Ap. 55, Int. 55</t>
  </si>
  <si>
    <t>1 x cozonac nuca, 1 x cozonac fructe confiate</t>
  </si>
  <si>
    <t>Mihnea Horia Iatagan</t>
  </si>
  <si>
    <t>Vatra Luminoasa 87, 0735772444</t>
  </si>
  <si>
    <t>8:30-11:00</t>
  </si>
  <si>
    <r>
      <rPr>
        <sz val="11"/>
        <color theme="1"/>
        <rFont val="Calibri"/>
        <family val="2"/>
        <scheme val="minor"/>
      </rPr>
      <t xml:space="preserve">1 x Cozonac Nuca,cacao &amp; Rom, 1 x cozonac mac &amp; rahat + </t>
    </r>
    <r>
      <rPr>
        <b/>
        <sz val="11"/>
        <color rgb="FF000000"/>
        <rFont val="Calibri"/>
        <family val="2"/>
        <charset val="1"/>
      </rPr>
      <t>1 x cozonac rahat &amp; fructe confiate (sa scrie pe el LAURENTIU CIUHU)</t>
    </r>
  </si>
  <si>
    <t>Dna Buneci</t>
  </si>
  <si>
    <t>Bulevardul Iancu de Hunedoara, Bloc H5, Scara1, etaj 5, ap 13, interfon 13 || Silvia Cepi - 0744352941</t>
  </si>
  <si>
    <t>40 miniprajituri(15 choux cu fistic + ce vrem noi mix variat)140RON + 3 x cozonac cu nuca(225RON)</t>
  </si>
  <si>
    <t>De sunat! Il ridica de la laborator : 0722299428</t>
  </si>
  <si>
    <t>4x cozonac nuca</t>
  </si>
  <si>
    <t>Laurentiu Pintilie</t>
  </si>
  <si>
    <t xml:space="preserve">Soseaua Stefan cel Mare, nr. 22, langa Digi, Magazin SECOM ||0733075680 ||piu.mihaela@gmail.com </t>
  </si>
  <si>
    <t>2 x cozonac nuca,cacao &amp; rom</t>
  </si>
  <si>
    <t>Toma Mihaela Ioana</t>
  </si>
  <si>
    <t>Strada Neagoe Voda, nr. 12-16, bl IX/II, sc. C, etaj 4 ap 47|| David Cristian - 0752076168</t>
  </si>
  <si>
    <t>cutie macarons mix (1 kg)</t>
  </si>
  <si>
    <t xml:space="preserve">Tudor Mircea LARA </t>
  </si>
  <si>
    <t>Bulevardul Burebista, nr 2, Bloc D14, Parter - 0722605464</t>
  </si>
  <si>
    <t>2 x nuca si cacao, 1 x mac (sa fie cu mai putina umplutura)</t>
  </si>
  <si>
    <t>Stefan Cristea</t>
  </si>
  <si>
    <t>Deja Achitat</t>
  </si>
  <si>
    <t>Calea Vitan, Nr. 25 C, Bloc C1, Scara 2, Etaj 1, Ap. 34, Interfon 134 (Stie alex langa mall vitan) - 0724036199</t>
  </si>
  <si>
    <t>10:00-12:00</t>
  </si>
  <si>
    <t>2 x cozonac nuca, 2 x cozonac rahat</t>
  </si>
  <si>
    <t>Str Matei Basarab, nr. 64, bloc L110, Scara 3, Ap 49, sect 3</t>
  </si>
  <si>
    <t>De sunat Dimineata</t>
  </si>
  <si>
    <t>2 x cozonac nuca &amp; cacao</t>
  </si>
  <si>
    <t>Bulevardul Iancu de Hunedoara 54 - 0733200217</t>
  </si>
  <si>
    <t>Cand se poate (DE SUNAT)</t>
  </si>
  <si>
    <t>5 x cacao, nuca</t>
  </si>
  <si>
    <t>Capital Plaza (Larisa Popa)</t>
  </si>
  <si>
    <t>Strada Ancara, Nr. 3,  - 0722287248</t>
  </si>
  <si>
    <t>1 x cacao, nuca, 1 x mac &amp; rahat</t>
  </si>
  <si>
    <t xml:space="preserve">Irena Marcu </t>
  </si>
  <si>
    <t>Iancu Nicolae 51, Complex Grace Garden Vila 7 - 0722287248</t>
  </si>
  <si>
    <t>10:00-13:00</t>
  </si>
  <si>
    <t>1 x Raw Vegan Caju &amp; Mac(120), 1 x Rahat cu Fructe Confiate(75), 2 x tort framboisier 0.75 kg(139.5), 1 x tort zucotto 0.75 kg, 1 x tort zucotto 1.25kg (160)</t>
  </si>
  <si>
    <t>Irena Marcu</t>
  </si>
  <si>
    <t xml:space="preserve"> Colonel Coposu nr. 3, ap 1 - (0726) 697 785‬ Simina</t>
  </si>
  <si>
    <t>3 x cozonac nuca(2 gratis), 1 x cozonac mac, 1 x cozonac fructe confiate, 1 x cozonac fitness, 1 x raw vegan nuca, 1 x raw vegan turmeric, 1 x raw vegan caju&amp; mac,  15 x cookie ciocolata</t>
  </si>
  <si>
    <t>Livrat la promenada, sunat inainte la 0722564433</t>
  </si>
  <si>
    <t>De sunat Duminica</t>
  </si>
  <si>
    <t>1 x nuca, 1 x rahat</t>
  </si>
  <si>
    <t>Client Sala Fitness Laura</t>
  </si>
  <si>
    <t>Aleea Lunguletu, nr. 6, bl D14, ap 230 || 0729990188</t>
  </si>
  <si>
    <t>10;00-12:00</t>
  </si>
  <si>
    <t>Daniela Popescu</t>
  </si>
  <si>
    <t>Strada Caisului, 12F, Marian Raducanu - (0744) 601 808</t>
  </si>
  <si>
    <t>10:30-12:45</t>
  </si>
  <si>
    <t>1 x cacao,rom&amp; nuca1 x cozonac cu mac si rahat (150) (!CU FRUCTOZA), 30 x macarons mix(150)????????</t>
  </si>
  <si>
    <t>Marian Raducanu</t>
  </si>
  <si>
    <t>Il ridica ea</t>
  </si>
  <si>
    <t xml:space="preserve">la 14:00 </t>
  </si>
  <si>
    <t>1 x cozonac cacao, 1 x cozonac rahat&amp; mac</t>
  </si>
  <si>
    <t>Luminita - LPV</t>
  </si>
  <si>
    <t>A fost achitata prin banca</t>
  </si>
  <si>
    <t>Str. Pașcani Nr. 9, bl. TD35, et. 6, ap. 40.|| 0744625550</t>
  </si>
  <si>
    <t>9:00-11:00</t>
  </si>
  <si>
    <t>NEAPARAT CALZI !!!!!! 2 x cozonac nuca, 1 x cozonac rahat &amp;mac (10% discount)</t>
  </si>
  <si>
    <t>De achitat cash</t>
  </si>
  <si>
    <t>Vine Catalin sa le ridice la pranz</t>
  </si>
  <si>
    <t>la pranz</t>
  </si>
  <si>
    <t>1 x raw vegan nuca, 1x cozonac caco &amp; Nuca (discount 30%)</t>
  </si>
  <si>
    <t>Catalin LPV</t>
  </si>
  <si>
    <t>Strada Romulus 35, sector 3</t>
  </si>
  <si>
    <t>11:00-12:30</t>
  </si>
  <si>
    <t>1 x raw vegan nuca, 1 x raw vegan turmeric, 2 x cozonac cacao &amp; nuca (discount 10%)</t>
  </si>
  <si>
    <t>Str Uruguay, nr. 12, et 3, ap 7 (langa parcul herastrau), 0729990663</t>
  </si>
  <si>
    <t>6 x cozonac cacao,nuca&amp; rom</t>
  </si>
  <si>
    <t>Adrian Borotea</t>
  </si>
  <si>
    <t>11/21/18</t>
  </si>
  <si>
    <t>Strada Plutonier Radu Gheorghe,Nr. 16, Sector 3, Bucuresti</t>
  </si>
  <si>
    <t>Dupa Ora 15:00</t>
  </si>
  <si>
    <t>1 x Cozonac, cacao &amp; rom, 1 x Cozonac Mac &amp; Rahat</t>
  </si>
  <si>
    <t>Florentina</t>
  </si>
  <si>
    <t>Ii ia Tudor</t>
  </si>
  <si>
    <t>2 x cozonac nuca si cacao, 1 x cozonac mac &amp; rahat, 1 x cozonac rahat &amp; fructe confiate</t>
  </si>
  <si>
    <t>Tudor Constantinescu</t>
  </si>
  <si>
    <t>ii ia Tudor</t>
  </si>
  <si>
    <t>2 x cozonac raw vegan nuca</t>
  </si>
  <si>
    <t>De vorbit cu Dan sa ii ia</t>
  </si>
  <si>
    <t>Oricand Dupa 1</t>
  </si>
  <si>
    <t>4 x cozonac cu cacao si nuca, 3 x mac &amp; rahat, 3 x rahat &amp; fructe confiate</t>
  </si>
  <si>
    <t>Dan &amp; Laura</t>
  </si>
  <si>
    <t>SUNAT cu o ora inainte Roxana Țecu , Strada Foișorului ,Nr.17 , blF10C ,sc1, ap 28, et 6 , interfon 28, București , România 023676 , 0765509004, roxanataslau@yahoo.com</t>
  </si>
  <si>
    <t>10:00-14Ș00</t>
  </si>
  <si>
    <t>Roxana Tzecu</t>
  </si>
  <si>
    <t>Strada Teiul Doamnei, Nr. 8, Sc1, Ap42 || 0761929830`</t>
  </si>
  <si>
    <t>11:00-13:00</t>
  </si>
  <si>
    <t>2 x cozonac nuca si cacao</t>
  </si>
  <si>
    <t>Popescu Lavinia</t>
  </si>
  <si>
    <t>lasertag</t>
  </si>
  <si>
    <t>1 x tort frambosier 5 kg (de scris Academia de Karate)</t>
  </si>
  <si>
    <t>Strada Brailita,nr 5, blc V10, Sc. 2, cartierul vitan, de sunat inainte cand ajunge in fata,0742142207</t>
  </si>
  <si>
    <t>1 x cozonac raw vegan caju &amp; mac, 1 x 600 grame tort raw-vegan cheese cake</t>
  </si>
  <si>
    <t>Iliescu Mihaela</t>
  </si>
  <si>
    <t>Ii ridica Dan de la laborator</t>
  </si>
  <si>
    <t>11:00-14:00</t>
  </si>
  <si>
    <t xml:space="preserve"> 1 x cozonac cacao</t>
  </si>
  <si>
    <t>Dan Vasilescu</t>
  </si>
  <si>
    <t>Strada Campia Libertatii, Nr. 45, Bl. MC2 , Sc. 1, Et. 7 , Ap 47, interfon 047 || 0722 658 565</t>
  </si>
  <si>
    <t>1 x Cozonac Nuca,cacao &amp; Rom, 1 x cozonac mac &amp; rahat</t>
  </si>
  <si>
    <t xml:space="preserve">Mihaela Sava </t>
  </si>
  <si>
    <t>WEEK IV</t>
  </si>
  <si>
    <t>" de sunat si stabilit"</t>
  </si>
  <si>
    <t>4 x Cozonac Cacao, 1 x Cozonac Fitness, 1 x Cozonac Raw Vegan Nuca,1 x cutie cu 10 macarons, 1 x cutie cu 20 macarons</t>
  </si>
  <si>
    <t xml:space="preserve">Sandra Olanescu </t>
  </si>
  <si>
    <t>Gradina Floreasca, Ana Voicila- De contactat pt toate detaliile</t>
  </si>
  <si>
    <t xml:space="preserve"> 1x cozonac cacao &amp; rom, 1 x raw vegan caju &amp; mac</t>
  </si>
  <si>
    <t>Ana Voicila</t>
  </si>
  <si>
    <t>Il ia Tudor</t>
  </si>
  <si>
    <t>Oricand pe seara</t>
  </si>
  <si>
    <t>Anca Bunda</t>
  </si>
  <si>
    <t xml:space="preserve">De sunat </t>
  </si>
  <si>
    <t>3 x cozonac nuca&amp; cacao (discount 50%) , 1 x nuca&amp; cacao</t>
  </si>
  <si>
    <t>Ana-Maria Toma</t>
  </si>
  <si>
    <t>Str. Stefan Mihaileanu 40 b
Bucuresti, România 024024, 0728875686, nalmaj@yahoo.com</t>
  </si>
  <si>
    <t>1 x cozonac raw vegan cu nuca, 1 x cozonac fitness, 1x  1.25kg  tort opera (10% discount)</t>
  </si>
  <si>
    <t>Str. Anastasie Panu 8, bl. A12, sc. 2, ap. 49, interfon 49, sect. 3, Bucuresti ||iulia_iatagan@yahoo.com || 0723590098</t>
  </si>
  <si>
    <t>10:00-14:00</t>
  </si>
  <si>
    <t xml:space="preserve">2 x cozonac cacao </t>
  </si>
  <si>
    <t>Seara il livreaza tudor</t>
  </si>
  <si>
    <t>1 x cozonac cacao</t>
  </si>
  <si>
    <t>Sebastian</t>
  </si>
  <si>
    <t>Proaspeti cat de seara se poate</t>
  </si>
  <si>
    <t xml:space="preserve">4 x cozonac cacao </t>
  </si>
  <si>
    <t>Horia Clement</t>
  </si>
  <si>
    <t>Calea Floreasca 169a</t>
  </si>
  <si>
    <t>10x mini pavlova; 10 x tarte fructe; 6 x macarons fistic; 6x macarons tonka</t>
  </si>
  <si>
    <t>1 x cozonac cacao &amp; Nuca</t>
  </si>
  <si>
    <t>Directorul BT</t>
  </si>
  <si>
    <t>achitat- ultima transa de datorie</t>
  </si>
  <si>
    <t>Cat de tarziu se pot livra</t>
  </si>
  <si>
    <t>2 x cozonac cacao (calzi, in pungute si in cutii de carat) - Atentie SUPER MARE AICI!</t>
  </si>
  <si>
    <t>Strada Siret 15</t>
  </si>
  <si>
    <t>"E mama clientei  acasa". De sunat: +40 739 975 245</t>
  </si>
  <si>
    <r>
      <rPr>
        <b/>
        <sz val="11"/>
        <color rgb="FF000000"/>
        <rFont val="Calibri"/>
        <family val="2"/>
        <charset val="1"/>
      </rPr>
      <t>NEAPARAT CALZI !!!!!!</t>
    </r>
    <r>
      <rPr>
        <sz val="11"/>
        <color theme="1"/>
        <rFont val="Calibri"/>
        <family val="2"/>
        <scheme val="minor"/>
      </rPr>
      <t>3 x cozonac nuca,rom,caco (discount 10%) (Impachetati in pungute cu sticke</t>
    </r>
    <r>
      <rPr>
        <b/>
        <sz val="11"/>
        <color rgb="FF000000"/>
        <rFont val="Calibri"/>
        <family val="2"/>
        <charset val="1"/>
      </rPr>
      <t>r si in cutii de carat</t>
    </r>
    <r>
      <rPr>
        <sz val="11"/>
        <color theme="1"/>
        <rFont val="Calibri"/>
        <family val="2"/>
        <scheme val="minor"/>
      </rPr>
      <t>!)</t>
    </r>
  </si>
  <si>
    <t xml:space="preserve">Mirela Mateescu </t>
  </si>
  <si>
    <t>Il duce Tudor</t>
  </si>
  <si>
    <t>1 x cozonac nuca,rom cacao</t>
  </si>
  <si>
    <t>FLORAL ART SRL, RO13083504 (factura si plata cash)</t>
  </si>
  <si>
    <t>5 x Cozonac Cacao</t>
  </si>
  <si>
    <t>FLORAL ART SRL</t>
  </si>
  <si>
    <t xml:space="preserve">Str.Drumul Taberei nr.30, bloc OD 3, sc.3, et.4, ap.89- sector 6 </t>
  </si>
  <si>
    <t>"de sunat si stabilit"`</t>
  </si>
  <si>
    <t>1 x Cozonac Raw Vegan cu Nuca</t>
  </si>
  <si>
    <t>Irina Gabriela Toma</t>
  </si>
  <si>
    <t>Cu Bon</t>
  </si>
  <si>
    <t>Nicolae Filipescu nr 50, interfon 2, (0726) 697 785‬ Simina</t>
  </si>
  <si>
    <t>Sunat Simina (Pana in ora 15:30 sa ajunga comanda)</t>
  </si>
  <si>
    <t>4x cozonac nuca,cacao &amp; rom, 4 x cozonac fructe confiate, 2 x cozonac mac</t>
  </si>
  <si>
    <t>Il Olivia de la laborator</t>
  </si>
  <si>
    <t>3x cozonac Nuca &amp; Rom, 1 x  raw vegan cu nuca</t>
  </si>
  <si>
    <t>pana in ora 16:00</t>
  </si>
  <si>
    <t>2x Cozonac Nuca &amp; Rom</t>
  </si>
  <si>
    <t xml:space="preserve">Simona </t>
  </si>
  <si>
    <t>le ia domnul apostol</t>
  </si>
  <si>
    <t>le ia dnul apostol</t>
  </si>
  <si>
    <t>3 x cutii macarons</t>
  </si>
  <si>
    <t>BRP ENERGY CONSULTING S.A, RO28570524</t>
  </si>
  <si>
    <t>Str Izvor, Nr. 92-96, Cladirea Forum III, Etaj 1, BIR B/III - (+40727801128 - Ramona Culea)</t>
  </si>
  <si>
    <t xml:space="preserve">9 x cozonac cu nuca si rom, 6 x rahat si mac </t>
  </si>
  <si>
    <t>Enel (Ramona Culea)</t>
  </si>
  <si>
    <t>20/12/18</t>
  </si>
  <si>
    <t>1xcozonac cacao</t>
  </si>
  <si>
    <t>stie mirela</t>
  </si>
  <si>
    <t>Mirela Reta</t>
  </si>
  <si>
    <t>Ora 16</t>
  </si>
  <si>
    <t>3 cosuri(3 cozonaci, 18 macarons, 450 g turta dulce colorata, 6 turta dulce pictata, 30 cookies, 300 g bezele cocos, 15 banuti cioco)</t>
  </si>
  <si>
    <t>17/12/18</t>
  </si>
  <si>
    <t>Ora 14</t>
  </si>
  <si>
    <t>4 cosuri(4 cozonaci, 24 macarons, 600 g turta dulce colorata, 8 turta dulce pictata, 40 cookies, 400 g bezele cocos, 20 banuti cioco)</t>
  </si>
  <si>
    <t>La Draghescu si 2 la parcul Carol</t>
  </si>
  <si>
    <t>dimineata</t>
  </si>
  <si>
    <t>5 cosuri(5 cozonaci, 42 macarons, 1050 g turta dulce colorata, 14 turta dulce pictata, 70 cookies, 700 g bezele cocos, 35 banuti cioco)</t>
  </si>
  <si>
    <t>Asteptam pe E-mail date facturare</t>
  </si>
  <si>
    <t>Lente Café, Pe langa Piata Lahovari, Denisa Popescu - 07462220606</t>
  </si>
  <si>
    <t>19:00-20:00</t>
  </si>
  <si>
    <t>1.8 kg Tort Honey (169.2 RON) , 1.8 kg Tort Poire Vanille (144 RON)</t>
  </si>
  <si>
    <t>Lupu Dionisie</t>
  </si>
  <si>
    <t>pana in ora 18:00</t>
  </si>
  <si>
    <t>2 x cozonac cacao, 1 caserola  macarons, 30 miniprajituri mix</t>
  </si>
  <si>
    <r>
      <rPr>
        <sz val="11"/>
        <color theme="1"/>
        <rFont val="Calibri"/>
        <family val="2"/>
        <scheme val="minor"/>
      </rPr>
      <t xml:space="preserve">3x Cozonac Nuca &amp; Rom,  2 cutii larasweets macarons mix (cat incape), </t>
    </r>
    <r>
      <rPr>
        <b/>
        <sz val="11"/>
        <color rgb="FF000000"/>
        <rFont val="Calibri"/>
        <family val="2"/>
        <charset val="1"/>
      </rPr>
      <t>6 sticle vin</t>
    </r>
  </si>
  <si>
    <t>Strada Alexandru Cel Bun, Nr. 12, 0741559819</t>
  </si>
  <si>
    <t>1 x Cozonac Raw Vegan Rom si Nuca, 1 x Cozonac Raw Vegan Caju si Mac</t>
  </si>
  <si>
    <t>Marilena Volovitz</t>
  </si>
  <si>
    <t>Fundatia pt o Rominie moderna, Cif 14595979</t>
  </si>
  <si>
    <t>str Vasile Lascar 148, Rasvan Toader, +40 752 512 509</t>
  </si>
  <si>
    <t>20 x Cozonac Cacao</t>
  </si>
  <si>
    <t>Fundatia Pt o Romanie Moderna</t>
  </si>
  <si>
    <t>A fost achitat</t>
  </si>
  <si>
    <t>Strada Crisul Alb, 31, blog nou, etaj 3, ap4, 0732719121 - ANCA GODEANU</t>
  </si>
  <si>
    <t>1 x Cozonac Cacao</t>
  </si>
  <si>
    <t>Diana LARA</t>
  </si>
  <si>
    <t>Strada Plugarilor 18, Clinica Life Med</t>
  </si>
  <si>
    <t xml:space="preserve">10 x Cozonac Cacao </t>
  </si>
  <si>
    <t>Dnul Lificiu</t>
  </si>
  <si>
    <t>Total Fun Sports SRL, RO29275085</t>
  </si>
  <si>
    <t>Laser-Tag, Sema Parc pe Splaiul Independentei</t>
  </si>
  <si>
    <t>14:00 - 17:30</t>
  </si>
  <si>
    <t xml:space="preserve">2 x Cozonac cu nuca,1 x cozonac vegan raw cu turmeric (30% discount) </t>
  </si>
  <si>
    <t>9 x pachete (cozonac si turta dulce|| si-a notat Andreea de la Simi)</t>
  </si>
  <si>
    <t>Pentru Florin/Bogdan in Alexandriei</t>
  </si>
  <si>
    <t>19/12/18</t>
  </si>
  <si>
    <t>10 cosuri(10 cozonaci, 60 macarons, 1500 g turta dulce colorata, 20 turta dulce pictata, 100 cookies, 1000 g bezele cocos)</t>
  </si>
  <si>
    <t>cand se poate</t>
  </si>
  <si>
    <t>2 cosuri(2 cozonaci, 12 macarons, 300 g turta dulce colorata, 4 turta dulce pictata, 20 cookies, 200 g bezele cocos)</t>
  </si>
  <si>
    <t>15 x Cozonac Cacao</t>
  </si>
  <si>
    <t>Factureaza Simi pe Ralcom</t>
  </si>
  <si>
    <t>13 x pachete (cozonac si turta dulce|| si-a notat Andreea de la Simi)-55</t>
  </si>
  <si>
    <t>Ralcom</t>
  </si>
  <si>
    <t>Amalt Com srl ; RO16125663 ; J23/177/2004; Voluntari, str Drumul; Potcoavei nr 23, jud Ilfov</t>
  </si>
  <si>
    <t>bd. Tudor Vladimirescu nr 22, în incinta Green Cate - +40 723 264 197</t>
  </si>
  <si>
    <t>7 X cozonac nuca (525)  + 10 kg mix prajituri detaliat imediat (1250)</t>
  </si>
  <si>
    <t>Farmaclass Industry SRL (CUI: 22663519)</t>
  </si>
  <si>
    <t>Strada Minca Dumitru 2-4, Sector 4 Bucuresti - 0733910471</t>
  </si>
  <si>
    <t>13:00 - 16:00</t>
  </si>
  <si>
    <t>7 X cozonac nuca (10% discoutn)</t>
  </si>
  <si>
    <t>Farma Class</t>
  </si>
  <si>
    <t>Blv. Marasesti 86, +40722431187, ekko.ro</t>
  </si>
  <si>
    <t>13:00-16:00</t>
  </si>
  <si>
    <t>4 x cozonac cacao(10% discoutn)</t>
  </si>
  <si>
    <t>Ekko</t>
  </si>
  <si>
    <t>Bulevardul Titulescu 50-52, Scoala generala Nicolae Titulesc 3,  Dana Salbatecu - 0723288766</t>
  </si>
  <si>
    <t>40 mix macarons (in cutii LARA)</t>
  </si>
  <si>
    <t>Dana Salbatecu?</t>
  </si>
  <si>
    <t>cosuri lpv 10+6 (Florin Draghescu si Catalin)</t>
  </si>
  <si>
    <t>lpv</t>
  </si>
  <si>
    <t>Face Tudor Livrearea</t>
  </si>
  <si>
    <t>Pe Seara</t>
  </si>
  <si>
    <r>
      <rPr>
        <b/>
        <sz val="11"/>
        <color rgb="FF000000"/>
        <rFont val="Calibri"/>
        <family val="2"/>
        <charset val="1"/>
      </rPr>
      <t>!!!NEPARAT CALZ</t>
    </r>
    <r>
      <rPr>
        <sz val="11"/>
        <color theme="1"/>
        <rFont val="Calibri"/>
        <family val="2"/>
        <scheme val="minor"/>
      </rPr>
      <t xml:space="preserve">I 2 x cozonac cacao </t>
    </r>
  </si>
  <si>
    <t>Clement Horia</t>
  </si>
  <si>
    <t>Dana Salbatecu - 0723288766</t>
  </si>
  <si>
    <t>Frambosier 3.5 kg, "La Multi Ani, Mara!", sa-l ornam noi un pic cum vrem ca sa arate frumos</t>
  </si>
  <si>
    <t>Factura Soiree</t>
  </si>
  <si>
    <t>Tort Eveniment (60 kg- 3000) + Candybar 350 persoane(4893)</t>
  </si>
  <si>
    <t>seara la 17</t>
  </si>
  <si>
    <t>15/12/18</t>
  </si>
  <si>
    <t>Tort alb zmeura trandafir</t>
  </si>
  <si>
    <t>WEEK III</t>
  </si>
  <si>
    <t>14/12/18</t>
  </si>
  <si>
    <t>mini prajituri</t>
  </si>
  <si>
    <t>E deja platit</t>
  </si>
  <si>
    <t>Strada Siret, nr. 65, sector 1, Bucuresti - 0723246767</t>
  </si>
  <si>
    <t>pana in ora 14:00</t>
  </si>
  <si>
    <t>1 x cozonac cacao si rom</t>
  </si>
  <si>
    <t>Lara Carol la Simona</t>
  </si>
  <si>
    <t>paina in ora 14:00</t>
  </si>
  <si>
    <t>Cos de 200 RON</t>
  </si>
  <si>
    <t>Strada Stefan Mihaileanu, Nr. 40B, Se ctor 2, 0728875686</t>
  </si>
  <si>
    <t>Tort Zuccotto 1.25kg, 1 x cozonac nuca,cacao&amp; rom</t>
  </si>
  <si>
    <t>Suna-ma pe Mine mai Intai                               Amalt Com srl 
RO16125663 
J23/177/2004
Voluntari, str Drumul Potcoavei nr 23, jud Ilfov</t>
  </si>
  <si>
    <t>Ambery Hall - Sos. Bucuresti Nord, 15-23, Pipera Voluntari, Ilfov, in incinta Swan Office Park (0723.264.197)</t>
  </si>
  <si>
    <t>13/12/218</t>
  </si>
  <si>
    <t>1 cozonac x nuca( GRATIS)+  7 kg miniprajituri (6 kg x 125 + kg gratis): "Choux (80 buc): 40 buc fistic, 40 buc vanilie || Pavlova (80 buc) || Miniprajitura Mousse Cafea (40 buc)|| Miniprajitura Stracciatella (40 buc)||Miniprajitura "Carrot Cake" (40 buc) || Miniprajitura "White Berry" (40 buc)"</t>
  </si>
  <si>
    <t xml:space="preserve">N/A </t>
  </si>
  <si>
    <t>la 18:00 la Laura</t>
  </si>
  <si>
    <t>BANII SUNT LA ANDREEA (96 lei)</t>
  </si>
  <si>
    <t>Tort (1.2 kg poire cu mesaj)</t>
  </si>
  <si>
    <t>Petru</t>
  </si>
  <si>
    <t>Sefa Sora Alex</t>
  </si>
  <si>
    <t>16-17</t>
  </si>
  <si>
    <t>1xcozonac+1 cutie degustare mica</t>
  </si>
  <si>
    <t>Wipro</t>
  </si>
  <si>
    <t>Anca Svoronos, calea floreasca 169a, corp A</t>
  </si>
  <si>
    <t>50 persoane
6 mini-prajituri /persoana/ 120~130 g prajituri
50 macarons mix
50 tarte caramel si ciocolata
50 choux-uri
50 pavlova
50 prajituri raw vegane cu nuci, ulei de cocos, curmale, migdale, goji si ciocolata (pentru persoanele care tin post)
50 rulouri cozonac cu nuca si cacao +3 COZONACI CALZI</t>
  </si>
  <si>
    <t>Fitness Laura</t>
  </si>
  <si>
    <t>ASOCIATIA ROMANA PENTRU ENERGIE EOLIANA ||CUI: 25085444 || IBAN: RO43BRDE441SV42651625410, deschis la BRD || Adrian Borotea seria RK, nr. 119108</t>
  </si>
  <si>
    <t>"Cozonacii trebuie sa ajunga la CEZ, la Domnul Borotea"</t>
  </si>
  <si>
    <t>11:00 dimineata</t>
  </si>
  <si>
    <t>18 x Coz Nuca, 2 x Coz Rahat &amp; Fructe Confiata, 3 x Mac</t>
  </si>
  <si>
    <t>Asociatia RWEA</t>
  </si>
  <si>
    <t>pana in ora 13:00</t>
  </si>
  <si>
    <t>4 x Cozonac Cacao</t>
  </si>
  <si>
    <t>Nichita</t>
  </si>
  <si>
    <t xml:space="preserve">Cozonac </t>
  </si>
  <si>
    <t xml:space="preserve">Arcmed </t>
  </si>
  <si>
    <t xml:space="preserve">Tort </t>
  </si>
  <si>
    <t>Cozonac + Mini Prajituri</t>
  </si>
  <si>
    <t>Tort</t>
  </si>
  <si>
    <t>Prieten/a Andreea</t>
  </si>
  <si>
    <t>Tort Naked (Tiramisu)</t>
  </si>
  <si>
    <t>Client Website</t>
  </si>
  <si>
    <t>Cozonac</t>
  </si>
  <si>
    <t>Mix Prajituri</t>
  </si>
  <si>
    <t>Sora Alex</t>
  </si>
  <si>
    <t>Cozonac (Raw-Vegan)</t>
  </si>
  <si>
    <t>Arcmed</t>
  </si>
  <si>
    <t>Mos Nicolae</t>
  </si>
  <si>
    <t>BNI - Acorns</t>
  </si>
  <si>
    <t>Silvia Dinulescu</t>
  </si>
  <si>
    <t>Tort Raw-Vegan</t>
  </si>
  <si>
    <t>Prieten Andreea</t>
  </si>
  <si>
    <t>Tort Tom &amp; Jerry</t>
  </si>
  <si>
    <t>Gabriela Bosinceanu</t>
  </si>
  <si>
    <t>Mix Miniprajituri -50 oameni</t>
  </si>
  <si>
    <t>Madame Floriste</t>
  </si>
  <si>
    <t>Furnizare Cafenea</t>
  </si>
  <si>
    <t>Minprajituri</t>
  </si>
  <si>
    <t>Metropolitan</t>
  </si>
  <si>
    <t>Saptamana IV</t>
  </si>
  <si>
    <t>LPV - Vlad</t>
  </si>
  <si>
    <t>Miniprajituri</t>
  </si>
  <si>
    <t>LPV - Lutza</t>
  </si>
  <si>
    <t xml:space="preserve">LPV - Corina </t>
  </si>
  <si>
    <t>Saptamana III</t>
  </si>
  <si>
    <t>Star &amp; Cohn</t>
  </si>
  <si>
    <t>Prajituri Cafea</t>
  </si>
  <si>
    <t>Guvern Romania (Cristian Dragos)</t>
  </si>
  <si>
    <t>Candy-Bar.ro</t>
  </si>
  <si>
    <t>Candy-Bar tematic + marturii</t>
  </si>
  <si>
    <t>Candy-Bar Raw Vegan</t>
  </si>
  <si>
    <t>Institutul Diplomatic Roman</t>
  </si>
  <si>
    <t>Paul</t>
  </si>
  <si>
    <t>Macarons (70)</t>
  </si>
  <si>
    <t>Laura &amp; Dan</t>
  </si>
  <si>
    <t>Candy-Bar Mix</t>
  </si>
  <si>
    <t>Saptamana II</t>
  </si>
  <si>
    <t>Macarons</t>
  </si>
  <si>
    <t>Referinta (Alexandra)</t>
  </si>
  <si>
    <t>Cutii Macarons</t>
  </si>
  <si>
    <t>Saptamana I</t>
  </si>
  <si>
    <t>NOIEMBRIE</t>
  </si>
  <si>
    <t>1 x macheta tort (2 etaje butaforie + 1 etaj real || fara trandafirii din varf)
-
110 x portie duo-mousse visine (extra visine, rugamintea miresei)
+
8 x desert post
+
2 x desert fara gluten si lactorza (intoleranta severa la faina)</t>
  </si>
  <si>
    <t>coloseum events:120 portii x 125 grame x 65 ron/kg) 975
-
butaforie (400)
1.5 kg tot real (97.5)</t>
  </si>
  <si>
    <t xml:space="preserve"> duo-mousse rotund 1.5 kg pt macheta bragadiru 03 August</t>
  </si>
  <si>
    <t>Degustare Akua Events
0724255551</t>
  </si>
  <si>
    <t>Strada Vasile Gherghel nr. 75</t>
  </si>
  <si>
    <t>Teodora Gheorghe 
0738015150</t>
  </si>
  <si>
    <t>1 Kg Tort Tort Bailey's
1 kg Tort Framboisier
1 Kg Tort cu Fistic si Zmeura
 decorate ca pe site!</t>
  </si>
  <si>
    <t>ING Bank, Expo Business Park, str. Comandor Aviator Popisteanu, nr 54A, Corp C3,</t>
  </si>
  <si>
    <t>Madalina
0765555413</t>
  </si>
  <si>
    <t>Bulevardul Timisoara, nr. 58K
(Langa Penny)</t>
  </si>
  <si>
    <t>1 x platou degustare tort</t>
  </si>
  <si>
    <t>4 cheescake cu fructe ala de a fost la degustare...
6 lemon tart
3 tarte ciocolata
4 tarte cu zmeura</t>
  </si>
  <si>
    <t>Lido,  Bulevardul General Gheorghe Magheru nr. 3-5</t>
  </si>
  <si>
    <t>Lido factura</t>
  </si>
  <si>
    <t>Ghe. Ionescu Sisesti nr. 30</t>
  </si>
  <si>
    <t>cash fara brrrr</t>
  </si>
  <si>
    <t xml:space="preserve">1 x platou 10 persoane </t>
  </si>
  <si>
    <t xml:space="preserve"> Etaj real 1.5 kg fistic cu zmeurapentru macheta amberry hall 10 August</t>
  </si>
  <si>
    <t>LAURA MATEI
0723293434</t>
  </si>
  <si>
    <t>tort printese disney 6 kg, 2 etaje, jos bleu si sus roz ca pe site|| duo mousse cu visine in care ciocolata neagra sa fie inlocuita cu ciocolata cu lapte|| Olivia cu litere din pasta de zahar, in picioare in fata trandafirului de sus ca in poza|| ca printese, in fata, in dreptul numelui Olivia vom avea "Elsa cu colega jos" pe primul nivel si Aurora (blomda in rosu ) pe nivelul 2. Restul de 4 printese (adica poza Retei fara Aurora) vor fi amplasate pe fiecare etaj in lateral, ramanand doar spatele tortului fara rand de printese. Rama sa ramana cu alb</t>
  </si>
  <si>
    <t>Elisa Playground - Strada Lucăcești 19 A</t>
  </si>
  <si>
    <t>1 x tort bailey's 1 kg cu mesajul "Te iubim Mami"</t>
  </si>
  <si>
    <t xml:space="preserve">str. Alunisului, nr. 3, bloc 12c, scara 3, interfon 093, et 4 </t>
  </si>
  <si>
    <t>Mara Balan
0725095269
maraa.balan@yahoo.com</t>
  </si>
  <si>
    <t>Degustare torturi nunta</t>
  </si>
  <si>
    <t>tort 2 ETAJE duo mousse cu visine in care ciocolata neagra sa fie inlocuita cu ciocolata cu lapte pentru 6 kg tort printese disney (Laura Matei 03.08.2018)</t>
  </si>
  <si>
    <t>Lollipop Playground, Strada Avrig 63. candy-bar'ul trebuie sa se amenajeze intre 17:00 si 17:15</t>
  </si>
  <si>
    <t>Degustare torturi nunta
+ 
Platou Candy-Bar:
6 x macarons mix
4 x mini-tarte fructe
4 x mini-tarte ciocolata
4 x pavlova
6 x choux a la creme mix
4 x mini-tarte lamaie cu bezea flambata
4 x mini carrot cake
4 x mini raspberry vanilla</t>
  </si>
  <si>
    <t>Andrei (LARA CAROL)</t>
  </si>
  <si>
    <t>1,6 Kg Tort Citron 
1 kg Tort Fistic cu Zmeura</t>
  </si>
  <si>
    <t>birou LARA carol</t>
  </si>
  <si>
    <t>cash fara brrrr(discount 30 %)</t>
  </si>
  <si>
    <t>Tarta cu ciocolata 5 buc
Tarta cu mure 5 buc
Tarta cu lamaie 5 buc
Tarta cu caise 5 buc
Choux cu vanilie 5 buc</t>
  </si>
  <si>
    <t>factura selari investments</t>
  </si>
  <si>
    <t>Alina
0724688055</t>
  </si>
  <si>
    <t>Banu Dumitrache nr. 46</t>
  </si>
  <si>
    <t>1 x pavlova 1 kg
+ 
certificat conformitate</t>
  </si>
  <si>
    <t>1 x tort decorat rainbow dash. (stie Andreea despre ce e vorba)</t>
  </si>
  <si>
    <t xml:space="preserve"> raspberry vanilla rotund pentru Total tort Rainbow Dash (Alina 08.08)</t>
  </si>
  <si>
    <t>Nedea Marcela
0724255551</t>
  </si>
  <si>
    <t>1 x tarta mare ciocolata
1 x cheese cake caise
1 x tarta mare caise
1 x tarta mare lamaie
1 x tarta mare mure</t>
  </si>
  <si>
    <t>10 x tarta mare mure
10 x tarta mare caise
1 x platou 5 persoane miniprajituri</t>
  </si>
  <si>
    <t>3 kg Raspberry Vanila pentru Marti (06.08) - Anca Serea</t>
  </si>
  <si>
    <t>Tudor M
0769636976</t>
  </si>
  <si>
    <t>1 x tort Opera 1.6 kg</t>
  </si>
  <si>
    <r>
      <t xml:space="preserve">Strada Elena Vacarescu,  19
</t>
    </r>
    <r>
      <rPr>
        <b/>
        <u/>
        <sz val="11"/>
        <color rgb="FF000000"/>
        <rFont val="Calibri"/>
        <family val="2"/>
      </rPr>
      <t>De sunat cand se ajunge</t>
    </r>
  </si>
  <si>
    <t>Daniela Dorofti
+40 724 208 874</t>
  </si>
  <si>
    <t>1 x platou minipraji de 10 persoane</t>
  </si>
  <si>
    <t>90 x portii triunghiulare decorate 95 g FISTIC (doar portiile fara etajul real al tortului)</t>
  </si>
  <si>
    <t>(90x95g ) x 75 lei/kg (factura Mogosoaia IT QUEST &amp; Management)</t>
  </si>
  <si>
    <t>Persoana Contact</t>
  </si>
  <si>
    <t>Raluca Serban
0773991990</t>
  </si>
  <si>
    <t>1 x tort decorat ca in decor ( 4 kg - Raspberry Vanilla) cu mesajul "Ingrid Diana" pe o placuta sprijinita de tort ornata cu un fluture
-
Cand-Bar Tematica Fluturi:
17 x choux fistic
17 x biscuiti decorati tematici cu fluturi
17 x raspberry vanilla
17 x tarte lamaie
17 x  pavlova
17 x tarte fructe
17 x pahar mousse zmeura si vanilie
17 x briose decorate tematic cu fluturi
--
!!! Tortul va fi asezat in cadrul candy-bar'ului</t>
  </si>
  <si>
    <t>1211.12 RON</t>
  </si>
  <si>
    <t>Restaurant Zatara, Strada Vatra Luminoasă 108</t>
  </si>
  <si>
    <t>1 x masa litere "Sweets"
+
Amenajare Candy-Bar (Tematica Alb)
30 x choux fistic
30  x macarons tematici
30 x raspberry vanilla
30 x tarte lamaie
30 x  pavlova
30 x tarte fructe
30 x pahar mousse zmeura si vanilie
30 x briosa ciocolata (frosting alb)
35 x cake pops alb
35 x briose decorate tematic
500 gr bezele colorate tematic</t>
  </si>
  <si>
    <t>Jubile Concept Pipera Strada Emil Racoviță nr. 7</t>
  </si>
  <si>
    <t>Plateste 30% avans. Momentan nu s-a achitat nimic. Conform contractului 15/06.08.2019</t>
  </si>
  <si>
    <t>1300 RON</t>
  </si>
  <si>
    <t>Cristea Gabriela (fb)
0765529895</t>
  </si>
  <si>
    <t>Sabina Dilvaru
0723621269</t>
  </si>
  <si>
    <t>Masa cu litere "Sweets"
+
123 x Choux (33% - ciocolata || cafea || fistic) (25 gr/buc - 2.3 kg)
25 x Briose Colorate Tematic (sa-mi spui ce culori preferi) (75 gr/buc - 1.875 kg)
130 x Mini-Tarte Lamaie si Bezea Flambata (20 gr/buc - 2.6 kg)
130 x Mini-Tarte Ciocolata si Caramel (20 gr/buc - 2.6 kg)
130 x Mini-Tarte Fructe (20 gr/buc - 2.6 kg)  
130 x Mini Pavlove (20 gr/buc - 2.6 kg)  
95 x Mini Citron (25 gr/buc - 2.375 kg)
95 x Mini Fistic &amp; Zmeura (25 gr/buc - 2.375 kg)  
95 x Carrot Cake (30 gr/buc - 2.85 kg)
95 x Raspberry Vanilla  (30 gr/buc - 2.85 kg) 
25 x Biscuit Pictati Tematici (40 gr/buc - 1 kg)
40 x Cake Pops Tematici (30 gr/buc - 1.2 kg)
--
 1113 buc - 28 kg  - 140 gr/persoana</t>
  </si>
  <si>
    <t>3332 RON</t>
  </si>
  <si>
    <t>Cash cu bon (3.5 euro/persoana candybar - 200 persoane)</t>
  </si>
  <si>
    <t>fara bani, ne fac reclama
doar certificat de conformitate</t>
  </si>
  <si>
    <t>Aviatiei Wellness Center(loc de joaca) -str.Soldat Pripu Gheorghe 22a</t>
  </si>
  <si>
    <t>20 kg x 65 ron/kg = 1300 RON
+
400 RON Macheta</t>
  </si>
  <si>
    <t>Client Soiree 21 Sept
0748577847
!! TREBUIE CUMPARATA PIRAMIDA MACARONS!!!</t>
  </si>
  <si>
    <t>Anca Serea
0758222908</t>
  </si>
  <si>
    <t>3 kg x Raspberry vanilla decorat Stranger Things || ca mesaje "Stranger Things" , "Happy birthday, Sarah", "12 ani"
+ 1 x platou minipraji de 10 persoane
+
certificat de conformitate</t>
  </si>
  <si>
    <t>Eva-Ioana
0763193192</t>
  </si>
  <si>
    <t>3 euro/persoana. 50 persoane. Cash cu bon si certificat conformitate</t>
  </si>
  <si>
    <t>Candy-Bar 50 persoane  fara amenajare:
50 x macarons mix(doar fistic, ciocolata si zmeura)
25 x mini-tarte fructe
25 x mini-tarte ciocolata
25 x pavlova
25 x choux a la creme mix
25 x mini-tarte lamaie cu bezea flambata
25 x mini carrot cake
25 x mini raspberry vanilla
500 grame bezele (roz + galben)
+
certificat conformitate</t>
  </si>
  <si>
    <t>card (POS) cu bon (10 % discount (130 x 6 kg)*0.9) 
--
pana la urma s-a platit cu cash</t>
  </si>
  <si>
    <t>Cheescake cu fructe 5
Choux cu vanilie 5
Tarta cu mure 5
Tarta cu lămâie 5
Tarta cu ciocolata 3</t>
  </si>
  <si>
    <t>Laura Dogeanu
0724222572
laura.dogeanu@gmail.com</t>
  </si>
  <si>
    <t xml:space="preserve">1 x tort raspberry vanilla 1.5 kg (decorat ca pe website) </t>
  </si>
  <si>
    <t>factura amalt:
400 macheta
-
112.5 etaj real
-
703.1 tort (75 ron-125 gr)
-
1332.8 (3.5 euro/pers)</t>
  </si>
  <si>
    <t>Cristina Morosanu (Soiree)</t>
  </si>
  <si>
    <t xml:space="preserve"> famboisier rotund pentru macheta Cristina Morosanu (Soiree - 17 Aug)</t>
  </si>
  <si>
    <t>1 x tort 1 kg Framboisier cu mesajul "La multi ani, Bunica!"
+ 
certificat conformitate</t>
  </si>
  <si>
    <t xml:space="preserve">Macheta cu 3 etaje din care unul real (ca in poze decor). TREBUIE FACUTE CELE 2 CAPSUNI IN CIOCOLATA SI DE DEASUPRA!
--
120 x portii lamaie si mac  125 gr
--
Candy-Bar 120 persoane:
Amenajare Candy-Bar 120 pers:
66 x tarte fructe
18 x choux fistic
18 x choux cafea
48 x choux ciocolata
18 x choux vanilie
106 x tarta ciocolata
66 x tarta lamaie
66 x mini pavlova
66 x macarons mix
66 x mini carrot cake
66 x mini raspberry vanilla
</t>
  </si>
  <si>
    <t>Trebuie aflata locatia de taiere de mot</t>
  </si>
  <si>
    <t>600 RON</t>
  </si>
  <si>
    <t>Cash cu bon (5 kg x 120 ron)</t>
  </si>
  <si>
    <t>2 etaje carrot cake pentru tort Cristea Gabriela (5 kg greutate totala - 22.09.2019)</t>
  </si>
  <si>
    <t>1 x tort decorat (2 etaje - 5 kg - carrot) ca in poza "Model Tort"
+
ATENTIE: In loc de acadele sa fie bilute si macarons in CULORI PALE ca in tortul din "Poza 2". Bilele neaparat sa fie comestibile!
+
Placuta cu numele "Emma Alexia" ca in tortul din "Poza 2"
+
Cake Topper "One" ca in poza din fisier décor (sa fie lemn-auriu)</t>
  </si>
  <si>
    <t>Simina
(0726) 697 785‬</t>
  </si>
  <si>
    <t>1 Tort Delight 1,6 kg
+
 certificat conformitate</t>
  </si>
  <si>
    <t>Viorel Tudose (Getica 95)
0744350020</t>
  </si>
  <si>
    <t>Strada Aviator Petre Crețu, nr. 56</t>
  </si>
  <si>
    <t>factura 1/2</t>
  </si>
  <si>
    <t>Sorina Unci
0736168780</t>
  </si>
  <si>
    <r>
      <t xml:space="preserve">"Macheta cu etaj real ca in (POZA 1) cu coronita diagonala de flori naturale ca in (POZA 2)
--
230 x  felie duo-mousse visine (100 gr)
+
sos fructe padure (2 kg)
--
Candy-Bar 100 peroane:
60 choux fistic
60 macarons mix
60 tarte fructe
60 tarta ciocolata
60 tarta lamaie
35 pahar mic mousse alb
35 pahar mic mousse verde
40 briose ( 50% alb || 50% verde)
+
</t>
    </r>
    <r>
      <rPr>
        <b/>
        <u/>
        <sz val="11"/>
        <color rgb="FF000000"/>
        <rFont val="Calibri"/>
        <family val="2"/>
        <charset val="1"/>
      </rPr>
      <t xml:space="preserve">CANDYBAR LARA-SWEETS cu GEAMURI. ATENTIE LA TRANSPORT
</t>
    </r>
  </si>
  <si>
    <t>Degustare Lido</t>
  </si>
  <si>
    <t>in factura de duminica</t>
  </si>
  <si>
    <t>2,5 kg TOTAL, pe rotund || Oreo pentru sorina unci 1 - 11.08</t>
  </si>
  <si>
    <t>3,5 KG tort "LAS VEGAS" (Poza decor)|| Raspberry Vanilla || "LA MULTI ANI, MARIUS! (daca decorul e prea inghesuit atunci mai scoateti din elemente)</t>
  </si>
  <si>
    <t>3.5 Total, pe rotund || raspberyy vanilla pentru tortul LAS VEGAS din 11.08</t>
  </si>
  <si>
    <t>5 kg de fistic cu zmeura || de discutat cum sa il facem pentru Getica95 de pe 11.08</t>
  </si>
  <si>
    <t>Complex Belverede,  Salonul Cristal, cel de langa Piscina
Strada Carierei 58, Clinceni 077060
--
Claudiu - 0723500031</t>
  </si>
  <si>
    <t>Amberry Hall,
Șoseaua București Nord nr 15-23
DE AMENAJAT CANDY-BAR IN BUCATARIE DE LA 17:30-18:30 SI DUPA DE MUTAT CU AJUTORUL LOR IN CAMERA PRINCIPALA</t>
  </si>
  <si>
    <t>1 x platou minipraji de 10 persoane
+
certificat</t>
  </si>
  <si>
    <t>5 tarte cu fructe de sezon
5 tqrte cu zmeura
5 tarte cu lamaie
5 cu ciocolata
5 chessecake
5 tarta caisa
--
In cutii verzi cu tavita</t>
  </si>
  <si>
    <t xml:space="preserve">Strada selari nr 3 </t>
  </si>
  <si>
    <r>
      <t xml:space="preserve">2,5 Kg tort masinute doar etajul albastru, </t>
    </r>
    <r>
      <rPr>
        <b/>
        <u/>
        <sz val="11"/>
        <color rgb="FF000000"/>
        <rFont val="Calibri"/>
        <family val="2"/>
      </rPr>
      <t>FARA MASINUTE</t>
    </r>
    <r>
      <rPr>
        <b/>
        <sz val="11"/>
        <color rgb="FF000000"/>
        <rFont val="Calibri"/>
        <family val="2"/>
      </rPr>
      <t>, doar cu steaguri si baloane||compozitie OREO|| in loc de "SAM" sa fie "Luca".(Aveti poza in decor) 
+ 
1 x platou minipraji 10 persoane</t>
    </r>
  </si>
  <si>
    <t>de adaugat in bonul de mai jos</t>
  </si>
  <si>
    <t>1 singur bon de 919, cash</t>
  </si>
  <si>
    <t>Amberry Hall (10 Aug)
0723264197 - Andra Petrescu</t>
  </si>
  <si>
    <t>5 kg fistic cu zmeura decorat cat mai frumos cu
macarons, fructe si ce vreti voi + lup dacic din
pasta de zahar in fata tortului (lupul sa fie pe
suport in fara tortului, infipt in suport cumva), in
décor aveti poza cu lupul</t>
  </si>
  <si>
    <t>Casa Timis -str. Florica
Romalo 4, Chițorani (pe
langa Ploiesti)</t>
  </si>
  <si>
    <t>factura 2/2 Getica 95 SRL, 5
x 120 + 199 minipraji de
sambata + 250 transport
ploiesti</t>
  </si>
  <si>
    <t>strada pinului 8, voluntari</t>
  </si>
  <si>
    <t>3 Kg Mousse fruncte de padure (Alina )</t>
  </si>
  <si>
    <t>Ridicare Laborator (Apostol)</t>
  </si>
  <si>
    <t>Sediu LARA carol</t>
  </si>
  <si>
    <t>plata pe 24</t>
  </si>
  <si>
    <t>FARA BRRRR discount 30%</t>
  </si>
  <si>
    <t>FARA BRRRR discount 30% Plata total pentru 14,19 si 24</t>
  </si>
  <si>
    <t>Elisa playground</t>
  </si>
  <si>
    <t>Laura Matei</t>
  </si>
  <si>
    <t xml:space="preserve">1 x macheta ca in décor cu etaj real. Initialele sa fie "A" si "C"
-
270 x portie framboisier 100 gr
-
Candy-Bar 100 persoane:
57 x macarons mix 
57 x tarte fructe
57 x tarte ciocolata
57 x pavlova
57 x choux fistic
57 x mini carrot cake
57 x mini raspberry vanilla
20 x briose decorate cu trandafiri albi din apsta
0.6 kg bezele artizanale
</t>
  </si>
  <si>
    <t>Mihaela
0724519079</t>
  </si>
  <si>
    <t>Strada Eroului nr 8, Chiajna</t>
  </si>
  <si>
    <t xml:space="preserve">1 x 2.5 kg tort dreptunghiular framboisier </t>
  </si>
  <si>
    <t>Diana Sabau
0729997449</t>
  </si>
  <si>
    <t>Tort 1 (Ciocolata)
1 x tort snickers cu model ca in décor (1 etaj - 2.4 kg). De facut pe un singur etaj dar de pastrat toate figurinele.
--
Tort 2 (Raspberry Vanilla)
1 x tort raspberry vanilla cu model ca in décor (1 etaj - 2 kg)
De facut pe un singur etaj dar sa pastram toate figurinele. In loc de cifra 4 sa punem cifra "66"
--
1 x platou 10 persoane miniprajituri (cu suplimentare tarte in mod egal in loc de pavlove)
-----
Vor fi transportate in masina 2-3 ore pe parcursul diminetii!</t>
  </si>
  <si>
    <t>tort - 572 RON
platou - 198 RON
+ discount 15%
--------
De intocmit factura persoana fizica</t>
  </si>
  <si>
    <t>Anna Roma
+40 741 784 003</t>
  </si>
  <si>
    <t>3 kg tort Pian + note muzicale cu microfon in varf|| compozitia Snikers ||Jos scrie : la muți ani Hili, și sus puneți cifra 9 mai frumos din mărgele aurii , note lafel pe stixuri</t>
  </si>
  <si>
    <t>Calea Plevnei 145 b</t>
  </si>
  <si>
    <t>Sburlea Viorica 
0767396685</t>
  </si>
  <si>
    <t>Gheorghe Polizu 58-60 - Bucharest Corporate Center|| etaj 8</t>
  </si>
  <si>
    <t>factura pe OWNZONES MEDIA NETWORK RO SRL</t>
  </si>
  <si>
    <t>Bobi 
0725 739 103</t>
  </si>
  <si>
    <t>1,6 Kg Tort youtube ca in poze decor|| 1Kg Compozitie raspberry vanilla || "Happy 10th anniversary Serban!"</t>
  </si>
  <si>
    <t>ridicare laborator pe 14 August</t>
  </si>
  <si>
    <t>scazut din datorie LBE</t>
  </si>
  <si>
    <t>1 kg compozitie raspbbery vanilla pentru 14-08 (Bobi)</t>
  </si>
  <si>
    <r>
      <t xml:space="preserve">2,5 Kg Oreo </t>
    </r>
    <r>
      <rPr>
        <b/>
        <i/>
        <u/>
        <sz val="11"/>
        <color rgb="FF000000"/>
        <rFont val="Calibri"/>
        <family val="2"/>
      </rPr>
      <t>DREPTUNGHIULAR</t>
    </r>
    <r>
      <rPr>
        <b/>
        <sz val="11"/>
        <color rgb="FF000000"/>
        <rFont val="Calibri"/>
        <family val="2"/>
      </rPr>
      <t xml:space="preserve"> decorat ca pe site|| La multi ani!
2,5 Kg Tort Bailey's </t>
    </r>
    <r>
      <rPr>
        <b/>
        <i/>
        <u/>
        <sz val="11"/>
        <color rgb="FF000000"/>
        <rFont val="Calibri"/>
        <family val="2"/>
      </rPr>
      <t>DREPTUNGHIULAR</t>
    </r>
    <r>
      <rPr>
        <b/>
        <sz val="11"/>
        <color rgb="FF000000"/>
        <rFont val="Calibri"/>
        <family val="2"/>
      </rPr>
      <t xml:space="preserve"> || LA multi ani!</t>
    </r>
  </si>
  <si>
    <t>CULORI: VERDE, PORTOCALIU, GALBEN - tematica CITRICE
30 x cake pops
30 x mini-tarta de lamaie cu bezea flambata
50 x macarons mix 
30 x mini briose
30 x tiramisu (la pahar)
30 x mini asortiment carrot cake
30 x chou fistic</t>
  </si>
  <si>
    <t>150 euro factura op SOLE EVENTS</t>
  </si>
  <si>
    <t xml:space="preserve">1 x tort snickers (2 kg) pentru diana sabau (14-Aug dimineata)
1 x tort raspberry(1.6 kg) vanilla pentru diana sabau (14 Aug dimineata) </t>
  </si>
  <si>
    <t>1 x tort 1.6 kg honney (miere si lavanda)
1x tort 1.6 kg poire au vanille
1x tort 1.6 kg pomme au chocolat
1x tort 1.6 kg citron
1 x 1.6 kg tort fistic
1 x platou miniprajituri 10 persoane</t>
  </si>
  <si>
    <t xml:space="preserve">strada Corneliu Coposu 3 </t>
  </si>
  <si>
    <t>cash cu bon
--
un tort cadou
+ 6.4 kg x 100 ron
+ 199 RON</t>
  </si>
  <si>
    <t>Lasat Financiar in Carol + cash</t>
  </si>
  <si>
    <t>Catalin 
0724358661</t>
  </si>
  <si>
    <t>1 kg Tort Citron</t>
  </si>
  <si>
    <t>de livrat pe 14 August in Carol</t>
  </si>
  <si>
    <t>Dan 
0729057479</t>
  </si>
  <si>
    <t>de ridicat de la Laborator</t>
  </si>
  <si>
    <t>3 kg tort fistic pe dreptunghi decorat cum vreti|| La multi ani, Catalin!
2 kg tort printese Disney, poza in Décor|| compozitie duo mousse cu visine|| in loc de Ela sa fie "MARIA"</t>
  </si>
  <si>
    <t>duo mousse cu visine pentru  2 Kg tort printese Disney din 16.08 (Dan)</t>
  </si>
  <si>
    <t xml:space="preserve">factura colloseum events:
200 ron- macheta
97.5 ron - etaj real
1534.75 ron -23.75 kg tort
</t>
  </si>
  <si>
    <t xml:space="preserve"> macheta ca in POZE decor- ultimul etaj de sus sa fie real, de pastrat paleta de culori din poza
+
190 bucati monoportii x Mousse de fistic si zmeura</t>
  </si>
  <si>
    <t>Roman Andreea
+40 765 607 874</t>
  </si>
  <si>
    <r>
      <t xml:space="preserve">1 x tort decorat Oreo ca in poze décor </t>
    </r>
    <r>
      <rPr>
        <b/>
        <u/>
        <sz val="11"/>
        <color rgb="FF000000"/>
        <rFont val="Calibri"/>
        <family val="2"/>
      </rPr>
      <t>cu 3 conuri in loc de unul</t>
    </r>
    <r>
      <rPr>
        <b/>
        <sz val="11"/>
        <color rgb="FF000000"/>
        <rFont val="Calibri"/>
        <family val="2"/>
      </rPr>
      <t>, cu acadele si macarons. Sa scrie "Evelyne" in loc de "Aline".
+
De cumparat o cifra "3" si de pus pe tort</t>
    </r>
  </si>
  <si>
    <t xml:space="preserve"> OREO rotund pentru 1 kg Total (Andreea Roman - 17.08)</t>
  </si>
  <si>
    <t>Platou torturi nunta MONOPORTII ROTUNDE - mousseuri (neaparat citronul si fistic cu zmeura sa fie foarte bune)
+ 1 platou de minipraji 5 persoane</t>
  </si>
  <si>
    <t xml:space="preserve"> raspberry vabilla pentru  rotund pentru 4 kg Total tort fluturi (Raluca Serban  15.09)</t>
  </si>
  <si>
    <t>2 x seturi de degustari torturi nunta</t>
  </si>
  <si>
    <t>1 x tort chocolate delight (1.6 kg). Mesajul pe tort sa fie "La Multi Ani, Mami!"</t>
  </si>
  <si>
    <t>cash cu bon (80 ron/kg)</t>
  </si>
  <si>
    <t>La Zozo Land ( Bd. Timisoara nr.50)</t>
  </si>
  <si>
    <t>tort decorat diametru (22- 3,5 Kg) ca in poze comenzi.
Compozitie "simpla", stie Andreea
+
numele “Sofia” scris pe tort</t>
  </si>
  <si>
    <t>cash cu bon 
+
certificat conformitate</t>
  </si>
  <si>
    <t>Tudor (Alina)</t>
  </si>
  <si>
    <t xml:space="preserve"> "compozitie simpla rotund pentru 3,5 kg tort decorat (Cristina Lazar 24-Aug )</t>
  </si>
  <si>
    <t>1,6 Kg Mousse fruncte de padure (Alina )
+ 1 platou 10 minipraji</t>
  </si>
  <si>
    <t>1kg Citron (decorat ca pe site)
+ 
1 kg fistic cu zmeura (decorat ca pe site)</t>
  </si>
  <si>
    <t>ridicare 17-Aug de la laboraotr</t>
  </si>
  <si>
    <t>Test</t>
  </si>
  <si>
    <t>4 x monoportie cofetarie citron
4 x monoportie cofetarie fistic</t>
  </si>
  <si>
    <t>4 x monoportie cofetarie duo-mousse visine
4 x monoportie cofetarie fistic framboisier</t>
  </si>
  <si>
    <t>4 x monoportie cofetarie ricotta &amp; fructe confiate
4 x monoportie cofetarie bailey's</t>
  </si>
  <si>
    <t>Ridicare Candy-Bar Eveniment Cristina Morosanu</t>
  </si>
  <si>
    <t>400 macheta
--
1755 tort (27 x 65)
--
1547 (3.25 eur x 100 persoane)
--
100 (masa candy-bar)</t>
  </si>
  <si>
    <t>Soiree, Bulevardul Pipera 2
--
Se amenajeaza candy-bar'ul de la 17:45 la 18:45</t>
  </si>
  <si>
    <t>Strada doinei 92A, judetul ilfov, comuna dobroiesti Fundeni Residence
--
Este o curte cu 3 blocuri,al trei-lea bloc pe partea dreapta, interfon 01-parter</t>
  </si>
  <si>
    <t xml:space="preserve">6 x macarons mix (cele mai bune pe care le avem)
3 x mini tarta fructe
3 x mini tarta lamaie
3 x mini tarta ciocolata
8 x choux (cate 2 din fiecare)
3 x mini pavlova
3 x brownie
</t>
  </si>
  <si>
    <t>Metropolitan (Amalia Gherghel)
0722998665</t>
  </si>
  <si>
    <t>Strada aeroportului 88, Cornetu, Bragadiru</t>
  </si>
  <si>
    <t xml:space="preserve">1.8kg tort framboisier|| "La multi ani, Eva Maria!"
+ 
1kg Cheese Cake cu mure, fara mesaj
</t>
  </si>
  <si>
    <t>CARD (POS) de intocmit factura Comrad Events</t>
  </si>
  <si>
    <t>1 x 1,6 Kg Tort Citron 
2 x 1,6 KG Mousse fruncte de padure (Alina )
+ 1 platou 10 minipraji
----
+ financiar lara sweets</t>
  </si>
  <si>
    <t>PRAJI CANDY-BAR CULORI PASTELATE
30 x cake pops (culori pastelate)
30 x mini-tarta de lamaie cu bezea flambata
30 x  mini asortiment  raspberry vanilla 
30 x mini briose (culori pastelate)
30 x tiramisu (la pahar)
30 x mini asortiment carrot cake
30 x chou fistic
30 x mini pavlova
30 x macaroons</t>
  </si>
  <si>
    <t>CULORI: roz, rosu, alb, mov, albastru, galben
30 x cake pops ( roz, rosu, alb, mov, albastru, galben)
30 x  mini asortiment  raspberry vanilla 
30 x mini briose ( roz, rosu, alb, mov, albastru, galben)
30 x mini asortiment carrot cake
30 x chou fistic
30 x macaroons</t>
  </si>
  <si>
    <t>100 x felii tort triunghiulare triomousse 95g
1,5 kg tort real triomousse, imbracat in pasta alba simpla ca butaforia pe care le-am dat-o
+ butaforie 3 etaje ca cea pe care am facut-o data trecuta</t>
  </si>
  <si>
    <t>11 kg tort x 75  lei
butaforia e gratis
(factura Mogosoaia IT QUEST &amp; Management)</t>
  </si>
  <si>
    <t>tort real triomousse pentru butaforia de sambata, mogosoaia</t>
  </si>
  <si>
    <t>4 x seturi de degustare mousse-uri pentru nunta
1 x set de degustare compozitii torturi decoarate (se doreste tort real)</t>
  </si>
  <si>
    <t>Alexandra Timofte Degustare</t>
  </si>
  <si>
    <t xml:space="preserve">Platou felii torturi nunta
+
carrot cake
+
oreo
+ 
chocolate fiesta
</t>
  </si>
  <si>
    <t>Degustare laborator. De aranjat frumos dar cu varfurile feliilor spre exterior</t>
  </si>
  <si>
    <t>Catrinel Munteanu
0 741 042 768</t>
  </si>
  <si>
    <t xml:space="preserve">1 x felie citron
1 x felie carrot cake (e preferatul clientului)
1 x felie fistic
1 x felie oreo
1 x felie chocolate fiesta
--
2 x choux fistic
2 x macarons mov
2 x macarons galben
2 x tarte lamaie
2 x pavlova
</t>
  </si>
  <si>
    <t>Bd. Iuliu Maniu, nr. 12, bl. M16, sc B, et 5, ap 95, sect 6 (Lujerului)</t>
  </si>
  <si>
    <t xml:space="preserve">coloseum events:70 portii x 125 grame x 65 ron/kg) 568.75
-
butaforie (200)
1.5 kg tot real (97.5)
-
</t>
  </si>
  <si>
    <t xml:space="preserve">Butaforie retusata cu etaj real ca in poze decor
--
70 x monoportii triunghiulare (DUO MOUSSE CIOCOLATA CU VISINE)
</t>
  </si>
  <si>
    <t>tort real duo-mousse ciocolata cu visine pentru macheta (24.08.2019- Bragadiru)</t>
  </si>
  <si>
    <t>Zana Scutecel
+40 736 288 103</t>
  </si>
  <si>
    <t xml:space="preserve">6,5 kg TOTAL, pe rotund, 2 etaje, compoztie custom: Blatul vreau sa contina bucati de nuca (fara alune)
Crema cu mascarpone, crema de vanilie cu caise pentru comanda de sambata - Zana Scutecel
</t>
  </si>
  <si>
    <t>Matcha Bar</t>
  </si>
  <si>
    <t>1 x tarta mare ciocolata
1 x tarta mare lamaie
1 x tarta mare caise
1 x tarta mare lamaie
1 x tarta mare mure</t>
  </si>
  <si>
    <t>Matcha Bar,Bulevardul Dacia 25, București
--
Va fi Tudor in fata</t>
  </si>
  <si>
    <t>Ana Caranovic
N/A</t>
  </si>
  <si>
    <r>
      <t xml:space="preserve">Macheta cu Etaj real conform pozei din décor
--
200 x portie triunghiulare (125 gr) cu décor ciocolata si foita de aur - tort citron </t>
    </r>
    <r>
      <rPr>
        <b/>
        <u/>
        <sz val="11"/>
        <color rgb="FF000000"/>
        <rFont val="Calibri"/>
        <family val="2"/>
      </rPr>
      <t xml:space="preserve">CU BEZEA
</t>
    </r>
    <r>
      <rPr>
        <b/>
        <sz val="11"/>
        <color rgb="FF000000"/>
        <rFont val="Calibri"/>
        <family val="2"/>
      </rPr>
      <t xml:space="preserve">--
</t>
    </r>
    <r>
      <rPr>
        <b/>
        <u/>
        <sz val="11"/>
        <color rgb="FF000000"/>
        <rFont val="Calibri"/>
        <family val="2"/>
      </rPr>
      <t>Candy-Bar cu Amenajare 90 pax:</t>
    </r>
    <r>
      <rPr>
        <b/>
        <sz val="11"/>
        <color rgb="FF000000"/>
        <rFont val="Calibri"/>
        <family val="2"/>
      </rPr>
      <t xml:space="preserve">
 (vesela negru/auriu)
40 x cake pops mix (vanilie || ca in imagine)
40 x cupcakes (blat ciocolata, gem visine, crema mascarpone || ca in imagine)
40 x choux fistic (clasic Lara Sweets)
40  x mousse tiramisu (decorat ca in imagine)
40 x mousse zmeura si vanilie (decorat ca in imagine)
40 x mini-tarta ciocolata  (decorat cu foita de aur)
40 x mini-tarta lamaie (decorat cu foita de aur)
40 x mini-tarta fructe (umupluta maxim cu mure si afine)
40 x mini pavlova (decorat cu mure in loc de zmeura)
40 x macarons caramel (decorat ca in imagine "Macarons 1")
--
</t>
    </r>
    <r>
      <rPr>
        <b/>
        <u/>
        <sz val="11"/>
        <color rgb="FF000000"/>
        <rFont val="Calibri"/>
        <family val="2"/>
      </rPr>
      <t xml:space="preserve"> 2 piramide transparente macarons 150 buc</t>
    </r>
    <r>
      <rPr>
        <b/>
        <sz val="11"/>
        <color rgb="FF000000"/>
        <rFont val="Calibri"/>
        <family val="2"/>
      </rPr>
      <t xml:space="preserve">
50 x ciocolata alba (negru cu picatele aurii ca in imagine "Macarons 2)
50 x ceai negru si tonca (alb/auriu cu picatele negre ca in imagine "Macarons 2")
50 x caise (auriu simplu ca in imagine "Macarons 2")</t>
    </r>
  </si>
  <si>
    <t xml:space="preserve">Macheta (1000 RON)
-
Tort (2125 RON - 200x 125 gr x 85/kg)
-
Candy 90 Pers (1927 RON- 4 euro/persoana)
-
Amenajare Candy-Bar (300 RON)
-
150 Macarons (525 RON - 3.5 RON/macaron)
</t>
  </si>
  <si>
    <t>tort citron &amp; bezea pentru macheta Ana Caranovic (31.08.2019)</t>
  </si>
  <si>
    <t>tort real citron si mac pentru macheta (24.08.2019- Andreea Ilisei Soiree)</t>
  </si>
  <si>
    <t>Macheta ca in departament décor cu etaj real
+
200 x portie tort lamaie si mac</t>
  </si>
  <si>
    <t>The Brick paradisuk verde, corbeanca
-
Se amenajeaza candy de la 12:45 la 13:45</t>
  </si>
  <si>
    <t>5 buc mini choux lamaie
5 buc mini choux fistic
1 platou mini prajituri 10 persoane</t>
  </si>
  <si>
    <t>Anda
+40 786 330 338</t>
  </si>
  <si>
    <t>str progresului 1-3, deltastudio razoare</t>
  </si>
  <si>
    <t>cash cu bon, a fost facut discount 15%</t>
  </si>
  <si>
    <t>Factura Colloseum:
450 macheta
-
97.5 etaj real
-
771.875 tort</t>
  </si>
  <si>
    <t xml:space="preserve"> lamaie si mac rotund pentru etaj real macheta palatul bragadiru (25.08.2019)</t>
  </si>
  <si>
    <t>Tort ricotta &amp; fructe confiate. Forma dreptunghiulare. 8 kg
Comment: il vor ornat cu fructe dar nu pe toata suprafata tortului</t>
  </si>
  <si>
    <t>Factura Colloseum:
520 tort</t>
  </si>
  <si>
    <t>Degustare Platou Nunta
Degustare Candy-Bar</t>
  </si>
  <si>
    <t>Cristi
0754626794</t>
  </si>
  <si>
    <t>Bd Dimitrie Pompeiu 6A, sediul Deutsche Bank parter, cod postal 020337
-
Sunt platouri aniversare. Eventual de pus pe tavite aurii.</t>
  </si>
  <si>
    <t>Bd Timisoara 4A, cladirea AfiPark 4, etaj 4, cod postal 061328
-
E platou aniversar. Eventual de pus pe tavite aurii.</t>
  </si>
  <si>
    <t>Masa Candy-Bar
0 722 745 776</t>
  </si>
  <si>
    <t>Ridicare Litere Volumetrice Candy-Bar</t>
  </si>
  <si>
    <t>restaurantul Isoletta  Events, Sos. Nordului 7-9. 
--
Amenajarea se face de la 17:20 la 18:30</t>
  </si>
  <si>
    <t>1 x tort "Naked" decorat ca in decor
2 etaje, 7 kg
||Tortul e cu blat alb, crema neagra și crema alba cu smochine||
--
Candy-Bar cu Amenajare:
60 cannoli sicilieni
60 mini briose
60 mini tarte fructe
60 cookies merisoare
60 mini prajituri cu ciocolata, cafea si foi de nuci, 60 mini prajituri cu fistic si zmeura
60 mini prajituri mousse de ciocolata neagra si lapte cu mousse de ciocolata alba
60 macarons (mix)
60 choux-uri (fistic, vanilie, cafea, ciocoalta)</t>
  </si>
  <si>
    <t xml:space="preserve"> 324 a platit pe 06.06 sau 07.06.  972 RON se plateste cash la eveniment. 120 RON/kg</t>
  </si>
  <si>
    <t>1 kg Duo mousse cu visine
1 kg Framboisier 
* decorate ca pe site si ambele sa aiba placuta cu mesajul "Bienvenue en Roumanie!"</t>
  </si>
  <si>
    <t xml:space="preserve">Nicolae Filipescu, nr. 50|| interfon 2
</t>
  </si>
  <si>
    <t>cash cu bon 30% reducere</t>
  </si>
  <si>
    <t>Degustare Corina (Laura Bejan)</t>
  </si>
  <si>
    <t>Platou Torturi Nunta
Platou Miniprajituri (cat mai multe sortimente)
+ Oreo</t>
  </si>
  <si>
    <t>Choux vanilie 5
Tarta cu ciocolata 5
Tarta cu fructe 5
Tarta cu lămâie 5
Cheescake cu fructe 5</t>
  </si>
  <si>
    <t>Degustare Andreea Nicorescu 
Milk &amp; Honney Events</t>
  </si>
  <si>
    <t>1 x platou miniprajituri 5 persoane (4 tipuri de choux-uri diferite, 4 tipuri de macarons diferiti)
1 x platou torturi nunta (+ carrot cake + oreo)</t>
  </si>
  <si>
    <t>Strada Țintașului 17-19
--
Sa nu fie inghesuite torturile in cutii. Mai bine punem extra:)</t>
  </si>
  <si>
    <t>Model macheta - ultimul etaj de sus sa fie real, de pastrat paleta de culori din poza
-
94 x monoportii mouse lamaie si mac
1 x monoportie vegana
+
O cutie de take-away pentru etajul real - mirii isi doresc sa ia etajul real la pachet.</t>
  </si>
  <si>
    <t>Str. Noua nr. 54, branesti Ilfov</t>
  </si>
  <si>
    <t>2,5 Kg total, pe rotund|| Framboisier|| FARA PASTA DE ZAHAR|| de jur imprejur sa fie lipite masinute cu cifre ca in poza 1, In vârf pe modelul tortului steluța sa fie o mașinuța ( ca și cele lipite) care sa aibă cifra 2|| Pe fata tortului, in dreptul mașinuței cu cifra 2 sa fie lipit sau pus o plăcuta cu numele “Alexandru Nicolas”</t>
  </si>
  <si>
    <t>Beta Amalia Mirela
+40 726 779 234</t>
  </si>
  <si>
    <t>décor</t>
  </si>
  <si>
    <t>framboisier pe rotund pentru 2,5 kg tort masinute - Beta Amalia Mirela (25.08)</t>
  </si>
  <si>
    <t>Ana Maria Vasile 
+40 723 424 227</t>
  </si>
  <si>
    <t>Sorin Trifa
0 723 660 043</t>
  </si>
  <si>
    <t>Șoseaua București-Ploiești 1A, București 013681</t>
  </si>
  <si>
    <t>2 x platou 10 persoane miniprajituri
1 x platou 20 persoane prajituri cafea
1 x platou 30 macarons mix
1 x tort citron 2.4 kg
--
1 x cutie negrese mari din partea laurei (DE TRANSMIS DOMNULUI TRIFA CA PLATOUL DE NEGRESE ESTE CADOU!!!)</t>
  </si>
  <si>
    <t>sdadasd</t>
  </si>
  <si>
    <t>sad</t>
  </si>
  <si>
    <t>3 x Platou 5 Persoane</t>
  </si>
  <si>
    <t>str. Delea Noua 3 - DB Cargo</t>
  </si>
  <si>
    <t>Magda
0745999778</t>
  </si>
  <si>
    <t>Alexandru George Cismasu
0732719854</t>
  </si>
  <si>
    <t xml:space="preserve">114 x choux (25 % fistic || 25% ciocolata || 25% vanilie || 25% cafea) (25 gr/buc - 2.85 kg)
114 x macarons mix  (25 gr/buc - 2.85 kg)  
57 x biscuiti decorati tematici cu fluturi (40 gr/buc - 2.28 kg)
70 x mini raspberry vanilla (25 gr/buc - 1.75 kg)
70 x mini carrot cake (25 gr/buc - 1.75 kg)  
70 x tarte lamaie   (25 gr/buc - 1.75 kg)    
70 x tarte ciocolata si caramel  (25 gr/buc - 1.75 kg)    
114 x pavlova (15 gr/buc - 1.71 kg)
70 x tarte fructe   (25 gr/buc - 1.75 kg)   
43 x pahar mousse zmeura si vanilie  (50 gr/buc - 2.15 kg)  
43  x pahar mousse tiramisu (50 gr/buc - 2.15 kg)  
30 x briose decorate tematic cu fluturi  (75 gr/buc - 2.25 kg)
-------------------
891 bucati - 12 sortimente - 25 kg 
</t>
  </si>
  <si>
    <t>Yahoo, Strada Seimeni 26, Cernavodă</t>
  </si>
  <si>
    <t>factura persoana fizica. 30% a fost achitat deja. Mai trebuie facuta o plata de 3081.4 RON</t>
  </si>
  <si>
    <t>4402 RON</t>
  </si>
  <si>
    <t>1 x tort curcubeu pastel 10.8 kg Raspberry vanilla (7.2 kg compozitie) pe 3 etaje. Sa fie scris pe tort numele fetitei "Clara"</t>
  </si>
  <si>
    <t>2 x Degustare Platou Nunta
2 x Degustare Candy-Bar
-
Cutie cu buline verzi cu 4 monoportii pavlova mari (frumos decorate cu fructe)</t>
  </si>
  <si>
    <t>6,5 kg x 120 lei
2 x platouri de 10 pers custom 
20 briose x 6 lei
300 lei amenajare candybar (factura pe Zataro Boutique, CUI 37290922)</t>
  </si>
  <si>
    <t>6,5 kg TOTAL, pe rotund, 2 etaje, compoztie custom: Blatul vreau sa contina bucati de nuca (fara alune)
Crema cu mascarpone, crema de vanilie cu caise
Partea de décor: ambele etaje sa fie un verde ca verdele inchis din invitatia din DECOR, etajul de jos sa fie cu calutii alesi de Reta, asezati de jur imprejur, intre caluti sa puneti niste coloane sau "ca o draperie stransa la mijloc'. ornamentele de pe primul etaj sa fie albe
Al doilea etaj sa fie cu cercuri de un verde mai deschis decat culoarea de baza a tortului, cercurile sa fie pictate sau colorate. Ideea tortului trebuie sa respecte tema din invitatie.
De asemena sa aparanumele "Achim" undeva pe tort
Amenajare Candy bar 30 persoane(vesela alba):
25 x Cake pops 2 culori:
{10 x Cele imbracate in verde cu  umplutura de ciocolata 
15 x Cele in alb cu ceva pentru copii fara ciocolata. }
20 x Briose 2 feluri: cu mascarpone si inca ceva fara ciocolata 
25 x tarte ciocolata
25 x pavlove
25 x choux cu fistic</t>
  </si>
  <si>
    <t>460 euro candy
restul tort</t>
  </si>
  <si>
    <t>Persoana Contact
0 786 905 659</t>
  </si>
  <si>
    <t>Domeniul Cu Ciresi,
Șoseaua Giurgiului nr. 9</t>
  </si>
  <si>
    <t>Ridicare Candy-Bar de la evenimentul Cristinei Bratu (24.08)</t>
  </si>
  <si>
    <t>Luiza (Nica Tudorel)
0767657671</t>
  </si>
  <si>
    <t>Macheta Tort cu etaj real ca in poze Décor. Trebuie sa comandam noi florile!
-
180 x portie 100 gr duo-mousse visine
-
candy-bar 100 persoane:
57 x macarons mix 
57 x tarte fructe
57 x tarte ciocolata
57 x pavlova
57 x choux fistic
57 x mini carrot cake
57 x mini raspberry vanilla
20 x briose decorate cu trandafiri albi din apsta
0.6 kg bezele artizanale</t>
  </si>
  <si>
    <t>100 masa candy-bar
-
400 macheta
-
97.5 etaj real
-
1170 - 18 kg tort
-
325 euro candy-bar</t>
  </si>
  <si>
    <t>Tort Ca ca in Poze Décor. TOT REAL. Florile vor fi achiztionate de la Anca Events. (iedera + floarea miresei)
Fistic si fructe confiate. Tortul va fi montat pe schelet metalic
--
10 kg (3-4 etaje)</t>
  </si>
  <si>
    <t>90 Ron/kg</t>
  </si>
  <si>
    <t xml:space="preserve"> duo-mousse visinie rotund 1.5 kg pentru macheta Lucian barbulescu (soiree 15.09</t>
  </si>
  <si>
    <t xml:space="preserve">Lucian Barbulescu Soiree 15 Septembrie
0 722 333 309
</t>
  </si>
  <si>
    <t>1 x platou torturi nunta
1 x platour torturi décor (toate compozitiile)
----
Incerc sa introducem torturile la ei in restaurant</t>
  </si>
  <si>
    <t>Sef Sala Casa Doina
0745.009 009</t>
  </si>
  <si>
    <r>
      <t xml:space="preserve">1 x tort framboisier 2 kg (versiunea veche. Cea pe care a tot luat-o Diana) acoperit FULL cu macarons si fructe 
+ 
"Eva" ca in "poza 2"
+
o figurina ca cea pusa in fisier décor pe care o punem </t>
    </r>
    <r>
      <rPr>
        <b/>
        <u/>
        <sz val="11"/>
        <color rgb="FF000000"/>
        <rFont val="Calibri"/>
        <family val="2"/>
      </rPr>
      <t xml:space="preserve">PE SUPORT LANGA TORT </t>
    </r>
    <r>
      <rPr>
        <b/>
        <sz val="11"/>
        <color rgb="FF000000"/>
        <rFont val="Calibri"/>
        <family val="2"/>
      </rPr>
      <t>. (daca e nevoie folosim un suport mult mai mare)
+
LUMANARE CIFRA "1"
--------------------------------
CERTIFICAT CONFORMITATE</t>
    </r>
  </si>
  <si>
    <t>cash fara brr. 320 cu 30% discount
+ 
10 RON lumanre
----------
PLATESTE DIANA DUPA DATA DE 26.07.2019. NU SE IA NIMIC LA EVENIMENT</t>
  </si>
  <si>
    <t xml:space="preserve">Macheta cu etaj real ca in "POZA 1" dar cu funda de satin ca in "POZA 2" intre primele doua etaje de jos in sus.
--
200 portii triunghiulare x 125 grame -Blat cu cacao insiropat, duo mousse melange ciocolata (lapte+neagra), mousse lejer de vanilie (fara ciocolata alba)
--
Amenajare Candy-Bar 100 persoane:
60 x Choux (25% - ciocolata || vanilie || cafea || fistic) (25 gr/buc - 2.3 kg)
27 x Briose Colorate Tematic (sa-mi spui ce culori preferi) (75 gr/buc - 3.375 kg)
48  x Mini-Tarte Lamaie si Bezea Flambata (20 gr/buc)
48  x Mini-Tarte Ciocolata si Caramel (20 gr/buc)
48  x Mini-Tarte Fructe (20 gr/buc)  
48  x Mini Pavlove (20 gr/buc)  
48  x Brownie (50 gr/buc)
48  x Tiramisu la Pahar (50 gr/buc)
48  x Carrot Cake (30 gr/buc)
48  x Raspberry Vanilla  (30 gr/buc) </t>
  </si>
  <si>
    <t xml:space="preserve">Crina Bratu
0748151999
-------------
Contact Locatie
0786905659
</t>
  </si>
  <si>
    <t>Domeniul Cu Ciresi,
Șoseaua Giurgiului nr. 9
--
Primii invitati sosesc la 20:00. Se poate amenaja de la 18:30 la 19:30
--
SE GASESTE IN PRINTUL DE AZI HARTA DE INTRARE IN LOCATIE. ESTE IMPORTANT SA O PRINTATI SI SA O AVETI CU VOI CA SA PUTETI SA GASITI INTRAREA FURNIZORILOR</t>
  </si>
  <si>
    <t xml:space="preserve">Andreea Ilisei (Soiree)
</t>
  </si>
  <si>
    <t>Casa Doina, Şoseaua Pavel D. Kiseleff 4, București
--
De specificat sefului de sala ca tortul este pentru familia godeanu (Anca si Mihai) cu evenimentul la ora 17:00</t>
  </si>
  <si>
    <t>Cristina Lazar
0723265656</t>
  </si>
  <si>
    <r>
      <t>SE PLATESTE MARTI. DOAR SE INMANEAZA FACTURA! Ignorati ce e dupa lina de mai jos
---
SE PLATESTE</t>
    </r>
    <r>
      <rPr>
        <b/>
        <u/>
        <sz val="11"/>
        <color rgb="FF000000"/>
        <rFont val="Calibri"/>
        <family val="2"/>
      </rPr>
      <t xml:space="preserve"> CASH CU FACTURA</t>
    </r>
    <r>
      <rPr>
        <b/>
        <sz val="11"/>
        <color rgb="FF000000"/>
        <rFont val="Calibri"/>
        <family val="2"/>
      </rPr>
      <t xml:space="preserve"> SOLE EVENTS. SE PLATESC AMBELE EVEMNIMENTE (24 Aug -150 Euro + 25-Aug 100 Euro la 4.76)</t>
    </r>
  </si>
  <si>
    <t>Se plateste marti.
De scos certificat de conformitate!</t>
  </si>
  <si>
    <t>Ciprian (Matcha Bar)
0744325595
hello@matchabar.ro</t>
  </si>
  <si>
    <t>Amai Garden, Strada Gladiolelor 17</t>
  </si>
  <si>
    <t>Antonia Banica
0755979503
tonyy.2008@yahoo.com</t>
  </si>
  <si>
    <t xml:space="preserve">1 x 1 kg tort fistic cu zmeura
</t>
  </si>
  <si>
    <t>Strada Sergent Ion Iriceanu nr 10 bloc 156 scara B et 3 ap 72</t>
  </si>
  <si>
    <t>120 RON</t>
  </si>
  <si>
    <t>cash cu bon.</t>
  </si>
  <si>
    <t>Andreea Bibire
0765842142</t>
  </si>
  <si>
    <t>Tort unicorn 2 ca in poze décor
3 kg (greutate totala)
Oreo
Mesaj: La Multi Ani, Adelina!"</t>
  </si>
  <si>
    <t>Strada Iosif sava nr 22, Pantelimon</t>
  </si>
  <si>
    <t xml:space="preserve"> OREO rotund pentru 3 kg Total tort Unicorn 2 (Andreea Bibire 27.08)</t>
  </si>
  <si>
    <t>The Brick paradisuk verde, corbeanca</t>
  </si>
  <si>
    <t>Livrare financiar</t>
  </si>
  <si>
    <t>Financiar
0724255551</t>
  </si>
  <si>
    <t>Andreea
0 737 665 882</t>
  </si>
  <si>
    <t>Purcel Dumitru
??? (stie Mirela R. numarul)</t>
  </si>
  <si>
    <t>Hotel și restaurant Reve Mariage, Str prelungirea Ghencea, nr 95 L
-
Se amenajeaza intre 18:30 si 19:30</t>
  </si>
  <si>
    <t>Candy 60 persoane(272 buc)
34 x Macarons mixt
34 x Choux fistic
34 x Choux vanilie
34 x Pavlova
34 x Mini-tarta cioco +caramel
34 x Minitarte fructe
34 x Minitarte lămâie și bezea
34 x Tiramisu pahar</t>
  </si>
  <si>
    <t>999.6 RON</t>
  </si>
  <si>
    <t xml:space="preserve"> candy-bar ( 50 pers - 4 euro + 400 RON) (1252 RON)
_
Tort Decorat (840 RON)
--Tort carrot cake (100 ron)</t>
  </si>
  <si>
    <t>2192 RON</t>
  </si>
  <si>
    <t xml:space="preserve"> Tudor</t>
  </si>
  <si>
    <t xml:space="preserve"> Lamaie &amp; Fistic rotund pentru 7 kg Total Decorat (Catrinel Munteanu 07.09)</t>
  </si>
  <si>
    <t>Dana Dorobantu (soiree)</t>
  </si>
  <si>
    <t>Degustare Laborator
--
Feliile de tort cu varful spre afara farfuriei!</t>
  </si>
  <si>
    <t>Dana Dorobantu (nunta la soiree)
0768097143</t>
  </si>
  <si>
    <t>Calea Vacaresti nr 391, sector 4, in incinta Sun Plaza, in cladirea de birouri Sun Offices, intrarea B, etajul 2, la CBRE</t>
  </si>
  <si>
    <t xml:space="preserve">1 x tort test (cat de mic se poate) 
blat alb, mousse cioco alba, Bob zmeura (framboisier cu cioco alba)
---
Monoportii pavlova mai mari decat cele trimise ultima data la soiree. 8-9 cm diametru decorate cu multe fructe
</t>
  </si>
  <si>
    <t>Monica Nitescu (BNI)
Sabina Dilvaru
0723621260</t>
  </si>
  <si>
    <t>SHOWROOM ESTETIQUE SOLUTIONS
--
DE AFLAT ADRESA
--
Se amenajeaza candy-bar'ul cu vesela ALBA (masa e alba) intre 9:45 si 10:45</t>
  </si>
  <si>
    <t>FACTURA PE ESTETIQUE SOLUTIONS
--
100 ron amenajare
-
120  euro candybar (4 euro pt 60 pers)
--
10 % discount BNI doar pe candy-bar</t>
  </si>
  <si>
    <t>Candy-Bar cu Amenajare:
15 x briosa decorata cu banut printat logo "Estetique Solutions" (blat cu vanilie, fructe, gem capsuni si crema mascarpone) (75 gr/buc || 1.125 kg)
-
15 x briosa decorata cu banut printat logo "GENEO" (blat cu vanilie, fructe, gem capsuni si crema mascarpone) (75 gr/buc || 1.1125 kg)
-
20 x brownie (50 gr/buc || 1 kg)
20 x chocolate chip cookie  (40 gr/buc || 0.8 kg)
20 x tarta fructe (25 gr/buc || 0.5 kg)
20 x choux fistic (30 gr/buc || 0.6 kg)
20 x tarta lamaie (25 gr/buc || 0.5 kg)
---------------
6 sortimente - 130 bucati - 5.65 kg
----------------
ATENTIE. LOGO-URILE SUNT IN FISIER DECOR</t>
  </si>
  <si>
    <t>Comanda 5 Octombrie (Amberry)
0 724 359 928</t>
  </si>
  <si>
    <t>Factura amberry hall</t>
  </si>
  <si>
    <t>400 butaforie
--
97.5 etaj real
--
1365 tort (21 kg)
--
1785 candy (3 eur/pers 125 persoane)
--
100 masa candybar</t>
  </si>
  <si>
    <t xml:space="preserve">1 x Degustare Platou Nunta
1 x Degustare Candy-Bar
</t>
  </si>
  <si>
    <r>
      <t>Tort natural chocolate fieste cu décor de tort NAKED CA IN DEPARTAMENT DÉCOR (</t>
    </r>
    <r>
      <rPr>
        <b/>
        <u/>
        <sz val="11"/>
        <color rgb="FF000000"/>
        <rFont val="Calibri"/>
        <family val="2"/>
      </rPr>
      <t>ASTEPTAM MODEL</t>
    </r>
    <r>
      <rPr>
        <b/>
        <sz val="11"/>
        <color rgb="FF000000"/>
        <rFont val="Calibri"/>
        <family val="2"/>
      </rPr>
      <t>)
--
10 kg pe xxx Etaje (de stabilit numele etajelor)</t>
    </r>
  </si>
  <si>
    <t xml:space="preserve">Comanda 26 OCT (Soiree)
</t>
  </si>
  <si>
    <t>400 macheta
--
1625 tort (25 x 65)
--
1547 (3.25 eur x 100 persoane)
--
100 (masa candy-bar)</t>
  </si>
  <si>
    <t>3672 RON</t>
  </si>
  <si>
    <t>20 kg x 65 ron/kg = 1300 RON
+
1100 RON Macheta (extra 700)
+
50 persoane candy 3.5 euro = 833 RON
+
50 persoane candy 3 euro = 714 RON
+
Masa Candy-Bar
100 RON</t>
  </si>
  <si>
    <r>
      <t xml:space="preserve">Macheta cu etaj real ca in comenzi. Tortul sa fie propotionat sa fie ca inaltimea tortului "Model Inaltime"
+
200 x fistic cu zmeura
--
Candy-Bar 100 persoane cu MASA "LITERE SWEETS":
TOTUL SA FIE CAT MAI </t>
    </r>
    <r>
      <rPr>
        <b/>
        <u/>
        <sz val="11"/>
        <color rgb="FF000000"/>
        <rFont val="Calibri"/>
        <family val="2"/>
      </rPr>
      <t xml:space="preserve">ALB, </t>
    </r>
    <r>
      <rPr>
        <b/>
        <sz val="11"/>
        <color rgb="FF000000"/>
        <rFont val="Calibri"/>
        <family val="2"/>
      </rPr>
      <t>inclusiv vesela
57 x macarons mix 
57 x tarte fructe
57 x tarte ciocolata
57 x pavlova
57 x choux fistic
57 x mini carrot cake
57 x mini raspberry vanilla
20 x briose decorate cu trandafiri albi din apsta
0.6 kg bezele artizanale (alb)</t>
    </r>
  </si>
  <si>
    <t>4047 RON</t>
  </si>
  <si>
    <t>de stabilit detalii botez</t>
  </si>
  <si>
    <t>cash cu bon
+ certificat conformitate</t>
  </si>
  <si>
    <t>Se plateste la comanda lui cristi
+ certificat conformitate</t>
  </si>
  <si>
    <t>1 x platou miniprajituri 10 persoane
-
ATENTIE: In loc de Macarons sa punem 8 choux-uri de ciocolata
+ 30 carti vizita generala Lara Sweets</t>
  </si>
  <si>
    <t>3 platouri personalizate:
PLATOU 1:
10 x choux ciocolata
10 x choux fistic
10 x choux cafea
10 xchoux vanilie
----
Platou 2:
10 x minipavlova
10 x mini tarta ciocolata
5 x mini tarta fructe
5 x mini tarta lamaie
-----
Platou 3:
5 x mini pavlova
5 x mini tarta ciocolata
10 x mini tarta fructe
10 x mini tarta lamaie
+ 30 carti vizita generala Lara Sweets</t>
  </si>
  <si>
    <t>Ivancu Florentina
+40 (785) 373 409</t>
  </si>
  <si>
    <t>Degustare Restaurant Sole
--
Asteapta Tudor in fata</t>
  </si>
  <si>
    <t xml:space="preserve">74 x felii tort triunghiulare fistic 95g 
1,5 kg tort real fistic, imbracat in pasta alba simpla ca butaforia pe care le-am dat-o
</t>
  </si>
  <si>
    <t>8.53 kg tort x 75  lei
(factura Mogosoaia IT QUEST &amp; Management)</t>
  </si>
  <si>
    <t xml:space="preserve">110 x felii tort triunghiulare fistic 95g 
1,5 kg tort real fistic, imbracat in pasta alba simpla ca butaforia pe care le-am dat-o
</t>
  </si>
  <si>
    <t>11.95 kg tort x 75  lei
(factura Mogosoaia IT QUEST &amp; Management)</t>
  </si>
  <si>
    <t>2 x torturi reale fistic pentru butaforiile de vineri si sambata de la Mogosoaia</t>
  </si>
  <si>
    <t>Oana Barbuceanu
0733673095</t>
  </si>
  <si>
    <t xml:space="preserve">4kg Tort Botez || de ales modelul si compoztitia
+ 
Amenajare Candy Bar 30 persone
</t>
  </si>
  <si>
    <t>Restaurant Piccadilly/ Strada Vulturilor 97-99</t>
  </si>
  <si>
    <t>aprox 1350</t>
  </si>
  <si>
    <t>Madalina Nedelcu
+40 768 858 963</t>
  </si>
  <si>
    <t>Amenajare Candy bar:
Masa sweet (aranjata ca in poza din decor)
9 x platouri de minipraji de 10 persoane</t>
  </si>
  <si>
    <t>9 x 199 + 300 amenajare candy bar
(de intocmit factura avans pe Cornea Madalina 209,1 lei)</t>
  </si>
  <si>
    <t xml:space="preserve">Degustare
1 x felie tort raw tiramisu
1 x felie tort raw cheese cake
1 x felie raw coconut
1 x monoportie vegana fistic
1 x monportie vegana afine
</t>
  </si>
  <si>
    <t>Amberry Hall</t>
  </si>
  <si>
    <t>factura op Sole events</t>
  </si>
  <si>
    <t xml:space="preserve">Candy-Bar Fara Amenajare:
Culori: alb, crem, bordo
25 x mini-pavlova
25 x mini-tarte cu lamaie cu bezea flambata
25 x mini-raspberry vanilla si carrot cake
25 x choux  fistic
25 x mini briose
</t>
  </si>
  <si>
    <t xml:space="preserve">Candy-Bar Fara Amenajare:
CULORI: alb, ivoire, mov
30 x cake pops
40 x  mini asortiment  raspberry vanilla 
40 x mini tarte cu lamaie si bezea
40 x choux fistic
</t>
  </si>
  <si>
    <t xml:space="preserve">Matcha Bar,Bulevardul Dacia 25, București
--
Trebuie doar lasate la fata de ei din partea Lara Sweets, in cazul in care nu este Ciprian acolo
</t>
  </si>
  <si>
    <r>
      <t xml:space="preserve">Candy-Bar 60 persoane cu </t>
    </r>
    <r>
      <rPr>
        <b/>
        <u/>
        <sz val="11"/>
        <color rgb="FF000000"/>
        <rFont val="Calibri"/>
        <family val="2"/>
      </rPr>
      <t>MASA "LITERE SWEETS" + 3 placi plexi:</t>
    </r>
    <r>
      <rPr>
        <b/>
        <sz val="11"/>
        <color rgb="FF000000"/>
        <rFont val="Calibri"/>
        <family val="2"/>
      </rPr>
      <t xml:space="preserve"> (alb/visiniu)
35 x choux chiocolata 
35 x tarte fructe
35 x tarte ciocolata
35 x pavlova
35 x choux fistic
35 x brownie
35 x pahar tiramisu cu lingurita
35 x briose decorate cu logo banut BNI ca in decor sau doar colorate cu Alb/Visiniu
0.3 kg bezele artizanale (alb si visiniu)</t>
    </r>
  </si>
  <si>
    <t>KASTA EVENTS, Bulevardul Pipera 2, Voluntari 077190
--
Se amenajeaza intre 17:35 si 18:35</t>
  </si>
  <si>
    <t>BNI
Diana Sabau
0729977449</t>
  </si>
  <si>
    <t>poza model macheta ca in poze decor.  ultimul etaj de sus sa fie real, decorat cu capsuni, mure si afine.
--
95 x monoportie (rotunde, invelite in fulgi de ciocolata neagra cu o zmeura si merisoare in varf.)
COMPOZITIE: bavarez - blat de cacao, mousse de ciocolata neagra si zmeura in interior</t>
  </si>
  <si>
    <t xml:space="preserve"> Compozitie "Bavarez rotund pentru macheta palatul bragadiru (01.09)</t>
  </si>
  <si>
    <t>Gina
0720.514.344</t>
  </si>
  <si>
    <t xml:space="preserve">Anamaria Dinu
0 (721) 142 304‬.50 </t>
  </si>
  <si>
    <t>Strada Trapezului nr.1, bl R12,, Sc B, et 2,ap 45</t>
  </si>
  <si>
    <t>Degustare Candy Bar- platou miniprajituri 3 persoane in cutie verde</t>
  </si>
  <si>
    <r>
      <t xml:space="preserve">1 x macheta ca in décor cu etaj real. </t>
    </r>
    <r>
      <rPr>
        <b/>
        <u/>
        <sz val="11"/>
        <color rgb="FF000000"/>
        <rFont val="Calibri"/>
        <family val="2"/>
      </rPr>
      <t>ASTEPTAM DETALIILE MACHETA</t>
    </r>
    <r>
      <rPr>
        <b/>
        <sz val="11"/>
        <color rgb="FF000000"/>
        <rFont val="Calibri"/>
        <family val="2"/>
      </rPr>
      <t xml:space="preserve">
--
250 x portie fistic cu zmeura 100 gr (de adaugat nuca in interior ca sa fie mai crunchy)
-
Candy-Bar 100 persoane: (asteptam confirmare pers)
57 x macarons mix 
57 x tarte fructe
57 x tarte ciocolata
57 x pavlova
57 x choux fistic
57 x mini carrot cake
57 x mini raspberry vanilla
20 x briose decorate cu trandafiri albi din apsta
0.6 kg bezele artizanale
</t>
    </r>
  </si>
  <si>
    <t>2,5 kg Tort Fistic cu Zmeura|| "La mulți ani, Alexandru"
2,5 kg Tort duomousse cu visine ||"La mulți ani, Alexandra"</t>
  </si>
  <si>
    <t>Mihaela Ioniță (Emilia Conta)
0726199545</t>
  </si>
  <si>
    <t>Str Secuilor nr 7, bl 31 sc 3, sector 4</t>
  </si>
  <si>
    <t>fara brrrr, 20% discount, bani la Dan</t>
  </si>
  <si>
    <r>
      <rPr>
        <b/>
        <u/>
        <sz val="11"/>
        <color rgb="FF000000"/>
        <rFont val="Calibri"/>
        <family val="2"/>
      </rPr>
      <t>cash fara brrr</t>
    </r>
    <r>
      <rPr>
        <b/>
        <sz val="11"/>
        <color rgb="FF000000"/>
        <rFont val="Calibri"/>
        <family val="2"/>
      </rPr>
      <t xml:space="preserve">
</t>
    </r>
  </si>
  <si>
    <t>F</t>
  </si>
  <si>
    <t>1,6 tort fistic cu zmeura || "Happy Birthday, Alex!"</t>
  </si>
  <si>
    <t>fara brrrr</t>
  </si>
  <si>
    <t>Teodor Voinescu
0722264945</t>
  </si>
  <si>
    <t>4kg Tort spider man pe DREPTUNGHI (rosu cu paianjen pe mijloc si in rest plasa neagra)|| Oreo ||"La multi ani, Dan!"
+ 
certificat conformitate</t>
  </si>
  <si>
    <t>factura pers fizica  Teodor Voinescu + certificat conformitate</t>
  </si>
  <si>
    <t>oreo pe dreptunghi pentru 4kg total tort spiderman - 31.08 (Alexandru Voinescu sema park)</t>
  </si>
  <si>
    <t>Magic Place
‭+40 (732) 907 337‬</t>
  </si>
  <si>
    <t>1 x tort fistic 2 kg cu mesajul "La Multi Ani, Amalia!"</t>
  </si>
  <si>
    <t>Laure Ciuhu</t>
  </si>
  <si>
    <t>4 x platou 5 persoane
1 x tarte mai (caise, mure, zmeura, ciocolata)</t>
  </si>
  <si>
    <t>Roxana Ceilacu
roxana_cocea@yahoo.com
0723194648</t>
  </si>
  <si>
    <t>orășelul cunoașterii... Str. Pajurei 3A</t>
  </si>
  <si>
    <r>
      <t xml:space="preserve">1 x tort Mickey Mouse ca in décor (4 kg - raspberry vanilla)
ATENTIE: SA FIE </t>
    </r>
    <r>
      <rPr>
        <b/>
        <u/>
        <sz val="11"/>
        <color rgb="FF000000"/>
        <rFont val="Calibri"/>
        <family val="2"/>
      </rPr>
      <t>SCOOBY DOO</t>
    </r>
    <r>
      <rPr>
        <b/>
        <sz val="11"/>
        <color rgb="FF000000"/>
        <rFont val="Calibri"/>
        <family val="2"/>
      </rPr>
      <t xml:space="preserve"> IN LOC DE MICKEY MOUSE!!!
ATENTIE: SA FIE PE</t>
    </r>
    <r>
      <rPr>
        <b/>
        <u/>
        <sz val="11"/>
        <color rgb="FF000000"/>
        <rFont val="Calibri"/>
        <family val="2"/>
      </rPr>
      <t xml:space="preserve"> GALBEN</t>
    </r>
    <r>
      <rPr>
        <b/>
        <sz val="11"/>
        <color rgb="FF000000"/>
        <rFont val="Calibri"/>
        <family val="2"/>
      </rPr>
      <t xml:space="preserve"> IN LOC DE ALBASTRU</t>
    </r>
  </si>
  <si>
    <t xml:space="preserve"> raspberry vanilla rotund pentru 3 kg Total tort scooby doo (roxana ceilacu 31.08)</t>
  </si>
  <si>
    <t>Gabriela Nada
0 721 102 105</t>
  </si>
  <si>
    <t>Facut ca tortul Dianei:
--
1 x tort framboisier 2.5 kg (versiunea veche. Cea pe care a tot luat-o Diana) acoperit FULL cu macarons si fructe 
+ 
"Sofia" ca in "poza 2"
+
o figurina "Minnie" ca cea pusa in fisier décor pe care o punem PE SUPORT LANGA TORT . (daca e nevoie folosim un suport mult mai mare)
+
Placuta cu la multi ani oriunde credeti ca arat ok
--------------------------------
CERTIFICAT CONFORMITATE</t>
  </si>
  <si>
    <t>Happy Place, Intrarea Nufarul Alb nr 10, Domnești 077090</t>
  </si>
  <si>
    <t>framboisier (versiunea veche a dianei( rotund pentru 2.5 kg tort Gabriela Nada ( 31.08)</t>
  </si>
  <si>
    <t xml:space="preserve">1 x monoportie rotunda albe, cu drip de ciocolata (naturala/maro) pe margine si un banut cu cifra 10.
-
DACA NU SE POATE PRINTA BANUTUL CU CIFRA 10, SE PICTEAZA SI SE PUNE UN INLOCUITOR!
+
14 macarons ( cate 2 diferiti din fiecare)
</t>
  </si>
  <si>
    <t>Platou Custom:
10 x mini-pavlova
10 x choux fistic
10 x mini-tarte lamaie
10 x mini-tarte ciocolata &amp; caramel
10 x mini-tarte fructe
10 x choux ciocolata</t>
  </si>
  <si>
    <t>Armenească 33 sector 2</t>
  </si>
  <si>
    <t>Cristina Grigorescu
0722212203</t>
  </si>
  <si>
    <t>Butaforie ca cea din poze décor cu un etaj real
--
206 portii 100 grame ricotta &amp; fructe confiate (15 kg - 825 RON)
--
4 portii vegetariene
--
candybar 125 persoane (300 euro/1410 RON)
72 x macarons mix 
72 x tarte fructe
72 x tarte ciocolata
72 x pavlova
72 x choux fistic
72 x mini carrot cake
72 x mini raspberry vanilla
72 x briose decorate cu trandafiri albi din apsta
0.6 kg bezele artizanale (alb)</t>
  </si>
  <si>
    <t>350 macheta + 199 platou minipraji
cash cu bon</t>
  </si>
  <si>
    <t>MACHETA tort ingeras ca in poza 1(25 diam x 15)||fundalul machetei sa fie roz PAL, fara cruciulita, cu balonase albe si aurii din polistiren acoperit cu pasta zahar (mai multe fata de ce este in poza, unde se poate)|| in loc de emblema cu numele sa fie o rama aurie(tot asa pala) ca in poza 2 in care sa fie scris numele "Sarah" cu font caligrafic|| pe tort sa fie presarate bobite albe si aurii ca in poza 3|| de amplasat deasupra tortului topper-ul "One" auriu oglinda
+
platou minipraji de 10 persoane la care macarons si choux sa fie MIXTE, restul ramanand identice cu site-ul</t>
  </si>
  <si>
    <t xml:space="preserve">125 x monoportii rotunde albe cu drip de ciocolata (naturala/maro) pe margine si un banut ca cel din poze DÉCOR
COMPOZITIE:  Compozitie: Mousse de mascarpone cu zmeura, blat de nuca, mousse de ciocolata cu zmeura (cum a fost compozitia rotunda cu ciocolata care mi-a trimis-o Andreea azi) blat de nuca
--
+
5 portii fara zahar
</t>
  </si>
  <si>
    <t xml:space="preserve">15 lei x 125 portii
-
0.625 kg x 65 lei
</t>
  </si>
  <si>
    <t>Plateste 30% avans. A achitat prin banca 360 lei pe 28.08/I-am facut factura de avans.</t>
  </si>
  <si>
    <t>Nunta si candy bar 
+40 726 400 207</t>
  </si>
  <si>
    <t>tort fistic 150 persoane cu print frunze de lipit pe el. Candy bar 90 persoane ca la Soiree cu chestii pictate ca in poza</t>
  </si>
  <si>
    <t xml:space="preserve"> Hotel Diesel , București, zona Floreasca</t>
  </si>
  <si>
    <t xml:space="preserve">Casa Vlasia, Strada Codrii Vlasiei numarul 2, Comuna Snagov 077165
--
Se amenajeaza de la 17:00 la 18:40
</t>
  </si>
  <si>
    <t>Macheta cu etaj real ca in décor. Florile de pe tort sa fie BORDEAUX!!!! Nu vor panglica
--
150 x portie triunghiulara citron cu mac (125gr)
4 xportie vegana (125 gr)</t>
  </si>
  <si>
    <t>coloseum events:154 portii x 125 grame x 65 ron/kg) 1170
-
butaforie (400)
1.5 kg tot real (97.5)</t>
  </si>
  <si>
    <t>Amberry Hall,
Șoseaua București Nord nr 15-23
--
LAURENTIU: AMENAJARE CANDY-BAR DE LA 16:45 la 17:45</t>
  </si>
  <si>
    <t>Soiree, Bulevardul Pipera 2
--
De vorbit cu laurentiu ca LAURENTIU: AMENAJARE CANDY-BAR DE LA 18:00 la 18:45</t>
  </si>
  <si>
    <r>
      <t xml:space="preserve">Amberry Hall (31 Aug)
---
</t>
    </r>
    <r>
      <rPr>
        <b/>
        <u/>
        <sz val="11"/>
        <color rgb="FF000000"/>
        <rFont val="Calibri"/>
        <family val="2"/>
      </rPr>
      <t>SE LASA COMANDA PRIN SPATE</t>
    </r>
  </si>
  <si>
    <t>Lasat Laurentiu Amberry Hall</t>
  </si>
  <si>
    <t>Denisa Bresug
N/A</t>
  </si>
  <si>
    <t>Candy-Bar 75 persoane:
Amenajare Candy-Bar 75 pers:
galbui/vernil/alb/lila/bleu/FRUCTE ROSII
53 macarons mix culori tematice
27 x  pahare mousse zmeura cu lingurite
27 x  pahare tiramisu cu lingurite
53 mini choux fistic
53 mini pavlova
53 cake pops culori tematice
53 mini tarte fructe
53 raspberry vanillla</t>
  </si>
  <si>
    <t>factura amalt. Candy-bar 75 persoane 18.8 ron/pers</t>
  </si>
  <si>
    <t>Amberry Hall,
Șoseaua București Nord nr 15-23
---
Se amenajeaza candy-bar'ul intre 13:30 si 14:20. Vesela este deja acolo</t>
  </si>
  <si>
    <t xml:space="preserve">1 x macheta ca in décor "Tort Selectat" cu etaj real. (3 etaje false + unul real- 4 etaje in total)
- Sa fie alb ca in "Poza Inspiratie"
- Sa aibe aranjament flora ca in "Poza Inspiratie"
- Sa pastram faldurile si bobiele aurii ca in "Tort Selectat"
--
250 x portie fistic cu zmeura 100 gr (de adaugat nuca in interior ca sa fie mai crunchy)
-
Candy-Bar 100 persoane: (asteptam confirmare pers)
57 x macarons mix 
57 x tarte fructe
57 x tarte ciocolata
57 x pavlova
57 x choux fistic
57 x mini carrot cake
57 x mini raspberry vanilla
20 x briose decorate cu trandafiri albi din apsta
0.6 kg bezele artizanale
</t>
  </si>
  <si>
    <t>Lagoo Snagov, Snagov, 077165, Judeţul Ilfov, România
----
Intre 16:15 si 17:10 se face amenajarea</t>
  </si>
  <si>
    <t>Ridicare Candy-Bar Eveniment 31.08</t>
  </si>
  <si>
    <t>1 x masa litere "Sweets"
+
Amenajare Candy-Bar (Tematica Alb)|| DOAR VESELA ALBA SAU ARGINTIE!!!!!
30 x choux fistic
30  x macarons tematici
30 x raspberry vanilla
30 x tarte lamaie
30 x  pavlova
30 x tarte fructe
30 x pahar mousse zmeura si vanilie
30 x briosa ciocolata (frosting alb)
35 x cake pops alb
35 x briose decorate tematic
500 gr bezele colorate tematic</t>
  </si>
  <si>
    <t xml:space="preserve">1 x macheta ca in décor cu etaj real. FLORILE SI FRUNZELE SA FIE NATURALE DAR FARA FLORI PE ETAJUL NATURAL. 
(Tine neaparat la frunzulitele alea verzi)
+
CAKE TOPPER cu "D &amp; A" auriu. Stie Mirela
--
215 x portie framboisier 100 gr
-
</t>
  </si>
  <si>
    <t>400 macheta
--
97.5 etaj real macheta
--
1397.5 tort (23 x 65)
--
40 ron caketopper</t>
  </si>
  <si>
    <t>1 x tort duo-mousse visine 1.6 kg cu mesajul  "La Multi Ani"
+
Platou miniprajituri 10 persoane</t>
  </si>
  <si>
    <t>Soiree
---
De sunat Florin. E surpriza!</t>
  </si>
  <si>
    <t>Florin (Soiree)
- 0730185548-</t>
  </si>
  <si>
    <t xml:space="preserve">1 x macheta (3 etaje + 1 etaj real) ca inpoze décor
+
150 x felie 125 gr framboisier decorat frumos
</t>
  </si>
  <si>
    <t xml:space="preserve"> framboisier rotund pentru etaj real clienta miruna (07.09)</t>
  </si>
  <si>
    <t xml:space="preserve"> framboisier rotund pentru etaj real dana dorobantu soiree (7.09)</t>
  </si>
  <si>
    <t>700 - macheta
1593.75 (150 portii tort la 125 gr)
-------------
Asteptam detalii facturare</t>
  </si>
  <si>
    <r>
      <t xml:space="preserve">1 x tort decorat ca in poze decor (lamaie si mac, 7 kg)
1) Numele de pe tort este: "Laura Iris Anamaria"
2) In loc de albastra, a treia floare de pe tort sa fie mov.
3) Sa se pastreze aceeasi panglica galbena.
4) rochita maimutei, scrisul si floricele mici de pe tort sa fie GALBEN INTENS
--
1 x tort carrot cake (1 kg) cu mesajul "La Multi Ani, Luca!"
--
Amenajare Candy- Bar Mov &amp; Galben (50 persoane):
30 x choux fistic
30  x macarons (mov si galben)
30 x tarta ciocolata &amp; caramel
30 x tarte lamaie
30 x  mini carrot cake
30 x tarte fructe
15 x pahar mousse zmeura si vanilie
15 x pahar tiramisu
30 x briose decorate tematic ( decorate cu aceleasi flori ca tortul)
500 gr bezele colorate tematic (mov si galben)
+
</t>
    </r>
    <r>
      <rPr>
        <b/>
        <u/>
        <sz val="11"/>
        <color rgb="FF000000"/>
        <rFont val="Calibri"/>
        <family val="2"/>
      </rPr>
      <t>SA SE FACA 5 ARANJAMENTE CU MACARONS LAMAIE SI FLOARE MIRESEI CA IN POZE DECOR</t>
    </r>
  </si>
  <si>
    <t>1 x platou 10 pers cafea
2 x platouri 10 persoane miniprajituri</t>
  </si>
  <si>
    <t>3 x platouri 5 persoane</t>
  </si>
  <si>
    <t>Ridicare din laborator</t>
  </si>
  <si>
    <t>2 x platouri 10 persoane
1 x tort poire au vanille (2 kg)
1 x tort pomme chocolat (2 kg)</t>
  </si>
  <si>
    <t xml:space="preserve">15 lei x 130 portii
-
0.625 kg x 65 lei
</t>
  </si>
  <si>
    <t xml:space="preserve">130 x monoportii rotunde albe cu drip de ciocolata (naturala/maro) pe margine si un banut ca cel din poze DÉCOR
COMPOZITIE:  Compozitie: Mousse de mascarpone cu zmeura, blat de nuca, mousse de ciocolata cu zmeura (cum a fost compozitia rotunda cu ciocolata care mi-a trimis-o Andreea azi) blat de nuca
--
+
5 portii fara zahar pt diabetici
</t>
  </si>
  <si>
    <t>factura persoana fizica. 3 euro/pers
---
+ 300 RON amenajare</t>
  </si>
  <si>
    <t>Șoseaua Electronicii 19, Aurrum Palace salon Secret Garden
---
amenajare de la 17:30 la 18:30</t>
  </si>
  <si>
    <t>Alina Dunuta
0763352945</t>
  </si>
  <si>
    <t>1 x tort dreptunghiular duo-mousse cu fructe padure (stie Andreea)
+ Acoperit cu A4 poza si pe langa poza pana la margini decorat cu multe fructe si macarons</t>
  </si>
  <si>
    <t>SOS. BUCURESTI-PLOIESTI 1A B - 
----
Cadou pentru British American Tabacco</t>
  </si>
  <si>
    <t>Silvia
0762107783</t>
  </si>
  <si>
    <t xml:space="preserve">1 Tort Snickers decorat ca in poze decor ( mai putine alune in caramel ) dreptunghiular 5,5 kg ,model teren fotbal 
---
Mesaj: Victor , 10 , LMA </t>
  </si>
  <si>
    <t xml:space="preserve"> snickers dreptunghiular 4 kg ( tort silvria 08.08)</t>
  </si>
  <si>
    <t>Cash+certificat conformitate</t>
  </si>
  <si>
    <t xml:space="preserve"> etaj real framboisier ( macheta bragadiru 08.08)</t>
  </si>
  <si>
    <t>1 x macheta cu etaj real ca in poze décor. Sa se respecte cromatica
---
135 x monoportie rotunde, naked, cu topping de jeleu de fructe de padure (se verifica poza din whatsapp daca sunt neclaritai)
Compozitie:  blat subtire alb, mousse de ciocolata alba, mousse de zmeura</t>
  </si>
  <si>
    <t>Factura Colloseum:
450 macheta
-
97.5 etaj real
-
1096.875 tort
(SE FACE DE PE PAM BAKERY)</t>
  </si>
  <si>
    <t xml:space="preserve"> etaj real din "blat subtire alb, mousse de ciocolata alba, mousse de zmeura" ( macheta bragadiru 07.08)</t>
  </si>
  <si>
    <t xml:space="preserve">145 x felii tort triunghiulare fistic 95g 
1,5 kg tort real fistic, imbracat in pasta alba simpla ca butaforia pe care le-am dat-o
</t>
  </si>
  <si>
    <t>15,275 kg tort x 75  lei
(factura Mogosoaia IT QUEST &amp; Management)</t>
  </si>
  <si>
    <t>factura dot</t>
  </si>
  <si>
    <t>Strada Corneliu Coposu 3 (Langa Magazinul Unirea)</t>
  </si>
  <si>
    <t>2 X  platouri 10 persoane ( choux fistic +Choux caramel, macarons fistic +caramel ) - de clarificat cu Mirela R.</t>
  </si>
  <si>
    <t>Snikers FARA arahide pentru 3KG tort pian 06.09</t>
  </si>
  <si>
    <t>20 x minichoux de fistic
1 x tort  honney 1 kg</t>
  </si>
  <si>
    <t>tort 5 x 120 
candybar 510 + 300 amenajare</t>
  </si>
  <si>
    <t>3 kg tort Pian + note muzicale cu microfon in varf|| compozitia Snikers FARA ARAHIDE ||Jos scrie : "La mulți ani, Hili" și sus puneți cifra 9 cu margele aurii, microfonul sa fie 3D negru cu o dunga aurie, restul sa fie maro inchis ca ciocolata neagra, o parte din notele pe bat sa fie aurii, o parte maro inchis, de asemenea daca se poate o parte din bete sa fie aurii.</t>
  </si>
  <si>
    <t>1 x vaza pavlova (1.6 kg) cu un cake topper de la multi ani, daca exista
+
Platou miniprajituri 10 persoane</t>
  </si>
  <si>
    <t>750 RON</t>
  </si>
  <si>
    <t xml:space="preserve">Candy- Bar (200 persoane- fara amenajare) - 2700 RON
CULORI TEMATICE pt macarons si briose: AURIU SI BORDO
_
90 x mini - brownie (2.25 kg || 25 gr/buc)
90 x mini raspberry vanila (2.25 kg || 25 gr/buc)
90 x mini-tarta ciocolata &amp; caramel (2.25 kg || 25 gr/buc)
90 x mini-tarta lamaie (2.25 kg || 25 gr/buc)
90 x macarons mix culori tematice (2.25 kg || 25 gr/buc)
90 x mini-carrot cake (2.25 kg || 25 gr/buc)
90 x choux fistic  (2.25 kg || 25 gr/buc)
90 x choux ciocolata  (2.25 kg || 25 gr/buc)
100 x cookie ciocolata &amp; arahide ( 3 kg || 30 gr/buc)
36 x briose tematice ( 2.7 kg || 75 gr/buc)
0.75 kg bezele artizanale  </t>
  </si>
  <si>
    <t xml:space="preserve">2700 Ron - 200 persoane candy-bar
---
FACTURA
+
Scos bon fiscal ca sa putem incasa cash!
 </t>
  </si>
  <si>
    <t>Restaurant Piccadilly/ Strada Vulturilor 97-99
---
Intre 13:45 si 14:45 pentru amenajare</t>
  </si>
  <si>
    <t xml:space="preserve"> duo mousse visine extra alcool pentru trei etaje (8kg) - Corina (08.09.2019)</t>
  </si>
  <si>
    <t>s</t>
  </si>
  <si>
    <t>Crowne Plaza Bucharest
Bulevardul Poligrafiei 1, București 013704
--
Amenajarea se face intre 14:45 si 16:00</t>
  </si>
  <si>
    <r>
      <rPr>
        <b/>
        <u/>
        <sz val="11"/>
        <color rgb="FF000000"/>
        <rFont val="Calibri"/>
        <family val="2"/>
      </rPr>
      <t>Masa cu litere "Sweets"</t>
    </r>
    <r>
      <rPr>
        <b/>
        <sz val="11"/>
        <color rgb="FF000000"/>
        <rFont val="Calibri"/>
        <family val="2"/>
      </rPr>
      <t xml:space="preserve">
+
</t>
    </r>
    <r>
      <rPr>
        <b/>
        <u/>
        <sz val="11"/>
        <color rgb="FF000000"/>
        <rFont val="Calibri"/>
        <family val="2"/>
      </rPr>
      <t>Amenajare Candy-Bar 200 persoane:</t>
    </r>
    <r>
      <rPr>
        <b/>
        <sz val="11"/>
        <color rgb="FF000000"/>
        <rFont val="Calibri"/>
        <family val="2"/>
      </rPr>
      <t xml:space="preserve">
123 x Choux (33% - ciocolata || cafea || fistic) (25 gr/buc - 2.3 kg)
25 x Briose Colorate Tematic (crema alba + frunze mostera) (75 gr/buc - 1.875 kg)
130 x Mini-Tarte Lamaie si Bezea Flambata (20 gr/buc - 2.6 kg)
130 x Mini-Tarte Ciocolata si Caramel (20 gr/buc - 2.6 kg)
130 x Mini-Tarte Fructe (20 gr/buc - 2.6 kg)  
130 x Mini Pavlove (20 gr/buc - 2.6 kg)  
95 x Mini Citron (25 gr/buc - 2.375 kg)
95 x Mini Fistic &amp; Zmeura (25 gr/buc - 2.375 kg)  
95 x Carrot Cake </t>
    </r>
    <r>
      <rPr>
        <b/>
        <u/>
        <sz val="11"/>
        <color rgb="FF000000"/>
        <rFont val="Calibri"/>
        <family val="2"/>
      </rPr>
      <t>LA PAHAR CU LINGURITA</t>
    </r>
    <r>
      <rPr>
        <b/>
        <sz val="11"/>
        <color rgb="FF000000"/>
        <rFont val="Calibri"/>
        <family val="2"/>
      </rPr>
      <t xml:space="preserve"> (30 gr/buc - 2.85 kg)
95 x Raspberry Vanilla elegant LA PAHAR CU LINGURITA (30 gr/buc - 2.85 kg) 
25 x Biscuit Pictati Tematici (40 gr/buc - 1 kg)
40 x Cake Pops Tematici (30 gr/buc - 1.2 kg)
--
 1113 buc - 28 kg  - 140 gr/persoana</t>
    </r>
  </si>
  <si>
    <t>Ionut Milea
Soiree</t>
  </si>
  <si>
    <r>
      <t xml:space="preserve">1 x macheta ca in décor cu etaj real. Florile si frunzele si fie naturale. Le cumparam noi.
-
500 x portie duo-mousse </t>
    </r>
    <r>
      <rPr>
        <b/>
        <u/>
        <sz val="11"/>
        <color rgb="FF000000"/>
        <rFont val="Calibri"/>
        <family val="2"/>
      </rPr>
      <t xml:space="preserve">CU ZMEURA
</t>
    </r>
    <r>
      <rPr>
        <b/>
        <sz val="11"/>
        <color rgb="FF000000"/>
        <rFont val="Calibri"/>
        <family val="2"/>
      </rPr>
      <t xml:space="preserve">-
Candy-Bar 250 persoane
143 x macarons mix 
143 x tarte fructe
143 x tarte ciocolata
143 x pavlova
143 x choux fistic
143 x tarta lamaie
50 x mini carrot cake
123 x pahar mousse cu lingurita
20 x briose decorate cu trandafiri albi din pasta
0.6 kg bezele artizanale
</t>
    </r>
  </si>
  <si>
    <t>400 macheta
-
100 masa candy
-
3250 tort
-
4046 candy-bar</t>
  </si>
  <si>
    <t>=500*100*65/1000+100+400+50*3*4.76+200*3.5*4.76</t>
  </si>
  <si>
    <t>factura sole events</t>
  </si>
  <si>
    <t>320 coji macarons (lemongrass si cât mai puțin zahăr)
+
Degustare Torturi Nunta</t>
  </si>
  <si>
    <t>Degustare Andreea Nicorescu 
Milk &amp; Honney Events
--
Se suna la poarta si se lasa</t>
  </si>
  <si>
    <t>Strada Siret 65
--
Sa nu fie inghesuite torturile in cutii. Mai bine punem extra:)</t>
  </si>
  <si>
    <t>SA SE DUCA LA LPV IN BIROU DIN PARTEA LAUREI</t>
  </si>
  <si>
    <t>Accenture, Complex West Gate, Strada Preciziei 24, București 062204
----
Cadou pentru Accenture</t>
  </si>
  <si>
    <t>(79 persoane || 4 Euro/persoana + 300 RON amenajare) - 1537 RON
-
Tort Oreo (85)
-
Tort Chocolate Delight (85)
-
Tort Multi Etajat (800)</t>
  </si>
  <si>
    <t>320 x 1.5 lei
(factura Mogosoaia IT QUEST &amp; Management)</t>
  </si>
  <si>
    <t>1 x macheta cu etaj real ca in poze décor. Sa se respecte cromatica
-
145 x monoportie triunghiulare 125 gr framboisier
-
Candy-Bar 140 Persoane:
140 x macarons mix
70 x mini-tarte fructe
70 x mini-tarte ciocolata
70 x pavlova
70 x choux a la creme mix
70 x mini-tarte lamaie cu bezea flambata
70 x mini carrot cake
70 x mini raspberry vanilla</t>
  </si>
  <si>
    <t>Factura Colloseum:
200 macheta
-
97.5 etaj real
-
1178.125 tort
-
1999.2 candy
(SE FACE DE PE PAM BAKERY)</t>
  </si>
  <si>
    <t>Mariana Oprea
0740580399</t>
  </si>
  <si>
    <t>1.6 kg Framboisier
1.6 kg Duo Mousse Zmeura
100 x choux mix (25% din fiecare?)
100 x minitarte (33% din feicare)</t>
  </si>
  <si>
    <t>Graffiti PR, Str actor ion brezoianu, nr 23-25, cladirea Universul, corp B, et 4, la Graffiti PR</t>
  </si>
  <si>
    <t>factura persoana fizica. E 10% discount inclus</t>
  </si>
  <si>
    <t>Phoenix Cernica, Strada Strandului 62, Pantelimon 077145
--
De mentionat ca este pentru (Ivan Raluca/Petcu florian)</t>
  </si>
  <si>
    <t xml:space="preserve"> duo mousse zmeura rotund pentru macheta Ionut Milea Soiree - 12 Oct</t>
  </si>
  <si>
    <t xml:space="preserve"> fistic cu zmeura rotund macheta soiree - 26 Oct</t>
  </si>
  <si>
    <t xml:space="preserve"> Lamaie &amp; mac rotund pentru 7 kg Total Decorat (Catrinel Munteanu 07.09)</t>
  </si>
  <si>
    <t>1 x tort decorat ca in poze decor (lamaie si mac, 7 kg)
1) Numele de pe tort este: "Laura Iris Anamaria"
2) In loc de albastra, a treia floare de pe tort sa fie mov.
3) Sa se pastreze aceeasi panglica galbena.
4) rochita maimutei, scrisul si floricele mici de pe tort sa fie GALBEN INTENS
--
1 x tort carrot cake (1 kg) cu mesajul "La Multi Ani, Luca!"
--
Amenajare Candy- Bar Mov &amp; Galben (75 persoane):
45 x choux fistic
45  x macarons (mov si galben)
45 x tarta ciocolata &amp; caramel
45 x tarte lamaie
45 x  mini carrot cake
45 x tarte fructe
22 x pahar mousse zmeura si vanilie
22 x pahar tiramisu
45 x briose decorate tematic ( decorate cu aceleasi flori ca tortul)
500 gr bezele colorate tematic (mov si galben)
+
SA SE FACA 5 ARANJAMENTE CU MACARONS LAMAIE SI FLOARE MIRESEI CA IN POZE DECOR</t>
  </si>
  <si>
    <t xml:space="preserve"> candy-bar ( 75 pers - 4 euro + 300 RON) (1728 RON)
_
Tort Decorat (840 RON)
--Tort carrot cake (100 ron)</t>
  </si>
  <si>
    <t>Cristina (Bragadiru)
0743226064</t>
  </si>
  <si>
    <t>Candy-Bar 120 persoane + aranjare:
120 x macarons mix
60 x mini-tarte fructe
60 x mini-tarte ciocolata
60 x pavlova
60 x choux a la creme mix
60 x mini-tarte lamaie cu bezea flambata
60 x mini carrot cake
60 x mini raspberry vanilla
+
Certificat Conformitate</t>
  </si>
  <si>
    <t>Se ia stampila Lara Cake si se ridica dubita frigorifica cu care se vor realiza toate livrarile pe ziua 07.09</t>
  </si>
  <si>
    <t>Popești leordeni, Str Amurgului nr 23.</t>
  </si>
  <si>
    <t>De dus cu stampila Lara Cake</t>
  </si>
  <si>
    <t xml:space="preserve">Tort natural chocolate fiesta cu décor de tort NAKED CA IN DEPARTAMENT DÉCOR si cu flori naturale. 
ATENTIE: Langa flori doresc sa fie ornat tortul cu macarons ca in pozele de inspiratie!
--
10 kg pe 3 Etaje ( sau 4 daca e nevoie)
</t>
  </si>
  <si>
    <t>Anna Roma
0741784003</t>
  </si>
  <si>
    <t>Ridicare Dubita
Delcaru Alexandru
0 738/ 752 672</t>
  </si>
  <si>
    <t>Comanda miruna
0/760195/209
---
Valentin Ispas (contact phoenicia)
0736014314</t>
  </si>
  <si>
    <t>Mogosoaia Lake View 
Corina 
0769308105</t>
  </si>
  <si>
    <t>Raluca (Magic Place)
0733790400</t>
  </si>
  <si>
    <t>Catrinel Munteanu
0741042768</t>
  </si>
  <si>
    <t>Simina
0726697785</t>
  </si>
  <si>
    <t>Manuela
0723581099</t>
  </si>
  <si>
    <t xml:space="preserve">Lucian Barbulescu Soiree 15 Septembrie
0/722333309
</t>
  </si>
  <si>
    <t>Plata card + certificat conformitate</t>
  </si>
  <si>
    <t>Dana Stoicescu (Lido)</t>
  </si>
  <si>
    <t>Cheescake cu fructe  4
Tarta cu zmeura 4
Tarta cu lămâie 4
Tarta cu ciocolata 4
Choux cu vanilie 3</t>
  </si>
  <si>
    <t>factura</t>
  </si>
  <si>
    <t>5kg Tort Botez "Zana ursitoare pe 2 etaje||Oreo|| etajul de jos verde si cel de sus alb + topper zana  in fata tortului sa fi scris "Miruna" si in spatele tortului sa fie scris "Maria"
+ 
Amenajare Candy Bar 30 persone
25 x choux mixt
15 x macarons
15 x tarte fructe
10 x tarte ciocolata
20 x pavlova
20 x brownie
25 x pahar tiramisu cu lingurita
30 x briose cu diferite creme
2 x boluri transparente cu bezele colorate
(model de candy bar agreat de client aveti in decor)</t>
  </si>
  <si>
    <t>1,6 Citron decorat ca pe site</t>
  </si>
  <si>
    <t>Platit direct Dan</t>
  </si>
  <si>
    <t>Alb, corai, verde, galben
25 x choux fistic
25 x mini carrot cake
25 x cake pops (Alb, corai, verde, galben)
25 x mini briose (Alb, corai, verde, galben)
25 x tarta lamaie cu bezea flambata</t>
  </si>
  <si>
    <t>Rodica Florescu
0761892750</t>
  </si>
  <si>
    <t>1 x felie oreo
1 x felie carrot cake
1 x felie raspberry vanilla
1 x felie snickers
+
Platou miniprajituri 3 persoane
----
Atentie va rog sa puneti tipul de bezele corect la tartele citron!</t>
  </si>
  <si>
    <t>Splaiul unirii nr 9 bl 7 sc b ap 91</t>
  </si>
  <si>
    <t>Ionut</t>
  </si>
  <si>
    <t>700 - macheta
1275 (120 portii tort la 125 gr)
-------------
Petcu Raluca. Pers fizica</t>
  </si>
  <si>
    <t>Am pierdut comanda</t>
  </si>
  <si>
    <t>Comanda 1/2. La finalul celor doua comenzi se va face o factura totala.</t>
  </si>
  <si>
    <t>1 x macheta (3 etaje + 1 etaj real) ca inpoze décor
+
120 x felie 125 gr framboisier decorat frumos
+
Certificat Conformitate</t>
  </si>
  <si>
    <t>Florin (soiree)
0730185548</t>
  </si>
  <si>
    <t>Anca Marinescu 
0//75111//1039</t>
  </si>
  <si>
    <t>2) Tort  - 970 RON    
1 x tort Honney (1 kg) - cu mesajul "La Multi Ani! " - (85 RON)
1 x tort Chocolate Deligt (1 kg) cu mesajul "La Multi Ani!" - (85 RON)
1 x tort adevarat 3 etaje  (8 kg Duo-Mousse cu Visine cu EXTRA ALCOOL- modificat) acoperit in crema de branza pe schelet metalic (DE PUS POZA IN DECOR)</t>
  </si>
  <si>
    <t>Tree House Garden, DJ711D, Lungulețu 137280</t>
  </si>
  <si>
    <t>Detaliile de plata in prima comanda</t>
  </si>
  <si>
    <t>Cristina (bragadiru)
0743226064</t>
  </si>
  <si>
    <t>Corina
0723128290</t>
  </si>
  <si>
    <t xml:space="preserve"> 1) Candy- Bar (verde, roz, portocaliu || culori pastelate)
ATENTIE: Ca decor de candy bar recipiente dantelate albe si aurii, elemente de diferite inaltimi
ATENTIE 2: Puneti semnul cu "love is sweet please take"  treat" daca e disponibil, si bolurile in forma de inima pt bezele. 
ATENTIE 3: Sa scriem sortimentele de prajituri in dreptul fiecareia
60 x choux fistic
60 x tarta ciocolata &amp; caramel
60 x tarte lamaie
60 x pavlova
60 x tarte fructe
35 x pahar mousse zmeura si vanilie cu crumble (+lingurita)
35 x macarons mix 
35 x briose decorate tematic (tema este natur/flori)
500 gr bezele colorate tematic
</t>
  </si>
  <si>
    <t xml:space="preserve">Tree House Garden, DJ711D, Lungulețu 137280
----
Amenajare Candy-Bar intre 15:10 si 16:20
</t>
  </si>
  <si>
    <t>Tree House Garden, DJ711D, Lungulețu 137280
----
Livrat torturi la 23:00</t>
  </si>
  <si>
    <t>Degustare Reve Ballroom</t>
  </si>
  <si>
    <t>protocol Degustare</t>
  </si>
  <si>
    <t>Ridicat Candy-Bar</t>
  </si>
  <si>
    <t>Ana Maria Dinu
0721142304</t>
  </si>
  <si>
    <t>Complex Herastrau, soseaua Nordului 7-9, Bucuresti, București 014101
Amenajare de la 17:00 la 18:00</t>
  </si>
  <si>
    <t xml:space="preserve"> Candy-Bar 50 Persoane Tematica Mickey Mouse:
30 x choux fistic
30  x macarons culori tematice
30 x tarta ciocolata &amp; caramel
30 x tarte lamaie
30 x  pavlova
30 x tarte fructe
15 x pahar mousse zmeura si vanilie
15 x pahar tiramisu
30 x briose decorate tematic (15 cu banuti printati cu numele Achim + 15 cu banuti printati cu Mickey Mouse)
30 x biscuiti tematici mickey mouse
----
De ajutat sa-si prinda niste litere de o masa. Asteptam indicatii de la ea.</t>
  </si>
  <si>
    <t>Sabina Dilvaru
0723621269
-------
Wedding Planner 0 755 986 747</t>
  </si>
  <si>
    <t>Ridicare Candy-Bar Eveniment Catrinel Munteanu *07.08"</t>
  </si>
  <si>
    <t>Crowne Plaza Bucharest
Bulevardul Poligrafiei 1,
București 013704</t>
  </si>
  <si>
    <t>Candy-Bar</t>
  </si>
  <si>
    <t>Șoseaua Electronicii 19,
Aurrum Palace salon
Secret Garden</t>
  </si>
  <si>
    <t>Ridicare Candy-Bar Eveniment Nicusor Tudorica *07.08"</t>
  </si>
  <si>
    <t>Corina
072///3128///290</t>
  </si>
  <si>
    <t>Ridicat Candy-Bar Corina (Tree House 08.09) + suprt metalic tort</t>
  </si>
  <si>
    <t>Ridicat Candy-Bar Cristina Bragadiru (08.09) + suprt metalic tort</t>
  </si>
  <si>
    <t>Strada Noua 54, Branesti</t>
  </si>
  <si>
    <t>A fost achitat deja. De dat telefon inainte de plecare</t>
  </si>
  <si>
    <t>Nicoleta Mihaela
Degustare</t>
  </si>
  <si>
    <t>1 x platou torturi nutna
1 x felie carrot cake
1 x felie raspberry vanilla
1 x felie chocolate fiesta
---
1 x platou miniprajituri 3 persoane</t>
  </si>
  <si>
    <t>Degustare Candy-bar
---
Feliile de tot cu varfurile spre exterior va rog:D</t>
  </si>
  <si>
    <t>CERTIFICAT CONFORMITATE
+
 (3.5 euro/persoana candybar - 200 persoane)
-----
Vom face ulterior factura pe persoana fizica.
12.5 % discount pentru lipsa 140 prajituri</t>
  </si>
  <si>
    <t>Strada Mircea Eliade Nr 14 vila b21, Pipera residential Park, voluntari-Pipera</t>
  </si>
  <si>
    <t>Platou Personalizat:
2 x choux fistic
2 x macarons alb (tonka)
2 x macarons roz (?)
2 x tarta ciocolata &amp; caramel
2 x tarta lamaie
2 x pavlova
2 x pahar mousse zmeura &amp; vanilie
2 x pahar tiramisu</t>
  </si>
  <si>
    <t xml:space="preserve">Ana Maria Parvu
0751278084
</t>
  </si>
  <si>
    <t>Ana Maria Parvu
0734432832</t>
  </si>
  <si>
    <t>Simina
0726697785‬</t>
  </si>
  <si>
    <t>Nicolae Filipescu, nr. 50|| interfon 2</t>
  </si>
  <si>
    <t>Platou Degustare Clienti:
2 x choux fistic
2 x tarte ciocolata
2 x tarte citron
2 x tarte fructe
2 x tarte ciocolata
2 x carrot cake
2 x raspberry vanilla
--
Platou Degustare Reve
1 x platou 5 persoane
1 x platou torturi nunta</t>
  </si>
  <si>
    <t>Reve Marriage, Stradă, Prelungirea Ghencea 95L, București 061703
----
O duce tudor. Cele doua degustari sa fie in cutii separate</t>
  </si>
  <si>
    <t>Ridicare litere polistiren
0722745776</t>
  </si>
  <si>
    <t>Grigorescu
0724320712</t>
  </si>
  <si>
    <t>1 kg tort fistic decorat ca pe site + 1 platou miniptaji 5 persoane</t>
  </si>
  <si>
    <t>Șoseaua Mihai Bravu 136</t>
  </si>
  <si>
    <t>Valentina
0722919232</t>
  </si>
  <si>
    <t>Mugur BNI
0744671211</t>
  </si>
  <si>
    <t>1 x tort snickers 2.5 kg greutate totala, decorat ca in "POZA TORT BAZA" dar doar cu figurina de pisica din "POZA PISICA"
---
Mesaj: "Tony" si undeva pe tort facem o cifra "7"</t>
  </si>
  <si>
    <t>Înclinată 2, Bucuresti</t>
  </si>
  <si>
    <t xml:space="preserve"> snickers  rotund pentru 2.5 kg Total tort Mugur BNI (12.09)</t>
  </si>
  <si>
    <t>cash cu bon persoana fizica si 10% discount bni</t>
  </si>
  <si>
    <t>1 x framboisier 1.6 kg cu mesajul "La multi ani, dr.C"</t>
  </si>
  <si>
    <t xml:space="preserve"> duo-mousse rotund pentru macheta bragadiru (14.09)</t>
  </si>
  <si>
    <t>Bianca Danciu
0722519589</t>
  </si>
  <si>
    <t>1 x tort decorat ca in poze décor 2.4 kg cu raspberry vanilla cu mesajul "La Multi Ani, Bella!" scris pe tort in loc de ce e scris in poza</t>
  </si>
  <si>
    <t>Strada Thomas Masaryk nr.31, București 020984</t>
  </si>
  <si>
    <t>Reparatie Casa Marcat
0 735//512//939</t>
  </si>
  <si>
    <t>Trebuie dusa casa de marcat pentru a I se instala codurile produselor. Stiu baietii ce au de facut</t>
  </si>
  <si>
    <t>4 kg Tort Harry Potter || compozitia Raspberry Vanilla|| ca pe site cu urmatoarele modificari : 
Adaugare doar personaj « Dobby » din imaginea de mai jos ( puteti 
mari pentru o mai buna vizualizare)
*    Tortul sa fie in diametru mai mare si inaltime mai mica
*    Pe “papirus” sa scrie La multi ani Horia, 7 ani, cu aceleasi
caractere.
6 kg tort Lego ca in poza din decor || compozitie raspberry vanilla || 
*    Nu dorim decat parterul, imbracat in martipan rosu (in loc de alb), cu aceeasi cifra 7 + etajul 2 (cel galben)
*    Toate celelalte detalii raman valabile (omuleti, piese, lego presarate) 
*    Ne bazam pe creativitatea dvs. pentru a scrie si Horia undeva, discret – poate langa cifra 7 daca ar fi mai mic?!?!</t>
  </si>
  <si>
    <t>4 kg total, 1 etaj, Raspeberry Vanilla pentru tortul Herry Potter - 21.09 - Monica Minoiu
6 kg total, 2 etaje, Raspberry Vanilla pentru tortul Lego - 21.09 - Monica Minoiu</t>
  </si>
  <si>
    <t>3,5 kg Tort Surf ca poza din decor|| compozitie fistic cu zmeura (cat mai putin zahar)||"La multi ani, Ori" pe suportul tortului si cifra "7" in loc de 30 cu alta culoare, nu ii place alb</t>
  </si>
  <si>
    <t>Complexul Educațional Laude-Reut - Strada Iuliu Barasch 15</t>
  </si>
  <si>
    <t>3,5 kg total, rotund, un etaj pentru tortul Surf Anna Roma - 13.09</t>
  </si>
  <si>
    <t>macheta cuultimul etaj de sus sa fie real, de pastrat paleta de culori din poza
--
85 buc x duo-mousse visine felie (125) decorata ca in poza "décor"
---
Candy-Bar 90 Persoane:
90 x macarons mix
45 x mini-tarte fructe
45 x mini-tarte ciocolata
45 x pavlova
45 x choux a la creme mix
45 x mini-tarte lamaie cu bezea flambata
45 x mini carrot cake
45 x mini raspberry vanilla
+
VESELA AURIE LA PACHET</t>
  </si>
  <si>
    <t xml:space="preserve">85 x 125gr la 65 lei
--
macheta la 200 lei
--
candy-bar 3 euro/pers
--
1.5 kg tort macheta
----------------
Factura colloseum de pe pam
</t>
  </si>
  <si>
    <t>Laura Teodorescu (Maison 13)
0729013333</t>
  </si>
  <si>
    <t>facut factura vmb partners</t>
  </si>
  <si>
    <t>2 torturi dreptunghiulare berry chocolate care sa insumeze 5 kg in total. Va rog uitati-va in poze comenzi.
--
PENTRU COMANDA MAISON 13 (14.09)</t>
  </si>
  <si>
    <t xml:space="preserve"> duo-mousse visinie rotund 1.5 kg pentru macheta Lucian barbulescu (soiree 15.09)</t>
  </si>
  <si>
    <t>raspberry vanilla rotund pentru tort decorat rotund greutate taoala 2.4 kg (Bianca Danciu 15.09)</t>
  </si>
  <si>
    <t>80 persoane x 1.5 euro (candy)
14 kg x 65 RON</t>
  </si>
  <si>
    <t>1 x tort dreptunghiular duo-mousse visine (14 kg) (60 x 40 x 10 cm) pentru BRAGADIRU 13.09</t>
  </si>
  <si>
    <t>1 x tort dreptunghiular duo-mousse visine (14 kg) (60 x 40 x 10 cm), imbracat in alb cu imaginea print din departament decor
---
Prajituri Candy-bar fara amenajare:
120 x mini-raspberry vanila (2.7 kg || 22.5 gr/buc)
120 x mini-carrot cake (2.7 kg || 22.5 gr/buc)
120 x mini-straciatella (2.7 kg || 22.5 gr/buc)
+
-----------------------------------------------
Platou degustare torturi nunta decorate frumos</t>
  </si>
  <si>
    <t>bulevardul Corneliu Coposu, nr.3 (UNIRII)</t>
  </si>
  <si>
    <t>2 x platou prajituri 10 persoane</t>
  </si>
  <si>
    <t>cash cu bon + certificat conformitate
--
10% discount inclus</t>
  </si>
  <si>
    <t xml:space="preserve">1 x platou miniprajituri 3 persoane asezate frumos. </t>
  </si>
  <si>
    <t>Degustare Candy-bar
---</t>
  </si>
  <si>
    <t>Silvia Constantin (soiree)
Degustare</t>
  </si>
  <si>
    <t>Tort Ca ca in Poze Décor. TOT REAL. Florile vor fi achiztionate de la Anca Events. (iedera + floarea miresei)
Fistic si zmeura. Tortul va fi montat pe schelet metalic
--
18 kg (4-5 etaje)</t>
  </si>
  <si>
    <t>Alecu Vlad (SIMFONIA)
Degustare</t>
  </si>
  <si>
    <t>1 x platou torturi nunta
---
1 x felie carrot cake
1 x felie raspberry vanilla
1 x felie chocolate fiesta
---
1 x platou miniprajituri 3 persoane</t>
  </si>
  <si>
    <t>Octavia Moise (9 -Nov Ramada)
De sunat cu o zi inainte
Degustare</t>
  </si>
  <si>
    <t>Crina 
0748151999</t>
  </si>
  <si>
    <t>Factura nume. De intrebat pe ce nume facturam</t>
  </si>
  <si>
    <t>compozitie speciala rotunda 3 kg pentru Tort 1 Crina (07.10.2019)
---
COMPOZITIE SPECIALA: Blat cu cacao insiropat, duo mousse melange ciocolata (lapte+neagra), mousse lejer de vanilie (fara ciocolata alba)</t>
  </si>
  <si>
    <t>fistic rotund 3 kg pentru Tort 2 Crina (07.10.2019)</t>
  </si>
  <si>
    <t>Simion Cristian 
Razvan (reve)
0761696900</t>
  </si>
  <si>
    <r>
      <rPr>
        <b/>
        <u/>
        <sz val="11"/>
        <color rgb="FF000000"/>
        <rFont val="Calibri"/>
        <family val="2"/>
      </rPr>
      <t>NUME DIN TURTA DULCE : "ANDA"</t>
    </r>
    <r>
      <rPr>
        <b/>
        <sz val="11"/>
        <color rgb="FF000000"/>
        <rFont val="Calibri"/>
        <family val="2"/>
      </rPr>
      <t xml:space="preserve">
+
Amenajare Candy-Bar 150 persoane (VESELA AURIE)
--
85 x choux (25 % fistic || 25% ciocolata || 25% vanilie || 25% cafea)
85 x macarons mix 
42 x cake-pops 
52 x mini raspberry vanilla
52 x mini carrot cake 
52 x tarte lamaie 
52 x tarte ciocolata si caramel 
85 x pavlova
52 x tarte fructe  
32 x pahar mousse zmeura si vanilie 
32  x pahar mousse tiramisu
30 x briose decorate cu fulgi ciocolata</t>
    </r>
  </si>
  <si>
    <t>Reve Mariage, Stradă, Prelungirea Ghencea 95L, București 061703
-----------
Amenajarea se face de la 17:15 la 18:30</t>
  </si>
  <si>
    <t>card POS (vrea ca tortul sa fie cand incepe petrecerea la 13:00, se poate ajunge si un pic mai devreme)</t>
  </si>
  <si>
    <t>Alexandra Timofte (BNI)
0741////352//505
Alina (Wedding House)
0751751353</t>
  </si>
  <si>
    <t>APA NOVA</t>
  </si>
  <si>
    <t>Str. Dinu Vintila, Nr. 11, Euro Tower, Parter</t>
  </si>
  <si>
    <t>Facturi pe cele 2 firme</t>
  </si>
  <si>
    <t>Madalina</t>
  </si>
  <si>
    <t xml:space="preserve">Tort inima ca in poza din décor(baza Raspberry Vanilla, inima macheta), Inima sa fie ROZ, partea de jos ALBA,  cu detaliile mai finute si pe AURIU (asemanatoare cu emblema de la Sarah- a tortului cu ingeras)
"Vreau si cifra 2 inserata undeva frumos si poate si “S”.. dar sa imi spuneti inainte cum sa aplicam"
Fara acele panglici in vant...
+ 
12-14 x  choux fistic in cutia verde </t>
  </si>
  <si>
    <t>Analiza apa potabila-de luat 2 recipiente(1 recipient pentru fiecare firma) de la Apa nova, pentru analiza apei.Sa luati 700 de lei si sa faceti factura pe Pam si pe Lara.
---
De sunat madalina daca sunt intrebari: 0771183017</t>
  </si>
  <si>
    <r>
      <t xml:space="preserve">AMENAJARE CANDYBAR 105 PERSOANE (roz &amp; alb):
--
1 x masa cu litere Sweet + 3 panouri plexi
1 x litere volumetrice "DANA MARIA"
--
75 x choux fistic
75 x macarons (35 x roz || 35 x alb)
75 x tarta ciocolata &amp; caramel
75 x tarte lamaie
75 x  pavlova
75 x tarte fructe
49 x pahar mousse zmeura si vanilie
49 x pahar tiramisu
42 x briose decorate tematic (21 x roz || 21 x alb) 
500 gr bezele colorate tematic  (50% alb - 50% roz)
------
70 x marturii decorate ca in poza decor pe care sa scriem "Dana Maria" peste inima. </t>
    </r>
    <r>
      <rPr>
        <b/>
        <u/>
        <sz val="11"/>
        <color rgb="FF000000"/>
        <rFont val="Calibri"/>
        <family val="2"/>
      </rPr>
      <t xml:space="preserve">URSULETI SA FIE ROZ CU ALB.
</t>
    </r>
    <r>
      <rPr>
        <b/>
        <sz val="11"/>
        <color rgb="FF000000"/>
        <rFont val="Calibri"/>
        <family val="2"/>
      </rPr>
      <t>Trebuie prinsi in punguta transparenta cu snur roz!</t>
    </r>
    <r>
      <rPr>
        <b/>
        <u/>
        <sz val="11"/>
        <color rgb="FF000000"/>
        <rFont val="Calibri"/>
        <family val="2"/>
      </rPr>
      <t xml:space="preserve"> 
</t>
    </r>
  </si>
  <si>
    <t>Factura pe nume persoana fizica: Roxana-Maria Frîncu:
----
1 x 300 lei masa sweets
1 x 150 lei litere dana
105 persoane x 4 euro
1 x 300 lei amenajare
70 x 8 ron marturii2449.2</t>
  </si>
  <si>
    <t xml:space="preserve">1 x platou torturi nunta
</t>
  </si>
  <si>
    <t>Mihaela Calin
0726704761</t>
  </si>
  <si>
    <t>Factura pe numele Andreea Tudorache
30 pers x 4 euro candy
300 amenajare
5 x 120 lei/kg tort</t>
  </si>
  <si>
    <t>4.5 kg tort raspberry vanilla pentru Andreea ghinea tort decorat (22.09)</t>
  </si>
  <si>
    <t>Maison 13, Strada Dumbrava Roșie 2, București 030167
---
Amenajarea Candy-Bar de la 18:00 la 18:45</t>
  </si>
  <si>
    <t>150 pers x 3.5 euro
+
300 RON amenajare
----
Cash cu Bon. Trebuie sa ridice banii Mirela</t>
  </si>
  <si>
    <t>Dana Stoicescu (Lido)
0773995201‬</t>
  </si>
  <si>
    <t>Chescache cu fructe 5 buc
Tarta cu zmeura 5 buc
Tarta cu mure 5 buc
Choux cu vanilie 5 buc
Tarta cu ciocolata 5 buc
Tarta cu lămâie 5 buc</t>
  </si>
  <si>
    <t>Macheta Tort cu etaj real ca in poze Décor. Trebuie sa comandam noi florile!
-
160 x portie 100 gr duo-mousse visine
-
candy-bar 100 persoane:
57 x macarons mix 
57 x tarte fructe
57 x tarte ciocolata
57 x pavlova
57 x choux fistic
57 x mini carrot cake
57 x mini raspberry vanilla
20 x briose decorate cu trandafiri albi din pasta
0.6 kg bezele artizanale</t>
  </si>
  <si>
    <t>100 masa candy-bar
-
400 macheta (cu tva inclus)
-
1040 - 16 kg tort
-
325 euro candy-bar</t>
  </si>
  <si>
    <t>Marian Raducanu
0744577230</t>
  </si>
  <si>
    <t>1 x platou de 10 persoane (mix macarons, tarta cioco, pavlova - cate 20 din fiecare)</t>
  </si>
  <si>
    <t>Factura Selari</t>
  </si>
  <si>
    <t>1 x platou 10 pers. Miniprajituri
1 x platou 5 pers Minprajituri</t>
  </si>
  <si>
    <t>Soseaua Gheorghe Ionescu Sisesti, nr. 30, bloc nou, magazin EVAMBIENT (la parter)</t>
  </si>
  <si>
    <t>Reina Events, Strada Locotenent Nicolae Pascu 81
---------
Evenimentul  incepe la 19:30. Se amenajeaza candy-bar de la 18:00 la 19:15/</t>
  </si>
  <si>
    <t>Miruna Costache
Reprezentant Reina Events
0724415433</t>
  </si>
  <si>
    <t>Degustare Razvan Ticu
Eveniment 450 persoane</t>
  </si>
  <si>
    <t>1 x platou degsutare torturi nunta
1 x felie raspberry
1 x felie carrot cake
1 x felie chocolate fiesta
--
2 x tarta citron
2 x tarta ciocolata
2 x tarta fructe (acoperita de fructe)
2 x choux fistic
1 x pahar tiramisu
1 x pahar mousse vanile
2 x macarons mix</t>
  </si>
  <si>
    <t>La laborator. De pus un décor dragut pe torturi, ca ultima oara</t>
  </si>
  <si>
    <r>
      <t xml:space="preserve">1 x tort decorat 6.4 kg pe doua etaje ca in poze décor (Berry Chocolate)
+
Mesaj pe Tort: "La Multi Ani, Ana!"
+
LUMANARE CU "18" pe tort, ARGINTIE
+
</t>
    </r>
    <r>
      <rPr>
        <b/>
        <u/>
        <sz val="11"/>
        <color rgb="FF000000"/>
        <rFont val="Calibri"/>
        <family val="2"/>
      </rPr>
      <t>Sa ornam tortul cu baloane si fluturasi!!!</t>
    </r>
    <r>
      <rPr>
        <b/>
        <sz val="11"/>
        <color rgb="FF000000"/>
        <rFont val="Calibri"/>
        <family val="2"/>
      </rPr>
      <t xml:space="preserve">
---
Amenajare Candy-Bar 20 persoane:
15 x mini-briose tematice (roz/alb + poze travel) (30 gr/buc - 900)
5 x mini-tarte ciocolata (22.5 gr/buc - 225 gr)  
5 x pavlova (15 gr/buc - 150 gr)
5 x choux a la creme mix (25 gr/buc - 250 gr)
5 x mini-tarte lamaie cu bezea flambata  (22.5 gr/buc - 225 gr)    
5 x mini carrot cake (25 gr/buc - 250 gr)  
5 x mini raspberry vanilla  (25 gr/buc - 250 gr) 
5 x mini brownie (25 gr/buc - 500 gr)   
</t>
    </r>
  </si>
  <si>
    <t>factura coloseum
discount 50%. Facturat pam</t>
  </si>
  <si>
    <t>Razvan Ticu
0767511519
-----
Domeniul cu Ciresi
0786905659</t>
  </si>
  <si>
    <t>Bulevardul Metalurgiei,nr.87,sector 4 ,Grădinița Prietenii Mei</t>
  </si>
  <si>
    <t>certificat de conformitate
+
cash cu bon</t>
  </si>
  <si>
    <t>Tort decorat cu inspiratie din poze décor (3.5 kg - Oreo). De scris "La Multi, Marius"</t>
  </si>
  <si>
    <t>tort rotund 1.5 kg macheta raluca magic place (21.09.2019)</t>
  </si>
  <si>
    <t>décor oreo 3 kg pentru Camelia (16.09)</t>
  </si>
  <si>
    <t>1 x degustare torturi nunta</t>
  </si>
  <si>
    <t>Ballrooms by Bamboo (Strada Tuzla, 50)
-----
Amenajarea candy-bar de la 14:45 la 15:45
(Mirela + Laurentiu)</t>
  </si>
  <si>
    <t>Restaurant Zatara, Strada Vatra Luminoasă 108
-------
Amenajarea se face de la 16:00 la 16:45
(Laurentiu)</t>
  </si>
  <si>
    <t>Soiree
--
Amenajarea se face de la 16:40 la 17:40
(Catalina + Bianca)</t>
  </si>
  <si>
    <r>
      <t xml:space="preserve">ia tudor banii
+
</t>
    </r>
    <r>
      <rPr>
        <b/>
        <u/>
        <sz val="11"/>
        <color rgb="FF000000"/>
        <rFont val="Calibri"/>
        <family val="2"/>
      </rPr>
      <t>certificat conformitate in atentia "LaserMaxx"</t>
    </r>
    <r>
      <rPr>
        <b/>
        <sz val="11"/>
        <color rgb="FF000000"/>
        <rFont val="Calibri"/>
        <family val="2"/>
      </rPr>
      <t xml:space="preserve">
----------
</t>
    </r>
  </si>
  <si>
    <t>ridicare laborator de catre client</t>
  </si>
  <si>
    <t>Ridicare Candy-Bar Reve 14.09</t>
  </si>
  <si>
    <t xml:space="preserve">Reve Marriage, Stradă, Prelungirea Ghencea 95L, București 061703
 </t>
  </si>
  <si>
    <t>Dan Florea</t>
  </si>
  <si>
    <t>Ridicare Telefoane 
+
Imprimante</t>
  </si>
  <si>
    <t>cadou de la drageschu. Cash cu bon la flroin draghescu!</t>
  </si>
  <si>
    <t>Ridicare Candy-Bar
(Razvan 0 761 //696 9//00)</t>
  </si>
  <si>
    <t>Strada Caisului 12F, Dobroesti
(De verificat adresa)</t>
  </si>
  <si>
    <t>Camelia
0723123410</t>
  </si>
  <si>
    <t>S-au facut 2 contracte #18 &amp; #19 
---
S-a achitat avansul de 2133(1133+1000).
Dupa nunta trebuie sa achite restul de 4974.</t>
  </si>
  <si>
    <t xml:space="preserve">1 x macheta ca in poze décor cu etaj real si 4 etaje in loc de 3. Noi luam florile. Sa fie cat de inalte putem sa o facem
+
ARTIFICII DE TRIMIS CU MACHETA!!!!!!
---
450 x portie framboisier  (100 gr)
---
Amenajare Candy-Bar 200 persoane (ALB/NEGRU/AURIU):
123 x Choux (33% - ciocolata || cafea || fistic) 
25 x Briose (decorate cu petale aurii)
130 x Mini-Tarte Lamaie si Bezea Flambata 
130 x Mini-Tarte Ciocolata si Caramel 
130 x Mini-Tarte Fructe  
130 x Mini Pavlove 
95 x Pahar Tiramisu 
95 x Pahar Mousse Zmeura &amp; Vanilie 
25 x Biscuit Pictati Tematici (Auriu cu Alb)
40 x Cake Pops  (Auriu cu Alb)
</t>
  </si>
  <si>
    <t>Domeniul Cu Ciresi,
Șoseaua Giurgiului nr. 9
--
Amenajare de la 18:15 la 19:15 (atentie ca e si cu fruitbar)</t>
  </si>
  <si>
    <t>Florentina Artenii
0743012559</t>
  </si>
  <si>
    <t>Bulevardul Basarabia 118, Bl. L13 C+D, Et.8, Ap. 52, Sector 2</t>
  </si>
  <si>
    <t>vom avea 2 nunti in paralel la ei
Nunta 1 : 170 Porti Framboisier la 95 g + etaj real pentru butaforia inalta pe care o au
Nunta 2: 110 Portii citron 95 g + butafoie scunda (de 10 inaltime) 4 nivele alba + etaj real 1,5kg pentru ea</t>
  </si>
  <si>
    <t>(170 x 95g + 1,5 kg) x 75
(110 x 95g + 1,5 kg) x 75
400 lei butaforie
(factura Mogosoaia IT QUEST &amp; Management)</t>
  </si>
  <si>
    <t>Silvia Constantin (soiree)</t>
  </si>
  <si>
    <t>1 x macheta cu etaj real ca in poza décor dar cu verdele din "POZA VERDE" in loc de gri si cu flori naturale din  "POZA FLORI"
+
1 x tort decorat framboisier ca in décor (1 kg) cu mesajul "La Multi Ani George"
+
120 x felie framboisier (100 gr)
+
amenajare candy-bar 120 persoane:
69 x macarons mix 
69 x tarte fructe
69 x tarte ciocolata
69 x pavlova
69 x choux fistic
69 x mini carrot cake
69 x tarte citron
24 x briose decorate 
24 x cake pops
0.6 kg bezele artizanale</t>
  </si>
  <si>
    <t>Soiree, Bulevardul Pipera 2
---
Incepe la 20:00. Se amenajeaza de la 18:45 la 19:45</t>
  </si>
  <si>
    <t>400 macheta
65 ron/kg tort
50 x 3 euro
70 x 3.5 euro
--
Tortul mic a fost deja platit 100 ron.</t>
  </si>
  <si>
    <t>Elena Graucean
0722584483</t>
  </si>
  <si>
    <t>Sos. George Ionescu Sisesti, 146-156, Bl A, Ap. 19, Etaj 2</t>
  </si>
  <si>
    <t>357 - Sole Cash cu bon
+
certificat conformitate
----
Clienta plateste separat tortul si macheta cu factura. 
400 macheta
675 tort</t>
  </si>
  <si>
    <t xml:space="preserve"> framboisier rotund (1.5)pentru macheta Silvia Constantin</t>
  </si>
  <si>
    <t xml:space="preserve"> framboisier mic (0.7 kg )pentru tort decorat Silvia Constantin</t>
  </si>
  <si>
    <t>1 x macheta cu etaj real ca in poze décor
--
100 x portie 125 gr ricotta &amp; fructe confiate (decorat cu mini bezele portocalii asa a fost prezentat la degustare)
-
Candy-Bar 90 Persoane:
90 x macarons mix
45 x mini-tarte fructe
45 x mini-tarte ciocolata
45 x pavlova
45 x choux a la creme mix
45 x mini-tarte lamaie cu bezea flambata
45 x mini carrot cake
45 x mini raspberry vanilla</t>
  </si>
  <si>
    <t xml:space="preserve"> ricotta &amp; fcute confiate 1.5 kg pentru macheta bragadiru (21.09.2019)</t>
  </si>
  <si>
    <t>Ridicare Candy-Bar Zatara (15.09)</t>
  </si>
  <si>
    <t xml:space="preserve">Persoana Contact
</t>
  </si>
  <si>
    <t>Zatara Restaurant, Strada Vatra Luminoasă 108, București 021919</t>
  </si>
  <si>
    <t xml:space="preserve">Ballrooms by Bamboo (Strada Tuzla, 50)
</t>
  </si>
  <si>
    <t>Bulevardu obregia nr 20 bis bloc 20 bis Sc B et 3 ap 54 interfon 54</t>
  </si>
  <si>
    <t>Katy 
0723280792</t>
  </si>
  <si>
    <t>1 x tort oreo decorat (decorat cu o minge si o plasa de fotbal) - 1.6 kg cu mesajul "La Multi Ani, Dani!"</t>
  </si>
  <si>
    <t>Lavinia Pavel
0724282323</t>
  </si>
  <si>
    <t>Lasertag Arena din Sema Park - Splaiul Independentei nr.319</t>
  </si>
  <si>
    <t>card (POS) cu bon si certificat conformitate</t>
  </si>
  <si>
    <t>5kg Tort Cal de pe site||Raspberry Vanilla||"La multi ani, Ilinca!" si undeva cifra 8
+ 100g fara zahar si fara SARE "Putem cu stevie, miere, curmale, smochine sau orice alte fructe care indulcesc! Nu are voie cu zahar sau indulcitori mega procesati"
se poate folosi CACAO</t>
  </si>
  <si>
    <t>5 kg total, rotund, 1 etaj, raspberrry vanilla pentru tortul "Cal" de duminica 22.09 - Lavinia Pavel</t>
  </si>
  <si>
    <t>Alina Munteanu
0799904152
Louis Vuitton</t>
  </si>
  <si>
    <t>1 kg Tort Bailey's decorat neaparat ca in poza din décor|| “Bun venit pe lume!”</t>
  </si>
  <si>
    <t>Alexandru Obregia nr 13 bl R13A Sc A ap 9
Pentru Corina Balteanu
0768826767</t>
  </si>
  <si>
    <t>factura pe Louis Vuitton Bucuresti/ plata la 30 de zile</t>
  </si>
  <si>
    <t>3,5 total comozitie Snikers FARA ARAHIDE SI CU CAT MAI PUTIN ZAHAR pentru 20.09 - Mihaela Calin</t>
  </si>
  <si>
    <t>3.5 kg Snikers fara arahide si putin zahar||model inghetata un etaj cu baza alba si figurine turcoaz si roz (alegeti voi ce intra)|| "LA MULTI ANI, DARIA!" , cifra 9 undeva - poza in décor
+ 10 cake pops roz asezati pe suport in genul pozei din décor</t>
  </si>
  <si>
    <t>Trattoria Daimon Tineretului - Calea Piscului 10</t>
  </si>
  <si>
    <t>200 x felie tort 125 gr (ricotta &amp; fructe confiate decorat cu 1-2 bezele) 
 +   
De luat contractul in original de la Madalina si dus
(2 exemplare)</t>
  </si>
  <si>
    <t>Ridicare Candy-Bar Ballroom by Bamboo</t>
  </si>
  <si>
    <t>Andreea Tudorache
0721020824</t>
  </si>
  <si>
    <t>1 x tort citron 1 kg</t>
  </si>
  <si>
    <t>Str. Cercetătorilor nr. 2, bloc 24, scara 2, etaj 2, ap. 47, Sector 4,</t>
  </si>
  <si>
    <t>#</t>
  </si>
  <si>
    <r>
      <t xml:space="preserve">Candy-Bar cu Amenajare:
8 x briosa decorata cu banut printat logo "Estetique Solutions" (blat cu vanilie, fructe, gem capsuni si crema mascarpone) (75 gr/buc || 1.125 kg)
-
22 x briosa decorata cu banut printat logo "GENEO" (blat cu vanilie, fructe, gem capsuni si crema mascarpone) (75 gr/buc || 1.1125 kg)
-
20 x brownie (50 gr/buc || 1 kg)
20 x chocolate chip cookie  (40 gr/buc || 0.8 kg)
20 x tarta fructe (25 gr/buc || 0.5 kg)
20 x choux fistic (30 gr/buc || 0.6 kg)
20 x tarta lamaie (25 gr/buc || 0.5 kg)
---------------
6 sortimente - 130 bucati - 5.65 kg
----------------
ATENTIE. LOGO-URILE SUNT IN FISIER DECOR
+
</t>
    </r>
    <r>
      <rPr>
        <b/>
        <u/>
        <sz val="11"/>
        <color rgb="FF000000"/>
        <rFont val="Calibri"/>
        <family val="2"/>
      </rPr>
      <t xml:space="preserve">CUTIE SERVETELE </t>
    </r>
  </si>
  <si>
    <t xml:space="preserve">Soiree, Bulevardul Pipera 2
---
Evenimentul incepe de la 19:00.
Amenajarea se face de la 17:45 la 18:45 </t>
  </si>
  <si>
    <t>Jubile Concept Pipera Strada Emil Racoviță nr. 7
La ora 20:00
18:45 si 19:45 sa facem amenajarea.
---
De ridicat ziua urmatoare 12:00-13:00</t>
  </si>
  <si>
    <t>Restaurant Casa Brandusa, Strada branduselor 56</t>
  </si>
  <si>
    <t>1 x platou felie tort nunta
+
1 x plaou miniprajituri 3 persoane</t>
  </si>
  <si>
    <r>
      <t xml:space="preserve">Macheta cu etaj real ca in comenzi. Tortul sa fie propotionat sa fie ca inaltimea tortului "Model Inaltime"
+
225 x fistic cu zmeura
+
0.5 kg sos zmeura
--
Candy-Bar 160 persoane cu MASA "LITERE SWEETS":
TOTUL SA FIE CAT MAI </t>
    </r>
    <r>
      <rPr>
        <b/>
        <u/>
        <sz val="11"/>
        <color rgb="FF000000"/>
        <rFont val="Calibri"/>
        <family val="2"/>
      </rPr>
      <t xml:space="preserve">ALB, </t>
    </r>
    <r>
      <rPr>
        <b/>
        <sz val="11"/>
        <color rgb="FF000000"/>
        <rFont val="Calibri"/>
        <family val="2"/>
      </rPr>
      <t>inclusiv vesela
96 x macarons mix 
96 x tarte fructe
96 x tarte ciocolata
96 x pavlova
96 x choux fistic
90 x mini carrot cake
49 x pahare tiramisu
57 x pahare mouse zmeura
20 x briose decorate cu trandafiri albi din apsta
0.6 kg bezele artizanale (alb)</t>
    </r>
  </si>
  <si>
    <t>22.5 kg x 65 ron/kg = 1462.5 RON
+
1100 RON Macheta (extra 700)
+
110 persoane candy 3.5 euro = 1832.6 RON
+
50 persoane candy 3 euro = 714 RON
+
Masa Candy-Bar
100 RON</t>
  </si>
  <si>
    <t>Ridicare Cristian Food
0733640508</t>
  </si>
  <si>
    <t>De cumparat platouri argintii (de luat 500 ron madalina)
10 buc X 28 diametru
10 buc x 30 diametru
10 buc X 33 diametru
2 buc x 60 diametru</t>
  </si>
  <si>
    <t>Strada Sergent Nutu Ion, 8-12, Bucurest</t>
  </si>
  <si>
    <t>Cumparat Produse</t>
  </si>
  <si>
    <t>Amenajare Candy
20 x choux fistic
25 x macarons mix
20 x tarta ciocolata &amp; caramel
20 x tarte lamaie
20 x  pavlova
20 x tarte fructe
10 x pahar mousse zmeura si vanilie
10 x pahar tiramisu
12 x briose decorate tematic (cu donald duck)
+
----------
Tort decorat ca in departament decor. (5 kg -raspberry vanilla) Sa fie scris pe tort "Marius Stefan"</t>
  </si>
  <si>
    <t>1.5 total comozitie Snikers OREO pentru 22.09 - SOLE Restaurant</t>
  </si>
  <si>
    <t>Client Laura Facebook
0 723 624 098</t>
  </si>
  <si>
    <t>1 x felie berry chocolate
1 x felie chocolate fiesta</t>
  </si>
  <si>
    <t>Intrarea Irisului nr. 8, sat Dudu, com Chiajna, jud Ilfov, Romania. Cod postal: 077041</t>
  </si>
  <si>
    <t>fbia</t>
  </si>
  <si>
    <t>Yahoo, Strada Seimeni 26, Cernavodă
---
Evenimentul incepe la 20:00. Se amenajeaza de la 18:45 la 19:45</t>
  </si>
  <si>
    <t>1 x tort 3.5 kg compozitie personalizata:
COMPOZITIE:
extra bezea, ciocolata si capsuni, rugamintea este sa fie mai multa bezea in interior. (cum a mai facut Andreea pentru fiica lui Augustin)</t>
  </si>
  <si>
    <t>Certificat conformitate in atentia "GRADINITA ZECE"</t>
  </si>
  <si>
    <t>Gabriela Nada
0721102105</t>
  </si>
  <si>
    <t>1 x tort 1.5 kg raspberry vanilla decorat ca in poze décor</t>
  </si>
  <si>
    <t>Nerva traian, 17-19, bl M70, Sc 3, parter , magazin SH</t>
  </si>
  <si>
    <t>sediul Avon, Barbu Vacarescu, STR. DINU VINTILA, Nr.11, Et. 12</t>
  </si>
  <si>
    <t>1 x lingou DUO-MOUSSE (14cm x 25 cm) cu poza atasata din departament décor si decorat in spatiul de pe langa poza</t>
  </si>
  <si>
    <t>1.4 kg x 120 ORN</t>
  </si>
  <si>
    <t>1 x platou felie tort nunta
+
1 x plaou miniprajituri 3 persoane
+
Toate tipurile de tort pe care le avem sub forma de patratele de candy-bar intr-o cutie separata</t>
  </si>
  <si>
    <t>Ridicare Candy-Bar Soiree</t>
  </si>
  <si>
    <t>Soiree, Pipera 22</t>
  </si>
  <si>
    <t>ridicare candy-bar</t>
  </si>
  <si>
    <t>Andrei Dunuta
0 762 630 952
(I SE INMANEAZA LUI DIRECT. ESTE FOARTE IMPORTANTA ORA)</t>
  </si>
  <si>
    <t>SHOWROOM ESTETIQUE SOLUTIONS
--
Romulus 35
--
Se amenajeaza candy-bar'ul cu vesela ALBA (masa e alba) intre 9:30 si 10:30
---
ARANJEAZA LAURENTIU + Bianca + Catalina</t>
  </si>
  <si>
    <t>macheta cu etaj real ca in poze decor
+
350 x felie tort fistic cu zmeura (100 gr)
+
90 x tart miniciolata-caramel</t>
  </si>
  <si>
    <t>3 x degustare torturi nunta + 10 coji macarons(de care aveti)</t>
  </si>
  <si>
    <t>le vor ridica ei de la laborator</t>
  </si>
  <si>
    <t>120 lei /kg tort + 5 lei cakepops - cash cu bon + certificat de conformitate</t>
  </si>
  <si>
    <t>Sbarlea Viorica
0767396685</t>
  </si>
  <si>
    <t>2,5 kg Raspberry Vanilla || decorat ca pe site + placuta cu "La multi ani!"
+ 
2,5 kg Berry Chocolate || decorat ca pe site + placuta cu "La multi ani!"</t>
  </si>
  <si>
    <t>Str.Gheorghe Polizu nr.58-60,et 8</t>
  </si>
  <si>
    <t>factura pe Ownzones Media Network ; se va plati cu card (POS) la livrare + certificat conformitate</t>
  </si>
  <si>
    <t xml:space="preserve">Macheta cu etaj real cu 3 etaje 2 cu etaj real (OREO). Numele de pe cuburi sa fie "Mihai"
+
90 x portie OREO  100  grame decorat dragut
-----
Culori: albastru , verde
25 x cake pops
25 x tiramisu
30 x mini-raspberry vanilla si carrot cake
30 x choux  fistic
</t>
  </si>
  <si>
    <t>75 ron/kg
+
1000 ron macheta
+
85% x 4 lei x 90 tarte
---
SE FACE FACTURA CARE SE PLATESTE CASH MARTI (25.09.2019). Nu se plateste nimic sambata</t>
  </si>
  <si>
    <t>Cient Soiree 29.09</t>
  </si>
  <si>
    <t>Soiree, Pipera 2
--
Se amenajeaza de la 18:30 la 19:30</t>
  </si>
  <si>
    <t xml:space="preserve"> fistic cu zmeura 1.5 kg pentru macheta client soiree (29.09)</t>
  </si>
  <si>
    <t xml:space="preserve">40 pers x 4 euro/pers
300 RON
845 (6 kg x 130)
 </t>
  </si>
  <si>
    <t>torturi chocolate fiesta pentru tort 2 etaje Laura Lorian Unicorn (29.09)</t>
  </si>
  <si>
    <t>Octavian Goga nr. 24, bl. M62, sc. 3, apt. 71, etaj 3</t>
  </si>
  <si>
    <t>Andreea Iatagan
0723549342
iulia_iatagan@yahoo.com</t>
  </si>
  <si>
    <t>a fost achita deja pe website</t>
  </si>
  <si>
    <t>Str. Eugen Jebeleanu, Nr. 1, Pipera,  Gradinita 10
--
De mentionat ca este pentru Patricia Radu</t>
  </si>
  <si>
    <t>Gradinita Zece
0734776698</t>
  </si>
  <si>
    <t>2 x raspberry vanilla, 1 x berry chocolate, 3 etaje pentru Patricia Bragadiru (22.09)</t>
  </si>
  <si>
    <t xml:space="preserve">Tort ca in poze décor pe 3 nivele (stie Mirela)
Textul Tortului:  PATI plus la multi ani si 4 ani. 
--
Candy-Bar 30 persoane
30 x brownie
30 x cakepops (in modelul tortului)
10 x cupcakes (in modelul tortului)
10 x biscuiti (in modelul tortului)
40 x macarons (in culorile tortului)
 30 x tarte fructe
30 x tarte ciocolata
30 x pavlova
30 x choux fistic
30 x tarte citron
</t>
  </si>
  <si>
    <t>Ridicare Candy-Bar Estetique</t>
  </si>
  <si>
    <t>Ridicare Candy-Bar Estitique</t>
  </si>
  <si>
    <t>Estetique, Strada Romulus 35</t>
  </si>
  <si>
    <t>1 x tort decorat ca in poze decor (2 etaje - 6.5 kg -chocolate fiesta)
Mentiune 1: Numele de pe tort sa fie "Cezara Maria" scris cu rozul acela intens (fix cum are unicornul fundita)  
Mentiune 2: Funda mare de jos nu trebuie sa aiba acel 7 si sa fie tot rozul intens ca la fundita unicornului. 
-----
Candy-Bar 40 persoane cu tematica unicorn
26 x choux fistic
26 x tarta ciocolata &amp; caramel
26 x pavlova
26 x macarons cu unicorni (ca in poza "inspiratie candy-bar") 
26 x cake pops unicorn (ca in poza "inspiratie candy-bar") 
26 x pahar mousse zmeura si vanilie
16 x briose decorate in tematica "Unicorn" (ca in poza "inspiratie candy-bar")
15 x biscuti tematici unicorn (ca in poza "inspiratie candy-bar") 
----</t>
  </si>
  <si>
    <t>90 Ron/kg- Factura Blupary platita cash , discount 1090,26 lei</t>
  </si>
  <si>
    <t xml:space="preserve">450 macheta
910 tort
1285 ||3*90 euro candy
----
Colloseum
</t>
  </si>
  <si>
    <r>
      <t xml:space="preserve">cash cu bon si certificat de conformitate
---
</t>
    </r>
    <r>
      <rPr>
        <b/>
        <u/>
        <sz val="11"/>
        <color rgb="FF000000"/>
        <rFont val="Calibri"/>
        <family val="2"/>
      </rPr>
      <t>ATENTIE!!! TREBUIE CATE UN CERTIFICAT SEPARAT PENTRU FIECARE TORT</t>
    </r>
  </si>
  <si>
    <t xml:space="preserve">Doctor Iacob Felix nr. 95, bl. 17, sc. B, et.8, apt. 67
---
A se suna cand se ajunge!
+
ATENTIE!!! TREBUIE CATE UN CERTIFICAT SEPARAT PENTRU FIECARE TORT
</t>
  </si>
  <si>
    <t>Monica Minoiu
0723588869
--
A se suna cand se ajunge!</t>
  </si>
  <si>
    <t>Ridicare Candy-bAR</t>
  </si>
  <si>
    <t>Colloseum
--
4 euro/pers  candy
+
100 ron/kg * 8 kg tort
Se factureaza de pe PAM 
(Inca nu am toate datele comenzii)</t>
  </si>
  <si>
    <t>Andreea Ghinea
072//102//0824
---
Contact Restaurant Alioli
0761182577</t>
  </si>
  <si>
    <t>La Finca by Alioli,
Strada Grigore Alexandrescu 77, București 011745, Romania
-----------
La 16:00 incepe evenimentul. Amenajarea se face de la 15:00 la 15:50</t>
  </si>
  <si>
    <t>Ridicare Candy-bar de la Soiree</t>
  </si>
  <si>
    <t>Ridicare Candy-bar de la Jubile Concept (cristea gabriela)</t>
  </si>
  <si>
    <t>Bulevardul Eroii Sanitari, nr 8</t>
  </si>
  <si>
    <t>1791 candybar + 300 amenajare candy bar
(de intocmit factura avans pe Cornea Madalina 209,1 lei) factura avans platita</t>
  </si>
  <si>
    <t>CUI 25793262 Asociația Grupul Studenților Mediciniști cu Activitate Științifică
--
factura op</t>
  </si>
  <si>
    <t>factura persoana fizica. 30% a fost achitat deja. Mai trebuie facuta o plata de 3081.4 RON
--
Sa se mai fac o factura 456 RON pentru:
36 macarons mix
36 choux mix
50 cakepops</t>
  </si>
  <si>
    <t xml:space="preserve">Amenajare Candy-Bar:
150 x choux (25 % fistic || 25% ciocolata || 25% vanilie || 25% cafea)
150 x macarons mix 
57 x biscuiti decorati tematici cu fluturi
70 x mini raspberry vanilla
70 x mini carrot cake 
70 x tarte lamaie  
114 x tarte ciocolata si caramel  
70 x pavlova 
70 x tarte fructe   
43 x pahar mousse zmeura si vanilie  
43  x pahar mousse tiramisu 
50 x cake pops (25 roz || 25 albastre)
30 x briose decorate tematic cu fluturi  
</t>
  </si>
  <si>
    <t>Ridicat litere volumetrice polistiren "sweet"</t>
  </si>
  <si>
    <t>Ana Maria Stancu
0 755 797 979</t>
  </si>
  <si>
    <t>Factura pe 
SC MIHAI MORAR CREATIVE SHOP SRL
RO16789076
--
Fac ei singuri amenajarea</t>
  </si>
  <si>
    <t>The Grill, Strada Aron Cotruș, nr. 20,  București</t>
  </si>
  <si>
    <t>Ridicare Candy-bAR
0725151441</t>
  </si>
  <si>
    <t>Ridicare Candy-Bar Andreea Ghinea (14 vase)</t>
  </si>
  <si>
    <t>La Finca by Alioli,
Strada Grigore Alexandrescu 77, București 011745, Romania</t>
  </si>
  <si>
    <t>1 x tort fistic cu zmeura (3.5 kg) cu un mesajul "La Multi Ani, Matei!" (Cu mai mult décor decat de obicei)
+
Cumanare Cifra "18"</t>
  </si>
  <si>
    <t>Sole Events, Bulevardul Iancu de Hunedoara 48 ETAJ 15, București
---
Evenimentul incepe la 20:00</t>
  </si>
  <si>
    <t>Andreea Sole
0734850806
--
Daniela Pasnicu (Sole)
0744324178</t>
  </si>
  <si>
    <t>Factura persoana Fizica</t>
  </si>
  <si>
    <t>Anca Moldovanu
0724219449</t>
  </si>
  <si>
    <t>1 x platou minipraji 3 persoane
-
1 x felie oreo
1 x felie carrot cake
1 x felie raspberry vanilla
1 xchocolate fiesta
1 x berry chocolate</t>
  </si>
  <si>
    <t>str Dreptății, nr 11, comuna Glina, cartier Alegria localizat pe DN 4 spre frumusani.</t>
  </si>
  <si>
    <t>Prajituri pentru 100 persoane:
ALB/BEJ cu accente verzi
57 x macarons mix 
57 x tarte fructe
57 x tarte ciocolata
57 x pavlova
57 x choux fistic
57 x mini carrot cake
57 x tarte citron
24 x cake pops</t>
  </si>
  <si>
    <t>Ridicare Candy-Bar Ana Maria Dinu (21 vase)</t>
  </si>
  <si>
    <t>Complex Herastrau, soseaua Nordului 7-9, Bucuresti, București 014101</t>
  </si>
  <si>
    <t>Ridicare Candy-Bar
Dl. Mitrea Marius
0768147398</t>
  </si>
  <si>
    <r>
      <t xml:space="preserve">42 x choux fistic
42 x tarta ciocolata
42 x tarta fructe
42 x brownie mare
42 x tarta lamaie
+
</t>
    </r>
    <r>
      <rPr>
        <b/>
        <u/>
        <sz val="11"/>
        <color rgb="FF000000"/>
        <rFont val="Calibri"/>
        <family val="2"/>
      </rPr>
      <t>2 x Suport Colivie 3 nivele (ATENTIE)</t>
    </r>
  </si>
  <si>
    <t>Bogdan Buzdugan
0744625550</t>
  </si>
  <si>
    <t>Cicic Veronica
0765165035</t>
  </si>
  <si>
    <t>1 x tort oreo 1.5 kg decorat ca pe website
+
1 x tort oreo 3.5 kg decorat ca in poze décor</t>
  </si>
  <si>
    <t>??? (de la mirela)</t>
  </si>
  <si>
    <t>350 pe tort decorat
105 pe tort mic</t>
  </si>
  <si>
    <t>Décor pentru Cicic Vernonica (3 kg tort oreo rotund)</t>
  </si>
  <si>
    <r>
      <t xml:space="preserve">1 x 1.6 tort kg </t>
    </r>
    <r>
      <rPr>
        <b/>
        <u/>
        <sz val="11"/>
        <color rgb="FF000000"/>
        <rFont val="Calibri"/>
        <family val="2"/>
      </rPr>
      <t xml:space="preserve">TORT MELC </t>
    </r>
    <r>
      <rPr>
        <b/>
        <sz val="11"/>
        <color rgb="FF000000"/>
        <rFont val="Calibri"/>
        <family val="2"/>
      </rPr>
      <t>(COMPOZITIE PERSONALIZATA) Stie Andreea</t>
    </r>
  </si>
  <si>
    <t>Bogdan Buzdugan (de confirmat)
0744625550</t>
  </si>
  <si>
    <t>APA NOVA 0214502091</t>
  </si>
  <si>
    <t>Str. Sinei nr.44, Sector 5</t>
  </si>
  <si>
    <t>De luat recipientele cu apa si dus la analiza/ Sa aveti la voi factura si chitanta</t>
  </si>
  <si>
    <t>Andreea Matei
0728982288</t>
  </si>
  <si>
    <t>Cristina diaconu
0723517689</t>
  </si>
  <si>
    <t>Costin (Nunta si candy bar) 
+40 726 400 207</t>
  </si>
  <si>
    <t>3,5 kg Tort Acadele si Macarons(poza decor)|| compozitie Oreo|| cifra "6" 
+
1 platou de minipraji de 10 persoane (macarons si choux mixt)
1 platou de minipraji de 5 persoane  (macarons si choux mixt)</t>
  </si>
  <si>
    <t>5 kg total 2 etaje OREO pentru tortul cu ursulet si sange - Cristina Diaconu 29.09</t>
  </si>
  <si>
    <t>3,5 total rotund Oreo pentru tortul Acadele si macarons - Andreea Matei 28.09</t>
  </si>
  <si>
    <t>4kg Tort skate park pe dreptunghi ca in poza din décor|| compozitia Snikers|| de adaugat un skate undeva pe sus la marginea rampei, ramane trotineta, cu grafitti cifra 8 si "Lucas", ramane butoiul si iarba exact asa, FARA Happy Birthday sau la multi ani</t>
  </si>
  <si>
    <t>4 kg snikers pe dreptunghi cu blat suplimentar pe parti pentru skate park - Valentina 29.09</t>
  </si>
  <si>
    <t>320 coji de macarons cu lemongrass 
+ o degustare torturi nunta</t>
  </si>
  <si>
    <t>vom avea 2 nunti in paralel la ei
Nunta 1 : 140 Porti fistic la 95 g + etaj real pentru butaforia mica (de 10 pe care o au)
Nunta 2: 150 Portii ricotta cu fructe confiate 95 g  + etaj real pentru macheta mare pe care o au</t>
  </si>
  <si>
    <t>(140 x 95g + 1,5 kg) x 75
(150 x 95g + 1,5 kg) x 75
(factura Mogosoaia IT QUEST &amp; Management)</t>
  </si>
  <si>
    <t>120 Porti fistic la 95 g + etaj real pentru butaforia mica (de 10 pe care o au)</t>
  </si>
  <si>
    <t>(120 x 95g + 1,5 kg) x 75
(factura Mogosoaia IT QUEST &amp; Management)</t>
  </si>
  <si>
    <t>4 tarte mari lamaie
4 tarte mari ciocolata
4 tarte mari mure
4 chesecake fructe</t>
  </si>
  <si>
    <t>3 tarte mari lamaie
3 tarte mari ciocolata
3 tarte mari mure
3 chesecake fructe</t>
  </si>
  <si>
    <t>5 tarte mari lamaie
5 tarte mari ciocolata
5 tarte mari mure
5 chesecake fructe</t>
  </si>
  <si>
    <t>2 x colivii</t>
  </si>
  <si>
    <t>Ridicat colivii medicina
Patricia
0747419425</t>
  </si>
  <si>
    <t>Bulevardul eroii sanitari nr8</t>
  </si>
  <si>
    <t>ridicat colivii</t>
  </si>
  <si>
    <t>Degustare Stefania Bunica
0722382528
--
NUNtA 250 PERS. IMPORTANT!</t>
  </si>
  <si>
    <t>Strada Gheorghe Titeica, 121-213, Cladirea Ethos House, etaj 5, secot 2, Bucuresti</t>
  </si>
  <si>
    <t>1 x platou degustare torturi nunta
-
1 x platou miniprajituri 3 persoane
---
De avut grija cum asezam feliile ca sa nu se rastoarne</t>
  </si>
  <si>
    <t>1 x Raspberry Love (inima cum a fost in Martie) 
+ 1 cutie minipraji de 5 persoane</t>
  </si>
  <si>
    <t>strada Fetesti nr 5, bl H27, Sc B, Ap 18</t>
  </si>
  <si>
    <t xml:space="preserve">2 x cutii de minipraji de 5 persoane </t>
  </si>
  <si>
    <t xml:space="preserve">Chiajna, strada Italia nr 1-7, sediul Ford truckes </t>
  </si>
  <si>
    <t>1 x cutie minipraji de 5 persoane</t>
  </si>
  <si>
    <t>str. Constantin Brâncuși, nr. 7, bl D14, sc. A, et. 6, ap.28, sector 3. Interfon 28 C
tel de contact la aceasta adresa +40 (771) 371 395</t>
  </si>
  <si>
    <t>fara brrrr, incaseaza Dan direct</t>
  </si>
  <si>
    <t>Plateste 30% avans.A platit 367,86lei. Conform contractului 15/06.08.2019
--
De printat factura pentru aavea certificatul de conformitate!</t>
  </si>
  <si>
    <t>65 x Monopotii triunghiulare tort ricotta cu fructe confiate – decorate cu bezea roz si zmeura
+
5 x Monopotii pentru intoleranta la gluten</t>
  </si>
  <si>
    <t>Colloseum
--
se factureaza pe pam</t>
  </si>
  <si>
    <t xml:space="preserve">1 x macheta cu etaj real ca in departament décor. Florile le pun ei direct
--
150 x Monopotii triunghiulare tort ricotta cu fructe confiate – decorate cu bezea roz si zmeura
+
Candy-Bar 140 Persoane:
140 x macarons mix
70 x mini-tarte fructe
70 x mini-tarte ciocolata
70 x pavlova
70 x choux a la creme mix
70 x mini-tarte lamaie cu bezea flambata
70 x mini carrot cake
70 x mini raspberry vanilla
</t>
  </si>
  <si>
    <t>ricotta si fructe confiate (1.5 kg )pentru macheta bragadiru (28.09)</t>
  </si>
  <si>
    <t>3 x Citron
3 x Tarta de ciocolata
3 x Tarta cu fructe(zmeura)
3 x Cheescake cu fructe de padure</t>
  </si>
  <si>
    <t>Factura pe selari investments</t>
  </si>
  <si>
    <t>54 x choux fistic
54 x brownie mare
54 x cake pops (diverse culori deschise)</t>
  </si>
  <si>
    <t>Pictorshop Giulesti
--
Jumbo</t>
  </si>
  <si>
    <t>Cumparat inimi de polistiren din Magazin Giulesti (pictorshop)
--
Cumparat lumanari cu led di jumbo
--
De sunat Mirela si intrebat</t>
  </si>
  <si>
    <t>Necesitati de cumparat
-De sunat Mirela R.-</t>
  </si>
  <si>
    <t>Factura Bogdan Buzdugan</t>
  </si>
  <si>
    <t>De luat 300 RON la drum.</t>
  </si>
  <si>
    <t>Din partea Laurei ca multumire pentru colaborarea frumoasa de pana acum:
1 x tort chocolate delight 1.6 kg (Cristina)
1 x tort chocolate delight 1.6 kg(roxana)</t>
  </si>
  <si>
    <t>Din partea Laurei ca multumire pentru colaborarea frumoasa de pana acum:</t>
  </si>
  <si>
    <t>Roxana Chiritoiu (Bragadiru)
0733527201
( De sunat inainte si intrebat daca este la locatie)</t>
  </si>
  <si>
    <t>Pașcani 9, bl. TD35, et. 6, ap. 40, interfon 40C</t>
  </si>
  <si>
    <t>Figurine Fortnite
0722575820</t>
  </si>
  <si>
    <t>Lama, 2 x brazi, 2x butoaie, 2x medical, cufăr, topor ai bannerul cu "# 1 Victory Royale RADU!"</t>
  </si>
  <si>
    <t>1 x platou candy-bar
1 x platou torturi</t>
  </si>
  <si>
    <t>1 x macheta cu tort real ca in poze décor. Cumparam noi florile
--
227 x fistic si zmeura (100 gr)
--
2 x portie vegetariana (100 gr)
--
Amenajare Candy-Bar 60 persoane:
Candy 60 persoane:
45 x macarons mix 
35 x tarte fructe
35 x tarte ciocolata
35 x pavlova
45 x choux fistic
35 x tiramisu la pahar
35 x tarte citron
12 x briose decorate 
12 x cake pops</t>
  </si>
  <si>
    <t>400 macheta
--
22.9 kg la 65 ron/kg
--
60 pers la 3.5 euro/pers</t>
  </si>
  <si>
    <t>30% discount fara brr. Ia TUDOR BANII ULTERIOR.
--
CERTITIFAC CONFORMITATE</t>
  </si>
  <si>
    <t>1 x raspberry 2.5 kg rotund pentru Andreea Iatagan (22.09)
--
ATENTIE:
Fetita este alergica la alune/migdale si fructe exotice gen fructul pasiunii si mango. Va rog mare atentie la ciocolata folosita sa nu aiba in compozitie unt de arahide</t>
  </si>
  <si>
    <t>1 x tort decorat (1 nivel - raspberry vanilla - 3 kg) ca in décor cu mesajul "La Multi Ani, Sofia" si cifra "11"
--
ATENTIE:
Fetita este alergica la alune/migdale si fructe exotice gen fructul pasiunii si mango. Va rog mare atentie la ciocolata folosita sa nu aiba in compozitie unt de arahide</t>
  </si>
  <si>
    <t xml:space="preserve">400 macheta
--
2 kg tort macheta
--
14 kg tort normal
--
70 persoane * 3 euro candy
</t>
  </si>
  <si>
    <t>tort semifredo pentru macheta miruna costache</t>
  </si>
  <si>
    <t>Marian LPV</t>
  </si>
  <si>
    <t>tort decorat cu printese (stiee Andreea). 2 etaje, 4 kg, duo mousse visine, marian LPV, 28.09</t>
  </si>
  <si>
    <t>fara brr</t>
  </si>
  <si>
    <t>torturi duo-mousse visine pentru tort decorat cu printese</t>
  </si>
  <si>
    <t>Jungle Laser Mania - Str. Popa Nan, nr. 82, sector 2 (langa universitatea Hyperion)</t>
  </si>
  <si>
    <t>1 x platou de minipraji de 10 persoane</t>
  </si>
  <si>
    <t>cash cu bon(30% reducere)</t>
  </si>
  <si>
    <t>5,5 kg total 2 etaje||oreo|| tort ursulet sange poza in décor|| fata de poza din décor se doreste ca dropul de sange sa curga si pe etajul de jos si sa se termine pe etajul de jos in genul in care se termina pe etajul de sus (sunati-ma cand il faceti) si ca figurine va fi doar ursuletul FARA CELELALTE 3 figurine|| Scris "Tomi" in loc de Giovanni si sus veti avea cifra 9|| culorile raman identice ca in poza</t>
  </si>
  <si>
    <t>card (POS) cu bon si certificat conformitate(130 lei / kg)</t>
  </si>
  <si>
    <t>tortul va fi dus impreuna cu comanda de la Mogosoaia si clientul va veni din Corbeanca si il va prelua din Mogosoaia. Neaparat sa fiti acolo la 10:30, petrecerea incepand la 11:00</t>
  </si>
  <si>
    <t>tort fistic 180 persoane 100g cu macheta alba pe care lipim print frunze. Macheta va avea 2 etaje + 1 etaj real de 3 kg cu un bujor roz (mai inchis la varf)
Candy bar 110 persoane ca la Soiree(vesela alba) cu tema frunze verzi ca la Soiree
70 x choux vanilie
70 x choux fistic
 70 x tarte fructe
70 x tarte ciocolata
35 x biscuiti tematici(fara sa fie pictati cu auriu doar cu verde)
70 x macarons fistic 
70 x macarons tonka
40 x cakepops tematici</t>
  </si>
  <si>
    <t>Degustare Diana Ghimis
0767446131</t>
  </si>
  <si>
    <t>mousseuri pe forme rotunde cu dantela</t>
  </si>
  <si>
    <t>ParkLake Center etj 1 Kiddo Academy( str Liviu Rebreanu nr 4 sect 3 Buc
Reper parc Alex Ioan Cuza fostul IOR)</t>
  </si>
  <si>
    <t>Ridicare Bani Magic Place
Raluca (0 733 790 400)</t>
  </si>
  <si>
    <t xml:space="preserve"> Factura si chitanta se iau de la Madalina</t>
  </si>
  <si>
    <t>15 x cake pops (roz)
15 x choux vanilie(roz)
15 x mini-raspberry vanilla si carrot cake
15 x pavlova
15 x mini briose (roz)</t>
  </si>
  <si>
    <t>22 x cake pops (alb/albastru)
22 x pahare  tiramisu
22 x mini-raspberry vanilla si carrot cake
22 x choux  fistic
22 x mini briose (alb/albastru)</t>
  </si>
  <si>
    <t>Str. Gara Herastrau Nr. 4, Green Court Bucuresti Cladirea A, Parter, București
--
Sa nu se intarzie va rog!</t>
  </si>
  <si>
    <t>Facem factura</t>
  </si>
  <si>
    <t>Gargantua D’oro,  Strada Locotenent Aviator Serban Petrescu nr 8
---
De amenajat intre 15:00-16:00</t>
  </si>
  <si>
    <t>Colonial Club Cernica, Strada Strandului, Pantelimon 077145 (de inceput amenajarea de 17:15. LA 18:00 incepe petrecerea)</t>
  </si>
  <si>
    <t>Laura Lorian
0723624098
--
Atentie aici va rog ca este un client care ne va face reclama buna/rea</t>
  </si>
  <si>
    <t>Amenajare Candy bar:
+
Masa sweet (aranjata ca in poza din decor)
+
3 panouri plexi
+
50 choux fistic
50 choux vanilie
75 macarons mix
50 tarte fructe
50 tarta ciocolata
50 tarta lamaie
75 pavlova
50 pahare (25 mouse zmeura vanilie + 25 tiramisu)
50 briose</t>
  </si>
  <si>
    <t>Factura cu OP</t>
  </si>
  <si>
    <t>400 macheta + 3 kg tort real macheta (3 x 85 lei)+ tort invitati (18 kg x 85 lei)+ candy bar 17 lei / persoana + 300 lei amenajare - factura persoana fizica Marcu Costin-Georgian</t>
  </si>
  <si>
    <t>Bulevardul Alexandru Obregia 25</t>
  </si>
  <si>
    <t>Bloc 11B, Șoseaua Olteniței 58, București</t>
  </si>
  <si>
    <t>2 x platouri 5 persoane minipraji</t>
  </si>
  <si>
    <t>6 x platouri de 5 persoane minipraji</t>
  </si>
  <si>
    <t xml:space="preserve"> Hotel Diesel ,Bulevardul Mircea Eliade 113A, București
--
Candy-bar'ul se amenajeaza intre 18:45 si 19:15</t>
  </si>
  <si>
    <t>Factura Cash cu bon 
130 lei x 3.5 kg
pe site poti selecta platou de 15 persoane la 266 lei (Mada le faci tu cumva sa iasa)</t>
  </si>
  <si>
    <t>Soiree (5 oct) Melotina</t>
  </si>
  <si>
    <t>1 etaj zmeura cu fistic pentru macheta Soiree(05.10)</t>
  </si>
  <si>
    <t>Andrei Gunta
0724015347
andreigunta@yahoo.com</t>
  </si>
  <si>
    <t>Raw vegan pistachio pillow
Raw vegan blueberry pillow
Raw vegan cashew stone
Felie tort raw vegan coconut 
Pavlova Nare (ca pe website)</t>
  </si>
  <si>
    <t>str. Wolfgang Amadeus Mozart nr. 6, sc. B, ap. 17, sector 2, Bucuresti</t>
  </si>
  <si>
    <t>Gradina Floreasca, Sala "Events" Bulevardul Mircea Eliade 16
--
Amenajare de la 18:30 la 19:30</t>
  </si>
  <si>
    <t xml:space="preserve">1 x tort decorat 4 kg ca in poze décor "TORT 1". Numele de pe tort sa fie Stefan si sa pastram cifra 1.
COMPOZITIE SPECIALA: Blat cu cacao insiropat, duo mousse melange ciocolata (lapte+neagra), mousse lejer de vanilie (fara ciocolata alba)
-----------
1 x tort decorat 4 kg FISTIC CU ZMEURA ca in poze décor "TORT 2". Numele de pe tort sa fie "Stefan". SA ADAUGAM CIFRA 1 UNDEVA PE TORT!!!!
</t>
  </si>
  <si>
    <t>45 persoane la 4 euro
+
300 ron amenajarea
--------
Factura pe pers fizica. Revina Tudor cu numele</t>
  </si>
  <si>
    <t>Luna</t>
  </si>
  <si>
    <t>Ron</t>
  </si>
  <si>
    <t>August</t>
  </si>
  <si>
    <t>Decembrie</t>
  </si>
  <si>
    <t>Dionisie</t>
  </si>
  <si>
    <t>Octombrie</t>
  </si>
  <si>
    <t>Total Incasari</t>
  </si>
  <si>
    <t>Total Cheltuieli</t>
  </si>
  <si>
    <r>
      <t xml:space="preserve">1 x macheta cu etaj real  fara etajul de jos. De intrebat Andreea de flori!!!!!!
----
140 x portie compozitie (Semifreddo cu blat de biscuiti, spuma si fructe confiate)
+ 
Candy-Bar 70 persoane:
75 x choux mix
25 x tarta fructe
25 x tarta lamaie
25 x tarta ciocolata si caramel
75 x macarons mix (alb si roz)
20 x biscuti tematici (note muzicale)
30 x cake pops (auriu alb + auriu roz)
20 x cupcakes (alb/roz decorate cu note muzicale)
55  x pahare mousse (3 feluri - alegerea Andreei)
300 gr x bezele artizanale (alb + roz)
-----
</t>
    </r>
    <r>
      <rPr>
        <b/>
        <u/>
        <sz val="11"/>
        <color rgb="FF000000"/>
        <rFont val="Calibri"/>
        <family val="2"/>
      </rPr>
      <t>ATENTIE VREA  SA CUMPARAM NISTE LUMANARI CU LED PENTRU A-I DECORA CANDY-BAR'UL</t>
    </r>
  </si>
  <si>
    <t>Iulia Alina Salajan(BNI)
0721332103</t>
  </si>
  <si>
    <t>Amenajare Candy Bar 45 persoane:
30 x choux fistic
20 x mini tarta citron
30 x mini pavlova
30 x mini tarta ciocolata
30 x mini brownie
20 x mini tarta fructe
15 x pahar tiramisu
30 x carrot cake
20 x cake pops</t>
  </si>
  <si>
    <t>Lido</t>
  </si>
  <si>
    <t>Comanda Dan Florea</t>
  </si>
  <si>
    <t>20 x negresa
20 x cookie (2 feluri)</t>
  </si>
  <si>
    <t>Ridicare de la laborator. De anuntat cand sunt gata</t>
  </si>
  <si>
    <t>16.5 kg tort
72 pers candybar la 3 euro/pers</t>
  </si>
  <si>
    <t>72 pers candybar la 3 euro/pers</t>
  </si>
  <si>
    <r>
      <t xml:space="preserve">1 x 1.6 tort kg </t>
    </r>
    <r>
      <rPr>
        <b/>
        <u/>
        <sz val="11"/>
        <color rgb="FF000000"/>
        <rFont val="Calibri"/>
        <family val="2"/>
      </rPr>
      <t xml:space="preserve">TORT MELC </t>
    </r>
    <r>
      <rPr>
        <b/>
        <sz val="11"/>
        <color rgb="FF000000"/>
        <rFont val="Calibri"/>
        <family val="2"/>
      </rPr>
      <t>(COMPOZITIE PERSONALIZATA). VA ROG SA RESPECTAM RETETA. ESTE PE DROPBOX-UL PRINCIPAL!</t>
    </r>
  </si>
  <si>
    <t xml:space="preserve">165 x felie fistic zmeura (100 gr)
--
Prajituri 8 kg
38 x macarons mix 
38 x tarte fructe
38 x tarte ciocolata
38 x pavlova
48 x choux fistic
38 x tiramisu la pahar
38 x tarte citron
38 x mousse vanilie &amp; zmeura la pahar 
</t>
  </si>
  <si>
    <t xml:space="preserve">Prajituri 8 kg
38 x macarons mix 
38 x tarte fructe
38 x tarte ciocolata
38 x pavlova
48 x choux fistic
38 x tiramisu la pahar
38 x tarte citron
38 x mousse vanilie &amp; zmeura la pahar 
</t>
  </si>
  <si>
    <t>1 x felie citron
1 x felie framboisier
1 x felie raspberry vanilla
1 x felie duo mouse visine</t>
  </si>
  <si>
    <t>Sole Restaurant, Bulevardul Iancu de Hunedoara 48 ETAJ 15, București</t>
  </si>
  <si>
    <t>Macheta cu 5 etaje (1 etaj real) inalte de 1 metru. (Florile le luam noi. Sa fie la fel  ca sa se potriveasca cu buchetul miresei)
--
420 x portie zmeura &amp; fistic
2 x portie vegetariene</t>
  </si>
  <si>
    <t>750 - macheta (350 extra)
42.2 kg tort</t>
  </si>
  <si>
    <t xml:space="preserve">Reina Events, Strada Locotenent Nicolae Pascu 81
</t>
  </si>
  <si>
    <t>Ridicare Candy-bar Reina Events
--
cutiile de transport sunt in spate "la frigidere" (de intrebat pe oricine din cadrul reataurantului, 25 vase in total (2 ramase in cutie, 21 folosite, 2 vaze cu flori)</t>
  </si>
  <si>
    <t>Ridicare Candy-bAr</t>
  </si>
  <si>
    <t xml:space="preserve">Yahoo, Strada Seimeni 26, Cernavodă
</t>
  </si>
  <si>
    <t>De contactat clientul si intrebat daca putem ridica astazi vasele (0 732 719 854).
--
Persoana contact locatie: Viorica Greavu (0 722 664 777)</t>
  </si>
  <si>
    <t>Ridicare candy-bar soiree</t>
  </si>
  <si>
    <t>Protocol CEC - Serban Voda
Rodica
0741099204</t>
  </si>
  <si>
    <t>Protocol CEC - Obregia
Elena
0744366424</t>
  </si>
  <si>
    <t>factura pe numele andrei gunta</t>
  </si>
  <si>
    <t>Septembrie</t>
  </si>
  <si>
    <t>5 kg total PAW Patro|| Snikers|| “Edi Andrei” scris in fata pe pancarda sub figurine (pe lateralul tortului)</t>
  </si>
  <si>
    <t>(….. x 95g + 1,5 kg) x 75
(…... x 95g + 1,5 kg) x 75
+ 500 lei decor
(factura Mogosoaia IT QUEST &amp; Management)</t>
  </si>
  <si>
    <t>vom avea un botez si o nunta
Botez : 150 Porti fistic la 95 g + decor copilas pentru etajul real de pus pe butaforie + ornamente pentru etajele inferioare ca in poza din decor + Sa fie florea roz si vreau si o placuta cu numele Larisa Maria (sa le faceti mai multi fluturasi si ce mai trebuie ca ne da 500 lei pe decor)
Nunta : 170 Portii fistic 95 g +  + etaj real (vedem la care din butaforii)</t>
  </si>
  <si>
    <t>Adela Dimitriade
0742866534</t>
  </si>
  <si>
    <t xml:space="preserve">1kg tort Citron
+
1kg tort Fistic si zmeura. </t>
  </si>
  <si>
    <t>Spitalul Universitar de Urgenta Bucuresti (Sp. Municipal - Eroilor, sect. 5), la etajul 1, laborator Angiografie</t>
  </si>
  <si>
    <t>Andrei Trif - Sweets
0737409899</t>
  </si>
  <si>
    <t>150 persoane, tort si candy bar + turta (confirmam dupa degustare)</t>
  </si>
  <si>
    <t>5kg total Tort PAW PATROL compozitia Snikers pe rotund un etaj</t>
  </si>
  <si>
    <t>Anca Stanoiu
0727831787</t>
  </si>
  <si>
    <t>Factura cu op</t>
  </si>
  <si>
    <t>Maria Paunel
0746648519</t>
  </si>
  <si>
    <t>vom avea un botez si o nunta
Botez : 150 Porti fistic la 95 g + decor copilas in floare roz pentru etajul real de pus pe butaforie MARE + multi fluturi pentru etajele inferioare ca in poza din decor(fara funda) + placuta cu numele Larisa Maria (sa le faceti mai multi fluturasi ca ne da 400 lei pe decor)
Nunta : 170 Portii fistic 95 g +  etaj real (butaforia MICA)</t>
  </si>
  <si>
    <t>Macheta cu 5 etaje (1 etaj real) inalte de 1 metru. (Florile le luam noi. Sa fie la fel  ca sa se potriveasca cu buchetul miresei)
--
425 x portie zmeura &amp; fistic
2 x portie vegetariene</t>
  </si>
  <si>
    <t>750 - macheta (350 extra)
42.7 kg tort</t>
  </si>
  <si>
    <r>
      <t xml:space="preserve">Macheta cu etaj real ca in poza din fisier decor dar sa fie verde deschis in loc de alb!
--
75 x portii fistic zmeura 125 gr
+
</t>
    </r>
    <r>
      <rPr>
        <b/>
        <u/>
        <sz val="11"/>
        <color rgb="FF000000"/>
        <rFont val="Calibri"/>
        <family val="2"/>
      </rPr>
      <t>75 x piscot sampanie</t>
    </r>
    <r>
      <rPr>
        <b/>
        <sz val="11"/>
        <color rgb="FF000000"/>
        <rFont val="Calibri"/>
        <family val="2"/>
      </rPr>
      <t xml:space="preserve">
--
Amenajare Candy-Bar 70 pers + vesela:
24 x cupcake pepite ciocolata
45 x tarte fructe
13 x choux fistic
13 x choux cafea
13 x choux ciocolata
13 x choux vanilie
45 x tarta ciocolata
45 x tarta lamaie
45 x mini pavlova
45 x macarons mix
45 x mini carrot cake
45 x mini raspberry vanilla
</t>
    </r>
  </si>
  <si>
    <t>Emanuela Gavrila
0720115145</t>
  </si>
  <si>
    <t>Raw Vegan Pistachio Pillow – 1 buc
Caramel Coffee Bars – buc de 100 gr – cafea decof.
Raw Vegan Blueberry Finger – 1 buc
Peanut Butter &amp; Chocolate Bar – buc de 100 gr</t>
  </si>
  <si>
    <t>Sebastian Tudor (DSV)
0735663726</t>
  </si>
  <si>
    <t>restaurant Paraul Rece
Șoseaua Olteniței 26A, Popești-Leordeni</t>
  </si>
  <si>
    <t>Soiree Nov</t>
  </si>
  <si>
    <t>Factura soiree. Macheta e 400 ron cu tva inclsu</t>
  </si>
  <si>
    <t>Deocr</t>
  </si>
  <si>
    <t>etaj real pentru macheta soiree 2 nov. (framboisier)</t>
  </si>
  <si>
    <t>3kt total pe rotund compozitia Snickers pentru tortul fotbal de joi 03.10 - Maria Paunel</t>
  </si>
  <si>
    <t>3kg tort fotbal ca in poza din décor|| snickers|| "La multi ani, Ioan Alexandru!" + cifra 8 in piciore langa mingii</t>
  </si>
  <si>
    <t>(150 x 95g + 1,5 kg) x 75
(170 x 95g + 1,5 kg) x 75
+ 400 lei decor
(factura Mogosoaia IT QUEST &amp; Management)</t>
  </si>
  <si>
    <t>tort rotund macheta bragadiru (05.10)</t>
  </si>
  <si>
    <t>plata cu card + certificat conformitate</t>
  </si>
  <si>
    <t xml:space="preserve">SE LASA DOAR CERTIFICAT DE CONFORMITATE LA ADRESA
--
Factura Bogdan Buzdugan
(ii trimite tudor)
</t>
  </si>
  <si>
    <t>Bogdan Buzdugan
0744625550
(de sunat si reconfirmat intervalul orar)</t>
  </si>
  <si>
    <t>Amberry Hall,
Șoseaua București Nord nr 15-23
----
Amenajarea se face de la 18:30 la 19:30</t>
  </si>
  <si>
    <t>Reparatie Dubita</t>
  </si>
  <si>
    <t>Service</t>
  </si>
  <si>
    <t xml:space="preserve"> Adi Borotea‭
0729990663‬</t>
  </si>
  <si>
    <t>1 x tort chocolate fiesta 3.5 kg
--
Sa fie ambalat frumos ca va fi dat cadou</t>
  </si>
  <si>
    <t>sediul Cez , Ion Ionescu de la Brad 2</t>
  </si>
  <si>
    <t>De vorbit cu cei de la service sa vedem daca ne pot primi la 12:00 ca sa se rezolve problema specificata de Claudiu pe whatsapp</t>
  </si>
  <si>
    <t>de trecut in datorie Adi Borotea
-
certificat conformitate</t>
  </si>
  <si>
    <t xml:space="preserve">Amenajare Candy-Bar 90 pers + vesela:
31 x cupcake pepite ciocolata
57 x tarte fructe
17 x choux fistic
17 x choux cafea
17 x choux ciocolata
17 x choux vanilie
57 x tarta ciocolata
57 x tarta lamaie
57 x mini pavlova
57 x macarons mix
57 x mini carrot cake
57 x mini raspberry vanilla
</t>
  </si>
  <si>
    <t>factura cu op pe numele andrei gunta</t>
  </si>
  <si>
    <t>16.5 kg tort
64 pers candybar la 3 euro/pers</t>
  </si>
  <si>
    <t>64 pers candybar la 3 euro/pers</t>
  </si>
  <si>
    <t>1 x1.6 chocolate fiesta pentru tort fortnite dana baragan (05.10)</t>
  </si>
  <si>
    <t>Dana Baragan
0 724 784 948</t>
  </si>
  <si>
    <r>
      <t>1 x tort decorat fortnite ca in departament décor (chocolate fiesta)
--
Mesajul este "La Multi Ani Alex"</t>
    </r>
    <r>
      <rPr>
        <u/>
        <sz val="11"/>
        <color theme="1"/>
        <rFont val="Calibri"/>
        <family val="2"/>
        <scheme val="minor"/>
      </rPr>
      <t xml:space="preserve">
</t>
    </r>
  </si>
  <si>
    <t>Strada Negru Vodă nr. 2, Brănești 077145</t>
  </si>
  <si>
    <t>Degustare Buftea Events</t>
  </si>
  <si>
    <t>1 x portii torturi nunta 
Atentie (De taiat niste felii mai mari ca sa nu riscam sa se rastoarne in cutie). Decorat frumos
-
1 x cutie miniprajituri 5 persoane (chouxuri diferite si macarons diferiti)
Atentie, va rog sa flambati tartele de lamaie)</t>
  </si>
  <si>
    <t>Parcare Isoletta, Șoseaua Nordului 7-9, București 014101</t>
  </si>
  <si>
    <t>Amberry Hall Lights, Bulevardul Tudor Vladimirescu 22, București 050881
--
Evenimentul incepe la 18:30
Amenajarea se face de la 17:30 la 18:30.</t>
  </si>
  <si>
    <t xml:space="preserve">Tort natural chocolate fiesta cu décor de tort NAKED CA IN DEPARTAMENT DÉCOR si cu flori naturale. 
ATENTIE: Langa flori doresc sa fie ornat tortul cu macarons ca in pozele de inspiratie!
--
10 kg pe 3 Etaje ( sau 4 daca e nevoie)
--
120 x piscoturi sampanie
-
Amenajare Candy-Bar 100 pers + vesela:
34 x cupcake pepite ciocolata
64 x tarte fructe
18 x choux fistic
18 x choux cafea
18 x choux ciocolata
18 x choux vanilie
64 x tarta ciocolata
64 x tarta lamaie
64 x mini pavlova
64 x macarons mix
64 x mouse vanilie &amp; zmeura la pahar
64 x tiramisu la pahar
</t>
  </si>
  <si>
    <t>Factura amberry hall
piscoturile sunt cate 1 leu</t>
  </si>
  <si>
    <t>tort real raspberry vanilla 15 kg ca in poza decor
--
candy bar 90 persoane mix prajituri
tarte
pavolva
choux
macarons
Atentie: le vor pe platouri pe mese
+
18 platouri de la noi</t>
  </si>
  <si>
    <t>CERTIFICAT CONFORMITATE
--- 
(3.5 euro/persoana, total 315 euro)
--
 la 80 lei/kg (1200 lei) 
------
Mada sa o intrebi pe Andreea LUNI (07.10) pe ce nume sa facem factura</t>
  </si>
  <si>
    <t>Macheta ca in poza décor cu etaj real
Comentariu: modelul in relief sa fie acelasi, funda sa fie visinie – fara flori in varf, aduc ei un topper.
--
100 x monoportii rotunde 
compozitie: blat subtire de cacao, mousse de ciocolata neagra, zmeura la interior
--
Decorare monoportii: rotunde, invelite in fulgi de ciocolata neagra, zmeura in varf.
-----------------------------
+
Degustare Torturi Nunta
Atentie: "Ne ar ajuta sa fie mai multe compozitii, nu doar selectoa clasica"</t>
  </si>
  <si>
    <t>Eugenia Isvan
0721109526</t>
  </si>
  <si>
    <t>Amberry Hall
0723264197</t>
  </si>
  <si>
    <t>Comanda 5 Octombrie (Amberry)
0723264197</t>
  </si>
  <si>
    <t xml:space="preserve">Amenajare Candy-Bar 80 pers FARA VESELA (vesela va fi deja la locatie curatata):
27 x cupcake pepite ciocolata
51 x tarte fructe
14 x choux fistic
14 x choux cafea
14 x choux ciocolata
14 x choux vanilie
51 x tarta ciocolata
51 x tarta lamaie
51 x mini pavlova
51 x macarons mix
51 x mouse vanilie &amp; zmeura la pahar
51 x tiramisu la pahar
</t>
  </si>
  <si>
    <t>Factura amberry Hall</t>
  </si>
  <si>
    <t>Ridicare de la laborator
(De sunat pe al 13:00 sa ii spuneti ca o asteptati)</t>
  </si>
  <si>
    <t>La Arenele BNR, Str. Dr. Joseph Lister 35</t>
  </si>
  <si>
    <t>de intocmit factura persoana fizica si trimis lui Dan 
+
certificat conformitate</t>
  </si>
  <si>
    <t>1 x tort fistic dreptunghiular 3.5 kg||"La Multi Ani! 80 ani" scris pe placuta||decorat cu fructe rosii sau ce fructe aveti (coacaze, mure afine)</t>
  </si>
  <si>
    <t>1 x set degustare torturi</t>
  </si>
  <si>
    <t>Andrei (Client Andreea)
0733 981 231
--
Contact Locatie (Oana)
0733981230</t>
  </si>
  <si>
    <t>Comanda Amberry Hall Lights
0 724 359 928</t>
  </si>
  <si>
    <t>TreeHouse Cosoba, DJ601E
--
Amenajare intre 17:00 si 17:45. Se ocupa Andreea</t>
  </si>
  <si>
    <t>Degustare Gargantua</t>
  </si>
  <si>
    <t>Scala Events, Bd Mircea Eliade nr 16, in parcul Floreasca
--
De explicat inca  o data oamenilor de acolo ca va veni cineva mai tarziu pentru amenajare.
--
Amenajare de la 18:30 la 19:30</t>
  </si>
  <si>
    <t>NEAPARAT CERTIFICAT CONFORMITATE
---
45 persoane la 4 euro
+
300 ron amenajarea
--------
Factura pe pers fizica. IULIA ALINA SALAJAN</t>
  </si>
  <si>
    <r>
      <t xml:space="preserve">1 x tort chocolate fiesta 2 kg </t>
    </r>
    <r>
      <rPr>
        <b/>
        <u/>
        <sz val="11"/>
        <color rgb="FF000000"/>
        <rFont val="Calibri"/>
        <family val="2"/>
      </rPr>
      <t>DECORAT CA PE WEBSITE</t>
    </r>
    <r>
      <rPr>
        <b/>
        <sz val="11"/>
        <color rgb="FF000000"/>
        <rFont val="Calibri"/>
        <family val="2"/>
      </rPr>
      <t xml:space="preserve">
--
Mesaj tort cu placuta: 
"Happy Teachers Day
Acorns Nursery"</t>
    </r>
  </si>
  <si>
    <t>Certificat conformitate
--
factura pe acorns pentru 3.5 kg tort 100 RON -  315 RON. (10% discount inclus) (pt ambele comenzi)</t>
  </si>
  <si>
    <t>Acorns Nursery, Strada Popa Soare 63, București 030167</t>
  </si>
  <si>
    <t>Acorns Nursery,Intrarea Poiana 8</t>
  </si>
  <si>
    <t>Certificat conformitate
--
factura totala pe cealalta comanda</t>
  </si>
  <si>
    <r>
      <t xml:space="preserve">1 x tort chocolate fiesta 1.5 kg </t>
    </r>
    <r>
      <rPr>
        <b/>
        <u/>
        <sz val="11"/>
        <color theme="1"/>
        <rFont val="Calibri"/>
        <family val="2"/>
        <scheme val="minor"/>
      </rPr>
      <t>DECORAT CA PE WEBSITE</t>
    </r>
    <r>
      <rPr>
        <b/>
        <sz val="11"/>
        <color theme="1"/>
        <rFont val="Calibri"/>
        <family val="2"/>
        <scheme val="minor"/>
      </rPr>
      <t xml:space="preserve">
--
Mesaj tort cu placuta: 
"Happy Teachers Day
Acorns Nursery"</t>
    </r>
  </si>
  <si>
    <t>Iulia Alina Salajan(BNI)
0721332103
---
Reprezentant Locatie
Ioana 0727337131</t>
  </si>
  <si>
    <t>Zona Armeneasca - sector 2. Str Logofat Luca Stroici nr 13. Corp A, etaj 6, Apt 603</t>
  </si>
  <si>
    <t>1kg tort Citron cu mesajul "Happy Birthday! ❤" (cu inima rosie)</t>
  </si>
  <si>
    <t>factura persoana fizica Simina Paunescu</t>
  </si>
  <si>
    <t>Simina Paunescu
0756090083</t>
  </si>
  <si>
    <t>4 x cheesecake
5 x tarta ciocolata
5 x tarta lamaie
5 x tarta zmeura</t>
  </si>
  <si>
    <t>factura+certificat conformitate</t>
  </si>
  <si>
    <t xml:space="preserve">1 x tort decorat 4 kg ca in poze décor "TORT 1". Numele de pe tort sa fie Stefan si sa pastram cifra 1.
COMPOZITIE SPECIALA: Blat cu cacao insiropat, duo mousse melange ciocolata (lapte+neagra), mousse lejer de vanilie (fara ciocolata alba)
-----------
1 x tort decorat 4 kg FISTIC CU ZMEURA ca in poze décor "TORT 2". Numele de pe tort sa fie "Stefan". SA ADAUGAM CIFRA 1 UNDEVA PE TORT!!!!
----------
1 x platou miniprajituri 20 persoane (brownies in loc de macarons)
</t>
  </si>
  <si>
    <t xml:space="preserve">1 kg de bites(20g - 30 g) RAW VEGAN:
250 g -Raw Vegan Pistachio
250 g - Raw Vegan Blueberry
250 g - Raw Vegan Cashew
250g - Peanut Butter &amp; Chocolate Bar
</t>
  </si>
  <si>
    <t>Mihai Bravu 136, Bl.D20, sc B, etaj 4, ap 43</t>
  </si>
  <si>
    <t>Amberry Hall,
Șoseaua București Nord nr 15-23
----
Amenajarea se face de la 14:30 la 15:30. Vesela este deja la locatie</t>
  </si>
  <si>
    <t>De mers de luat candy-bar inapoi de la:
SCALA EVENTS (de sunat si intrebat)
COSOBA (intrebat Andreea)
Amberry Hall Lights (Dupa 11:00)</t>
  </si>
  <si>
    <t>Ridicare Candy-Baruru</t>
  </si>
  <si>
    <t>CERTIFICAT DE CONFORMITATE PENTRU FIECARE TORT IN PARTE
---
Factura Pe Crina Barbu. Se da lui Tudor sa se dea mai departe.
--
platoul este 240 de lei</t>
  </si>
  <si>
    <t xml:space="preserve">Ridicare candy-bar de la comanda de la nunta 28 Sept. </t>
  </si>
  <si>
    <t>degustare mousseuri si candy bar 150 persoane pentru evenimentul de pe 19 oct</t>
  </si>
  <si>
    <t>Morlovea Marius
0771182348</t>
  </si>
  <si>
    <t>CMI Dr. Vladescu Ruscsandra,
Strada Cetatea Histria, nr1, Bl. MII 8/13 sc1 , parter</t>
  </si>
  <si>
    <t>cash cu bon
-
certificat conformitaet</t>
  </si>
  <si>
    <t xml:space="preserve"> Hotel Diesel ,Bulevardul Mircea Eliade 113A, București
</t>
  </si>
  <si>
    <t>2 x platou 10 persoane miniprajituri
2 x tarta mare lamaie
2 x tarta mare ciocolata
2 x tarta mare mure</t>
  </si>
  <si>
    <t xml:space="preserve">80 RON CARD
--
4 x 20 RON </t>
  </si>
  <si>
    <t>400 macheta
-
100 masa candy
-
3250 tort
-
32.5 sos zmeura (500 gr)
-
4046 candy-bar</t>
  </si>
  <si>
    <t>Nichita Zloteanu
0745909335</t>
  </si>
  <si>
    <t>1 x Ret Velvet (1.6 kg) cu urmatorul mesaj “La Multi Ani, Andreeido!”</t>
  </si>
  <si>
    <t>polonei 43</t>
  </si>
  <si>
    <t xml:space="preserve">1 x macheta ca in poze décor (trebuie doar retusata) cu etaj real de 3 kg
--
120 felii x fistic cu zmeura (100 gr)
</t>
  </si>
  <si>
    <t xml:space="preserve">200 refacere macheta
-
15 x 75 tort
-
</t>
  </si>
  <si>
    <t>1 x etaj real pentru macheta magic place (fistic cu zmeura || 3 kg greutate totala)</t>
  </si>
  <si>
    <t>Elena Prakesch
0761149058</t>
  </si>
  <si>
    <t>1 x tort decorat 4.5 kg (framboisier SPECIAL) ca in poze décor.
Sa fie scris "Sara" in loc de Harriet"</t>
  </si>
  <si>
    <t>330 RON cash cu bon si certificat de conformitate
----
142 RON au fost achitati inainte ca si avans.</t>
  </si>
  <si>
    <t>Tort personalizat Framboisier (afine si zmeura) pentru tortul cu unicorn al Elenei Prakesch (23.11)</t>
  </si>
  <si>
    <t xml:space="preserve">150 x monoportii trio mousse. (PATRATE - 100 gr fiecare) </t>
  </si>
  <si>
    <t>Factura pe colloseum events</t>
  </si>
  <si>
    <t>Macheta din poze décor retusata cu etaj real
--
240 x felie trio mousse (125 gr)</t>
  </si>
  <si>
    <t>factura pe colloseum events</t>
  </si>
  <si>
    <t>1.5 kg trio mousse pentru macheta bragadiru (12.10)</t>
  </si>
  <si>
    <t>36 x tarte cu ciocolata
 30 x tarte cu lamaie 
44 x mini-praji alba ca zapada</t>
  </si>
  <si>
    <t>cash cu bon
+ 
certificat conformitate</t>
  </si>
  <si>
    <t>Décor pentru Cicic Vernonica (1.5 kg tort oreo rotund)</t>
  </si>
  <si>
    <t>Florina Radovean
0726814846</t>
  </si>
  <si>
    <t>1 kg tort Opera 
+ 
certificat conformitate</t>
  </si>
  <si>
    <t>Purcel Dumitru
0724137647</t>
  </si>
  <si>
    <t>blat pentru macheta Purcel Dumitru (12-Oct) Stie Mirela)</t>
  </si>
  <si>
    <t>O macheta ca in poze decor
--
130 x portie tort fistic (110 gr)
--
Candy 60 persoane(272 buc)
34 x Macarons mixt
34 x Choux fistic
34 x Choux vanilie
34 x Pavlova
34 x Mini-tarta cioco +caramel
34 x Minitarte fructe
34 x Minitarte lămâie și bezea
34 x Tiramisu pahar</t>
  </si>
  <si>
    <t>Strada Vlaicu Voda, 7A</t>
  </si>
  <si>
    <t>Cumparaturi</t>
  </si>
  <si>
    <t>De sunat Mirela si intrebat. A fost lasata lista</t>
  </si>
  <si>
    <t>cash cu bon
+
certificat conformitate</t>
  </si>
  <si>
    <t>1 x tort oreo 1.5 kg (stie mirela decorul)
+
1 x tort oreo 4.5 kg decorat ca in poze décor (stie mirela decorul)</t>
  </si>
  <si>
    <t>Certificat de conformitate pentru fiecare tort in parte
---
450 pe tort decorat
105 pe tort mic</t>
  </si>
  <si>
    <t>199 ron cu 30% discount fara brr</t>
  </si>
  <si>
    <t>Miruna Pascu
+40720194194</t>
  </si>
  <si>
    <t xml:space="preserve">1 x 4 kg tort ricotta si fructe confiate, dreptunghiular
Mesaj: "La multi ani, Cassian!" </t>
  </si>
  <si>
    <t>kiseleff 20, ap. 4</t>
  </si>
  <si>
    <t>Degustare Sole
0744987717</t>
  </si>
  <si>
    <t>1 x felie duo-mousse visine
1 x felie oreo
1 x felie carrot cake</t>
  </si>
  <si>
    <t>Intrarea Smardan 2, Bragadiru</t>
  </si>
  <si>
    <t>vom avea 2 nunti
nunta 1: 130 Porti fistic la 95 g + etaj real butaforie mare
Nunta 2:  100 Portii triomousse 95 g +  + etaj real butaforie mica</t>
  </si>
  <si>
    <t>(130 x 95g + 1,5 kg) x 75
(100 x 95g + 1,5 kg) x 75
(factura Mogosoaia IT QUEST &amp; Management)</t>
  </si>
  <si>
    <t>Costin 
0726400207</t>
  </si>
  <si>
    <t>Piata Presei 3-5, la turnuri, mai exact turnul din dreapta (Rompetrol/Telekom)</t>
  </si>
  <si>
    <t>Iulia
0728558850</t>
  </si>
  <si>
    <t>4 kg Tort Harry potter 2( cel auriu)||raspberry vanilla||"Happy birthday Karina"</t>
  </si>
  <si>
    <t>Str Ionel perlea nr 19, lângă Cismigiu, este real escape room,</t>
  </si>
  <si>
    <t xml:space="preserve">20 x portii tort fistic de 100g </t>
  </si>
  <si>
    <t>4 kg total raspberry vanilla, pe rotund pentru Tort Harry potter 2( cel auriu) de duminica Iulia</t>
  </si>
  <si>
    <t xml:space="preserve">1 x macheta ca in poze décor cu etaj real si 4 etaje in loc de 3. Noi luam florile. Sa fie cat de inalte putem sa o facem
+
ARTIFICII DE TRIMIS CU MACHETA!!!!!!
---
450 x portie framboisier  (100 gr)
---
Amenajare Candy-Bar 200 persoane (ALB):
123 x Choux (33% - ciocolata || cafea || fistic) 
25 x Briose (decorate cu petale aurii)
130 x Mini-Tarte Lamaie si Bezea Flambata 
130 x Mini-Tarte Ciocolata si Caramel 
130 x Mini-Tarte Fructe  
130 x Mini Pavlove 
95 x Pahar Tiramisu 
95 x Pahar Mousse Zmeura &amp; Vanilie 
25 x Biscuit Pictati Tematici (Auriu cu Alb)
40 x Cake Pops  (Auriu cu Alb)
</t>
  </si>
  <si>
    <t xml:space="preserve">str. Pridvorului Nr. 11, bloc 14, sc. A, ap. 16, sector 4, București  </t>
  </si>
  <si>
    <t>Oana
0723938937</t>
  </si>
  <si>
    <t>certificat conformitate
--
de luat banii de la laura</t>
  </si>
  <si>
    <t>Alecu Vlad
0726205999</t>
  </si>
  <si>
    <t xml:space="preserve">Strada 8 Martie, Nr. 13, </t>
  </si>
  <si>
    <t>Domeniul Cu Ciresi,
Șoseaua Giurgiului nr. 9
--
Laurentiu amenajeaza de la 17:30 la 19:15 . Ne vom intalni la locatie cu cei de la fruitbar si vom intercala platourile lor cu prajituri si candy-bar'ul nostru pe aceeasi masa.
--
Fata de la fruitbar se numeste are numarul +40 766 551 514.</t>
  </si>
  <si>
    <t>1 x 4 kg tort chocolate delight (mousse cafea ciocolata). Sa se lipeasca poza pe tort dar in loc de masti sa fie o carte si un aparat foto.</t>
  </si>
  <si>
    <t>Catalina
+40 724 134 113</t>
  </si>
  <si>
    <t>Aleea Barajul Dunării 5, București 032754</t>
  </si>
  <si>
    <t>tort 4 kg chocolate delight Catalina (12.Oct) - 30 cm x 40 xm</t>
  </si>
  <si>
    <t>Factura persoana Fizica Daniela Pasnicu</t>
  </si>
  <si>
    <t>Gargantua D’oro,  Strada Locotenent Aviator Serban Petrescu nr 8</t>
  </si>
  <si>
    <t>1,6 kg compozitie ciocolata si portocala, mesaj „ La multi ani! Oana“
---
ATENTIE. DE SPECIFICAT CA ESTE CADOU DE LA SIMINA!!!</t>
  </si>
  <si>
    <t>Décor pentru Cicic Vernonica (4 kg tort oreo rotund)</t>
  </si>
  <si>
    <t>Laurenitiu</t>
  </si>
  <si>
    <t>Mihaela
0726199545</t>
  </si>
  <si>
    <t>2,6 kg tort tortul cu fistic si zmeura, pe 2 etaje||decorat cu macarons si fructe si ce mai vreti voi||"La multi ani, Mary!"</t>
  </si>
  <si>
    <t xml:space="preserve"> strada Secuilor, nr 7, bl B31, sc 3, et 3, ap 39, sector 4.</t>
  </si>
  <si>
    <t>Amberry Hall,
Șoseaua București Nord nr 15-23, Voluntari 077190</t>
  </si>
  <si>
    <t>Ridicare candy-bar amberry pipera. Atentie, de luat si vazele care sunt pe hol.!</t>
  </si>
  <si>
    <t>Dus Candy-Bar</t>
  </si>
  <si>
    <t>dus vesela candy-bar</t>
  </si>
  <si>
    <t>Ada
0724599742</t>
  </si>
  <si>
    <t>Str. Dogarilor nr.26-30</t>
  </si>
  <si>
    <t>cash cu bon+certificat conformitate</t>
  </si>
  <si>
    <t>1 x tort snickers 3 kg ca in departament décor. Modelul de tort ca in "Poza 1" cu figurina din "Poza 2"
--
Mesaj: "La multi ani, Ana Zoe!"</t>
  </si>
  <si>
    <t>1 x tort 2.6 kg tort snickers pentru tort decorat (Ada 12.10 - 3 kg in total)</t>
  </si>
  <si>
    <t>șoseaua Sălaj nr 267 bloc 1b</t>
  </si>
  <si>
    <t>Cristina 
0755093181
----
De specificat ca este cadou de la Roxana Chiritoiu</t>
  </si>
  <si>
    <t>1 x tort decorat con inghetata ca in poze décor 1.5 kg OREO</t>
  </si>
  <si>
    <t>1 x tort 1 kg OREO pentru tort decorat cristina(15.10)</t>
  </si>
  <si>
    <t>Facut ITP
Dl Apostol
0725201089</t>
  </si>
  <si>
    <t>De sunat dl apostol si luat toate documentele necesare pentru ITP. Au fost aduse de Claudiu la laborator cele care erau la Dan.
---
De asemenea, de scos 400 RON de pe card pentru plata acolo</t>
  </si>
  <si>
    <t>Strada Mitari cu Calea Ferentari</t>
  </si>
  <si>
    <t>Facut ITP. E foarte important sa ajungem la 14:30</t>
  </si>
  <si>
    <t>Soiree
--
Evenimentul incepe la 19:00. Se amenajeaza intre 17:45 si 18:45. Vesela este deja la locatie</t>
  </si>
  <si>
    <t>de aduagat la datorie borotea</t>
  </si>
  <si>
    <t>1 x platou cafea 20 pers
1 x platou minipraji 10 pers</t>
  </si>
  <si>
    <t>150 amenajarea
250 refill locatie
2220 candy-bar</t>
  </si>
  <si>
    <r>
      <rPr>
        <b/>
        <u/>
        <sz val="11"/>
        <color rgb="FF000000"/>
        <rFont val="Calibri"/>
        <family val="2"/>
      </rPr>
      <t>EVENIMENT UNSMOKE</t>
    </r>
    <r>
      <rPr>
        <b/>
        <sz val="11"/>
        <color rgb="FF000000"/>
        <rFont val="Calibri"/>
        <family val="2"/>
      </rPr>
      <t xml:space="preserve">
Andreea Nicorescu (Honney Events)
0785842653</t>
    </r>
  </si>
  <si>
    <t>Degustare Ramada
Dana Teodorescu
0749119963</t>
  </si>
  <si>
    <t>1 x felie fistic si zmeura
1 x felie duo mousse ciocolata si visine
1 x felie framboisier
1 x felie tort citron
1 x felie ricotta si fructe confiate
1 x carrot cake
-------
1 x platou miniprajituri 3 persoane</t>
  </si>
  <si>
    <t>Ramada Nord, Strada Daniel Danielopolu 44
--
Se inmaneaza persoanei de acolo care va tine degustarea</t>
  </si>
  <si>
    <t>NEAPARAT CERTIFICAT CONFORMITATE catre "Ramada Nord"
+
protocol degustare</t>
  </si>
  <si>
    <t>str.Gheorghe Polizu nr.58-60, et.8,sect.1</t>
  </si>
  <si>
    <t>Ramada Nord, Strada Daniel Danielopolu 44
--
Candy se amenajeaza de la XXX la YYY</t>
  </si>
  <si>
    <t>400 macheta
--
tort 85 ron/kg
--
candy 4.5 ron/kg</t>
  </si>
  <si>
    <t>Factura persoana fizica</t>
  </si>
  <si>
    <r>
      <t xml:space="preserve">1 x macheta ca in décor cu etaj real. Florile si frunzele si fie naturale. Le cumparam noi.
-
430 x portie duo-mousse </t>
    </r>
    <r>
      <rPr>
        <b/>
        <u/>
        <sz val="11"/>
        <color rgb="FF000000"/>
        <rFont val="Calibri"/>
        <family val="2"/>
      </rPr>
      <t xml:space="preserve">CU ZMEURA
</t>
    </r>
    <r>
      <rPr>
        <b/>
        <sz val="11"/>
        <color rgb="FF000000"/>
        <rFont val="Calibri"/>
        <family val="2"/>
      </rPr>
      <t xml:space="preserve">-
500 gr sos zmeura (1/2 kg)
-
Candy-Bar 250 persoane + vesela
143 x macarons mix 
143 x tarte fructe
143 x tarte ciocolata
143 x pavlova
143 x choux fistic
143 x tarta lamaie
50 x mini carrot cake
123 x pahar mousse cu lingurita
20 x briose decorate cu trandafiri albi din pasta
0.6 kg bezele artizanale
</t>
    </r>
  </si>
  <si>
    <t xml:space="preserve"> 
Corina 
0769308105</t>
  </si>
  <si>
    <t>1,6 tort fistic cu zmeura|| cu mesajul "Happy 30"</t>
  </si>
  <si>
    <t>Drumul opalului,nr1-44,complex Felicity,sect 1</t>
  </si>
  <si>
    <t>fara bani, e pentru Corina de la Mogosoaia</t>
  </si>
  <si>
    <t>str gherghitei numarul 17-19</t>
  </si>
  <si>
    <t>2 x felie fistic si zmeura
2 x chocolate delight (mousse cafea cioco)
2 x felie framboisier
2 x felie duo mousse visine
1 x felii tort citron</t>
  </si>
  <si>
    <t>Ridicare candy-bar Reve. 25 piese</t>
  </si>
  <si>
    <t>Stradă, Prelungirea Ghencea 95L, București 061703</t>
  </si>
  <si>
    <t>1 x tort 1.6 kg ciocolata si portocala</t>
  </si>
  <si>
    <t>factura pe dot</t>
  </si>
  <si>
    <t>Ana Maria Ducuta
(0724) 036 199‬</t>
  </si>
  <si>
    <t>Calea Vitan, Nr.25 C,Bloc C1,Scara 2,Etaj 1, Apart.34, Interfon 134. Blocul de langa mall Vitan,</t>
  </si>
  <si>
    <t xml:space="preserve"> 4 x tarta mare lamaie
4 x tarta mare ciocolata, 
4 x tarta mare mure
 15 x  choux cu fistic
30 x macarons diferiti</t>
  </si>
  <si>
    <t>Antin Ana
0724032531</t>
  </si>
  <si>
    <t>Trattoria Roman, Strada Mântuleasa 31</t>
  </si>
  <si>
    <t xml:space="preserve">Tort ca in poze décor dar cu figurine umane doar pe primul etaj. (3 kg || 2 etaje - chocolate fiesta/snickers)
Atentie1: In loc de "200" sa fie cifra "30"
Atentie2: In loc de "school days" si "avenor college" sa fie scris : "Promoția 1989, clasa a VIII a C" </t>
  </si>
  <si>
    <t>2 torturi chocolate fiesta pentru tort decorat 2 etaje. Greutatea torturilor naturale trebuie sa fie 3 kg (Antin Ana -25 Oct)</t>
  </si>
  <si>
    <t>Sabina Calin
0758035521</t>
  </si>
  <si>
    <t>4 kg Trio Mousse, dreptunghiular, mesajul “La multi ani, Aurel!”</t>
  </si>
  <si>
    <t>Hilton Garden Inn (strada Doamnei, nr 12)</t>
  </si>
  <si>
    <t>cash cu factura: AIC TRUCKS SRL
Sat Chiajna, comuna Chiajna, strada Italia, nr 1-7
RO36125153, J23/2047/2017</t>
  </si>
  <si>
    <t>Octavia Ene
0 751 144 499</t>
  </si>
  <si>
    <t>Delea Noua 3, sector  3</t>
  </si>
  <si>
    <t>240 lei cu op. De sunat si intrebat mail-ul pe care sa trimitem factura</t>
  </si>
  <si>
    <t>1 x tort chocolate delight 2 kg. De decorat cu macarons si trandafiri albi din pasta de zahar (ca in poze décor)</t>
  </si>
  <si>
    <t>Ridicare Candy-Bar 
+
RIDICARE 10 CAPSURI</t>
  </si>
  <si>
    <t>Ridicare Candy-Bar Soiree
+
RIDICARE 9 CAPSURI</t>
  </si>
  <si>
    <t>Ridicare Flyer
Dan Vasilescu
0 787 340 271</t>
  </si>
  <si>
    <t>Ridicare 100 flyere</t>
  </si>
  <si>
    <t>Știrbey vodă 4, interfon 44</t>
  </si>
  <si>
    <t>Ridicare flyere</t>
  </si>
  <si>
    <t>Le Chateau Ballroom, Strada Turturelelor 11, București 030882</t>
  </si>
  <si>
    <t>Dus Flyere</t>
  </si>
  <si>
    <t>Dus 30  flyere</t>
  </si>
  <si>
    <t>3370
100 lei turta se plateste separat de catre nasi sambata dimineata</t>
  </si>
  <si>
    <t>card cu bon pentru cei 3370 lei + certificat conformitate
100 lei cash cu bon turta + certificat conformitate</t>
  </si>
  <si>
    <t>Stefania Circota
0742505249</t>
  </si>
  <si>
    <t>ASOCIATIA CLUBUL ROMAN DE MOBILA
cu sediul in Bucuresti, Str. Novaci, sector 5, inregistrata la Registrul Asociatiilor si Fundatiilor sub nr. 13.311/302/2011, CUI 29083420, cont RO25 RZBR 0000 0600 1395 9601 deschis la RAIFFEISEN BANK</t>
  </si>
  <si>
    <t>4 kg duomousse cu visine pe care aplicam poza din décor|| "La multi ani, Darius Andrei!" si cifra 8 sau 8ani undeva
+
certificat conformitate</t>
  </si>
  <si>
    <t>Tort Unicorn (ca in poze décor) 3 kg -OREO.
Mesajul sa fie " La multi ani, Alesia" dar " undeva in afara tortului, nu direct pe el"</t>
  </si>
  <si>
    <t>1 x tort oreo 2.7 kg pentru tort unicorn (floris ionescu - 19.10)</t>
  </si>
  <si>
    <t>Floris Ionescu
floris2k2@yahoo.com
0762643242</t>
  </si>
  <si>
    <t>2 x platou candy-bar
2 x platou torturi</t>
  </si>
  <si>
    <t xml:space="preserve">Amenajare Candy-Bar 80 pers + vesela:
27 x cupcake pepite ciocolata
51 x tarte fructe
15 x choux fistic
15 x choux cafea
15 x choux ciocolata
15 x choux vanilie
51 x tarta ciocolata
51 x tarta lamaie
51 x mini pavlova
51 x macarons mix
51 x mini carrot cake
51 x mini raspberry vanilla
</t>
  </si>
  <si>
    <t>Sergiu Soiree (fav)
0720537001</t>
  </si>
  <si>
    <t>Tort Rapunzel (ca in poze décor "tort soiree) 3 kg - berry chocolate
Mesajul sa fie " La multi ani, Eva" si sa strecuram un cifra "4" pe el</t>
  </si>
  <si>
    <t>1 x tort berry chocolate 2.7 kg pentru tort Sergiu Soiree (floris ionescu - 20.10)</t>
  </si>
  <si>
    <t>Certificat conformitate
--
Cash fara brrrrr</t>
  </si>
  <si>
    <t>Ridicare Capsuri</t>
  </si>
  <si>
    <t>3 capsuri - Reve</t>
  </si>
  <si>
    <t>Hotel și restaurant Reve Mariage, Str prelungirea Ghencea, nr 95 L</t>
  </si>
  <si>
    <t>Ridicare Capsuri
Razvan Reve
0761696900</t>
  </si>
  <si>
    <t>Ridicare Capsuri
Razvan Ticu
0 767 511 519</t>
  </si>
  <si>
    <t>Strada Cristalului, Bl 2, Scara 1 et 3, ap. 23 (E fix in spatele blocului cu mega image la parter)</t>
  </si>
  <si>
    <t>8 capsuri albe
---
De sunat la ora 10:00 si reconfirmat ora</t>
  </si>
  <si>
    <t>NU SE IA NIMIC DE LA CLIENT
--
cash cu bon de la ROXANA CHIRITOIU DE LA BRAGADIRU CAND MERGEM PANA COLO. Se iau 150 cu capsurile pe 15.10</t>
  </si>
  <si>
    <t>Ridicare Capsuri
Roxana Chiritoiu
0 733 527 201</t>
  </si>
  <si>
    <t>de ridicat 7 capsuri albe
+
150 RON</t>
  </si>
  <si>
    <t>Ridicare Capsuri + bani</t>
  </si>
  <si>
    <t>1 x tort fistic &amp; zmeura dreptunghiular 3.5 kg
1 x tort  chocolate delight dreptunghiular 3 kg
-----
Pe ambele torturi sa fie "La Multi Ani"!
-------------------------
ATENTIE SA NU FIE INGHETATE!</t>
  </si>
  <si>
    <t>Discount de la 780 de RON (120 RON)
-
Plata cu cardul POS + factura pe urmatoarele detalii
----
Ownzones Media Network Ro Srl
RO34732426,J40/8143/2015</t>
  </si>
  <si>
    <t>1 x macheta cu etaj real ca in poza décor dar cu verdele din "POZA VERDE" in loc de gri si cu flori naturale din  "POZA FLORI"
+
1 x tort decorat framboisier ca in décor (1 kg) cu mesajul "La Multi Ani George"
+
180 x felie framboisier (100 gr)
+
1 x vegetarian
+
amenajare candy-bar 120 persoane:
69 x macarons mix 
69 x tarte fructe
69 x tarte ciocolata
69 x pavlova
69 x choux fistic
69 x mini carrot cake
69 x tarte citron
24 x briose decorate 
24 x cake pops
0.6 kg bezele artizanale</t>
  </si>
  <si>
    <t>VESELA PENTRU UNSMOKE
+
Candy-Bar 140 pers:
60 x macarons (galbeni cu dunga neagra pe mijloc dupa modelul de la ana caranovic)
73 x choux vanilie (banut galben)
73 x mini tarta citron
73 x mini pavlova
73 x mini tarta ciocolata
73 x mini tarta fructe
41 x pahar tiramisu
41 x pahar mousse vanilie &amp; zmeura
41 x cake pop (galben cu o dunga neagra sau orice alta idee sa mearga cu poza de brand)
37 x biscuti (galben cu sigla tematica unsmoke )
25 x chocolate cupcake (personalizat cu banut galben unsmoke lipit pe pasta ca sa stea teapan)
500 gr bezele artizanale (galbebe, negre, albe)</t>
  </si>
  <si>
    <t>Candy 40 persoane:
29 x macarons mix (lila/alb)
29 x tarte fructe
29 x tarte ciocolata
29 x pavlova
29 x choux fistic
29 x pahare mousse vanilie &amp; zmeura (alt mousse culoare lila?)
29 x tarte citron
12 x briose decorate (lila)
12 x cake pops (lila)
0.3 kg bezele artizanale (lila)
-------
+ extra decor vesela si flori.</t>
  </si>
  <si>
    <t>strada Secuilor, nr 7, bl B31, sc 3, et 3, ap 39, sector 4</t>
  </si>
  <si>
    <t>2.5 kg tortul noisette pe rotund|| cu mesajul "La multi ani, Mary!"</t>
  </si>
  <si>
    <t xml:space="preserve">Opera Romana, Bulevardul Mihail Kogălniceanu 70-72
-------
Amenajeaza claudiu de la 7:20 la 8:00. Se sta la locatie si se ajuta/ se face refill pana la ora 15:00. Laurentiu va sta acolo pana cand va veni Claudiu si vor face schimb. </t>
  </si>
  <si>
    <r>
      <t xml:space="preserve">Cash cu bon, daca se poate evidenti discountul in bon m-ar ajuta
80 x 125 g + 3 kg (etaj real) x 120 lei
macheta 600 lei
</t>
    </r>
    <r>
      <rPr>
        <b/>
        <sz val="11"/>
        <color theme="4" tint="-0.249977111117893"/>
        <rFont val="Calibri"/>
        <family val="2"/>
      </rPr>
      <t>discount 50 %
+ certificat conformitate!!!!!!</t>
    </r>
  </si>
  <si>
    <t>4 euro/pers
--
coloseum events</t>
  </si>
  <si>
    <t>80 portii fistic x 125g
+ macheta cu linii aurii din décor + ultimul etaj real fistic
+
Neaparat certificat de conformitate!!!!!!!!!</t>
  </si>
  <si>
    <t>SOS PROGRESULUI 90-100, SECTOR 5, BUCURESTI, in incinta complexului Mirano
---
Daca nu a ajuns clientul acolo il lasati cu certificat de conformitate acolo.</t>
  </si>
  <si>
    <t>4.5 euro/perso
+
300 ron amenajare
-
Factura persoana fizica
+
certificat conformitate</t>
  </si>
  <si>
    <t>tort dreptunghiular compoziție lămâie și Mac. Decorat cu fructe și macarons și bezele și sa fie scris pe el mesajul din atașament din Poze Decor. Tortul sa fie de 10 kg.
-----
Praji Candy-Bar 80 pers
44 x brownie patrat
48 x cakepops 
16 x chocolate chip cookie
52 x macarons 
44 x tarte fructe
44 x tarte ciocolata
44 x pavlova
44 x choux fistic
44 x tarte citron</t>
  </si>
  <si>
    <t>Jianu Mihai (de la Andrei Trif)
0726712560
Reprezentant Spatiu
(0725915266)</t>
  </si>
  <si>
    <t>Ridicare Candy Bar Bob Bon</t>
  </si>
  <si>
    <t>Bon Bon Club &amp; Events, Strada Dambovitei nr 4, Dragomirești-Deal 077095</t>
  </si>
  <si>
    <t>Ridicare Candy-bAr
Reprezentant Spatiu
(0725915266)</t>
  </si>
  <si>
    <t>Culori: alb, crem, bordo, rosu, corai
20 x choux fistic (alb)
20 x choux vanilie (rosu)
40 x tiramisu la pahar
40 x mini carrot cake 
40 x mini rasberry vanilla
11 x  mini briose (alb/bordo/rosu/corai)</t>
  </si>
  <si>
    <t>Se platesc cash cu bon ambele comenzi din weekend  in acelasi timp</t>
  </si>
  <si>
    <t>culori : alb, albastru
32 choux fistic
22 choux vanilie
12 mini broise (Alb si Albastru)
40 carrot 
40 tiramisu la pahar 
30 cake pops (Alb si Albastru)</t>
  </si>
  <si>
    <t>Comanda se plateste duminica</t>
  </si>
  <si>
    <t>Andreea Petre
(Blu Party)</t>
  </si>
  <si>
    <t xml:space="preserve"> Ivan's Grill and Bar
, Bulevardul Basarabia 170-174</t>
  </si>
  <si>
    <t>Degustare mogosoaia</t>
  </si>
  <si>
    <t>1 x platou tort</t>
  </si>
  <si>
    <t>1 x raspberry vanilla 1.3 kg (sabina fratotisteanu - 20.10)</t>
  </si>
  <si>
    <t>1 x chocolate fiesta 1.3 kg (sabina fratotisteanu - 20.10)</t>
  </si>
  <si>
    <t>Sabina Fratotisteanu</t>
  </si>
  <si>
    <t>150 portii fistic de 100g + butaforia din DECOR doar cu 2 NIVELE macheta  + tort real + flori reale, doar trandafiri roz pal
---
turta 2 kg, FARA GAURA IN CENTRU, de ridicat de catre nas direct de la laborator, sambata diminata
----
AMENAJARE candy bar 60 persoane (vesela cu custile aurii)
45 x Tarta caramel ciocolata
45 x Pavlova 
45 x Shou cu fistic 
45 x Tarta de lamaie 
45 x macarons (15 Macarons cu cafea, 15 lavanda, 15 zmeura)
45 x Tarta cu fructe</t>
  </si>
  <si>
    <t>factura Blu party</t>
  </si>
  <si>
    <t>tort dreptunghiular fistic 4 kg, ecorat cu MULTA zmeura si macarons.
+
placuta cu mesajul "Just Married"
+
o banda de satin pe langa tort de orice culoare vrem noi ca sa arate bine. Am pus poza inspiratie</t>
  </si>
  <si>
    <t>1 x tort decorat ca in poze décor (1.5 kg - snickers) Vrea modelul clasic de tort fortnite "Tort Model" dar cu figurina "Figurina Tort 1" in loc de magar.
Mesaj: "La Multi Ani Bogdan"
---
1 x tort decorat ca in poze décor (1.5 kg - raspberry vanilla) Vrea modelul clasic de tort fortnite "Tort Model" dar cu figurina "Figurina Tort 2" in loc de magar.
Mesaj: "La Multi Ani Bogdan"</t>
  </si>
  <si>
    <t>Restaurant Que Pasa, str General Praporgescu 13</t>
  </si>
  <si>
    <t>IQOS 3
Andreea Nicorescu
0785842653</t>
  </si>
  <si>
    <t>str. Nicolae Filipescu, nr 28, sediul Philip Morris Romania, sala Vision
--
Candy-bar'ul se amenajeaza de la 09:00 la 10:00</t>
  </si>
  <si>
    <t>Factura cu termen 2 luni pentru honney events</t>
  </si>
  <si>
    <t>1 x 1.6 kg tort citron
1 x 1.6 kg tort fistic varianta omnia
1x 1.6 kg tort ciocolata si portocale
20 x macarons mix (colorati)</t>
  </si>
  <si>
    <t>Anamaria Conta
0722416512
(I se spune ca i-a facut Laura un cadou de ziua ei)</t>
  </si>
  <si>
    <t>Alexandra Stamate
0768040448</t>
  </si>
  <si>
    <t>Strada Demnitatii nr 15 Sector 1</t>
  </si>
  <si>
    <t>4.5 x 130 + 199
cash cu bon + certificat conformitate</t>
  </si>
  <si>
    <t>4.5 kg tort Scorpion (poza decor, sa pastrati culorile)|| Snikers||dreptungiular fara sa il rotunjiti la colturi, fara rama aurie, fara colturi ornate si fara coroana, sa ramana modelul cu romburi si bile in varf + scorpionul pe mijloc|| "La mulți ani celui mai bun soț!"
+
platou minipraji 10 persoane</t>
  </si>
  <si>
    <t>1 x tort minecraft (2.5 kg - oreo) ca in poza décor
Mesajul este "La Multi Ani, Mihnea!"
Sa facem cifra "7" pe tort ca in model</t>
  </si>
  <si>
    <t>AFI Cotroceni, Laser Tag Arena</t>
  </si>
  <si>
    <t xml:space="preserve">certiifcat de conformitate
+
cash cu bon
</t>
  </si>
  <si>
    <t>Soiree, Bulevardul Pipera 2
---
Incepe la 20:00. Ioana amenajeaza de la 18:45 la 19:45</t>
  </si>
  <si>
    <t>Bon Bon Club &amp; Events, Strada Dambovitei nr 4, Dragomirești-Deal 077095
----------
Claudiu amenajeaza de la ora 18:00 la ora 19:00</t>
  </si>
  <si>
    <t>4,5 dreptunghiular pentru tortul scorpion de sambata - Alexandra Stamate</t>
  </si>
  <si>
    <t>Certificat conformitate in atentia "FUN ZONES"
--
A fost achitat deja pe website.</t>
  </si>
  <si>
    <t>pe pontonul Complexului Herăstrău, in partea dreapta a acestuia ( in stânga este alt eveniment )
--
Mirela amenajeaza de la 13:00 la 14:00</t>
  </si>
  <si>
    <t>Amberry Hall Lights, Bulevardul Tudor Vladimirescu 22, București 050881
--
Mirela amenajeaza de la 15:45 la 16:45. Atentie ca nu e nimeni pana la 15;30 acolo. Daca ajungeti mai devreme va rog sa-I asteptati</t>
  </si>
  <si>
    <t>Dan Salbatecu
0 722 357 809</t>
  </si>
  <si>
    <t xml:space="preserve"> Magda Vrajitoru
0745999778</t>
  </si>
  <si>
    <t>Platou mini prajituri 5 persoane</t>
  </si>
  <si>
    <t>Ridicare Candy-Bar Complex Herastrau</t>
  </si>
  <si>
    <t>Complex herastrau</t>
  </si>
  <si>
    <t>Ridicare Candy-Bar Amberry hall lights</t>
  </si>
  <si>
    <t>Amberry Hall lights, Bulevardul Tudor Vladimirescu 22, București 050881</t>
  </si>
  <si>
    <t>3 x cheesecake
3 x tarta ciocolata
3 x tarta lamaie
3 x tarta zmeura</t>
  </si>
  <si>
    <t>cash cu bon 
+
certificat conformitate pt ambele torturi</t>
  </si>
  <si>
    <t xml:space="preserve">Candy-Bar Personalizat IQOS 
Culori tematice -&gt; cupru &amp; alb
(DETALIILE LE GASITI IN FISIER DECOR)
45 x macarons (tematic)
48 x choux fistic (tematic)
48 x mini tarta citron
48 x mini pavlova
48 x mini tarta ciocolata
48 x mini tarta fructe
27 x pahar tiramisu
27 x pahar mousse vanilie &amp; zmeura
27 x cake pop (tematic)
24 x biscuti (6 dintre ei cu logo iqos )
16 x chocolate cupcake (5 dintre ele cu logo iqos)
20 x cookie chip cookie 
</t>
  </si>
  <si>
    <t>factura amalt</t>
  </si>
  <si>
    <t>2 capsuri de la restaurant Paraul Rece</t>
  </si>
  <si>
    <t>Ridicare Capsuri
0763203455</t>
  </si>
  <si>
    <t>Restauranta Paraul Rece,
Șoseaua Olteniței 26A, Popești-Leordeni 077160</t>
  </si>
  <si>
    <t>ridicare capsuri</t>
  </si>
  <si>
    <t>400 ron cu 30% discount fara brrr</t>
  </si>
  <si>
    <t>Mirela Reta
0 721 050 069</t>
  </si>
  <si>
    <r>
      <t xml:space="preserve">1 x 4kg tort SNICKERS frumos decorat </t>
    </r>
    <r>
      <rPr>
        <b/>
        <u/>
        <sz val="11"/>
        <color rgb="FF000000"/>
        <rFont val="Calibri"/>
        <family val="2"/>
      </rPr>
      <t>(</t>
    </r>
    <r>
      <rPr>
        <b/>
        <i/>
        <u/>
        <sz val="11"/>
        <color rgb="FF000000"/>
        <rFont val="Calibri"/>
        <family val="2"/>
      </rPr>
      <t>cu alune de pădure in loc e arahide</t>
    </r>
    <r>
      <rPr>
        <b/>
        <sz val="11"/>
        <color rgb="FF000000"/>
        <rFont val="Calibri"/>
        <family val="2"/>
      </rPr>
      <t>)</t>
    </r>
  </si>
  <si>
    <r>
      <t xml:space="preserve">1 x tort 2 kg SNICKERS decorat cu fructe și macaronst </t>
    </r>
    <r>
      <rPr>
        <u/>
        <sz val="11"/>
        <color theme="1"/>
        <rFont val="Calibri"/>
        <family val="2"/>
        <scheme val="minor"/>
      </rPr>
      <t>(</t>
    </r>
    <r>
      <rPr>
        <i/>
        <u/>
        <sz val="11"/>
        <color theme="1"/>
        <rFont val="Calibri"/>
        <family val="2"/>
        <scheme val="minor"/>
      </rPr>
      <t>cu alune de pădure in loc e arahide</t>
    </r>
    <r>
      <rPr>
        <sz val="11"/>
        <color theme="1"/>
        <rFont val="Calibri"/>
        <family val="2"/>
        <scheme val="minor"/>
      </rPr>
      <t>)</t>
    </r>
  </si>
  <si>
    <t>intrarea gorneni, nr.9, sector 5
---
De sunat Mirela inainte de a ajunge la client. Comanda a fost platita inainte iar clientul nu plateste nimic!</t>
  </si>
  <si>
    <t>200 ron cu 30% discount fara brrr
--
fara nimic la client</t>
  </si>
  <si>
    <t>1 x macheta tort ca in poze décor 3 etaje cu etaj real (Pastram structura dar decoram  cu fructe de pădure, rodie, smochine - F important sa fie toate fructele)
---
80 x portie framboisier
---
Candy 35 persoane cu amenajare si vesela tematica:
26 x macarons mix (bordo, galben, portocaliu) 
26 x tarte fructe
26 x pavlova
2kg tarta dovleac
26 x tarte citron
16 brioșe decorate ca în poza
16 cake pops ca in poza
8 biscuiți tematici ca în poza</t>
  </si>
  <si>
    <t>Magdalena Vrajitoru
0745999778</t>
  </si>
  <si>
    <t>Adresa Delea Noua 3</t>
  </si>
  <si>
    <r>
      <t xml:space="preserve">1 x 1.6 tort kg </t>
    </r>
    <r>
      <rPr>
        <b/>
        <u/>
        <sz val="11"/>
        <color rgb="FF000000"/>
        <rFont val="Calibri"/>
        <family val="2"/>
      </rPr>
      <t xml:space="preserve">TORT MELC </t>
    </r>
    <r>
      <rPr>
        <b/>
        <sz val="11"/>
        <color rgb="FF000000"/>
        <rFont val="Calibri"/>
        <family val="2"/>
      </rPr>
      <t>(COMPOZITIE PERSONALIZATA ) Stie Andreea
-blatul sa fie mai insiropat si cu ceva mai multa crema. De sunat daca sunt nelamuriri</t>
    </r>
  </si>
  <si>
    <t>1 x tort real framboisier pentru macheta ramada nord (09.11)</t>
  </si>
  <si>
    <t xml:space="preserve">Alecu Vlad (simfonia)
0726205999
</t>
  </si>
  <si>
    <t>1 x etaj real fistic cu zmeura pentru macheta simfonia (10 nov)</t>
  </si>
  <si>
    <t>plata cu card + certificat conformitate
+
Factura pe firma:
Deutsche Bahn Cargo Romania S.R.L.
inregistrata la Registrul Comertului sub nr. J40/16618/2018,
 RO13068482,
cont bancar RO79INGB0002008190528911 - deschis la ING BANK</t>
  </si>
  <si>
    <t>Facturat Client (alecu vlad):
400 RON macheta
1713.6 RON candy-bar (90 pers * 4 euro)
--
Facturat Simfonia
845 RON (13 kg tort la 65)</t>
  </si>
  <si>
    <t>Simfonia Pompei, Bulevardul Dimitrie Pompeiu 10 B, București 077190
----
Evenimentul incepe la 17:30. Amenajarea se face de la 16:30 la 17:30</t>
  </si>
  <si>
    <t>400 macheta
--
1365 tort (25 x 65)
--
714 (3 eur x 50 persoane)
--
100 (masa candy-bar)</t>
  </si>
  <si>
    <t xml:space="preserve">Amenajare Candy-Bar 90 pers + vesela:
31 x cupcake pepite ciocolata
58 x tarte fructe
16 x choux fistic
16 x choux cafea
16 x choux ciocolata
16 x choux vanilie
57 x tarta ciocolata
57 x tarta lamaie
57 x mini pavlova
57 x macarons mix
57 x mouse vanilie &amp; zmeura la pahar
57 x tiramisu la pahar
</t>
  </si>
  <si>
    <t>Valentina (Buftea Events)
0724116860</t>
  </si>
  <si>
    <t>Palatul Parlamentului, Targul de Nunti</t>
  </si>
  <si>
    <t xml:space="preserve">75 x turta (8 cm diametru) decorata cu poza  in poze décor
--
Pusa in punga transparenta de marimea turtei si legata in funda cu funda de satin aurie
</t>
  </si>
  <si>
    <t xml:space="preserve">50 x turta (8 cm diametru) decorata cu poza  in poze décor
--
Pusa in punga transparenta de marimea turtei si legata in funda cu funda de satin aurie
</t>
  </si>
  <si>
    <t xml:space="preserve">certificat conformitate
</t>
  </si>
  <si>
    <t>Degustare Clienti:
1 x felie framboisier
1 x felie mousse ciocolata cu visine
1 x felie ricotta cu fructe confiate
1 x felie oreo</t>
  </si>
  <si>
    <t xml:space="preserve">
90 Porti fistic la 95 g + etaj real butaforie mica
</t>
  </si>
  <si>
    <t>(90 x 95g + 1,5 kg) x 75
(factura Mogosoaia IT QUEST &amp; Management)</t>
  </si>
  <si>
    <t>350 coji de macarons (175 macarons) cu MAI MULT MARAR si LEMONGRASS</t>
  </si>
  <si>
    <r>
      <t>Macheta cu etaj real ca in poze decor. In loc de "T+A" sa scriem "A+I"
---
130 x portie fistic 100 gr
---
Amenajare Candy-Bar 90 Persoane:
ROZ || BOTEZ FETITA
54 x choux fistic
54  x macarons (24 x ??</t>
    </r>
    <r>
      <rPr>
        <b/>
        <u/>
        <sz val="11"/>
        <color rgb="FF000000"/>
        <rFont val="Calibri"/>
        <family val="2"/>
      </rPr>
      <t>ROZ</t>
    </r>
    <r>
      <rPr>
        <b/>
        <sz val="11"/>
        <color rgb="FF000000"/>
        <rFont val="Calibri"/>
        <family val="2"/>
      </rPr>
      <t xml:space="preserve"> || 24 x tonka)
54 x tarta ciocolata &amp; caramel
54 x tarte lamaie
54 x mini-pavlova
54 x tarte fructe
27 x pahar mousse zmeura si vanilie
27 x pahar tiramisu
27 x cake pops (roz)
27 x briose (roz)
500 gr bezele artizanale (roz)</t>
    </r>
  </si>
  <si>
    <t>3 kg tort descendentii, 1 etaj rotund (poze decor)|| compozitia noisette || "La mulți ani Medeea"
cu urmatoarele precizari:
- culoarea sa fie movul din poza 1|| " La multi ani, Medeea" sa fie scris cu galben cat mai aproape de caracterele cu care e scris in poza 1 "Descendants"
- pe tort sa fie pus un mar ca in poza nr. 2 si pe mar sa fie purs sarpele cu galbenul folosit la scrisul numelui de mai sus si sa apara pe mar cifra 9</t>
  </si>
  <si>
    <t>Mihaela(Emilia)
0726199545</t>
  </si>
  <si>
    <t xml:space="preserve">3 kg total compozitia noisette pentru tort descendentii, 1 etaj rotund  - 25.10.2019 Mihaela (Emilia)
</t>
  </si>
  <si>
    <t>130 kg  x 3 cu 20% reducere
cash cu bon</t>
  </si>
  <si>
    <t xml:space="preserve">
90 Porti fistic la 95 g + macheta cu etaj real cu ursulet (poza in decor)
pentru macheta avem urmatoarele elemente:
- etajul de jos sa fie macheta
-etajul de sus sa fie tort real fistic
de scris din cuburi "Petru Alexandru"</t>
  </si>
  <si>
    <t>Octavia Ene
0 751 144 499
eneoctavia@gmail.com</t>
  </si>
  <si>
    <t xml:space="preserve">1 x platou miniprajituri 5 persoane
1 x platou miniprajituri 10 persoane
1 x tort pavlova 1.6 kg (decorat ca pe website)
2 x prajitura pavlova mare
</t>
  </si>
  <si>
    <t>Strada Brasov nr 17, bloc P12, scara 3, et 2, ap , interfon 49, sect 6, Bucuresti</t>
  </si>
  <si>
    <t>A fost platita prin website.
+
certificat conformitate</t>
  </si>
  <si>
    <t>1 x tort pavlova 0.8 kg (decorat ca pe website)
Mesaj: "La multi ani, Cosmin!"</t>
  </si>
  <si>
    <t>Calea Calarasi, nr. 253, Bl. 67, Sc. 1, Ap/Interfon 19, etaj 4, sector 3, Bucuresti</t>
  </si>
  <si>
    <t>Clienta Soiree 19.01
0 764 670 530</t>
  </si>
  <si>
    <t xml:space="preserve"> Strada Popa Stoica Farcas, nr 86-88a, bloc nou, scara unica, etj 4, ap 12, interfon 12, sector 3</t>
  </si>
  <si>
    <t>1 x tort snickers 3 kg ca in departament décor.In loc de Anisia sa scriem "Astrid". Undeva sa fie pusa si cifra "2"</t>
  </si>
  <si>
    <t>118 monoportii trio mousse triunghiular (125 gr)</t>
  </si>
  <si>
    <t>1 x mostre tort (platou nunta)</t>
  </si>
  <si>
    <t>1 x tort snickers 3 kg pentru comanda décor (clienta soiree  - 27.10)</t>
  </si>
  <si>
    <t xml:space="preserve">Ana Natalia Dascalu
0 754 471 130
</t>
  </si>
  <si>
    <t>1 x tort decorat berry chocolate (1 kg doar berry chocolate) ca in poze décor. Sa facem va rog eticheta in 3d. Am atasat logo-ul "MEDICS" in décor ca sa il puteti printa</t>
  </si>
  <si>
    <t>Tort berry chocolate (1 kg) pentru comanda Ana Natalia Dascalu (25 Oct)</t>
  </si>
  <si>
    <t>Dristorului 98, bl 11</t>
  </si>
  <si>
    <t>14 x cookie ciocolata 
14 x cookie afine 
28 x choux fistic
28  x mini-tarta fructe
28  x mini-tarta ciocolata &amp; caramel
14 x macarons ciocolata
14 x macarons vanilie</t>
  </si>
  <si>
    <t>Vasile Lascar nr. 30, etaj 2, sector 2, langa ambasada Bulgariei</t>
  </si>
  <si>
    <t>Cristian Cristea
 +40 731 977 981</t>
  </si>
  <si>
    <t>Comanda Metro
Eliza Pisica (Universum Events)
0 722 834 996</t>
  </si>
  <si>
    <t>2200 RON macheta + TVA
--
3375 RON + TVA ( 45 kg tort la 75 ron kg)
-------
Factura Universum Events</t>
  </si>
  <si>
    <t>Palatul Parlamentului, Targul de Nunti
--
INTRAREA FURNIZORILOR:
E1 (intrarea dinspre Sala Unirii-Muzeul National de Arta Contemporana)</t>
  </si>
  <si>
    <t>75 x turta (8 cm diametru) decorata cu poza  in poze décor
--
Pusa in punga transparenta de marimea turtei si legata in funda cu funda de satin aurie
+
PRELUARE 2 PASS-URI de la client</t>
  </si>
  <si>
    <t>Valentina (Buftea Events)
0724116860
--
De sunat la 8:30 ca sa le confirmati ora sa iasa cu pass-urile la poarta</t>
  </si>
  <si>
    <t>Reta</t>
  </si>
  <si>
    <t>certificat conformitate
-
tva inculs factura pe 
AMETHYST INDUSTRIES SRL
CUI 39955640
J40/14278/2018
Bucuresti Sector 1, Intrarea Sevastopol, Nr. 1, Biroul nr. 1</t>
  </si>
  <si>
    <t>cash cu bon + certificat de conformitate</t>
  </si>
  <si>
    <t>Palatul Parlamentului, Targul de Nunti
--
E1 (intrarea dinspre Sala Unirii-Muzeul National de Arta Contemporana)</t>
  </si>
  <si>
    <t xml:space="preserve">certificat conformitate
--
A fost achitata
</t>
  </si>
  <si>
    <t>2kg  Noissete,  cu 2 placute cu mesajul "La mulți ani, papy!" și "La mulți ani, tiu!
P.S. "Și sa fie decorat cât  mai frumos, va rog mult. Este pt 2 bărbați de Sf Dumitru."</t>
  </si>
  <si>
    <t xml:space="preserve"> 1 x platou cafea 20 persoane fara cantucci si baci cu extra negresa sa compenseze (cam 60 buc total)
1 x platou 5 persoane cu tarte ciocolata,choux fistic si macarons (vin cam 10 buc din fiecare)</t>
  </si>
  <si>
    <t>269 platou cafea 20 persone
-
99 platou mini 5 pers
---
NEXT ENERGY PARTNERS SRL
Nr. Reg. Com. : J17 / 1213 / 28.09.2011
CIF : RO 29156777</t>
  </si>
  <si>
    <t>1,7 kg tort fistic cu zmeura care sa fie glasat ca pe site si sa aiba floricele din pasta de zahar ca pe rochita din poza de décor, atat deasupra tortului cat si pe lateral cazute pe suport|| deasupra tortului in mijloc sau unde pica bine sa fie cifra 3 intro floare de 4-5 cm diametru.
Ma sunati (Dan) cand va apucati de el</t>
  </si>
  <si>
    <t>Bdul Dimitrie Cantemir nr 19, bloc 5, sc b, ap 33 sector 4. Zona Budapesta (la salonul de infr Lady Ann</t>
  </si>
  <si>
    <t>cash cu bon
120 x 1.7kg</t>
  </si>
  <si>
    <t>350 x 1,5 lei
(factura Adrian Tudose)</t>
  </si>
  <si>
    <t>1 etaj framboisier pentru macheta Sole Events (29.10)</t>
  </si>
  <si>
    <t>Valentin Dima
0 760 601 441</t>
  </si>
  <si>
    <t>Amberry Hall Lights ,
Bulevardul Tudor Vladimirescu 22, București 050881
----
Evenimentul incepe la 17.00 Amenajeaza Laurentiu de lala 15:00 la 16:00</t>
  </si>
  <si>
    <t>Chiajna, str Viitorului, nr 24 E
---
MARE ATENTIE LA ADRESA CA SUNT MAI MULTE STRAZI CU NUMELE ASTA</t>
  </si>
  <si>
    <t xml:space="preserve">Soiree
--
Evenimentul incepe la 19:00. Amenajeaza Laurentiu intre 18:00 si 19:00. </t>
  </si>
  <si>
    <t>Citylicious,
Bulevardul Tudor Vladimirescu 29, București 050881
--
Evenimentul incepe la 18:00 .Amenajeaza Laurentiu de la 16:30 la 17:30</t>
  </si>
  <si>
    <t>Candy-Bar 35 Persoane + vesela:
Botez baiat
20 x choux fistic
20 x choux vanilie
22 x mini-tarte ciocolata
22 x mini-tarte fructe
40 x tiramisu la pahar cu lingura
40 x mini carrot cake
40 x mini raspberry vanilla
11 x mini briose (albastru)</t>
  </si>
  <si>
    <t xml:space="preserve">1 x macheta ca in décor "Tort Selectat" cu etaj real. (3 etaje false + unul real- 4 etaje in total)
- Sa fie alb ca in "Poza Inspiratie"
- Sa aibe aranjament flora ca in "Poza Inspiratie"
- Sa pastram faldurile si bobiele aurii ca in "Tort Selectat"
+ 
cake topper ca in poze decor dar:
"26.10.2019" la data si
"Dana &amp;Paul" la nume
--
210 x portie fistic cu zmeura 100 gr (de adaugat nuca in interior ca sa fie mai crunchy)
-
Candy-Bar 50 persoane:
29 x macarons mix 
29 x tarte fructe
29 x tarte ciocolata
29 x pavlova
29 x choux fistic
29 x mini carrot cake
29 x mini raspberry vanilla
10 x briose decorate cu trandafiri albi din apsta
0.3 kg bezele artizanale
</t>
  </si>
  <si>
    <t>1 x platou prajituri 5 persoane</t>
  </si>
  <si>
    <t>Getica</t>
  </si>
  <si>
    <t>1 x platou 10 pers</t>
  </si>
  <si>
    <t>factura cu certificat</t>
  </si>
  <si>
    <t xml:space="preserve">Laurentiu </t>
  </si>
  <si>
    <t>Anca Anghelescu 
(0723) 539 339</t>
  </si>
  <si>
    <t>Strada Ferdinand I, nr. 118, bloc nou, etj 1, ap 107, interfon 107, sector 2</t>
  </si>
  <si>
    <t>3 cutii verzi cu miniprajituri diverse</t>
  </si>
  <si>
    <t>Ana Maria Ducuta
(0724) 036 199‬
--
Daca nu raspunde:
Raluca
0739442500</t>
  </si>
  <si>
    <t>1 x tort fistic 1.6 kg
1 x tort citron 1.6 kg
1 x tort cafea 1.6 kg
--
Pe toate torturile sa fie mesajul  „ La multi ani, Ana“</t>
  </si>
  <si>
    <t>Bulevard Metalurgiei, nr.132, bl.B1b, sc.1, ap.8, sector 4, Cartier Solar</t>
  </si>
  <si>
    <t>Degustare Sole
0741762694</t>
  </si>
  <si>
    <t>Ridicare candy-bar amberry hall lights</t>
  </si>
  <si>
    <t>Amberry Hall Lights ,
Bulevardul Tudor Vladimirescu 22, București 050881</t>
  </si>
  <si>
    <t>Ridicare candy-Bar
0723264197</t>
  </si>
  <si>
    <t>Ridicare Candy-Bar Valentin Dima</t>
  </si>
  <si>
    <t xml:space="preserve">Citylicious,
Bulevardul Tudor Vladimirescu 29, București 050881
</t>
  </si>
  <si>
    <t>Ridicare Candy-Bar soiree</t>
  </si>
  <si>
    <t>cash cu bon-90+9%tva=108</t>
  </si>
  <si>
    <t>Octavia Moise
0727898878</t>
  </si>
  <si>
    <t xml:space="preserve">AMENAJARE LILA/ROZ CANDY-BAR 
Vesela si prajiturile ca in poza decor
28 x macarons mix (lila/roz)
28 x tarte fructe
28 x tarte ciocolata
28 x pavlova
28 x choux vanilie (roz)
28 x pahare mousse vanilie &amp; zmeura (lila)
29 x tarte citron
20 x cake pops (lila/roz)
</t>
  </si>
  <si>
    <t>Ressu Restaurant &amp; Lounge, 
Bulevardul Camil Ressu 70A, București 077160
---
Evenimentul incepe la 14:00
Se amenajeaza intre 13:00 si 13:45</t>
  </si>
  <si>
    <t>Camelia Iftime</t>
  </si>
  <si>
    <t>conform contract 23/28.19.2019</t>
  </si>
  <si>
    <t>Andreea Perca
0723217725</t>
  </si>
  <si>
    <t>Gradinita Piticii Nostri, Bragadiru 077025</t>
  </si>
  <si>
    <t>factura op la "Creative Bricks SRL"</t>
  </si>
  <si>
    <t>1 x tort decorat bumblebee ca in poze décor (6 kg oreo - FARA NUCI/ALUNE)
-
Unul sau 2 etaje cum puteti
-
Mesajul de pe tort: "La Multi Ani, Robert"
-</t>
  </si>
  <si>
    <t>Tort decorat pentru comanda Andreea Perca  (05.11) ||6 kg Oreo Bumblebee
-
Il putem imparti si pe 2 etaje</t>
  </si>
  <si>
    <t>Alexandra Dicu
0 766 302 664</t>
  </si>
  <si>
    <t>2 x tort patrat framboisier 16 x 16 (Alexandra Dicu || 03.11 &amp; 05.11)</t>
  </si>
  <si>
    <t>CERTIFICAT CONFORMITATE
--
A fost achitat deja.</t>
  </si>
  <si>
    <t>factura op onezone media invest</t>
  </si>
  <si>
    <t>1 x tort framboisier 1 kg PATRAT cu poza lipita ca in poza Décor. (sa aiba cam 1.3 kg cu tot cu décor)
--
DE decorat pe langa poza ca sa nu para prea gol!
--
Mesajul de pe tort sa fie : "La mulți ani, Eric!"</t>
  </si>
  <si>
    <t>1 x tort framboisier 1 kg PATRAT cu poza lipita ca in poza Décor (sa aiba cam 1.3 kg cu tot cu décor)
--
DE decorat pe langa poza ca sa nu para prea gol!
--
Mesajul de pe tort sa fie : "La mulți ani, Eric!"</t>
  </si>
  <si>
    <t>MIKY
0721443586</t>
  </si>
  <si>
    <t>Complex TETHA Residence
Str. Orizontului, nr. 102, Popesti-Leordeni</t>
  </si>
  <si>
    <t>1,3 kg, rotund cu diametrul de 12 cat mai inalt, duomousse cu visine || etajul de jos din poza décor, cu tapiteria si bitute inclusiv pe partea de sus a tortului || culoarea sa fie bej(adica mai inchis fata de crem) cu BITUTE ALBE peste tot || cifra 3 pictata caligrafic pe o placuta aplicata deasupra tortului. Sa puneti si siragul de margele albe la baza tortului</t>
  </si>
  <si>
    <t>Tina
0751907168</t>
  </si>
  <si>
    <t>Degustare botez 10 noimbrie (vom avea tort feliat cu macheta)
1 x set mousseuri
1 x platou minipraji 4 persoane care sa includa si briose</t>
  </si>
  <si>
    <t>Degustare Familia Negrea
0743788152</t>
  </si>
  <si>
    <t>1  x felie raspberry vanila
1 x felie snickers
1 x felie oreo
1 x felie chocolate berry
---
Nu e nevoie sa taiem foarte gros:))</t>
  </si>
  <si>
    <t>Strada Chitilei 234</t>
  </si>
  <si>
    <t>Familia Negrea
0743788152</t>
  </si>
  <si>
    <t>Restaurant Octopus Herastrau,
Șoseaua Nordului 20, București 014192</t>
  </si>
  <si>
    <t>Degustare Andreea
0722649109
----
Cat mai multe din sortimentele trecute In comanda! Neaparat felie de duo mousse</t>
  </si>
  <si>
    <t>1 x choux fistic
1 x choux cafea
1 x choux ciocolata
1 x choux vanilie
1 x tarta cioco
1 x tarta lamaie
1 x mini pavlova
1 x ecler
1 x cake-pops
1 x mousse vanilie &amp; zmeura la pahar
1 x mouse tiramisu 
--
1 x felie duo-mousse</t>
  </si>
  <si>
    <t>Strada Podul Vadului nr 35</t>
  </si>
  <si>
    <t>Adreea Plec
0 722 649 109</t>
  </si>
  <si>
    <t>Amenajare Candy-Bar 80 Persoane (cu alb/roz)
69 x macarons mix (alb/roz)
29 x choux fistic
20 x choux cafea
20 x choux ciocolata
20 x choux vanilie
30 x tarta ciocolata
30 x tarta lamaie
30 x mini pavlova
45 x eclere (mix)
30 x cake pops
45 x mouse vanilie &amp; zmeura la pahar
45 x tiramisu la pahar
--
Tort dreptunghiular duo mousse visine decorat din abundenta cu macarons si fructe (12 kg - 60x 40)</t>
  </si>
  <si>
    <t>12 kg x 85 RON/kg
3.5 Euro/persoana + 300 RON amenajarea </t>
  </si>
  <si>
    <t xml:space="preserve">1 x macheta cu 3 etaje in loc de 2 (un etaj real) ca in poze décor
--
175 x portie framboisier (100 gr)
--
Candy 50 persoane cu amenajare:
29 x macarons mix 
29 x tarte fructe
29 x tarte ciocolata
29 x pavlova
29 x choux fistic
29 x mini carrot cake
29 x tarte citron
10 x briose decorate 
10 x cake pops
0.3 kg bezele artizanale
</t>
  </si>
  <si>
    <t>Mihaela Ionescu (gargantua)
0 722 702 560</t>
  </si>
  <si>
    <t>30 x choux fistic</t>
  </si>
  <si>
    <t>factura pe Restaurant Gargantua SRL, RO25647526, J40/6673/2009</t>
  </si>
  <si>
    <t>Eveniment 8 Nov (gargantua)
0 761 812 888</t>
  </si>
  <si>
    <t xml:space="preserve">1 x tort ca in poze décor 6 kg (berry chocolate) || ATENTIE CA NU E PUSA CANTITATEA FINALA LA TORT DÉCOR
--
30 x marturii ca in poza décor puse in pungi transparente si prinse cu funda din satin albastru </t>
  </si>
  <si>
    <t>Gargantua Anniversaire, Str. Icoanei, 2</t>
  </si>
  <si>
    <t>la persoana fizica
30 * 6 kg tort manopera
30 * 8 Ron/marturie
--
la locatie
75 * 6 kg tort</t>
  </si>
  <si>
    <t xml:space="preserve">Amenajare Candy-Bar 70 pers:
23 x cupcake pepite ciocolata
44 x tarte fructe
12 x choux fistic
12 x choux cafea
12 x choux ciocolata
12 x choux vanilie
44 x tarta ciocolata
44 x tarta lamaie
44 x mini pavlova
44 x macarons mix
44 x mouse vanilie &amp; zmeura la pahar
44 x tiramisu la pahar
</t>
  </si>
  <si>
    <t>Amberry Hall,
Șoseaua București Nord nr 15-23
----
Amenajarea se face de la 14:30 la 15:30. Evenimentul incep la 15:30</t>
  </si>
  <si>
    <t>Andreea Sole
0 734 850 806</t>
  </si>
  <si>
    <t>17 x cake pops (bleu/albastru(
 17 x choux vanilie
 17 x mini-raspberry vanilla si carrot cake
17  x choux  fistic
 17 x mini briose (bleu/albastru)
300 bezele (bleu/albastru)</t>
  </si>
  <si>
    <t>Cash cu bon cu factura pe sole events</t>
  </si>
  <si>
    <t>cash cu bon cu factura pe sole events</t>
  </si>
  <si>
    <t>2 etaje OREO (7 kg in total) pentru tort decorat Sole (01.11)</t>
  </si>
  <si>
    <t>7 x Tarta Citron 
7 x Tarta Ciocolata 
7 x Tarta Fructe Mix 
7 x Tarta Kiwi 
7 x Tarta Zmeura 
7 x Tarta Capsuni 
7 x Tarta Mure 
7 x Tarta Ananas 
7 x Tarta Fistic 
7 x Tarta Struguri 
15 x mini-tarte fructe
15 x mini-tarte citron
15 x mini-tarte coocolata 
7 x cheesecake (Lido)
7 x ecler ciocolata
7 x ecler cafea
7 x monoportie amandine
6 x choux fistic
6 x choux vanilie
6 x choux ciocolata
6 x choux cafea
24 x mini-pavlova
1 x cheesecake (1 kg)
1 x pavlova tort (1 kg)
1 x tort black jack
1 x tort ciocolata si rom
1 x tort omnia portocala
1 x tort omnia fistic cu mango
1 x tort dieta I
1 x tort dieta II
1 x tort dieta III</t>
  </si>
  <si>
    <t>SEDINTA FOTO</t>
  </si>
  <si>
    <t>Ruxandra Soiree
0 758 017 279</t>
  </si>
  <si>
    <t>1 x tort chocolate delight 1.6 kg</t>
  </si>
  <si>
    <t>Mozzafiato Ristorante &amp; Bar, Calea Floreasca 133-137</t>
  </si>
  <si>
    <t>Factura soiree.</t>
  </si>
  <si>
    <t>Drt/ftud0 n/ n/esdevsd</t>
  </si>
  <si>
    <t>Drt/Ctud0 n/ n/jadevad</t>
  </si>
  <si>
    <t xml:space="preserve">Eleven Restaurant,
STR. POSTAVARUL, NR. 86-90, SECTOR </t>
  </si>
  <si>
    <t>Constantin Banu (degustare 10 nov Ramada)
0727051531</t>
  </si>
  <si>
    <t xml:space="preserve">1 x felie duo-mousse visine
1 x felie fistic cu zmeura
1 x felie framboisier
--
2 x mini-tarta lamaie
2 x mini-tarta cioco
2 x mini-tarta fructe
2 x mini-pavlova
4 x choux (cate 1 din fiecare)
2 x mini-pavlova
</t>
  </si>
  <si>
    <t>Strada Colonel Stefan Stoika, nr.29, bloc 19, scara B, etaj 6, ap. 85</t>
  </si>
  <si>
    <t>Laurentiu Soiree
0 737 809 020</t>
  </si>
  <si>
    <t>Mall Plaza Romania, loc de joaca etaj 1</t>
  </si>
  <si>
    <t xml:space="preserve"> cash cu bon + certificat conformitate</t>
  </si>
  <si>
    <t>Soiree, Pipera 2
Evenimentul incepe la 19:00. Amenajarea se face de la 18:00 la 18:45</t>
  </si>
  <si>
    <t xml:space="preserve">
60 Porti fistic la 95 g + etaj real butaforie mare
</t>
  </si>
  <si>
    <t>(60 x 95g + 1,5 kg) x 75
(factura Mogosoaia IT QUEST &amp; Management)</t>
  </si>
  <si>
    <t>Comanda Instagram</t>
  </si>
  <si>
    <t>REMINDER: tort tematica casino luat pe instagram pe 29.10. Data tortului e pe 29.11 (2kg - 260 ron). A ramas sa sune tudor sa stabileasca locatia, compozitia si ora</t>
  </si>
  <si>
    <t>LABORATOR.
---
Toate prajiturile trebuie sa fie gata decorate si la indemana.</t>
  </si>
  <si>
    <t>Stefanestii de Jos - Depozit Metro.
--
Aranjamentul se face de la 19:45 la 21:00</t>
  </si>
  <si>
    <t>3 x cheesecake
3 x tarta ciocolata
3 x tarta zmeura
--
Le folosim pe cele de la sedinta foto</t>
  </si>
  <si>
    <t>1 x macheta cu etaj real ca in poze décor. In loc de scris albastru va fi "LOGO ONE". Pe platforma va fi logo-ul poza ca in "POZA METRO"
+ 
ARTIFICII FOARTE FOARTE MARI  (6)
--
Platforma tortului va fi alba si acoperita in pasta de zahar
--
450 x 100 gr portii Berry Chocolate Custom (stie andreaa)</t>
  </si>
  <si>
    <t>tort 2.7 kg oreo natural pentru tort decorat Laurentiu (03.11)</t>
  </si>
  <si>
    <t xml:space="preserve">1 x tort decorat ca in décor (4 kg in total 2.7 kg tort natural OREO
mesajul "La Multi Ani Nati!"
2 turnuri in loc de 4
Ca si personaje sa facem "Elsa" si Minnie"
</t>
  </si>
  <si>
    <t>6 x turta dulce
14 x macarons
6 x briose
Décor de Halloween cu: dovleac, fantome, gandaci, lilieci, paianjeni, vrajitoare, clovni (FARA CAP DE MORT…ceea ce e amuzant)|| compozitiile sa fie fara ciocolata si pe cat se poate mai putin dulci (ultimul macarons de la degustare a fost extrem de dulce, puneti macar cremele mai fresh)</t>
  </si>
  <si>
    <t>turta dulce 10 lei
macarons 6 lei 
briosa 13 lei 
la toata comanda 10% reducere
CASH cu factura pe Comrad Events</t>
  </si>
  <si>
    <t>Factura pe:
_
SC ERICONS SERVICES SRL
SOSEAUA CHITILEI NR. 234, SECTOR 1, BUCURESTI
RO37142713
J40/2588/2017</t>
  </si>
  <si>
    <t>Gargantua D’oro,  Strada Locotenent Aviator Serban Petrescu nr 8
--
De mentionat ca sunt pentru mihaela Ionescu</t>
  </si>
  <si>
    <t>1 x tort 2.5 kg raspberry vanilla unicorn pentru Familia Negrea (02.Nov)</t>
  </si>
  <si>
    <t>Degustare Soiree
Florin</t>
  </si>
  <si>
    <t xml:space="preserve">1 x degustare tort
(ATENTIE NIMIC ALTCEVA IN AFARA DE SORTIMENTELE CLASICE)
1 x degustare candy-bar </t>
  </si>
  <si>
    <t>1 x tort unicorn 3 kg ca in décor (Raspberry Vanilla)
-
Mesajul este: "La Multi Ani, Isabella Anne-Marie"
+
LUMANARE "1 an" roz cu coronita (cea din whatsapp)</t>
  </si>
  <si>
    <t>1 x figurina ca in poza décor (doar figurina)</t>
  </si>
  <si>
    <t>Degustare BNI
Tudor
0724255551</t>
  </si>
  <si>
    <t>Hilton Athene Palace
--
Le preia Tudor din Fata</t>
  </si>
  <si>
    <t>30 choux mix
30 tarte cioco
30 tarte fructe
30 tarte lamaie
--
Pe tavite aurii</t>
  </si>
  <si>
    <t>1 x tort 7 kg (oreo) ca in poze décor. Nu e nevoie sa fie scris pe norisor.
--
17 x cake pops (albastru/alb)
 17 x choux vanilie
17 x mini-raspberry vanilla si carrot cake
17 x choux  fistic
17 x mini briose (albastru/alb)
300 gr bezele (albastry.alb)
---
DE RIDICAT MACHETA</t>
  </si>
  <si>
    <t xml:space="preserve"> factura pe sole events OP</t>
  </si>
  <si>
    <t>Escape Room, Bulevardul Dacia 130</t>
  </si>
  <si>
    <t>17 x cake pops (bleu/albastru
 17 x choux vanilie
 17 x mini-raspberry vanilla si carrot cake
17  x choux  fistic
 17 x mini briose (bleu/albastru)
300 bezele (bleu/albastru)</t>
  </si>
  <si>
    <t xml:space="preserve"> Scoala Montessori, Maior Ion Coravu, nr. 53</t>
  </si>
  <si>
    <t>Felii Tort:
1 x Tort Fistic cu Zmeura
1 x Tort Vanilie cu Zmeura
1 x Tort Lamaie cu Mac
1 x Tort Duo-mousse cu Visine
--
1 x Tort Oreo
1 x Tort Snicekrs
1 x Tort Berry Chocolate
1 x Carrot Cake</t>
  </si>
  <si>
    <t>Citylicious,
Bulevardul Tudor Vladimirescu 29, București 050881</t>
  </si>
  <si>
    <t>3 x cheesecake
3 x tarta mare cioco
3 x tarta mare lamaie
3 x tarta mare zmeura</t>
  </si>
  <si>
    <t>Lido Brasserie</t>
  </si>
  <si>
    <t>11:00`</t>
  </si>
  <si>
    <t>Ressu Restaurant &amp; Lounge, 
Bulevardul Camil Ressu 70A, București 077160
---
Evenimentul incepe la 13:30
Se amenajeaza intre 12:30 si 13:30</t>
  </si>
  <si>
    <t>certificat conformitate
+
Factura persoana fizica constantin banu
--
candy-bar (1071 ron)
tort (610 ron)</t>
  </si>
  <si>
    <t>1 x Tort Dreptunghiular Duo-Mousse cu Visine (Constantin Banu 10.11)</t>
  </si>
  <si>
    <t>Degustare Citylicious
--
Preia Tudor la locatie</t>
  </si>
  <si>
    <t>Ridicare Candy-Bar Restaurant Ressu (28 Vase) de la evenimentul Cameliei Iftime din 03.11.2019</t>
  </si>
  <si>
    <t xml:space="preserve">Ressu Restaurant &amp; Lounge, 
Bulevardul Camil Ressu 70A, București 077160
</t>
  </si>
  <si>
    <t>Preluat Candy-Bar</t>
  </si>
  <si>
    <t>Ridicare Candy-Bar Soiree de sambata</t>
  </si>
  <si>
    <t>Ridicare Candy-BarAmberry Hall (17 vase)</t>
  </si>
  <si>
    <t xml:space="preserve">Amberry Hall,
Șoseaua București Nord nr 15-23
</t>
  </si>
  <si>
    <t>5 x cheesecake
5 x tarta mare ciocolata
5 x tarta mare lamaie
5 x tarta mare fructe</t>
  </si>
  <si>
    <t>Factura persoana fizica
Luiza Apostol
1630 lei (90 x 19 + 300 amenajare)
450 lei macheta
1168.75 (110 x 125g x 85 lei)
discount 10% din tort + macheta</t>
  </si>
  <si>
    <t>certificat conformitate
+
factura op la "Creative Bricks SRL"</t>
  </si>
  <si>
    <t>Andreea Perca
0723217725
--
Contact la gradinita:
Iolanda
0753316910</t>
  </si>
  <si>
    <t xml:space="preserve">
80 x mini-raspberry vanila (1.8 kg || 22.5 gr/buc)
80 x mini-carrot cake (1.8 kg || 22.5 gr/buc)
80 x mini-straciatella (1.8 kg || 22.5 gr/buc)
---
240 buc - 3 sortimente - 5.4 kg || 90 gr/persoana</t>
  </si>
  <si>
    <t>Ana Maria Vasile
 0723424227</t>
  </si>
  <si>
    <t>1,6 kg carrot cake decorat ca pe site 
+ placuta sprijinita cu "La multi ani, Andrei Mihai!"</t>
  </si>
  <si>
    <t>Poze Louis Vouitton</t>
  </si>
  <si>
    <t>Poze Laborator</t>
  </si>
  <si>
    <t>Poze laborato</t>
  </si>
  <si>
    <t>2 etaje berry chocolate (7.5 kg in total) pentru tort décor Eveniment 8 Nov</t>
  </si>
  <si>
    <t xml:space="preserve">1 x tort ca in poze décor 9 kg (berry chocolate) ||
--
1 x tort raspberry vanilla 1 kg decorat ca pe website cu mesajul "La Multi Ani"
--
1 x tort citron 1 kg (decorat ca pe website)
--
30 x marturii ca in poza décor puse in pungi transparente si prinse cu funda din satin albastru </t>
  </si>
  <si>
    <t>Eveniment 8 Nov (gargantua)
Paiu Diana Alexandra
0 761 812 888</t>
  </si>
  <si>
    <t>Dana Salbatecu
0 723 288 766</t>
  </si>
  <si>
    <t>1 x tort bailey's 2.5 kg cu mesajul "La Multi Ani", decorat ca pe website</t>
  </si>
  <si>
    <t>La Palatul Victoria, la guv, la intrarea B dinspre str. Paris</t>
  </si>
  <si>
    <t>Certificat de conformitate
--
Reglare pentru tortul busit din trecut</t>
  </si>
  <si>
    <t>1 x macheta tort ca in poze décor 3 etaje cu etaj real (Pastram structura dar decoram  cu fructe de pădure, rodie, smochine - F important sa fie toate fructele)
---
105 x portie framboisier
---
Candy 40 persoane cu amenajare si vesela tematica toamna:
*De adaugat multe decoruri de toamna ca sa para masa plina!!!*
30 x macarons mix (bordo, galben, portocaliu) 
30 x tarte fructe
30 x pavlova
2kg tarta dovleac
30 x tarte citron
19 brioșe decorate ca în poza
16 cake pops ca in poza
9 biscuiți tematici ca în poza</t>
  </si>
  <si>
    <t>1 x platou minipraji 10 persoane
1 x platou minipraji 5 persoane</t>
  </si>
  <si>
    <t>1 kg tort duomousse cu visine decorat ca pe site</t>
  </si>
  <si>
    <t>130 coji de macarons (65 macarons) cu MAI MULT MARAR si LEMONGRASS</t>
  </si>
  <si>
    <t>130 x 1.5 lei
(factura Mogosoaia IT QUEST &amp; Management)</t>
  </si>
  <si>
    <t>70 x portii fistic la 95 g 
(DOAR PORTIILE DE MAI SUS FARA ETAJ DE BUTAFORIE)</t>
  </si>
  <si>
    <t>(70 x 95g) x 75 lei
(factura Mogosoaia IT QUEST &amp; Management)</t>
  </si>
  <si>
    <t>Este cadou. Nu se inmaneaza nimic la livrare. Se face o factura fizica pe Bogdan Buzdugan cu scadenta 14 zile si se trim lui Tudor</t>
  </si>
  <si>
    <r>
      <t xml:space="preserve">1 x 1.6 tort kg </t>
    </r>
    <r>
      <rPr>
        <b/>
        <u/>
        <sz val="11"/>
        <color rgb="FF000000"/>
        <rFont val="Calibri"/>
        <family val="2"/>
      </rPr>
      <t xml:space="preserve">TORT MELC </t>
    </r>
    <r>
      <rPr>
        <b/>
        <sz val="11"/>
        <color rgb="FF000000"/>
        <rFont val="Calibri"/>
        <family val="2"/>
      </rPr>
      <t>(COMPOZITIE PERSONALIZATA ) Stie Andreea
--
Mesajul sa fie "La Multi Ani, Mama"</t>
    </r>
  </si>
  <si>
    <t>Nicolae Grigorescu 47, Bloc C2, Scara 6, Etaj 3, Ap 76, interfon 76</t>
  </si>
  <si>
    <t>Maria Buzdugan (mama)
0771047106
--
Bogdan Buzdugan 
0744625550</t>
  </si>
  <si>
    <t>75 x MOUSSE DE CIOCOLATA CU CREMA DE VANILIE SI ZMEURA</t>
  </si>
  <si>
    <t>la persoana fizica
Paiu Diana Alexandra
30 * 9 kg tort manopera
75* 2 kg tort
25 * 8 Ron/marturie
--
SC Gargantua Anniversaire SRL
J40/10684/2002
RO:14966805
75 * 5.3 kg tort</t>
  </si>
  <si>
    <t>Facturat Client (alecu vlad):
400 RON macheta
1713.6 RON candy-bar (90 pers * 4 euro)
--
Facturat Simfonia
910 RON (14 kg tort la 65)</t>
  </si>
  <si>
    <t xml:space="preserve"> 2 x platouri de miniprajituri pt 10 persoane
3 x tarte mari lamaie
3 x tarte mari ciocolata</t>
  </si>
  <si>
    <t>factura Dot</t>
  </si>
  <si>
    <t>Degustare The President
--
Preia Tudor la locatie</t>
  </si>
  <si>
    <t>B-dul Lacul Tei, Nr. 145, Sector 2, Bucuresti</t>
  </si>
  <si>
    <t>Comanda Lasertag
0 724 386 435</t>
  </si>
  <si>
    <t>cash cu bon
+
certificat conormitate</t>
  </si>
  <si>
    <t>1 x tort dreptunghiular oreo 2.3 kg (lasertag -12 nov)</t>
  </si>
  <si>
    <t>1 x tort dreptunghiular decorat ca in poza "Model Tort" (Oreo 3 kg in TOTAL cu tot cu décor)
--
 in locul emblemei rosii punem emblema din "Logo"
- in loc de " OSU", numele sarbatoritului David.
- sa facem noi niste "kanji" asemanatoare pe centura
- sa nu facem "chestia" neagra
--</t>
  </si>
  <si>
    <t>Sabina Calin 
0758035521</t>
  </si>
  <si>
    <t>Sat Chiajna, comuna Chiajna, strada Italia, nr 1-7</t>
  </si>
  <si>
    <t>SE VA PLATI CASH
Factura pe AIC TRUCKS SRL
Sat Chiajna, comuna Chiajna, strada Italia, nr 1-7
RO36125153, J23/2047/2017</t>
  </si>
  <si>
    <t>4 x platou miniprajituri 10 persoane</t>
  </si>
  <si>
    <t>Factura dot</t>
  </si>
  <si>
    <t>1 x tort fistic 1.6 kg
1 x tort citron 1.6 kg</t>
  </si>
  <si>
    <t>Ralcom, strada Raspantiilor 20A</t>
  </si>
  <si>
    <t>Factura Dot</t>
  </si>
  <si>
    <t>Laura Ciuhu
--
Alina Ralcom
0 729 725 266</t>
  </si>
  <si>
    <t>1  x tort 1.6 kg lamaie
1 x tort 1.6 kg fistic
1 x platou 10 persoane miniprajituri
---
Se lasa la Ralcom pentru "Monica Bozienita" din partea Laurei Ciuhu</t>
  </si>
  <si>
    <t>1 x tort drepunghiular duo-mousse visine (15 kg) cu print ca in poze décor</t>
  </si>
  <si>
    <t>1 x tort dreptunghiular duo-mousse visine (15 kg) pentru comanda bragadiru. Dupa ce il faceti va rog sa-I transmiteti lui Tudor dimensiunile tortului</t>
  </si>
  <si>
    <t>cash cu bon 15% reducere</t>
  </si>
  <si>
    <t>Cash cu factura pe Comrad Events (192 TVA inclus)</t>
  </si>
  <si>
    <t>1,6 kg fistic glazurat si decorat || cu placuta "La multi ani, tati!" si "Te iubim!" (vedeti voi cum asezati)
Folositi tort din stoc, stie Alina si Ioana</t>
  </si>
  <si>
    <t>Col iosif albu nr88 bl B, sc 1, ap 42, et 5 , sector 3 auchan titan</t>
  </si>
  <si>
    <t>Degustare Sole
ghioca ionut cosmin 
0724209054</t>
  </si>
  <si>
    <t>Degustare Sole
Denisa Negreanu
0766758754</t>
  </si>
  <si>
    <t>Strada Caporal Ilina, Nr. 2, Bl 11B, Sc A, ap 33, sector 5</t>
  </si>
  <si>
    <t>1 x felie mousse fistic cu zmeura 
1 x feliericcota cu fr confiate
1 x felieoreo
(de sunat si anuntat ora)</t>
  </si>
  <si>
    <t>1 x felie Carrot cake 
1 x felie ricotta cu fr confiate
1 x felie sneakers
1 x felie berry chocolate
(de sunat si anutat ora)</t>
  </si>
  <si>
    <t>1,6 kg Fistic cu Zmeura multi ani Mihaela si Mihai!"</t>
  </si>
  <si>
    <t>269 platou cafea 20 persone
-
99 platou mini 5 pers
---
plata prin banca 
NEXT ENERGY PARTNERS SRL
Nr. Reg. Com. : J17 / 1213 / 28.09.2011
CIF : RO 29156777</t>
  </si>
  <si>
    <t>4.5 kg, dreptunghiular, TRIOMOUSSE  ||"Happy Birthday, Stefano! Cefin team"
4.5 kg, dreptunghiular,FRAMBOISIER||"La multi ani, Paul!"</t>
  </si>
  <si>
    <t>Roxana Schwab
0766450229
roxananovac3@gmail.com</t>
  </si>
  <si>
    <t>1 x 2 kg tort berry chocolate decorat ca pe website (IMPORTANT)
--
Mesaj: "La Multi Ani!"</t>
  </si>
  <si>
    <t>Diamantului 111A, bl.2, et.3, ap.16
Bragadiru, Ilfov 052829, Romania</t>
  </si>
  <si>
    <t>Degustare Sole
0726513200</t>
  </si>
  <si>
    <t>1 x mousse fistic cu zmeura
1 x felie ricotta cu fr confiate
1 x felie oreo</t>
  </si>
  <si>
    <t>Strada Grivita 42, Otopeni</t>
  </si>
  <si>
    <t>1 x tort ca in poze décor (5 kg greutate totala - 4.2 kg greutate compozitie)
Compozitie: Tort Framboisier adaptat pentru décor (de pastrat elementele cheie)
--
Mesaj "La Multi Ani, Clara Maria" &amp; "9.11.2019"</t>
  </si>
  <si>
    <t>Citylicious 
0 722 433 950</t>
  </si>
  <si>
    <t>500 + tva factura " Gourmet industry SRL" 39529016</t>
  </si>
  <si>
    <t>Afi Tech Park, Bulevardul Tudor Vladimirescu 29, București 050881</t>
  </si>
  <si>
    <t>1 x tort butoi 4.2 kg compozitie framboisier adaptata pentru citylicious 09.11.</t>
  </si>
  <si>
    <t>Laboratorul sa-l dea direct la LPV in birou din partea laurei</t>
  </si>
  <si>
    <t>Delea Noua 3</t>
  </si>
  <si>
    <t>Magdalena Vrajitoru
0 745 999 778</t>
  </si>
  <si>
    <t>1,6 Framboisier cu macarons albastri (Stie Alina) cu mesajul :
"La mulți ani, Mihai si Gabrieli!" - Da, Gabrieli cu "i" in coada ca sunt 2 :)</t>
  </si>
  <si>
    <t>Ana Maria Sambris
0726480000</t>
  </si>
  <si>
    <t>1 x tort decorat ca in poze décor fortnite (4 kg total - oreo)
Mesajul este "La Multi Ani, Tudor!"</t>
  </si>
  <si>
    <t>1 x tort oreo 3 kg pentru comanda ana maria sambris (23-Nov)</t>
  </si>
  <si>
    <t>15 x choux fistic
13 x chou vanilie
15 x mini pavlova
13 xcake pops 
15 x mini asortiment de carrot cake
13 x rasberry vanilla</t>
  </si>
  <si>
    <t>Carmen Moga
0720743302</t>
  </si>
  <si>
    <t>Aurel Persu 119D</t>
  </si>
  <si>
    <t>tort 2 kg carrot cake pt tort decorat eroi pijamale (11-nov)</t>
  </si>
  <si>
    <t>Octavia Moise
0727898878
--
Contact locatie
Dana Teodorescu
0 749 119 963</t>
  </si>
  <si>
    <t>Ramada Nord, Strada Daniel Danielopolu 44
--
Evenimentul incepe la 19:00.
Amenajeaza Laurentiu de la 17:45 la 18:45</t>
  </si>
  <si>
    <t>Constantin Banu
0 727 051 531
--
Dana Teodorescu
0 749 119 963</t>
  </si>
  <si>
    <t>Luiza Apostol
0720947514
--
Georgiana Brat
(locatie)
0784123442</t>
  </si>
  <si>
    <t>7 x tarta mare mure
7 x tarta mare citron
7 x tarta mare ciocolata</t>
  </si>
  <si>
    <t>factura selari investments 
-
au fost duse ieri 18 tarte (cate 6 din fiecare). In total 39</t>
  </si>
  <si>
    <t>factura persoana fizica
--
400 macheta
--
tort 85 ron/kg
--
candy 4.5 euro/pers</t>
  </si>
  <si>
    <t>factura magic place</t>
  </si>
  <si>
    <t>a incasat Tudor cash</t>
  </si>
  <si>
    <t xml:space="preserve">Alecu Vlad (simfonia)
0726205999
-
Maria Simfonia
0 720 009 007
</t>
  </si>
  <si>
    <t>Simfonia Pompei, Bulevardul Dimitrie Pompeiu 10 B, București 077190
----
Se lasa toate acolo inainte de eveniment. Evenimentul incepe la 17:30. Amenajarea se face de la 16:30 la 17:30</t>
  </si>
  <si>
    <t xml:space="preserve">
Amenajare Candy-Bar 75 pers:
(alb/roz)
24 x cupcake pepite ciocolata
47 x tarte fructe
13 x choux fistic
13 x choux cafea
13 x choux ciocolata
12 x choux vanilie
47 x tarta ciocolata
47 x tarta lamaie
47 x mini pavlova
47 x macarons mix
47 x mouse vanilie &amp; zmeura la pahar
47 x tiramisu la pahar
-
DE INTREBAT CAND PUTEM LUA VESELA!
</t>
  </si>
  <si>
    <r>
      <t>Macheta cu etaj real ca in poze decor. In loc de "T+A" sa scriem "A+I"
---
130 x portie fistic 100 gr
---
Amenajare Candy-Bar 90 Persoane:
ROZ || BOTEZ FETITA
54 x choux fistic
54  x macarons (24 x ??</t>
    </r>
    <r>
      <rPr>
        <b/>
        <u/>
        <sz val="11"/>
        <color rgb="FF000000"/>
        <rFont val="Calibri"/>
        <family val="2"/>
      </rPr>
      <t>ROZ</t>
    </r>
    <r>
      <rPr>
        <b/>
        <sz val="11"/>
        <color rgb="FF000000"/>
        <rFont val="Calibri"/>
        <family val="2"/>
      </rPr>
      <t xml:space="preserve"> || 24 x tonka)
54 x tarta ciocolata &amp; caramel
54 x tarte lamaie
54 x mini-pavlova
54 x tarte fructe
27 x pahar mousse zmeura si vanilie
27 x pahar tiramisu
27 x cake pops (roz)
27 x briose (roz)
500 gr bezele artizanale (roz)
</t>
    </r>
    <r>
      <rPr>
        <b/>
        <u/>
        <sz val="11"/>
        <color rgb="FF000000"/>
        <rFont val="Calibri"/>
        <family val="2"/>
      </rPr>
      <t xml:space="preserve">-
DE INTREBAT CAND PUTEM LUA VESELA!
</t>
    </r>
  </si>
  <si>
    <t>Amberry Hall,
Șoseaua București Nord nr 15-23
----
Se lasa toate acolo inainte de eveniment. Amenajarea se face de la 15:30 la 16:30. Evenimentul incep la 17:00</t>
  </si>
  <si>
    <t xml:space="preserve">
1 x macheta ca poza din décor cu urmatoarele mentiuni:
- etajul de jos identic de culoarea roz somon
-etajul 2 (tort real fistic) sa fie alb||placuta cu numele sa fie roz somon, numele " Ivana "sa fie scris cu alb
- in loc de fluturas, deasupra tortului sa fie o coronita de culoare roz somon avand modelul ca pe invitatie(poza decor)
         -----------
110 x portii fistic de 125 g
----------------------------
Amenajare Candy - Bar 70 persoane (vesela auriu cu oglinda ca in poza decor)
Roz somon pe cat se poate ca la macheta tort|| botez fetita
50 x macarons (diverse)
50 x pavlova
50 x choux (diverse)
50 x tarta fructe (diverse)
25 x tarta ciocolata
25 x tarta lamaie
25 x briose (roz somon)
25 x pahare mouse
25 x cake pops (roz somon)
500 g bezele artizanale (roz somon)
</t>
  </si>
  <si>
    <r>
      <t xml:space="preserve">
Tort Dreptunghiular Duo-Mousse cu Visine glasat (6 kg - Dreptunghular) cu figurina ca in departament decor doar ca pe albastru.
Coment: Tortul nu va fi acoperit in martipan si vom pune figurina pe o margine a tortului (stie mirela cum). In spatiile goale va rog decorati cu macarons si fructe.
--
Mesajul este: "Bine ai venit in viața noastră, Cristian Filip" scris elegant
---
Amenajare Candy-Bar ca in poza décor:
Albastru/Alb
17 x cupcake pepite ciocolata (albastru.alb)
32 x tarte fructe
9 x choux fistic
9 x choux cafea
9 x choux ciocolata
9 x choux vanilie
32 x tarta ciocolata
32 x tarta lamaie
32 x mini pavlova
32 x macarons mix (alb/albstru)
14 x cake pops (alb/albastru)
25 x mouse vanilie &amp; zmeura la pahar
25 x tiramisu la pahar
---
</t>
    </r>
    <r>
      <rPr>
        <b/>
        <u/>
        <sz val="11"/>
        <color rgb="FF000000"/>
        <rFont val="Calibri"/>
        <family val="2"/>
      </rPr>
      <t xml:space="preserve">DE INTREBAT CAND PUTEM LUA VESELA!
</t>
    </r>
  </si>
  <si>
    <t>Palatul Ghica, 5 Str. Doamna Ghica, 
--
Evenimentul incepe la 17:00. Amenajeaza Laurentiu se face de la 16:00 la 17:00</t>
  </si>
  <si>
    <t xml:space="preserve">Ramada Nord, Strada Daniel Danielopolu 44, Sala Crystal
--
Evenimentul incepe la 16:00
Amenajeaza laurentiu de la 14:20 la 15:20. </t>
  </si>
  <si>
    <t>de dat factura si luat bani pe figurina de sambata. Sunat inainte sa verificam daca e cineva la lcoatie!</t>
  </si>
  <si>
    <t xml:space="preserve">
1 x felie carrot cake
1 x felie oreo
1 x felie snickers
1 x felie raspberry vanilla</t>
  </si>
  <si>
    <t>Degustare (gargantua 23 nov)</t>
  </si>
  <si>
    <t>tort de 2 kg carrotcake decorat cu eroi in pijamale ( Sopi in special)
(pt nepotel laura)
--
1 x platou miniprajituri 10 persoane
3 x tarte mari mure
3 x tarte mari lamaie</t>
  </si>
  <si>
    <t>ridicare vase candy-bar amberry hall eveniment duminica</t>
  </si>
  <si>
    <t>Amberry Hall Pipera</t>
  </si>
  <si>
    <t>ridicare candy</t>
  </si>
  <si>
    <t xml:space="preserve"> Bulevardul Dimitrie Pompeiu 10 B, București 077190</t>
  </si>
  <si>
    <r>
      <rPr>
        <b/>
        <u/>
        <sz val="11"/>
        <color rgb="FF000000"/>
        <rFont val="Calibri"/>
        <family val="2"/>
      </rPr>
      <t>TARG OMG</t>
    </r>
    <r>
      <rPr>
        <b/>
        <sz val="11"/>
        <color rgb="FF000000"/>
        <rFont val="Calibri"/>
        <family val="2"/>
      </rPr>
      <t xml:space="preserve">
turta dulce
cozonaci
macarons tematici (?)
orice alta propunere produse craciun
</t>
    </r>
  </si>
  <si>
    <t>Teste OMV</t>
  </si>
  <si>
    <r>
      <t xml:space="preserve">
10 x macarons (roz || portocaliu || galben || verde || albastru)
</t>
    </r>
    <r>
      <rPr>
        <b/>
        <u/>
        <sz val="11"/>
        <color rgb="FF000000"/>
        <rFont val="Calibri"/>
        <family val="2"/>
      </rPr>
      <t>-Cate 2/culoare conform schemei de culori din departament decor.</t>
    </r>
    <r>
      <rPr>
        <b/>
        <sz val="11"/>
        <color rgb="FF000000"/>
        <rFont val="Calibri"/>
        <family val="2"/>
      </rPr>
      <t xml:space="preserve">
10 x choux a-la-creme (roz || portocaliu || galben || verde || albastru)
</t>
    </r>
    <r>
      <rPr>
        <b/>
        <u/>
        <sz val="11"/>
        <color rgb="FF000000"/>
        <rFont val="Calibri"/>
        <family val="2"/>
      </rPr>
      <t>-Cate 2 /culoare. Choux-urile vor fi colorate dupa schema de culori atasata si vor fi acoperite cu un disc subtire din pasta de zahar de aceeasi culoare.</t>
    </r>
    <r>
      <rPr>
        <b/>
        <sz val="11"/>
        <color rgb="FF000000"/>
        <rFont val="Calibri"/>
        <family val="2"/>
      </rPr>
      <t xml:space="preserve">
10 x mini-briose (roz || portocaliu || galben || verde || albastru)
</t>
    </r>
    <r>
      <rPr>
        <b/>
        <u/>
        <sz val="11"/>
        <color rgb="FF000000"/>
        <rFont val="Calibri"/>
        <family val="2"/>
      </rPr>
      <t>- Cate 2/culoare Briosele vor fi acoperite cu crema dupa schema culori de mai jos.</t>
    </r>
    <r>
      <rPr>
        <b/>
        <sz val="11"/>
        <color rgb="FF000000"/>
        <rFont val="Calibri"/>
        <family val="2"/>
      </rPr>
      <t xml:space="preserve">
10 x tarta crema lamaie (galben schema culori)
</t>
    </r>
    <r>
      <rPr>
        <b/>
        <u/>
        <sz val="11"/>
        <color rgb="FF000000"/>
        <rFont val="Calibri"/>
        <family val="2"/>
      </rPr>
      <t>-Ca in "Poza Model"</t>
    </r>
    <r>
      <rPr>
        <b/>
        <sz val="11"/>
        <color rgb="FF000000"/>
        <rFont val="Calibri"/>
        <family val="2"/>
      </rPr>
      <t xml:space="preserve">
10 x tarta crema fructe padure (roz schema culori)
-Ca in "Poza Model"
</t>
    </r>
  </si>
  <si>
    <r>
      <rPr>
        <b/>
        <sz val="10"/>
        <color rgb="FF000000"/>
        <rFont val="Calibri"/>
        <family val="2"/>
      </rPr>
      <t xml:space="preserve">
7 x Tarta Citron 
7 x Tarta Ciocolata 
7 x Tarta Fructe Mix 
7 x Tarta Kiwi 
7 x Tarta Zmeura 
7 x Tarta Capsuni 
7 x Tarta Mure 
7 x Tarta Ananas 
7 x Tarta Fistic 
7 x Tarta Struguri 
15 x mini-tarte fructe
15 x mini-tarte citron
15 x mini-tarte coocolata 
7 x cheesecake (Lido)
7 x ecler ciocolata
7 x ecler cafea
7 x monoportie amandine
6 x choux fistic
6 x choux vanilie
6 x choux ciocolata
6 x choux cafea
1 x tarta dovleac (ca la candy-b ar)
24 x mini-pavlova
1 x cheesecake (1 kg)
1 x pavlova tort (1 kg)
1 x tort black jack
1 x tort ciocolata si rom
1 x tort omnia portocala
1 x tort omnia fistic cu mango
1 x tort dieta I
1 x tort dieta II
1 x tort dieta III</t>
    </r>
    <r>
      <rPr>
        <b/>
        <sz val="11"/>
        <color rgb="FF000000"/>
        <rFont val="Calibri"/>
        <family val="2"/>
      </rPr>
      <t xml:space="preserve">
</t>
    </r>
  </si>
  <si>
    <t xml:space="preserve">Daniel
Berceanu
0727731435 </t>
  </si>
  <si>
    <t>strada Grohotisului nr. 19, sector 1, București.</t>
  </si>
  <si>
    <t>20 x negresa 55 gr ca la VTM
17 x cookie ciocolata
----
Telefon cu 1 ora inainte de a ajunge</t>
  </si>
  <si>
    <t>factura pe "Enter HR Professional"  RO33630894
--
Sa incercam sa le dam + tva</t>
  </si>
  <si>
    <t>Melania
0 726 129 955</t>
  </si>
  <si>
    <t>Str. 11 Iunie nr 75 bl Corp A, et 3 Ap 7</t>
  </si>
  <si>
    <t>Șoseaua Oltenitei 251C-D, scara 3 ,ap 92 ,parter ,interfon  092</t>
  </si>
  <si>
    <t>Mimi
0 722 134 097</t>
  </si>
  <si>
    <t>Strada Sabinelor nr.106, bloc 115, scara 1, etaj 2, interfon 110.</t>
  </si>
  <si>
    <t>Gabriela Topa
0 736 999 153</t>
  </si>
  <si>
    <t>Degystare Risksoft</t>
  </si>
  <si>
    <t>1 x platou torturi nunta
1 x platou 5 persoane fara macarons
1 x cutie verde plina cu choux fisic (un singur strat)
--
Sunat la poarta si lasat acolo</t>
  </si>
  <si>
    <t>Factura pers fizica</t>
  </si>
  <si>
    <t>1.5 kg citron pentru comanda mimi (16.11)</t>
  </si>
  <si>
    <t>1 x tort decorat ca in poze décor. (2 kg greutate totala citron)
Pe inima sa fie scris numele "Anelis". Ramane cifra 5</t>
  </si>
  <si>
    <t xml:space="preserve">Degustare Lev Or
</t>
  </si>
  <si>
    <t>1 x torturi nunta
1 x platou 5 persoane miniprajituri (dichisite :D )</t>
  </si>
  <si>
    <r>
      <t xml:space="preserve">1 x tort duo-mousse visine 2 kg </t>
    </r>
    <r>
      <rPr>
        <b/>
        <u/>
        <sz val="11"/>
        <color rgb="FF000000"/>
        <rFont val="Calibri"/>
        <family val="2"/>
      </rPr>
      <t>DECORAT CA PE WEBSITE</t>
    </r>
    <r>
      <rPr>
        <b/>
        <sz val="11"/>
        <color rgb="FF000000"/>
        <rFont val="Calibri"/>
        <family val="2"/>
      </rPr>
      <t xml:space="preserve">
--
Mesaj tort cu placuta: 
"Happy Non Teachers Day
Acorns Nursery"</t>
    </r>
  </si>
  <si>
    <r>
      <t xml:space="preserve">1 x tort duo mousse visine 1.5 kg </t>
    </r>
    <r>
      <rPr>
        <b/>
        <u/>
        <sz val="11"/>
        <color theme="1"/>
        <rFont val="Calibri"/>
        <family val="2"/>
        <scheme val="minor"/>
      </rPr>
      <t>DECORAT CA PE WEBSITE</t>
    </r>
    <r>
      <rPr>
        <b/>
        <sz val="11"/>
        <color theme="1"/>
        <rFont val="Calibri"/>
        <family val="2"/>
        <scheme val="minor"/>
      </rPr>
      <t xml:space="preserve">
--
Mesaj tort cu placuta: 
"Happy Non Teachers Day
Acorns Nursery"</t>
    </r>
  </si>
  <si>
    <t>Paul B
0726104940</t>
  </si>
  <si>
    <t>Certificat conformitate
--
cash cu bon</t>
  </si>
  <si>
    <t>1 x 3 kg raspberry vanilla</t>
  </si>
  <si>
    <t>1 x tort fara pasta zahar (Raspberry Vanilla 3 kg) cu tematica minecraft 3.5 kg Total
Placuta cu "La Multi Ani Tudor"
+
Lumanare Cifta "7"</t>
  </si>
  <si>
    <t>Nedea Luciana
0 728 222 227</t>
  </si>
  <si>
    <t>Test Ganache Ciocolata sau Imbunatatirea procesului curent de decorare torturi</t>
  </si>
  <si>
    <t>Octavian LPV</t>
  </si>
  <si>
    <t>2 kg trio mousse</t>
  </si>
  <si>
    <t>30% discount cash fara brr</t>
  </si>
  <si>
    <t>2 x framboisier (1 kg)
30 x macarons mix</t>
  </si>
  <si>
    <t>Catalina Chis
---
Andreea sole
0 734 850 806</t>
  </si>
  <si>
    <t>snickers 6 kg (impartit in 2 sau 3 torturi) pentru eveniment sole (16 nov)</t>
  </si>
  <si>
    <t>Ghioca ionut cosmin
---
Andreea sole
0 734 850 806</t>
  </si>
  <si>
    <t>oreo 5 kg (1 singur tort) pentru eveniment sole (16 nov)</t>
  </si>
  <si>
    <t>factura tort persoana fizica -Ghioca ionut cosmin
(se incaseaza cash ulterior)
--</t>
  </si>
  <si>
    <t>factura sole events
600 RON pt ambele comenzi
---
factura tort persoana fizica - Catalina Chis
(se incaseaza cash ulterior)</t>
  </si>
  <si>
    <t>1 x tort ca in departament décor (oreo - 6 kg greutate totala)
--
18 x cake pops (albastru si verde)
18 x mini briose (albastru si verde)
 18 x choux fistic
18 x choux vanilie
9 x carrot cake
9 x raspberry vanilla
300 gr bezele (albastru si verde)</t>
  </si>
  <si>
    <t>1 x tort ca in departament décor (snickers - 7 kg greutate totala)
mesajul de pe tort sa fie: "La Multi Ani, Sebastian Mihail"
--
25 x cake pops (culori deschise diferite)
25 x mini briose(culori deschise diferite)
 25 x choux fistic
25 x choux vanilie
13 x carrot cake
13 x raspberry vanilla
300 gr bezele(culori deschise diferite)</t>
  </si>
  <si>
    <t>Ana Caranovic
0 727 300 402</t>
  </si>
  <si>
    <t>1 x chestii decorate din pasta de zahar (stie andreea/mirela)
9 x mini tarta citron (de luat cutie din cofetarie ca sa incapa exact)</t>
  </si>
  <si>
    <t>Strada radarului nr 9C, sat petresti, com corbeanca</t>
  </si>
  <si>
    <t>achitat tudor</t>
  </si>
  <si>
    <t>Ridicare Bani de la simfonia : 2113.6 RON</t>
  </si>
  <si>
    <t>a fost achitat</t>
  </si>
  <si>
    <t>1 x tarta zmeura
1 x tarta mure
1 x tarta citron
1 x felie carrot cake</t>
  </si>
  <si>
    <t xml:space="preserve">1 x cozonac nuca 1 kg
1 x cheese cake
1 x punga de fursecuri
1 x cutie 12 macarons 
--
De aranjat cum a incercat Andreea Ieri. Daca putem pune ceva sa mai infrumusetam cosul ar fi perfect (paie/confetti etc)
</t>
  </si>
  <si>
    <t>SEDINTA FOTO
(va rog sa va uitati si in programator ca nu incape tot)</t>
  </si>
  <si>
    <t>factura selari</t>
  </si>
  <si>
    <t>5 x cheesecake
5 x tarta mare ciocolata
5 x tarta mare fructe</t>
  </si>
  <si>
    <t xml:space="preserve">1 x tort duo mousse visine 1.5 kg decorat ca pe website </t>
  </si>
  <si>
    <t>Risksoft, Strada Ing. Giulini nr. 7,
Cod poștal 060103, București</t>
  </si>
  <si>
    <t>Alex
Risksoft
0748888165</t>
  </si>
  <si>
    <t>1 x tort duo-mousse visine (2 kg decorat ca pe website).
Mesajul este "La Multi Ani, Emil Andrei"</t>
  </si>
  <si>
    <t>Bd Uverturii nr 43, bl 1, sc 3, et 3, ap 94, sector 6, București</t>
  </si>
  <si>
    <t>Adriana Gheorghiu
+40 723 095 144</t>
  </si>
  <si>
    <t>Vibere Events (Magic Place), Șoseaua Virtuții 55, București
--
Evenimentul incepe la 21:00</t>
  </si>
  <si>
    <t>Strada Salciei nr 20, Mihailesti, Giurgiu</t>
  </si>
  <si>
    <t>Client Andreea
(Stie Andreea)</t>
  </si>
  <si>
    <t>1 x 1.8 duo-mousse fructe</t>
  </si>
  <si>
    <t>plata cu pos</t>
  </si>
  <si>
    <r>
      <t xml:space="preserve">1 x </t>
    </r>
    <r>
      <rPr>
        <b/>
        <u/>
        <sz val="11"/>
        <color rgb="FF000000"/>
        <rFont val="Calibri"/>
        <family val="2"/>
      </rPr>
      <t>tort berry chocolate</t>
    </r>
    <r>
      <rPr>
        <b/>
        <sz val="11"/>
        <color rgb="FF000000"/>
        <rFont val="Calibri"/>
        <family val="2"/>
      </rPr>
      <t xml:space="preserve"> PERSONALIZAT (2 kg)
Compozitie: </t>
    </r>
    <r>
      <rPr>
        <b/>
        <u/>
        <sz val="11"/>
        <color rgb="FF000000"/>
        <rFont val="Calibri"/>
        <family val="2"/>
      </rPr>
      <t>berry chocolate</t>
    </r>
    <r>
      <rPr>
        <b/>
        <sz val="11"/>
        <color rgb="FF000000"/>
        <rFont val="Calibri"/>
        <family val="2"/>
      </rPr>
      <t xml:space="preserve"> cu 2 straturi in loc de 3. Sa-l facem mai "placinta". Nu vrea sa fie inalt
Mesaj: " La Multi Ani, Biuț"
decorat ca pe website</t>
    </r>
  </si>
  <si>
    <t>Ridicare Bani
(Maria)
0 720 009 007</t>
  </si>
  <si>
    <t>4 x cheese cake
4 x tarta mure
4 x tarta lamaie</t>
  </si>
  <si>
    <t>5 x cheese cake
5 x tarta mure
5 x tarta lamaie
3 x tarta lamaie</t>
  </si>
  <si>
    <t>la multi ani mihai</t>
  </si>
  <si>
    <t xml:space="preserve">1 kg Framboisier decorat cu macarons cu crema/compozitie de fructe cu mesajul :
"La mulți ani, Mihai!" </t>
  </si>
  <si>
    <t>POS cu cards &amp; certificat conformitate</t>
  </si>
  <si>
    <t>fara brrr, fara nimic plata direct la Dan (discount 10%)</t>
  </si>
  <si>
    <t>fara brrr, fara nimic plata direct la Dan(discount 10%)</t>
  </si>
  <si>
    <t>Degustare 1:
1 x platou torturi nunta
1 x platou 3 persoane candy-bar
--
Degustare 2:
1 x platou torturi nunta
1 x platou mini-bites</t>
  </si>
  <si>
    <r>
      <t xml:space="preserve">15 x Macaron "Reindeer" (Ciocolata)
15 x Macaron "Om de zapada" (Tonka)
15 x Macaron "Snoflake" (Fistic)
1 x Tort Model I (alege Andreea Model)
1 x Tort Model II (alege Andreea Model)
1 x Macheta Craciun 2 etaje
Fursecuri Ioana (cat mai variate)
3 x cozonaci pt poze
--
</t>
    </r>
    <r>
      <rPr>
        <b/>
        <u/>
        <sz val="11"/>
        <color rgb="FF000000"/>
        <rFont val="Calibri"/>
        <family val="2"/>
      </rPr>
      <t>Candy-Bar 50 Persoane</t>
    </r>
    <r>
      <rPr>
        <b/>
        <sz val="11"/>
        <color rgb="FF000000"/>
        <rFont val="Calibri"/>
        <family val="2"/>
      </rPr>
      <t xml:space="preserve">
65 x macarons fistic (pom macarons)
24 x cake pops (3 feluri)
18 x cupcakes (3 feluri)15 x biscuiti tematici (3 feluri)
25 x mini-tarta ciocolata
25 x mini-tarta citron
25 x choux fistic
25 x mini-tarta fructe
25 x mini-pavlova
25 x tiramisu la pahar cu lingurita</t>
    </r>
  </si>
  <si>
    <t>Laborator
--
Candy-Bar'ul trebuie amenajat in cofetarie</t>
  </si>
  <si>
    <t>Laser Megazone, Bulevardul Iuliu Maniu 7</t>
  </si>
  <si>
    <t>cash fara brr
+ 
certificat conformitate</t>
  </si>
  <si>
    <t xml:space="preserve"> 2 etaje berry chocolate pentru (Comanda telefon 22-Nov) 3.5 kg in total</t>
  </si>
  <si>
    <t>Laser Megazone
0 722 819 122</t>
  </si>
  <si>
    <t>1 x tort dubu etajatca in poze décor dar doar cu cele doua figurine atasate in fisier. Figurinele mai mici raman (cutii,cactus,etc) (4 kg- berry chocolate)
LOGO-ul "Brawl Stars" sa fie printat!
Mesajul este: "La Multi Ani, Razvan"
-&gt; Undeva sa apara cifra 7</t>
  </si>
  <si>
    <t>sa</t>
  </si>
  <si>
    <t>Praji Candy-Bar 
(Culori: albastru, verde)
24 x  cake pops (culori tematice)
 4 x choux fistic
10 x mini carrot cake
10 x raspberry vanilla
10 x mini briose (culori tematice)
24 x tiramisu la pahar cu lingurita</t>
  </si>
  <si>
    <t>factura corporate management events srl (RO33608889)</t>
  </si>
  <si>
    <t>1 x tort duo-mousse visine pentru Sole(23.11.2019). 1.5 kg ? Este pentru etajul de sus al machetei</t>
  </si>
  <si>
    <r>
      <t xml:space="preserve">
Tort Real ca in Departament Décor (8 carrot cake + figurina) ca in departament decor- 3 etaje. Atentie Figurina sa ramana cea din poza dar pe </t>
    </r>
    <r>
      <rPr>
        <b/>
        <u/>
        <sz val="11"/>
        <color rgb="FF000000"/>
        <rFont val="Calibri"/>
        <family val="2"/>
      </rPr>
      <t>bleu, albastru</t>
    </r>
    <r>
      <rPr>
        <b/>
        <sz val="11"/>
        <color rgb="FF000000"/>
        <rFont val="Calibri"/>
        <family val="2"/>
      </rPr>
      <t xml:space="preserve">. Dripul sa raana la fel ca in poza si florile le cumparam noi
--
Prajituri Candy-Bar
(Culori: albastru)
19 x cake pops (albastru)
19 x mini briose (albastru)
19 x choux fistic
19 x choux vanilie
19 x tiramisu la pahar
19 x tarte cu ciocolata
-
</t>
    </r>
  </si>
  <si>
    <t>8 kg carrot cake dispus pe 3 etaje pentru comanda sole 21.11.2019</t>
  </si>
  <si>
    <t>Cumparaturi Doraly</t>
  </si>
  <si>
    <t>Mers cu Mirela R. in Doraly</t>
  </si>
  <si>
    <t>Soseaua Tineretului 55</t>
  </si>
  <si>
    <t xml:space="preserve">Macheta 3 etaje cu 1 etaj real cu inspiratie din poze décor. Sa fie mai multi ursuleti, nu doar 1. Ursuletul de pe etajul de sus sa aiba balon. Pe tort sa fie trecut numele copilului "Luca Sebastian" 
--
165 felii decorate duo-mousse visine (120 gr/buc)
!!! DINTRE ACESTE 165 CUTII, 30 trebuie livrate in ambalaje verzi cu tavita pentru a fi date direct unor invitati"
--
Candy-Bar
(albastru si verde)
41 x cake pops (albastru si verde)
 41 x mini briose (albastru si verde)
41 x choux fistic 
41 x choux vanilie 
41 x carrot cake 
41 x rasberry vanilla  
300 gr bezele (albastru &amp; verde)
</t>
  </si>
  <si>
    <t>Teodora Parvu</t>
  </si>
  <si>
    <t>sediul ONAC ( Oficiul de achizitii Centralizate) Bd Elisabeta nr 3, exact la statui la Universitate
ATENTIE! 
Este surpriza de la sotie pentru sot, cand se ajunge la locatie intrebati de "Claudiu Parvu"</t>
  </si>
  <si>
    <t>fara brrrrr
doar certificat de conformitate 
banii au fost deja incasati la DAN</t>
  </si>
  <si>
    <t>1 x platou 10 persoane fara macarons:
- 12 pavlova
- 12 choux diverse
-12 tarte ciocolata
- 12 tarte fructe
-12 tarte lamaie
1 x platou 5 persoane fara macarons:
- 6 pavlova
- 6 choux diverse
-6 tarte ciocolata
- 6 tarte fructe
-6 tarte lamaie
1 x platou de 30 macarons(diversi cat mai multe sortimente)
+
placuta de cioco sau pasta de zahar cu "La multi ani, Claudiu" in fiecare cutie - aici sa va ganditi cum puneti placutele ca sa nu strice prajiturile</t>
  </si>
  <si>
    <t>1 x tort berry chocolate XXX KG. Atentie ca vor fi doua etaje la tort deci greutatea va trebui impartita
(afla Tudor greutate la 13:00)</t>
  </si>
  <si>
    <t>Irina Cristea
0729002586</t>
  </si>
  <si>
    <t>Splaiul Independenței, 319, Clădirea River View, Sema Park, intrarea magazin "1 Minute"</t>
  </si>
  <si>
    <t>1 x Platou mini prăjituri 10 persoane
1 x platou raw vegan 24 bucăți, cu 3 sortimente: Pistachio (8buc), Blueberry (8buc), Peanut butter (8buc)
+ certificat conformitate</t>
  </si>
  <si>
    <t>cash cu bon
raw vegan 24 x 5 lei
platou 10 peer minipraji 199 lei</t>
  </si>
  <si>
    <t xml:space="preserve">Comanda Lasertag
0 749 104 604 </t>
  </si>
  <si>
    <t>Tort metallica ca in poza décor fara cifra 30. (3.5 kg - stie Andreea compozitia)</t>
  </si>
  <si>
    <t>300 Ron candy-bar, factura cu chitanta pt sole events.
--
720 RON pt tort direct cash. (ia Tudor saptamnaa viitoare)</t>
  </si>
  <si>
    <t>Degustare Craciun + 50 carti vizita generale cofetarie</t>
  </si>
  <si>
    <t>la pers fizica 30 ron/tort 
(165 RON)
+
300-81 macarons
---
la spatiu kg 4.7* 75 ron
(352.5)</t>
  </si>
  <si>
    <t xml:space="preserve">
Dana Popa
0752406708</t>
  </si>
  <si>
    <t>1 x tort decorat ca in poze décor. (4.5 kg greutate totala - berry chocolate- 1 etaj)
Mesajul este: "La Multi Ani, Ilinca"</t>
  </si>
  <si>
    <t>Aviatei welles center, str. Soldat Pripu Gheorghe, 22a</t>
  </si>
  <si>
    <t>Certificat de conformitate
--
cash cu bon</t>
  </si>
  <si>
    <t>4.5 kg berry chocolate pentru comanda (dana popa-30 nov.)</t>
  </si>
  <si>
    <t>Alexandra Parau
0 747 136 089</t>
  </si>
  <si>
    <t>8 kg (60cm x 40cm ) -  mousse ciocolata, mousse vanilie. Se decoreaza cu decor din capsuni, zmeura, mure deasupra, fulgi migdale exterior (ca in poze décor). Se printeaza poza si se pune in mijlocul tortului. 
Mesajul Este: "Top Model Romania - 20 de ani"</t>
  </si>
  <si>
    <t xml:space="preserve">Factura soiree. </t>
  </si>
  <si>
    <t>60 x 40 cm (8 kg) mousse ciocolata, mousse vanilie pt comanda Alexandra Parau (03.12.2019)</t>
  </si>
  <si>
    <t>Popa Catalina
0 721 996 240</t>
  </si>
  <si>
    <t>1 x tort unicorn ca in poza décor (3.5 kg greutate totala - Snickers). Cu mesajul "La Multi Ani, Ana".</t>
  </si>
  <si>
    <t>strada Drumul Binelui 255, Complex City villas, Vila 11.1</t>
  </si>
  <si>
    <t>certificat de conformitate 
+
Cash cu bon</t>
  </si>
  <si>
    <t>snickers 3 kg ca pentru comanda popa catalina (30.11.2019)</t>
  </si>
  <si>
    <t>1 x tort decorat ca in poze décor 5.5 kg greutate totala(Berry Chocolate)
Pe placuta sa scrie "Amalia"
--
27 x cutie 3 macarons (cutie alba cu capac transparent, panglica satin roz)
!! NOI FACEM CUTIILE
mov -fructe de padure
roz - zmeura
alb - tonka</t>
  </si>
  <si>
    <t>Degustare Blu Party
0 727 852 766</t>
  </si>
  <si>
    <t>1 x cozonac nuca 1 kg
1 x felie tort Black Jack
1 x felie Tort Omnia Fistic &amp; Mango
1 x felie Tort Ciocolata &amp; Portocale</t>
  </si>
  <si>
    <t>Blu Party, Strada Măgura Vulturului 42, București 021704</t>
  </si>
  <si>
    <t>Suzana Pitei
0724120921</t>
  </si>
  <si>
    <t>1 x tort duo- mousse visine (1.5 kg) cu mesajul "La multi ani Thea!" decorat ca pe website</t>
  </si>
  <si>
    <t>Liliana Balaceanu
0745056591</t>
  </si>
  <si>
    <t>1 x tort spiderman ca in departament décor (4 kg - berry chocolate) cu mesajul "La Multi Ani, Radu!"</t>
  </si>
  <si>
    <t>Laser Tag Arena, Splaiul Independentei nr.319, incinta Sema Park.</t>
  </si>
  <si>
    <t>3.5 kg berry chocolate pentru tort decorat Liliana Balaceanu (07.12.2019)</t>
  </si>
  <si>
    <t>650 Ron candy-bar, factura cu chitanta pt sole events.
--
1900 monoportii si macheta pentru "Adelina Stoian"
(se iau toti banii saptaman aviitoare)</t>
  </si>
  <si>
    <t>Vasilica
0765951130</t>
  </si>
  <si>
    <t>Str. Ilie Oprea nr. 10A, sc.1, ap 31</t>
  </si>
  <si>
    <t>1,6 kg fistic cu mesajul "La multi ani!"</t>
  </si>
  <si>
    <t>8 x mini tarta ciocolata
8 x Mini choux ciocolata
8 x mini choux fistic
8 x mini pavlova</t>
  </si>
  <si>
    <t>Sector 6, bulevardul Timisoara 26z, cladirea Anchor Plaza
Bucuresti, Bucharest 050512, Romania</t>
  </si>
  <si>
    <t>Andreea Toma
0738885152</t>
  </si>
  <si>
    <t>Stan Cristina
0 762 736 235</t>
  </si>
  <si>
    <t>Strada Jiului,nr 15,sector 1</t>
  </si>
  <si>
    <t>1 x tort pe doua etaje ca in departament décor.(3 kg - raspberry vanilla) Ingerasul neaparat sa fie blond!!!
In loc de "Marco" sa scriem "Noah"</t>
  </si>
  <si>
    <t>3 kg raspberry vanilla pe doua etaje pentru comanda Stan Cristina (27.11.2019). 
!!! S-ar putea sa fie deja facute cele doua torturi. De intrebat Andreea</t>
  </si>
  <si>
    <t>Cezarina
0 724 364 656</t>
  </si>
  <si>
    <t>1 x felie snickers
1 x felie raspberry vanilla</t>
  </si>
  <si>
    <t>Voluntari Pipera, Strada Durmul Potcoavei 49C</t>
  </si>
  <si>
    <t>1 x tort oreo 1 kg, "Decorat fara Briz-Briz'uri"</t>
  </si>
  <si>
    <t>2 x degustare miniprajituri
-
2 x degustare torturi</t>
  </si>
  <si>
    <t>11 x mini pavlova
11 x mini tarta citron
11 x mini tarta fructe
11 x mini tarta ciocolata
11 x choux fistic
11 x choux ciocolata</t>
  </si>
  <si>
    <t>Andreea Balan
0 727 852 766</t>
  </si>
  <si>
    <t>cash cu bon fara brr</t>
  </si>
  <si>
    <t>1 x degustare miniprajituri
-
1 x degustare torturi</t>
  </si>
  <si>
    <t>dl. Tudose (Getica 95)
 (0744350020)</t>
  </si>
  <si>
    <t>1 x platouri de minipraji de 10 persoane</t>
  </si>
  <si>
    <t>factura getica 95</t>
  </si>
  <si>
    <t xml:space="preserve">le ridica dl. Apostol de la laborator </t>
  </si>
  <si>
    <t>1 x tort fistic 1,6kg cu décor ca al Vasilicai (poza in decor) cu "La multi ani, Andrei!"
2 x cutii de tarte a catre 4 bucati (tarta cioco, lamaie, mure si zmeura)</t>
  </si>
  <si>
    <t>120 kg  x 3 cu 20% reducere
cash cu bon</t>
  </si>
  <si>
    <t>fara brrrrr
(312 cu discount 30 %)</t>
  </si>
  <si>
    <t>Ana Maria Vasile 
0723424227</t>
  </si>
  <si>
    <t>1,5 kg total din care 1 kg compozitie "Tort Clasic (stie Andreea, cel cu cioco si zmeura)" || pasta de zahar alba cu printuri care sa se potriveasca cu rochita din décor, cautati voi poze pe net ca sa iasa printul bine|| cifra 4 incadrata intr-o rama care de asemenea sa fie cu motive populare (rama cu cifra 4 sa fie de 4-5 cm )
+
de refacut cifra 3 de la tortul trecut si pusa pe o floare de 4-5 cm (floarea sa fie pe modelul celor avute pe tort) - poze in DECOR</t>
  </si>
  <si>
    <t>1 x tort ca in poza
3x  cozonaci cu cacao și nuca 
1 x Platou mini prăjituri 10 pers 
1 x Platou prăjituri cu cafea 10 pers</t>
  </si>
  <si>
    <t>1 kg compozitie "Tort Clasic (stie Andreea, cel cu cioco si zmeura)" pentru (Ana Maria Vasile - 30 nov)</t>
  </si>
  <si>
    <t>Dana Harnagea
0747464413</t>
  </si>
  <si>
    <t>Str Viilor, nr 53, casa 11
Popesti Leordeni, Ilfov 077160, Romania</t>
  </si>
  <si>
    <t>1 x tort oreo decorat ca pe website(1.5 kg) cu mesajul "LA MULTI ANI!
DAVID ANDREI"</t>
  </si>
  <si>
    <t>Andeea Sole
0 734 850 806</t>
  </si>
  <si>
    <t>Factura Sole events 350 RON cu tva inclus
--
Factura va fi platita op</t>
  </si>
  <si>
    <t>150 pachete
----
Punga Mica de Cadou (11x5x17) 
1 x Turta Acorns (forma de ghinda, personalizata cu logo Acorns)
1 x Punguta 2 Cookie legata cu funda satin albastra/alba
1 x turta mica brad cu desen simplu royal icing</t>
  </si>
  <si>
    <t>De introdus</t>
  </si>
  <si>
    <t>1 x Punga Mica de Cadou (11x5x17) - 2 RON
1 x Turta Acorns (forma de ghinda, personalizata cu logo Acorns) - 7 RON
1 x 1 x turta mica brad cu desen simplu royal icing - 5 RON
1 x Punguta 2 Cookie - 6 RON
---
La toate se adauga tva. Se face factura pe fundatia acorns</t>
  </si>
  <si>
    <t>Str. Drumul fermei nr. 99A bl. 2 ap. 13 Popesti Leordeni</t>
  </si>
  <si>
    <t>1 x berry chocolate</t>
  </si>
  <si>
    <t>45 x felie tort ciocolata si portocale (120 gr/felie)
1 x 2.5 kg tort ciocolata si portocale</t>
  </si>
  <si>
    <t>Maria Parcalabescu
0745031394</t>
  </si>
  <si>
    <t>Str Erou Iancu Nicolae 34 , Voluntari , Ilfov</t>
  </si>
  <si>
    <t>cu tva inclus factura pe Gematex Trading</t>
  </si>
  <si>
    <t>1 x tort decorat ca in poza (3.5 kg greutate totala - 2 etaje) cu "Tudor" in loc de "Matteo"
--
Compozitie: Tort Clasic
----
50 macarons mix</t>
  </si>
  <si>
    <t>2 etaje "Tort Clasic" 3 kg greutate totala pentru comanda (Maria Parcalabescu - 30.11.2019)</t>
  </si>
  <si>
    <r>
      <t xml:space="preserve">1 x tort duo-mousse visine </t>
    </r>
    <r>
      <rPr>
        <b/>
        <u/>
        <sz val="11"/>
        <color rgb="FF000000"/>
        <rFont val="Calibri"/>
        <family val="2"/>
      </rPr>
      <t xml:space="preserve">IN FORMA DREPTUNGHIULARA </t>
    </r>
    <r>
      <rPr>
        <b/>
        <sz val="11"/>
        <color rgb="FF000000"/>
        <rFont val="Calibri"/>
        <family val="2"/>
      </rPr>
      <t>(3.5 kg) cu mesajul "GEMATEX 25 ANI"</t>
    </r>
  </si>
  <si>
    <t>Restaurant Capitol, Calea Victoriei 29, 010061 București
--
De confirmat adresa inainte de plecare</t>
  </si>
  <si>
    <t>Adrian Florea 
(Owner Magic Place)
0732907337</t>
  </si>
  <si>
    <t>cash cu bon
+
certificat conformitate
--
80 RON/kg</t>
  </si>
  <si>
    <t>1x 1.6 kg tort trio mousse</t>
  </si>
  <si>
    <t>Alexandru Olanescu
(0723) 557 761‬</t>
  </si>
  <si>
    <t xml:space="preserve"> 1, 6 kg x tort  Ciocoalata si portocale cu mesajul “ La multi ani frumosi si sanatosi!”
-
1x 1,6 kg tort ciocolata si portocala </t>
  </si>
  <si>
    <t>Bd-ul Mircea Vodă, nr. 39 H, sector 3, etaj 1, ap1, interfon 1 sau 33</t>
  </si>
  <si>
    <t>1, 6 kg x  Ceva lamaie si capsuni stie Andreea 
+
1 x platou de miniprajituri pt 10 persoane</t>
  </si>
  <si>
    <t>Alina Ionescu
0724688055</t>
  </si>
  <si>
    <t>1 kg x Mousse Ciocolata (duo mousse)</t>
  </si>
  <si>
    <t>3 kg x Mousse Ciocolata dreptunghiular (duo mousse) cu mesajul ""La multi ani Melissa Andreea si Andrei Daniel!"</t>
  </si>
  <si>
    <t>Bulevardul Ghencea, nr 134, in curte cu centrul de mobila Elite</t>
  </si>
  <si>
    <t>cash pentru ambele comenzi 
(100 -sambata
360 - duminica)</t>
  </si>
  <si>
    <t>certificat conformitate</t>
  </si>
  <si>
    <t>5 x tarta citron
5 x tarta ciocolata
5 x tarta zmeura
5 x cheese cake</t>
  </si>
  <si>
    <t>factura selari investment</t>
  </si>
  <si>
    <t>Corina Moisa
0728838193</t>
  </si>
  <si>
    <t>1.5kg Noisette decorat ft frumos cu flori, margarete, trandafiri, ce se poate, cu mesajul "La mulți ani, draga prietena!</t>
  </si>
  <si>
    <t>str Drumul Taberei, nr 35, Bl F5, Sc. 1, et. 4, ap 17, pentru Tivga Margareta</t>
  </si>
  <si>
    <t>plata va fi facuta la tortul 2 (asta e surpriza din Partea Corinei Moisa pentru Tivga Margareta)</t>
  </si>
  <si>
    <t>plata la celalalt tort</t>
  </si>
  <si>
    <t>2 kg Bailey's cu mesajul "La mulți ani, Titi! Te iubim mult!"
(decorat frumos, e pt  socrul meu)</t>
  </si>
  <si>
    <t>str Viitorului, nr 24 E, in Chiajna, Roșu.</t>
  </si>
  <si>
    <t>cash cu bon (3,5 kg x 120)</t>
  </si>
  <si>
    <t>Strada strada Pinului nr 8 voluntari</t>
  </si>
  <si>
    <t>Negreanu Denisa
0766758756</t>
  </si>
  <si>
    <t>1 x carrot cake 2 kg decorat ca pe website. Sa fie bagat in cutie si in punga cu bonul capsat de el. Doar sa-l ia si sa plece</t>
  </si>
  <si>
    <t>Ridicare de la cofetarie</t>
  </si>
  <si>
    <t>2 x tort Ciocolata si Portocala (omnia) 1.5 kg || Decorat si cu macarons ciocolata</t>
  </si>
  <si>
    <t>Diana Lara
0 747 173 271</t>
  </si>
  <si>
    <t xml:space="preserve">1 x  Cozonac cu Nuca, Cacao si Rom
1 x tarta mare ciocolata
1 x tarta mare fistic
1 x tarta mare zmeura
1 x tarta mare mure
</t>
  </si>
  <si>
    <t>Sos. Gheorghe Ionescu Sisesti, nr. 30, ap. 13, Sector 1</t>
  </si>
  <si>
    <t>Degustare Soiree
(roxana)
072480505060</t>
  </si>
  <si>
    <t>Platou miniprajituri patrate:
 1) cheesecake  - baza de biscuiti cu crema de branza si jeleu de zmeura
2) stracciatella - negresa cu crema de ciocolata si bailey's si mousse de cioxolata alba si tonka
3) prajitura cu nuci si cafea -blat cu nuci si ciocolatA cu mousse de cafea
4) mini amandina - blat trampat cu sirop de rom, crema de ciocolata, glazura de ciocolata (nu fondant)
5) raspbery vanilla - pandispan alb, mousse vanilie si zmeura
 6) carrot cake -blat morcovi si crema de branza</t>
  </si>
  <si>
    <t>strada valsanesti nr. 1 E la Medaprod.</t>
  </si>
  <si>
    <t>2 x cozonac cu nuca
1 x cozonac cu fructe
1 x cozonac cu mac
+
carti de vizita
+ 
pliante</t>
  </si>
  <si>
    <t>C.A Rosetti nr. 21</t>
  </si>
  <si>
    <t>Alex
0 754 301 039
(de mentionat ca este din partea laurei ciuhu</t>
  </si>
  <si>
    <t xml:space="preserve">Tort si candy bar </t>
  </si>
  <si>
    <t>Liliana Taslu -directoare unicredit Unirea
0737035558</t>
  </si>
  <si>
    <t>3 x platou de minipraji de 5 persoane</t>
  </si>
  <si>
    <t>Unirea Shopping Center, Parter, Piața Unirii 1</t>
  </si>
  <si>
    <t>card (POS) cu bon
130 x 1.5kg</t>
  </si>
  <si>
    <t>George Enescu nr 8A</t>
  </si>
  <si>
    <t>2 x platouri de minipraji de 10 persoane
1 x platou de 12 macarons pictat cu motive de craciun
30 x bites prajituri raw vegan:
- 8 x Raw Vegan Pistachio Pillow
- 8 x Raw Vegan Blueberry Finger
- 8 x Raw Vegan Cashew Stone
- 6 x Raw - vegan tiramisu
1 x cozonac cu nuca
1 x cozonac cu fructe confiate 
1 x cozonac cu mac</t>
  </si>
  <si>
    <t>fara brrrr, incasare direct la Dan
398 + 60 + 30x5 + 90 + 85 (un cozonac e din partea casei)
discount 10 %</t>
  </si>
  <si>
    <t>Ciurea Radu</t>
  </si>
  <si>
    <t>1 x 1.6 tort honney cu mesaju "La Multi Ani" + cifra "29" in pasta de zahar</t>
  </si>
  <si>
    <t>3 kg tort fistic dreptunghiular "La multi ani, Andrei!"
2 x tarte mari zmeura
2 x tarte mari mure</t>
  </si>
  <si>
    <t>25 x choux fistic
25 x choux vanilie 
25 x choux ciocolata
25 x choux cafea</t>
  </si>
  <si>
    <t>Amberry Surpriza
0 726 232 259
(de sunat cand se ajunge)</t>
  </si>
  <si>
    <t>20 lei transport
245 lei 
---
factura pe amberry hall (tva inclus)</t>
  </si>
  <si>
    <t>Piața Alba Iulia nr 5, bloc I4, etaj 3, ap 12</t>
  </si>
  <si>
    <t>factura cu op persoana fizica Bogdan buzdugan</t>
  </si>
  <si>
    <t>1 x 1 kg tort melc compozitie speciala bogdan buzdugan</t>
  </si>
  <si>
    <t>Bdul D. Cantemir nr 19, bloc 5, sc b, ap 33
Salon Lady Ann</t>
  </si>
  <si>
    <t xml:space="preserve">strada Barometrului 14, sector 2, Bucuresti
(cartier Andronache)
</t>
  </si>
  <si>
    <t xml:space="preserve">Denisa Negreanu
</t>
  </si>
  <si>
    <t>1 x Framboisier (1.6 kg) decorat ca pe website</t>
  </si>
  <si>
    <t>192 cah cu bon 30%</t>
  </si>
  <si>
    <t>botez baietel:
21 x cake pops (alb, albastru si verde)
21 x mini briose (alb, albastru si verde)
22 x choux fistic
22 x choux vanilie
21 x carrot cake
21 x rasberry vanilla
300 gr - putine bezele (alb, albastru si verde)</t>
  </si>
  <si>
    <t>Madalina Herman
0745026768</t>
  </si>
  <si>
    <t>1 x tort 1.6 kg framboisier cu mesajul "La multi ani, Andreea!"</t>
  </si>
  <si>
    <t>achitat website</t>
  </si>
  <si>
    <t>4 x tarta mure
4 x tarta citron
4 x tarta zmeura</t>
  </si>
  <si>
    <t>cu tva inclus factura pe Gematex Trading
+
Certificat conformitate pe "Restaurant Capitol"</t>
  </si>
  <si>
    <t>Cofetarie</t>
  </si>
  <si>
    <t>Incasare Cofetarie</t>
  </si>
  <si>
    <t>Camelia Iftime
0720317528
camyiftime@gmail.com</t>
  </si>
  <si>
    <t>Bdul Nicolae Grigorescu nr 36 bl S1D sc A etj 10 ap 52 sector 3</t>
  </si>
  <si>
    <t>2 x cozonac nuca cacao rom
1 x tort tematic "white" (1.6 kg framboisier -decorat ca pe website)</t>
  </si>
  <si>
    <t>Florina Mateescu
0 740 259 787</t>
  </si>
  <si>
    <t>1 x platou miniprajituri 10 persoane (56 prajituri)
10 x negresa de post (50 gr)
1 x platou prajituri cafea 10 persoane</t>
  </si>
  <si>
    <t>Str Lanariei nr 116 Sector 4</t>
  </si>
  <si>
    <t xml:space="preserve">4 etaje snickers (10.5 kg in total) pentru Cezarina (21.12.2019) </t>
  </si>
  <si>
    <t>factura pam pe colloseum events</t>
  </si>
  <si>
    <t>1 x cutie verde negresa
1 x cutie verde macarons
3 x cozonac</t>
  </si>
  <si>
    <t>Degustare Soiree
(roxana)
072480505060
(DE SUNAT SI COMUNICAT ORA)</t>
  </si>
  <si>
    <t xml:space="preserve"> x platou miniprajituri 10 persoane (56 prajituri)- 198 RON
10 x negresa de post (50 gr) - 4 RON/ buc
1 x platou prajituri cafea 10 persoane - 135 RON
——
Total: 373 RON
-discount 30%
——
261 RON</t>
  </si>
  <si>
    <t>5 x amandina
6 x tarta zmeura</t>
  </si>
  <si>
    <t>Strada Resita 16, Bl. D17, Sc. 7, Interfon 67
(de intrebat la teleofn ce etaj)</t>
  </si>
  <si>
    <t>cash cu bon si discount de 30%. Bonul total este (140)</t>
  </si>
  <si>
    <t>Eva Hacman
0752976843</t>
  </si>
  <si>
    <t>Jungle Jump, str Popa Nan nr 82, sect 2</t>
  </si>
  <si>
    <t xml:space="preserve">1 x tort decorat fortnite ca in poza décor (dreptunghiular || 3 kg || snickers)
DOAR ETAJUL DE SUS!
Mesajul sa fie "La Multi Ani, Hack!"
---
6 macarons fistic
6 x zmeura
6 x tonka
6 x ciocolata
6 x caramel
6 x lamaie
</t>
  </si>
  <si>
    <t>cash cu bon si certificat conformitate.</t>
  </si>
  <si>
    <t>2.5 kg snickers dreptunghiular pentru Eva Hacman 2.5 kg (7.12)</t>
  </si>
  <si>
    <t>Nita Doina</t>
  </si>
  <si>
    <t>1 x cozonac raw vegan caju si mac (1 kg)
1 x tort duo-mousse (1 kg)</t>
  </si>
  <si>
    <t>Bulevardul Unirii, nr.7, Bl. 1c, Sc2, Et. 2, Ap 26, Sector 4</t>
  </si>
  <si>
    <t>Constantin Teodora
0720444426</t>
  </si>
  <si>
    <t>1 x tort decorat ca in poze décor (berry chocolate|| 2 kg || dreptunghiular)
--
Mesaj pe placuta: "Rase La Mulți Ani!!!"
In loc de "Petru" sa scriem "Razvan" dar sa punem neaparat ă
In loc de "30" sa punem 11</t>
  </si>
  <si>
    <t>certificat conformitate
+
cash cu bon</t>
  </si>
  <si>
    <t>Décor (DIMINEATA). 2 kg berry chocolate dreptunghiular pentru comanda Constantin Teodora (04.12.2019)</t>
  </si>
  <si>
    <t>Alexandra Zagan
0721246996</t>
  </si>
  <si>
    <t>1 x tort minecraft 2 (ca in poze décor).
(3 etaje || 5.2 kg || berry chocolate) 
Sa fie o placuta pe etajul 2 pe care sa scrie "La Multi Ani, Toma!"
Langa placuta sa fie o figurine cu "Steve" (ca in poze décor)</t>
  </si>
  <si>
    <t>Kido Play. ParkLake Shoping Center, Strada Liviu Rebreanu 4, București 031783</t>
  </si>
  <si>
    <t>plata OP + factura pe
-
CEREALFLOR SRL (6787159)</t>
  </si>
  <si>
    <t>3 etaje berry chocolete (4.5 kg pentru comanda Alexandra Zagan 8.12.2019)</t>
  </si>
  <si>
    <t>Column2</t>
  </si>
  <si>
    <t>Str Sperantei nr 21-23 Bragadiru Ilfov</t>
  </si>
  <si>
    <t>Mihaela Vizireanu
0766105164</t>
  </si>
  <si>
    <t>4 kg tort decorat ca in poze Décor
Compozitie: Snickers, dar in loc de mousse de pralină sa fie  o crema sau un mousse de vanilie
---
"La Multi Ani, Mathias"
- Sa apara Cifra 5 pe tort-</t>
  </si>
  <si>
    <t>4 kg tort decorat pentru Mihaela Vizreanu 08-Dec:
Compozitie: Snickers, dar in loc de mousse de pralină sa fie  o crema sau un mousse de vanilie</t>
  </si>
  <si>
    <t>1 buc - platou de miniprajituri pentru 10 persoane
2 buc - tarta cu ciocolata si caramel
2 buc – tarta citron
2 buc – tarta capsune
2 buc – tarta zmeura
2 buc - trata mure
2 buc – tarta fistic</t>
  </si>
  <si>
    <t>Silvia Dinulescu
0723781212</t>
  </si>
  <si>
    <t xml:space="preserve"> Iride Park, Bdul Dimitrie Pompeiu 9-9A</t>
  </si>
  <si>
    <t>Cladirea Magheru One, Bdul Magheru nr. 1-3, et. 6</t>
  </si>
  <si>
    <t>Nicole Tontsch
0740683515</t>
  </si>
  <si>
    <t>1 x tort decorat ca in departament décor (3 kg || raspberry vanilla)
"LA MULTI ANI MINUNATI IOANA!"</t>
  </si>
  <si>
    <t>3 kg raspberry vanilla pentru nicole Tontsch (12.12)</t>
  </si>
  <si>
    <t>Crina Cosoreanu
0744574243</t>
  </si>
  <si>
    <t>1 x tort ca in departament  décor (snickers || 4 kg) in total cu mesajul "La multi ani, Sofia!"</t>
  </si>
  <si>
    <t xml:space="preserve"> Restaurant Savart, Str. G. Enescu nr. 2-4, sector 1</t>
  </si>
  <si>
    <t>3.5 kg snickers tort crina codreanu(05.12)</t>
  </si>
  <si>
    <t>str Delea Noua 3 - DB Cargo</t>
  </si>
  <si>
    <t>2 x cozonac nuca, cacao si rom
1 x cozonac rahat si fructe confiate</t>
  </si>
  <si>
    <t>certificat conformitate
--
a fost achitat pe website</t>
  </si>
  <si>
    <t>Ana Maria Ducuta
‭‭‭‭‭(0724) 036 199‬</t>
  </si>
  <si>
    <t>Calea Vitan, Nr.25 C,Bloc C1,Scara 2,Etaj 1, Apart.34, Interfon 134. Blocul de langa mall Vitan, accesul se face prin sectia de politie nr.11</t>
  </si>
  <si>
    <t>1,6kgx Tort Fistic Ominia cu mesajul “ La multi ani, Nico”
1,6 kg Tort Ciocolata cu portocale cu acelasi mesaj
4 x tarta zmeura
4 x tarta mure
4 x tarta mix
4 x tarta fistic</t>
  </si>
  <si>
    <t>se face factura pe dot. E din partea laureai</t>
  </si>
  <si>
    <t>1,6kgx Tort Fistic Ominia 
1,6 kg Tort Ciocolata cu caramel( a mai facut Andreea)
3 x tarta citron
3 x tarta ciocolata
3 x tarta mure</t>
  </si>
  <si>
    <t>Pricopan nr 26 bloc 51 scara 4 apartament 53 sector 5</t>
  </si>
  <si>
    <t>Comanda Laura
0751924804</t>
  </si>
  <si>
    <t>Strada Serban Gheorghe 92-94, Vila B, Sector 2</t>
  </si>
  <si>
    <t xml:space="preserve">protocol degustare </t>
  </si>
  <si>
    <t>1 x platou miniprajituri 5 persoane
--
Va rog mult de tot sa le migaliti un pic mai mult decat de obicei! Alegeti o cutie in care sa incapa toate frumos</t>
  </si>
  <si>
    <t>1 x tort 2.5 kg compozitie custom pentru (comanda laura - minion 14.12.2019)
Compozitie Blat de vanilie cu fistic, sirop, gem de caise, mousse vanilie cu caise</t>
  </si>
  <si>
    <t>1 x tort decorat ca in poze décor (3 kg)
Mesaj: "La multi ani,Filip!"
--
compozitie:Blat de vanilie cu fistic, sirop, gem de caise, mousse vanilie cu caise</t>
  </si>
  <si>
    <t>Alexandru Olanescu
(0723) 557 761</t>
  </si>
  <si>
    <t>1 x tort 2 kg fistic cu mango, cu mesajul ”2 ani Clo”</t>
  </si>
  <si>
    <t>factura lara international trimisa laurei</t>
  </si>
  <si>
    <t>Prajituri - 1.5 Euro/pers
144 x mini-raspberry vanila (2.7 kg || 22.5 gr/buc)
144 x mini-carrot cake (2.7 kg || 22.5 gr/buc)
144 x mini-straciatella (2.7 kg || 22.5 gr/buc)
---
432 buc</t>
  </si>
  <si>
    <t>Prajituri - 1.5 Euro/pers
120 x mini-raspberry vanila (2.7 kg || 22.5 gr/buc)
120 x mini-carrot cake (2.7 kg || 22.5 gr/buc)
120 x mini-straciatella (2.7 kg || 22.5 gr/buc)
---
309 buc - 3 sortimente - 8.1 kg || 90 gr/persoana</t>
  </si>
  <si>
    <t>Simona Lara</t>
  </si>
  <si>
    <t>6 x indiene</t>
  </si>
  <si>
    <t>4 x savarina
5 x tarta ciocolata
 5 x tarta zmeura
5 x tarta mure
5 x tarta citron</t>
  </si>
  <si>
    <t>Valentina Secara (BNI)
0722476581
(Mai intai in Popa Soare)</t>
  </si>
  <si>
    <t>65 pachete
----
Punga Mica de Cadou (11x5x17) 
1 x Turta Acorns (forma de ghinda, personalizata cu logo Acorns)
1 x Punguta 2 Cookie legata cu funda satin albastra/alba
1 x turta mica brad cu desen simplu royal icing</t>
  </si>
  <si>
    <t>Aleea Poiana Mare 8, București</t>
  </si>
  <si>
    <t xml:space="preserve">85 pachete
----
Punga Mica de Cadou (11x5x17) 
1 x Turta Acorns (forma de ghinda, personalizata cu logo Acorns)
1 x Punguta 2 Cookie legata cu funda satin albastra/alba
1 x turta mica brad cu desen simplu royal icing
</t>
  </si>
  <si>
    <t>ACORNS POPA SOARE:
Strada Popa Soare 63</t>
  </si>
  <si>
    <t>ACORNS AVIATIEI:
Aleea Poiana Mare 8, București</t>
  </si>
  <si>
    <t>detalii facturare trecuta la cealalta comanda</t>
  </si>
  <si>
    <t>3kg pe TOTAL pe rotund pentru tortul cars - Sorina Unci (06.12)</t>
  </si>
  <si>
    <t>3 kg tort Cars ca in poza de décor DOAR CU MASINUTA NEAGRA || Compozitie Oreo || jos pe suport sa scrie Luca-Nicolae
+
1,6 kg Framboisier decorat ca pe site
Certificat de conformitate</t>
  </si>
  <si>
    <t>cash cu bon 4.6 kg  x 120</t>
  </si>
  <si>
    <t>Nicoleta Bancuta
0722704385</t>
  </si>
  <si>
    <t xml:space="preserve">Lasertag Arena București
Adresa: București, Splaiul Independenței nr. 319, Sector 6, cartier Militari (în incinta Sema Parc)
</t>
  </si>
  <si>
    <t>1 x tort dreptunghiular decorat ca in poze décor. (3 kg || OREO || Dreptunghiular)
Mesajul este: "La mulți ani! Tudor"</t>
  </si>
  <si>
    <t>2.5 kg oreo pentru comanda nicoleta bancuta (Nicoleta Bancuta 12.12)</t>
  </si>
  <si>
    <t>1 x tort spiderman ca in departament décor (5 kg - berry chocolate) cu mesajul "La Multi Ani, Radu!"</t>
  </si>
  <si>
    <t>sda</t>
  </si>
  <si>
    <t>Daniela Cliseru
0724047157</t>
  </si>
  <si>
    <t xml:space="preserve">1 x tort citron 1 kg cu mesajul "La Multi Ani, Tataie!"
---
1 x tort decorat ca in comenzi décor 4 (3 kg || raspberry vanilla) cu mesajul "La Multi Ani, Nicholas!"
</t>
  </si>
  <si>
    <t xml:space="preserve"> strada corod, nr.16, sector 5, bucuresti.</t>
  </si>
  <si>
    <t>bon de 480 de lei cu 30 % discount aplicat pe el</t>
  </si>
  <si>
    <t>Strada Adrian,nr 15,sector 5</t>
  </si>
  <si>
    <t>Laura Preda
0723815444</t>
  </si>
  <si>
    <t>1 x tort oreo 1.6 kg decorat ca pe website
1 x tort chocolate delight 3.5 kg decorat ca pe website</t>
  </si>
  <si>
    <t>Strada Monumentului, Nr. 16a, Vila I</t>
  </si>
  <si>
    <t>bon de 580 cu 30 % discount</t>
  </si>
  <si>
    <t>(30 kg miniprajituri || candy-bar 250 pax)
42 x choux fistic
42 x choux vanilie
42 x choux cafea
42 x choux ciocolata
255 x negresa bites 
85 x mini-ecler 
170 x mini tarta citron
170 x mini tarta ciocolata
170 x mini tarta fructe</t>
  </si>
  <si>
    <t>3581 RON + TVA factura la soiree</t>
  </si>
  <si>
    <t>Toader Eugenia
0764881275</t>
  </si>
  <si>
    <t>1 x tort trio mousse 1.6 kg cu mesajul "La Multi Ani, Adi!"</t>
  </si>
  <si>
    <t>bon de 192 cu 30% discoutn</t>
  </si>
  <si>
    <t>2.5 kg raspberry vanilla pentru Daniela Cliseru 06.12.2019</t>
  </si>
  <si>
    <t>Nicolae Havrilet
0723546331</t>
  </si>
  <si>
    <t>3 x platouri de 5 persoane 
1,6 kg Citron cu mesjul "La multi, ani!"
1,6 kg duo mousse cu visine "La multi, ani!"</t>
  </si>
  <si>
    <t>Ministerul Energiei, Splaiul Independenței 202E</t>
  </si>
  <si>
    <t>Bogdan Zaharescu
0 751 129 101</t>
  </si>
  <si>
    <t>1 x tort dreptunghiular ca in poze décor (3 kg || raspberry vanilla || dreptunghiular)
--
Atentie: 
1)Pe motocicleta trebuie sa fie numarul "111"
2) Motocicleta trebuie sa fie albastra
3) in loc de "Zayan" sa scriem "Sacha Nikolai"
4) in loc de "Happy 2nd Birthday" sa scrieu "La Multi Ani"</t>
  </si>
  <si>
    <t>Gradinita Ioanid, Strada Polonă 4, București 030167</t>
  </si>
  <si>
    <t>2.5 kg raspberry vanilla pentru bogdan zaharescu 07.dec</t>
  </si>
  <si>
    <t>Nicoleta Pirlog
(RIDICARE COFETARIE)</t>
  </si>
  <si>
    <t>1 x tort 2 kg duo-mousse visine cu mesajul "La Multi Ani"</t>
  </si>
  <si>
    <t>bon de 240 cu 30% discount</t>
  </si>
  <si>
    <t>Comanda Telefon
0752215044</t>
  </si>
  <si>
    <t>1 x tort tiramisu raw-vegan cu mesajul "La Multi Ani, Tataie!"
1 x cozonac nuca, cacao si rom</t>
  </si>
  <si>
    <t>Soseaua Alexandriei 78, bucuresti, Bl. PC9, et2, Ap 9</t>
  </si>
  <si>
    <t>raw vegan -140 RON
cozonac -95 RON
----
Total 235 RON
+ 30% discount
---
164.5 RON</t>
  </si>
  <si>
    <t>Cristina Chiran
0770241309</t>
  </si>
  <si>
    <t>1 x tort oreo decorat ca pe website cu mesajul "La multi ani, Luci si Florin !"
1 kg</t>
  </si>
  <si>
    <t xml:space="preserve">Strada Ariesul Mare nr.1, bloc I5, scara B, etaj 4, Ap 30, Sector 6 (langa Polithnica). Interfon 30
</t>
  </si>
  <si>
    <t>Andreea Sole</t>
  </si>
  <si>
    <t>19 x cake pops (pasteluri, lila, mov)
18 x mini briose (pasteluri, lila, mov)
19 x choux fistic
18 x choux vanilie
19x mini pavlova
300 gr putine bezele (pasteluri, lila, mov)</t>
  </si>
  <si>
    <t>Sole</t>
  </si>
  <si>
    <t>factura pe sole events</t>
  </si>
  <si>
    <t>Olivia Lara
0 726 219 695</t>
  </si>
  <si>
    <t>2.5 kg raspberry vanilla pentru bogdan zaharescu 06.11</t>
  </si>
  <si>
    <t>1 x 1.6 kg tort duo-mousse visine cu mesajul "La Multi Ani, Nicu!"</t>
  </si>
  <si>
    <t>Ridicare Cofetarie</t>
  </si>
  <si>
    <t>Mariana Nuta
0721220556</t>
  </si>
  <si>
    <t>1 x cozonac cu nuca, cacao
1 x cozonac cu fructe si rahat</t>
  </si>
  <si>
    <t>Cosmin Ghioca
0724209054</t>
  </si>
  <si>
    <t>1 x tort oreo 1.5 kg decorat</t>
  </si>
  <si>
    <t>Colonel Iosif Albu nr 88, bl:b, sc:1, ap: 42, et: 5</t>
  </si>
  <si>
    <t>Simona Bratu
0724209181</t>
  </si>
  <si>
    <t>1 x tort framboisier 1.6 kg cu mesajul "La Multi Ani, Gigi!"</t>
  </si>
  <si>
    <t>Ridicare cofetarie</t>
  </si>
  <si>
    <t xml:space="preserve">1 x cutie miniprajituri 5 persoane
1 x  Cozonac cu Nuca, Cacao si Rom
1 x tarta mare ciocolata
1 x tarta mare fistic
1 x tarta mare zmeura
1 x tarta mare mure
--
ambalate si bagate in pungi
</t>
  </si>
  <si>
    <t>Laura Ciuhu
---
Andreea Tamas
0 753 627 016</t>
  </si>
  <si>
    <t>Oraselul Cunoasterii, Strada Pajurei, Nr. 3A</t>
  </si>
  <si>
    <t>Factura LIB</t>
  </si>
  <si>
    <t>certificat de conformitate
--
de scazut datorie LBE</t>
  </si>
  <si>
    <t>certificat de conformitate
---
Se iau banii ulterior prin op.</t>
  </si>
  <si>
    <t>3 torturi 1.6 kg (de care vrea Andreea)</t>
  </si>
  <si>
    <t>Facutra UNION TAX
----
comanda deja platita online</t>
  </si>
  <si>
    <t>3 x platou miniprajituri 10 persoane
1 x platou 30 macarons (CA PE WEBSITE)
+
plic sigilat cu bani cu 184 RON pe care se scrie "Ramburs UNION TAX"</t>
  </si>
  <si>
    <t>1 x tort 4 kg duo-mousse cu visine  cu mesajul "La Multi Ani, Baby"</t>
  </si>
  <si>
    <t>Tort Berry Chocolate
Greutate: 2.5 kg
Mesaj Personalizat: LA MULTI ANI, DAVID!</t>
  </si>
  <si>
    <t>Octavia Ene
0751144499</t>
  </si>
  <si>
    <t>Tort Pavlova
Greutate: 0.8 kg
(ca pe website)</t>
  </si>
  <si>
    <t>Strada Brașov nr 17, bloc P12, scara 3, et 2, Ap 49
București , Bucharest 050512, Romania</t>
  </si>
  <si>
    <t>certificat conformitate
---
a fost achitat pe website</t>
  </si>
  <si>
    <t>1 x cozonac raw vegan caju si mac
1 x cozonac raw vegan turmeric</t>
  </si>
  <si>
    <t>BNR, intrarea din Strada Doamnei 8</t>
  </si>
  <si>
    <t>cash cu bon (280 lei cu discount 10%)
de sunat si coboara clientul sa preia comanda</t>
  </si>
  <si>
    <t>Lide</t>
  </si>
  <si>
    <t>5ciocolata
5cheescake
3Tarte cu mure
3tarte cu zmeura</t>
  </si>
  <si>
    <t>factura pe selari investemnts</t>
  </si>
  <si>
    <t>1 x set degustare torturi nunta</t>
  </si>
  <si>
    <t>Simona
0 722 329 178</t>
  </si>
  <si>
    <t>6 x Happy Christmass Box (ca pe website)
---
1 x Mini Cozonac cu Nucă, Rom și Cacao (600 gr)
3 x Macaron Tematic "Snowflake" (fistic)
1 x Briosa Tematica Ciocolata
1 x Turta Tematica de Craciun
1 x Cutie Fursecuri (200 gr)</t>
  </si>
  <si>
    <t>Factura 1620 RON (12 buc x 135) pe RALCOM EXHIBITIONS si trims Simonei
--
Factura 1215 RON (9 buc x 135) pe LPV si trimis Simonei</t>
  </si>
  <si>
    <t>5 x Happy Christmass Box (ca pe website)
---
1 x Mini Cozonac cu Nucă, Rom și Cacao (600 gr)
3 x Macaron Tematic "Snowflake" (fistic)
1 x Briosa Tematica Ciocolata
1 x Turta Tematica de Craciun
1 x Cutie Fursecuri (200 gr)</t>
  </si>
  <si>
    <t>deja achitat</t>
  </si>
  <si>
    <t>1 x felie framboisier
1 x felie citron
1 x felie ricotta si fructe confiate
1 x felie chocolate delight
1 x felie duo-mousse visine
---
Neaparat de sunat inainte!!!</t>
  </si>
  <si>
    <t>achitat la cofetarie</t>
  </si>
  <si>
    <t>Romelia Pelin
0746161748</t>
  </si>
  <si>
    <t>Str Negustori 34, parter, stanga</t>
  </si>
  <si>
    <t>cash cu bon+ certifcian conformitate. 360 cu 30% discount</t>
  </si>
  <si>
    <t>Degustare Sole
(ciorascu ramona)
0742031233</t>
  </si>
  <si>
    <t>1 x berry chocolate
1 x felie raspberry vanilla
1 x Oreo 
---
Mare atentie la degustarea asta va rog:)</t>
  </si>
  <si>
    <t>40 bucati de choux fistic
30 bucati mini tarte cu lamaie si bezea flambata
30 bucati mini pavlova</t>
  </si>
  <si>
    <t>60 choux fistic
30 mini pavlova
40 cake pops
30 tarte cu lamaie
40  mini carrot cake</t>
  </si>
  <si>
    <t>factura sole events tva inclus</t>
  </si>
  <si>
    <t>30 choux fistic
30 tarte cu lamaie si bezea flambata</t>
  </si>
  <si>
    <t>40 choux fistic
20 tarte cu lamaie si bezea flambata
15 cake pops</t>
  </si>
  <si>
    <t>Ana Maria Anghel
0745755380</t>
  </si>
  <si>
    <t>Str. Siminocului nr. 38, sector 3, Bucuresti</t>
  </si>
  <si>
    <t>1 x cozonac nuca si rom
1 x cozonac fructe confiate si rahat
---
De sunat cu o ora inainte sa ajunga comanda pentru a I se comunica timpul de livrare</t>
  </si>
  <si>
    <t>bon de 180 cu 30% discount</t>
  </si>
  <si>
    <t>Tort Noisette
Greutate: 2 kg
Mesaj Personalizat: La mulți ani Adam!!!</t>
  </si>
  <si>
    <t xml:space="preserve"> strada Adrian nr 15,sector 5</t>
  </si>
  <si>
    <t xml:space="preserve">Trandafir Camelia
(Louis Vouitton)
</t>
  </si>
  <si>
    <t>1500 Bucati (20-21 Dec) - 1500 Eur + TVA
--
100 Cutii Cadou 7 Macarons - 600 Euro + TVA</t>
  </si>
  <si>
    <t>2kg bezele, 2 fursecuri, 30 briose, 30 turta dulce
+
orice mai avem in vitrina si nu se mai poate vinde</t>
  </si>
  <si>
    <t>Strada C.A. Rosetti 24</t>
  </si>
  <si>
    <t>2 kg tort clasic pentru comanda Alex (12.12.2019)</t>
  </si>
  <si>
    <r>
      <t xml:space="preserve">1 x tort 2 kg decorat cu compozitie </t>
    </r>
    <r>
      <rPr>
        <b/>
        <u/>
        <sz val="11"/>
        <color rgb="FF000000"/>
        <rFont val="Calibri"/>
        <family val="2"/>
      </rPr>
      <t>TORT CLASIC</t>
    </r>
    <r>
      <rPr>
        <b/>
        <sz val="11"/>
        <color rgb="FF000000"/>
        <rFont val="Calibri"/>
        <family val="2"/>
      </rPr>
      <t xml:space="preserve"> cu poza spiderman ca in fisier décor.
Mesaj: "La Multi Ani, Bogdan" &amp; "5 ani"
--
Blat umed de ciocolata cu iaurt.</t>
    </r>
  </si>
  <si>
    <t>datorie ca am gresit comanda</t>
  </si>
  <si>
    <t>3 x cozonaci cu nuca, cacao si rom de 1kg</t>
  </si>
  <si>
    <t>de intocmit factura Next Energy , 270 cu TVA inclus</t>
  </si>
  <si>
    <t>factura colloseum de pe pam</t>
  </si>
  <si>
    <t>1 x cozonac raw vegan caju si mac
1 x cozonac cacao si nuca</t>
  </si>
  <si>
    <t>Simona
0 722 329 178
(de sunat neaparat)</t>
  </si>
  <si>
    <t>cofetarie</t>
  </si>
  <si>
    <t>3 Tarta Lamaie
3 Tarta Ciocolata
4 Tarta Zmeura
2 Tarta Capsuni
4 Tarta Mure
2 Tarta Mix Fructe
2 Ecler Ciocolata
2 Ecler Cafea
12 Mini-Ecler Ciocolata
12 Mini-Ecler Cafea
3 Briose Vanilie Decorate 
3 Briose Ciocolata Decorate
4 Amandine 
2 Violete
3 Profiterol
6 Cheese Cake
6 Pavlova
6 Choux Mare Vanilie Fructe
6 Savarine
3 Platou Miniprajituri 5 Pers
1 Platou Miniprajituri degustare
3 Tort 1.6 kg
----
De aranjat in vitrina conform schitetei si completat formular</t>
  </si>
  <si>
    <t>2 x cozonac nuca cacao rom</t>
  </si>
  <si>
    <t xml:space="preserve">Prajituri - 1.5 eur - 270 persoane
324 x mini-raspberry vanila
324 x mini-carrot cake
324 x mini-straciatella 
</t>
  </si>
  <si>
    <t>Oana Parcalabescu
0 757 073 929</t>
  </si>
  <si>
    <t>12 x cozonaci cu nuca, cacao&amp;rom</t>
  </si>
  <si>
    <t>Str. Vaselor nr. 17A, sector 2</t>
  </si>
  <si>
    <t xml:space="preserve">Factura trimisa la bom2906@yahoo.com:
--
Tva inclus ||15 % discount inclus
FUNDATIA PENTRU EDUCATIE SI FORMARE PROFESIONALA „STEP BY STEP”, cu sediul social in Bucuresti, Bld. Agronomiei nr. 8-16, vila cu apartamente nr. N 1.6, ap. 2, cam. 1, sector 1, inregistrata la Registrul Special al
Asociatiilor si Fundatiilor sub nr. 10/14.12.2011, avand C.I.F 29431192. </t>
  </si>
  <si>
    <t>bon cash + certificat conformitate</t>
  </si>
  <si>
    <t>Residence Domenii Plaza Hotel,  str. Alexandru Constantinescu nr.33,</t>
  </si>
  <si>
    <t>FACTURA CU CASH:
---
Datele de facturare sunt
starbuz SRL
37824737</t>
  </si>
  <si>
    <t>1 x tort dreptunghiular decorat frumos de Craciun, 5 kg (ciocolata si portocala)
1 x tort vegan de post Cheese Cake de 2 kg
4 x cozonac nuca &amp; cacao
3 x cozonac fructe si confiate si rahat
2 x cozonac mac
1 x cozonac RAW VEGAN NUCA
---------
+ 3 x cozonac Nuca cacao si rom</t>
  </si>
  <si>
    <t>Sorin Trifa
0723660043
---
de transmis cand se da pachetul ca 3 cozonaci cu nuca sunt din partea laurei!</t>
  </si>
  <si>
    <t>140 - MONOPORTII TRIO MOUSSE
17 - desert de post
9 cozonaci cu nuca rom si cacao</t>
  </si>
  <si>
    <t>Prietena Roxana Clement
0726141572</t>
  </si>
  <si>
    <t>5 x cozonac nuca si cacao
1 x rahat si mac
(se poate muta oricand 22-24 Dec. Trebuie sa o anuntam(</t>
  </si>
  <si>
    <t>Strada Nitu Vasile 54, Bl. 8, sc 2, Ap 25</t>
  </si>
  <si>
    <t>4 x cozonac nuca si cacao</t>
  </si>
  <si>
    <t>Tort Berry Chocolate
Greutate: 2.5 kg
Mesaj Personalizat: La multi ani minunati, Rebeca!</t>
  </si>
  <si>
    <t>Alexandra Gherasim
0754358635
alavod@gmail.com</t>
  </si>
  <si>
    <t>cash cu bon + certificat conformitate pe numele locatiei</t>
  </si>
  <si>
    <t>Mega Mall, Gymboland
Bucuresti, Bucharest 021313, Romania</t>
  </si>
  <si>
    <t>110 monoportii triunghiulare Trio Mousse</t>
  </si>
  <si>
    <t>Irina Vrajitoru
0745999778</t>
  </si>
  <si>
    <t>2 x cozonac cacao si rom</t>
  </si>
  <si>
    <t>str.Delea Noua 3 - DB Cargo</t>
  </si>
  <si>
    <t>achitat deja pe website</t>
  </si>
  <si>
    <t>Strada Siminocului 38</t>
  </si>
  <si>
    <t>Madalina Lara
----
Contact Locatie:
0727486812</t>
  </si>
  <si>
    <t>Fabulous Kids, Strada Liviu Rebreanu 1</t>
  </si>
  <si>
    <t xml:space="preserve">1 x tort decorat ca in poze décor. (3.5 kg - raspberry vanilla)
Sa fie "4" in loc de "26"
</t>
  </si>
  <si>
    <t>cash fara brrr plateste mada direct in cash flow luni. Tortul se duce doar cu certificat de conformitate</t>
  </si>
  <si>
    <t>3 kg raspberry vanilla pentru madalina (14.12.2019)</t>
  </si>
  <si>
    <t>fara brrrr, incasat Dan
398 + 60 + 30x5 + 90 + 85 (un cozonac e din partea casei)
discount 10 %</t>
  </si>
  <si>
    <t>Iulia Bojenita
0744 569 517</t>
  </si>
  <si>
    <t xml:space="preserve">1 x cozonac nuca 
1 x cozonac fructe confiate
1 x cozonac cu mac
</t>
  </si>
  <si>
    <t>card (POS) 260 cu 15% reducere</t>
  </si>
  <si>
    <t>cash cu 15% reducere</t>
  </si>
  <si>
    <t>Andrei Trif
0737409899</t>
  </si>
  <si>
    <t xml:space="preserve">3 x cozonaci cu nuca, cacao si rom de 1kg
+
1.6 kg tort fistic cu zmeura
</t>
  </si>
  <si>
    <t>cash cu bon (cozonacii au 15 % reducere)</t>
  </si>
  <si>
    <t>Claudia Bujenita
0722435578</t>
  </si>
  <si>
    <t>3 x cozonaci cu nuca, cacao si rom
2 x cozonaci cu rahat si fructe confiate</t>
  </si>
  <si>
    <t>card (POS) 440 cu 15% reducere</t>
  </si>
  <si>
    <t>Bucuresti sect 3 (zona Mall Vitan)
Str. Breaza nr.8, bl.V23b sc.2 ap.42 intf.42C</t>
  </si>
  <si>
    <t>Alexandra Stroescu
0758080508</t>
  </si>
  <si>
    <t>Tort Unicorn 2
Alege Greutatea: 4 kg
Alege Compozitia: Raspberry Vanilla
Mesaj Personalizat: La multi ani, Nadia</t>
  </si>
  <si>
    <t>Club Zarva pe Gramont 38</t>
  </si>
  <si>
    <t>Tort Star Wars
Alege Greutatea: 5 kg
Alege Compozitia: Snickers
Mesaj Personalizat: La mulți ani Adam!</t>
  </si>
  <si>
    <t>4 kg snickers patrat pentru laura preda 21-Dec</t>
  </si>
  <si>
    <t>3 kg raspberry vanilla pentru alexandra stroescu 21-dec</t>
  </si>
  <si>
    <t>1 x macheta tort cu urmatoarele specificatii:
Baza de 20 cm cu gazon verde si înălțime de 40 cm. Sa fie in forma de bila
Logo-urile pot fi printate!
(Vor pune macheta in candy-bar)
---
610 x felie triunghiulara 100 gr tort duo-mousse zmeura
-------------
Candy-Bar (300 pax)
180 x macarons mix
180 x tarte fructe
180 x tarte ciocolata
180 x pavlova
180 x choux fistic
180 x mini carrot cake
180 x tarte citron
30 x briose decorate (15 ciocolata/15 vanilie) 
40 x cake pops
50 x mini-eclere (25 ciocolata/ 25 cafea)
0.6 kg bezele artizanale
----
1 x tort 2 kg cu mesajul "La Multi Ani, Nicoleta!" (chocolate delight)</t>
  </si>
  <si>
    <t>8265+tva 
400 ron macheta tva inclus 
---
la Soiree</t>
  </si>
  <si>
    <t>Alex
0754301039
----
De sunat si rugat frumos sa ne lase sa mutam ora de la 16:00 la 15:00-15:30</t>
  </si>
  <si>
    <t>3 x tarta ciocolata mare
3 x tarta lamaie mare
3 x tarta zmeura mare
3 x savarina mare
3 x cheese cake
---
2 x cozonac nuca &amp; cacao pentru eugen din partea laurei</t>
  </si>
  <si>
    <t>factura lido</t>
  </si>
  <si>
    <t>tavita lemn cozonac 250 x 115 x 75 || 500 bucati
tavita lemn cozonac 185 x115 x 60 || 300 bucati
---
Ia de la Madalina 2000 RON. Te asteapta ei cu factura acolo</t>
  </si>
  <si>
    <t>Achizitie Critian food
0310699309 || 0733640508</t>
  </si>
  <si>
    <t>de sunat si intrebat unde e depozitul</t>
  </si>
  <si>
    <t>achizitie</t>
  </si>
  <si>
    <t>Se face factura pe SOLE EVENTS cu TVA INCLUS</t>
  </si>
  <si>
    <t>Andreea Sole
0724255551</t>
  </si>
  <si>
    <t>2 x platouri de minipraji de 10 persoane
1 x platou de 12 macarons pictat cu motive de craciun
30 x bites prajituri raw vegan:
- 8 x Raw Vegan Pistachio Pillow
- 8 x Raw Vegan Blueberry Finger
- 8 x Raw Vegan Cashew Stone
- 6 x Raw - vegan tiramisu
----
1 x cozonac cu nuca
1 x cozonac cu fructe confiate 
1 x cozonac cu mac</t>
  </si>
  <si>
    <t>Tina 
0751907168</t>
  </si>
  <si>
    <t>1 x cozonac cu nuca, cacao si rom</t>
  </si>
  <si>
    <t>Bdul Aviatorilor 66, interfon 8, et 3, ap 8</t>
  </si>
  <si>
    <t>40 x choux fistic</t>
  </si>
  <si>
    <t>Trattoria II Calcio (Romancierilor), str. Drumul Taberei 68</t>
  </si>
  <si>
    <t>Zaberca Cornelia
0730750678</t>
  </si>
  <si>
    <t xml:space="preserve">2,5 kg tort framboisier pe rotund cu blat suplimentar de migdale (stie Andreea), facut pentru copii (mai putin zahar sau ceva), cu "La multi ani, Eva!"
+ 
1 x cozonac nuca, caco si rom </t>
  </si>
  <si>
    <t>Florin Draghescu LPV
0724288126</t>
  </si>
  <si>
    <t>a fost achitat de LPV</t>
  </si>
  <si>
    <t>A platit LPV tva inclus</t>
  </si>
  <si>
    <t>1 x tort 2 kg krantz frumos decorat cu tematica de craciun</t>
  </si>
  <si>
    <t>2 x cozonac cu rahat si mac</t>
  </si>
  <si>
    <t>Sos Kiseleff nr. 9, sector 1
Bucuresti, Bucharest 011342, Romania</t>
  </si>
  <si>
    <t>cash cu bon (15% reducere)
+
certificat conformitate</t>
  </si>
  <si>
    <t>Soiree
--
Candy-Bar'ul se amenajeaza de Claudiu intre 18:00 si 19:00</t>
  </si>
  <si>
    <t>Iris
0 724 534 626</t>
  </si>
  <si>
    <t>Calea Plevnei nr.20, Scara B, Et.1., Ap. 33, interfon 33</t>
  </si>
  <si>
    <t>1 x tort framboisier 1.6 kg
--
1 x platou 10 persoane</t>
  </si>
  <si>
    <t>Anca Marinescu
0751111039
(de sunat si anuntat ca se ajunge la 16:00)</t>
  </si>
  <si>
    <t>3 x tarte ciocolata
3 x tarte fructe
3 x tarte citron
3 x savarine
3 x cheese cake</t>
  </si>
  <si>
    <t>1,6 kg tort fistic cu "La multi ani, bunicule!"</t>
  </si>
  <si>
    <t>Dinescu Claudia
0742922960</t>
  </si>
  <si>
    <t>1 x  1 kg Berry Chocolate cu mesajul "La Multi Ani!"</t>
  </si>
  <si>
    <t>Strada Gloriei, 9-11D, Sc2., Ap. 15, Bragadiru, Ilfov</t>
  </si>
  <si>
    <t>1kg cu crema de vanilie si martipan iar deasupra "om de zapada sau ce mai credeti voi" (figurina pasta zahar)
---
Mesajul : La Multi Ani, Sebastian!"</t>
  </si>
  <si>
    <t>cash cu bpn</t>
  </si>
  <si>
    <t>4 x raw vegan pistachio pillow
4 x raw vegan blueberry finger
1 x cozonac cacao, nuca si rom</t>
  </si>
  <si>
    <t>Strada Infratirii nr 4, Interfon 2, Sector 1</t>
  </si>
  <si>
    <t>a fost achita pe website</t>
  </si>
  <si>
    <t>Client 15%
0745767526</t>
  </si>
  <si>
    <t>1 x tort black jack (0.7 kg) Sa apara pe el: "La Multi Ani"! Si "40"</t>
  </si>
  <si>
    <t>Simona Khamisi
0 724 220 663</t>
  </si>
  <si>
    <t>Alina Dunuta
0 763 352 945</t>
  </si>
  <si>
    <t>Madalina BLU PARTY
0 764 382 800</t>
  </si>
  <si>
    <t>Sediul Siemens. West Gate str preciziei nr 24 cladirea H5 et 5</t>
  </si>
  <si>
    <t>factura tva inclus pe blu party</t>
  </si>
  <si>
    <t>Corina Buzoianu
0721719739</t>
  </si>
  <si>
    <t>Strada Politehnicii nr 3, bloc I2, scara 3, ap 35, interfon 35</t>
  </si>
  <si>
    <t>1 x 1.2 kg Trio Mousse 
15 x mini tarte fructe
1 x cozonac Nuca
15 x choux fistic</t>
  </si>
  <si>
    <t>cas cu bon</t>
  </si>
  <si>
    <t>2 cozonaci cu nuca cacao si stafide
1 cozonac cu rahat si fructe confiate
1 cozonac vegan cu mac si caju
3 cozonaci micuti, cu rahat si fructe confiate</t>
  </si>
  <si>
    <t>Restaurant Naan, str Progresului, nr 1-3</t>
  </si>
  <si>
    <t>Certificat conformitate Restaurant Naan
-----
factura cu tva inclus
Date facturare STA:
STA Sales Consulting SRL
 RO 34048461</t>
  </si>
  <si>
    <t>8 x Maxi Christmas Gift Box
---
1 x Mini Cozonac cu Nucă, Rom și Cacao (600 gr)
3 x Macaron Tematic "Snowflake" (fistic)
3 x Macaron Tematic "Reindeer" (ciocolata)
1 x Briosa Tematica Ciocolata
2 x Turta Tematica de Craciun
1 x Cutie Fursecuri (200 gr)
1 x Punguta Pricomigdale (200 gr)
1 x Punguta Cookies (200 gr)</t>
  </si>
  <si>
    <t>Diana Borcea
0765189155</t>
  </si>
  <si>
    <t>1 x Maxi Christmas Gift Box
---
1 x Mini Cozonac cu Nucă, Rom și Cacao (600 gr)
3 x Macaron Tematic "Snowflake" (fistic)
3 x Macaron Tematic "Reindeer" (ciocolata)
1 x Briosa Tematica Ciocolata
2 x Turta Tematica de Craciun
1 x Cutie Fursecuri (200 gr)
1 x Punguta Pricomigdale (200 gr)
1 x Punguta Cookies (200 gr)</t>
  </si>
  <si>
    <t xml:space="preserve">1 x tort Oreo 2.5 kg cu print din Departament décor. Tortul sa fie decorat cu crema neagra ca in "Model Tort". In locul mesajului "happy 8th birthday connor" sa fie "La multi ani, Andreas!
</t>
  </si>
  <si>
    <t>Leca Andrei
0784322730</t>
  </si>
  <si>
    <t>cash cu bon+ certifcian conformitate</t>
  </si>
  <si>
    <t>Petru Lificiu
(clinica Life Med)
0737038524</t>
  </si>
  <si>
    <t>intocmit factura pe life med cu tva inclus</t>
  </si>
  <si>
    <r>
      <t xml:space="preserve">1 x tort duo-mousse visine in forma dreptunghiulara (10 kg) 
--
</t>
    </r>
    <r>
      <rPr>
        <b/>
        <u/>
        <sz val="11"/>
        <color rgb="FF000000"/>
        <rFont val="Calibri"/>
        <family val="2"/>
      </rPr>
      <t>COMENTARIU 1</t>
    </r>
    <r>
      <rPr>
        <b/>
        <sz val="11"/>
        <color rgb="FF000000"/>
        <rFont val="Calibri"/>
        <family val="2"/>
      </rPr>
      <t xml:space="preserve">: Sa punem ceva decor cu tematica de copilarie. Poate fi sunat clientul. 
</t>
    </r>
    <r>
      <rPr>
        <b/>
        <u/>
        <sz val="11"/>
        <color rgb="FF000000"/>
        <rFont val="Calibri"/>
        <family val="2"/>
      </rPr>
      <t>COMENTARIU 2:</t>
    </r>
    <r>
      <rPr>
        <b/>
        <sz val="11"/>
        <color rgb="FF000000"/>
        <rFont val="Calibri"/>
        <family val="2"/>
      </rPr>
      <t xml:space="preserve"> Mesajul este:
"We are the perfect FIT
-Finance &amp; IT-"
--
</t>
    </r>
    <r>
      <rPr>
        <b/>
        <u/>
        <sz val="11"/>
        <color rgb="FF000000"/>
        <rFont val="Calibri"/>
        <family val="2"/>
      </rPr>
      <t xml:space="preserve">COMENTARIU 3: </t>
    </r>
    <r>
      <rPr>
        <b/>
        <sz val="11"/>
        <color rgb="FF000000"/>
        <rFont val="Calibri"/>
        <family val="2"/>
      </rPr>
      <t xml:space="preserve">Sa fie decorat  cu fructe/macarons/ altele in culorile tematice ale evenimentului. Am atasat newsletter-ul in departament decor.
------------
+
1 x 1.6 kg raspbery vanilla decorat ca pe website cu o placuta in mijloc cu mesajul:
"Varsta unei femei nu se dezvaluie niciodata ;) "
</t>
    </r>
  </si>
  <si>
    <t>Andra Petrescu (Amberry)
0 723 264 197</t>
  </si>
  <si>
    <t>1 x tort IDENTIC decorat ca in poze décor. (ETAJUL DE JOS E BUTAFORIE. ETAJUL DE SUS E REAL. 4 kg TORT CLASIC greutate totala)
Mesajul pe placuta sa fie ""La mulți ani,  Sara!"</t>
  </si>
  <si>
    <t>tort clasic 3 kg pentru andra petrescu (18.12.2019)</t>
  </si>
  <si>
    <t>factura cu tva inclus pe amalt. Sa fie trecut doar prajituri</t>
  </si>
  <si>
    <t xml:space="preserve">Cezarina
0 724 364 656
--
Contact Locatie
Dl. Jalal
0785704602
</t>
  </si>
  <si>
    <t>cash cu bon 
+
certificat conformitate
----------
Se incaseaza banii de la dl. Jalal</t>
  </si>
  <si>
    <t>Phoenicia Grand Hotel,
Blvd Alexandru Șerbănescu 87.
--
Se va livra la restaurantul libanez la parter în partea dreapta</t>
  </si>
  <si>
    <t>7 x cozonaci cu nuca, cacao si rom
2 x cozonaci cu fructe confiate
1 x cozonac cu mac si rahat</t>
  </si>
  <si>
    <t>GARA HERASTRAU, NR.4C, CLADIREA B, CAMERA 6, ETAJ 11, SECTOR 2</t>
  </si>
  <si>
    <t xml:space="preserve">2 x cozonaci nuca, cacao si rom </t>
  </si>
  <si>
    <t>Logogat Luca Stroici 13, Bl A, apt 603</t>
  </si>
  <si>
    <t xml:space="preserve">factura PIONIX MARKETING SOLUTIONS SRL (15% discount, TVA inclus)
RO31308010
               </t>
  </si>
  <si>
    <t>cash cu bon (30% reducere ca a adus comanda de 10 cozonaci pe PIONIX)</t>
  </si>
  <si>
    <t xml:space="preserve">incasat
+
certificat de conformitate
</t>
  </si>
  <si>
    <t>5 x cozonac cacao si rom
(CALZI NEAPARAT)</t>
  </si>
  <si>
    <r>
      <t xml:space="preserve">1 x tort real ca in poza décor (4 etaje snickers - 12 kg total)
Comentariu 1: ca décor, pe lângă florile naturale sa folosimși câțiva macaroons roz /alb
Comentariu 2: Dripul </t>
    </r>
    <r>
      <rPr>
        <b/>
        <u/>
        <sz val="11"/>
        <color rgb="FF000000"/>
        <rFont val="Calibri"/>
        <family val="2"/>
      </rPr>
      <t xml:space="preserve">NEAPARAT </t>
    </r>
    <r>
      <rPr>
        <b/>
        <sz val="11"/>
        <color rgb="FF000000"/>
        <rFont val="Calibri"/>
        <family val="2"/>
      </rPr>
      <t xml:space="preserve"> sa fie auriu (nu galben)
Comentariul 3: Pe Tortul sa fie "stropit" cu auriu ca in poze décor
----------------
Sunati-o neaparat daca veti orice fel de intrebare!!!!! Cezarina:)</t>
    </r>
  </si>
  <si>
    <t>Comanda Telefon
0745755380</t>
  </si>
  <si>
    <t>3 x cozonac cacao si nuca
(facuti duminica)</t>
  </si>
  <si>
    <t xml:space="preserve"> 2 x cozonac cu fructe confiate
2 x cacao si nuca</t>
  </si>
  <si>
    <t>1 x cozonac cu nuca, cacao si rom
1 x cozonac cu fructe confiate</t>
  </si>
  <si>
    <t>3 x cozonac cu nuca, cacao si rom</t>
  </si>
  <si>
    <t>Dan Florea LBE
0729057479</t>
  </si>
  <si>
    <t>birou Carol</t>
  </si>
  <si>
    <t>5 cozonaci (3 cu nuca + 2 cu fructe confiate) / 15 cozonaci ramasi</t>
  </si>
  <si>
    <t>de facut factura LBE 20 cozonaci</t>
  </si>
  <si>
    <t xml:space="preserve">fara brrrr,incasat Dan (15% reducere)
</t>
  </si>
  <si>
    <t>Strada Nerva Traian nr.3 (City Business Center) etaj 3</t>
  </si>
  <si>
    <t>Tudose (Getica 95)
0744350020</t>
  </si>
  <si>
    <t>factura in comanda de pe 19 Dec</t>
  </si>
  <si>
    <t xml:space="preserve">factura Getica 95 pentru 80 cozonaci la pret de 55 lei / cozonac TVA inclus + 25 buc pasca la 70 lei / buc </t>
  </si>
  <si>
    <t>50 x cozonaci cu nuca, cacao si rom
+ 
de lipit stikere cu GETICA 95 NEAPARAT!!!!</t>
  </si>
  <si>
    <t>Strada Nerva Traian nr.3 (City Business Center) etaj 3
NEAPARAT SA AJUNGA PANA IN 10:00</t>
  </si>
  <si>
    <t>30 x cozonaci cu nuca, cacao si rom 
+ 
25 buc pasca (1 kg)
de lipit stikere cu GETICA 95 NEAPARAT!!!! (mai putin pe 5 buc de pasca ca  avem doar 100 stikere)</t>
  </si>
  <si>
    <t>4 x cozonac nuca</t>
  </si>
  <si>
    <t>4 cutii de miniprajituri de 5 persoane 
2 cozonaci</t>
  </si>
  <si>
    <t xml:space="preserve">Laura Ciuhu
</t>
  </si>
  <si>
    <t>se scade din avansul de pe lara internatinal</t>
  </si>
  <si>
    <t xml:space="preserve">
5 x Happy Christmass Box (ca pe website)
---
1 x Mini Cozonac cu Nucă, Rom și Cacao (600 gr)
3 x Macaron Tematic "Snowflake" (fistic)
1 x Briosa Tematica Ciocolata
1 x Turta Tematica de Craciun
1 x Cutie Fursecuri (200 gr)
----------------
De pus extra in feicare cutie:
1 x cutie 3 macarons reindeer
1 x punga cookie
 1 x punga pricomigdale</t>
  </si>
  <si>
    <t>De scazut din avans platit lara itnernational</t>
  </si>
  <si>
    <t>4  x cozonac nuca,
 4 x platou mini prahituri 5 persoane</t>
  </si>
  <si>
    <t>Bogdan lpv</t>
  </si>
  <si>
    <t>protocol</t>
  </si>
  <si>
    <t>Paul partenie</t>
  </si>
  <si>
    <t>Ramona Dudulau
0723506040</t>
  </si>
  <si>
    <t>1 x platou miniprajituri 5 persoane</t>
  </si>
  <si>
    <t>Rosia Montana nr.4, bl O5, Sc2, Et 8,Ap 107, interfon 107</t>
  </si>
  <si>
    <t>The mark restaurant, Calea Griviței 84-98</t>
  </si>
  <si>
    <t>cash cu bon + certificat</t>
  </si>
  <si>
    <t xml:space="preserve"> 2 kg duo mousee cu zmeura cu mesajul “ la multi ani, Stefania”</t>
  </si>
  <si>
    <t>Client Fidel Cofetarie</t>
  </si>
  <si>
    <t>1 x felie felie chocolate delight
1 x felie fistic cu zmeura
1 x felie duo=mousse visine
1 x felie snickers</t>
  </si>
  <si>
    <t>Nanu Ana Maria
0763119404</t>
  </si>
  <si>
    <t>1 x tort mickey &amp; minie mouse (raspberry vanilla 1.8 kg)
"La Multi Ani, Damian"
---
Tort printese disney/ funda labastra</t>
  </si>
  <si>
    <t>raspberry vanilla (1.5 kg) pentru comanda Nanu Ana Maria</t>
  </si>
  <si>
    <t>Meda
0 724 805 060</t>
  </si>
  <si>
    <t>4 x cozonac, nuca, cacao
50 x turta dulce artizanala decorata de craciun (neimpachetata)</t>
  </si>
  <si>
    <r>
      <t xml:space="preserve">Str. Vâlsănești, Nr. 1E dar am rugamintea sa seteze pe GPS: </t>
    </r>
    <r>
      <rPr>
        <b/>
        <u/>
        <sz val="11"/>
        <color rgb="FF000000"/>
        <rFont val="Calibri"/>
        <family val="2"/>
      </rPr>
      <t>MEDA PROD</t>
    </r>
    <r>
      <rPr>
        <b/>
        <sz val="11"/>
        <color rgb="FF000000"/>
        <rFont val="Calibri"/>
        <family val="2"/>
      </rPr>
      <t>.</t>
    </r>
  </si>
  <si>
    <t>factura cu tva inlclus pe:
S.C. MEDA PROD  ’98  S.A. cu sediul în orașul București, Sector 3, Str. Vâlsănești, Nr. 1E,   înmatriculată la Oficiul Registrului Comerțului, sub nr. J 40/2949/1998, C.I.F. RO 10374339, avand cod IBAN RO82OTPV112000893485RO01, deschis la OTP BANK - Administraţia Centrală.</t>
  </si>
  <si>
    <t>Cristian Cristea
0731977981</t>
  </si>
  <si>
    <t>9 x cozonaci cu nuca, cacao si rom de 1kg
+ 
3 x cozonaci cu fructe confiate</t>
  </si>
  <si>
    <t>de intocmit factura Next Energy , cu TVA inclus(sa apara cozonacii la 90 si respectiv 85 lei cu 15% discount)</t>
  </si>
  <si>
    <t>Florin Soiree
0730185548</t>
  </si>
  <si>
    <t>1 x degustare torturi
1 x degustare nuta
-----
+ ridicat vase candy-bar daca au loc in masina</t>
  </si>
  <si>
    <t>Soiree, Bulevardul Pipera 2, Voluntari 077190</t>
  </si>
  <si>
    <t>Șoseaua București Nord nr 15-23, Voluntari 077190</t>
  </si>
  <si>
    <t>6 x macarons fistic
6 x macarons
6 x macarons zmeura
6 x macarons tonka
6 x macarons ciocolata
6 x macarons caramel
6 x macarons lamaie</t>
  </si>
  <si>
    <t>str. Resita, nr 16</t>
  </si>
  <si>
    <t>100 ron cash cu bon</t>
  </si>
  <si>
    <t>Tudor Mircea
0 769 636 976</t>
  </si>
  <si>
    <t>3 x cozonac nuca, cacao si rom
1 x COZONAC DOAR CU RAHAT
-----
Sa fie facut sambata va rog. Trebuie sa fie calzi</t>
  </si>
  <si>
    <t>Alexanda
0723734684</t>
  </si>
  <si>
    <t>Aleea Slatioara 1, Bl. 12, Sc 2, Ap 2 (parter)</t>
  </si>
  <si>
    <t>Mariott Grand Hotel,, Calea 13 Septembrie, 90
----
In galeriile de la Mariot.</t>
  </si>
  <si>
    <t>a fost deja achitat</t>
  </si>
  <si>
    <t>Mariott Grand Hotel, Calea 13 Septembrie, 90
----
In galeriile de la Mariot.</t>
  </si>
  <si>
    <t>Andreea Mota
0755032951</t>
  </si>
  <si>
    <t>1 x platou 5 persoane</t>
  </si>
  <si>
    <t>De dus in piata romana fix in fata la Paul/KFC</t>
  </si>
  <si>
    <t>Tudpr</t>
  </si>
  <si>
    <t>Adriana 
0726752423</t>
  </si>
  <si>
    <t xml:space="preserve"> str Vlahita nr 1, bl PM 18 bis, et 4, interfon 27 C</t>
  </si>
  <si>
    <t>1 x cacao, nuca si rom
1 x fructe confiate
1 x rahat si mac</t>
  </si>
  <si>
    <t>1 x cozonac, nuca si cacao</t>
  </si>
  <si>
    <t>degustare regina maria</t>
  </si>
  <si>
    <t>Laura Pop
0723246767</t>
  </si>
  <si>
    <t>Alexandra Vornicu
0 752 081 211
(de transmis ca laura i-a facut cadou 1 platou de minipraji)</t>
  </si>
  <si>
    <t>2 x cozonaci cu fructe confiate
2 x cozonac cu mac
1 x  cozonac vegam cu mac
2 x  cutii de 12 macarons tematici craciun
1 x platou de fursecuri (1000 gr)
1 x platou 5 persoane (din partea laurei)</t>
  </si>
  <si>
    <t>Str Iancu Nicolae 34, Voluntari , Ilfov</t>
  </si>
  <si>
    <t>Diana Paraschiv
0763861101</t>
  </si>
  <si>
    <t>1 x tort duo-mousse visine 2.5 kg
"la multi ani Mamaica" cu floricele din pasta pe langa
+
Lumanare cu cifra 60
+
Figurina baietel vesel si "Nico" langa el (nepotul sarbatoritei)</t>
  </si>
  <si>
    <t>120 x 2.5 kg tort
80 ron figurina
10 lei lumanare
---
390
+30% discount</t>
  </si>
  <si>
    <t>r</t>
  </si>
  <si>
    <t>2.5 kg duo-mousse</t>
  </si>
  <si>
    <t xml:space="preserve">300 gr trufe ciocolata
300 gr blueberry finger
200 gr twix bar
1 x cozonac raw vegan nuca
</t>
  </si>
  <si>
    <t>Iordache Liliana
0726323676
(de sunat dimineata)</t>
  </si>
  <si>
    <t xml:space="preserve">1 cozonac cu cacao si nuca si rom 
 1 cozonac cu rahat si fructe confiate
1 cozonac raw vegan cu nuca si mac
 1 x raw vegan cu caju si mac
1 x raw vegan cu turmeric </t>
  </si>
  <si>
    <t>Anda
0 774 421 063
(de sunat si anuntat ca e gata comanda)</t>
  </si>
  <si>
    <t>1 x rahat si fructe confiate
2 x cacao, nuca si rom
1.6 kg duo-mousse visine</t>
  </si>
  <si>
    <t>Ioana
0 721 438 077
(poate ajunge oricand dar de sunat si comunicat ora</t>
  </si>
  <si>
    <t>Stefan Burileanu nr 7 bl 20 A sc B ap 21</t>
  </si>
  <si>
    <t>1 x 1.6 kg tort fistic si zmeura decorat ca pe webstie cu "La Multi Ani, Cristi!"</t>
  </si>
  <si>
    <t>cash cu bon. 192 cu 15% discount</t>
  </si>
  <si>
    <t>1.6 kg tort chocolate delight</t>
  </si>
  <si>
    <t>5 cozonaci cu cacao si nuca.
2 platouri de 10 persoane cu miniprajituri</t>
  </si>
  <si>
    <t>Strada Caraiman, nr. 63</t>
  </si>
  <si>
    <t>???
0722286910
(de anuntat ora)</t>
  </si>
  <si>
    <t>factura enerconstruct servicii srl</t>
  </si>
  <si>
    <t>Iulia Bojenita
0744 569 517
---
persoana de contact
Cristian
0 769 627 663</t>
  </si>
  <si>
    <t>factura GEMATEX. De vazut in calcul pret ca e 15% discount. Trebuie afisat si pe factura</t>
  </si>
  <si>
    <t>2 etaje (3 kg in total - oreo). Etajele trebuie sa fie patrate/dreptunghiulare</t>
  </si>
  <si>
    <t>1 x tort real  decorat ca in poza décor. (2 etaje patrate||4 kg in total || oreo). Sa fie la fel cu 18 care iese din tort
fontul cifrelor "18" trebuie sa fie ca in poza "FONT"
+ 
sa fie stelute ca in poza
---
Mesaj1: "HOLY CRAP, you re old"
+
Mesaj 2: " Happy 18th Stefan"</t>
  </si>
  <si>
    <t xml:space="preserve">1 x tort portocala si ciocolata (2.5 kg) cu mesajul "Craciun Fericit"
4 x cozonac nuca si rahat
10 x minitarta citron
10 x minitarta ciocolata
10 x minitarta fructe
30 x macarons mix
</t>
  </si>
  <si>
    <t>Str. Aviatiei 1 bloc 4C sc 1 ap 19</t>
  </si>
  <si>
    <t>???
0 744 337 781</t>
  </si>
  <si>
    <t>2 cozonaci cu nuca si cacao</t>
  </si>
  <si>
    <t>cash cu bon cu 15% discount inclus</t>
  </si>
  <si>
    <t>8 x Happy Christmass Box (ca pe website)
---
1 x Mini Cozonac cu Nucă, Rom și Cacao (600 gr)
3 x Macaron Tematic "Snowflake" (fistic)
1 x Briosa Tematica Ciocolata
1 x Turta Tematica de Craciun
1 x Cutie Fursecuri (200 gr)</t>
  </si>
  <si>
    <t>Strada Occidentului 26, Best Western Occidental
---
Amenajeaza Claudiu de la 16:00 pana la 17:00</t>
  </si>
  <si>
    <r>
      <t xml:space="preserve">Candy-Bar Casa de Copii:
Candy-Bar'ul lui Mos Craciun (80 pax):
1 x Piramidă Plexi Macarons (65 x macarons proaspeti)
38 x Cake Pops Tematic
18 x Brioşe Tematice
15 x Turtă Dulce Tematică
40 x Mini-Tartă Ciocolată
40 x Mini-Tartă Citron
40 x Choux Fistic
40 x Mini-Tartă Fructe
40 x Mini-Pavlova
40 x Pahar Tiramisu
+
</t>
    </r>
    <r>
      <rPr>
        <b/>
        <u/>
        <sz val="11"/>
        <color rgb="FF000000"/>
        <rFont val="Calibri"/>
        <family val="2"/>
      </rPr>
      <t>vesela + +lingurite + servetele</t>
    </r>
  </si>
  <si>
    <r>
      <t xml:space="preserve">71 x twix raw vegan (1.7 kg)
71 x peanut butter bar (1.7 kg)
bomboane tahini coffee (1.7 kg)
trufe cu alune si ciocolata (1.7 kg)
71 x monoportii caju &amp; afine (1.7 kg)
71 x monoporti caju &amp; fistic (1.7 kg)
caramel coffee bar (1.7 kg)
---
Putem pune si alte sortimente. Ideea e sa fie in total 12 kg si o varietate cat mai mare de raw-vegane pe care sa le poata aseza in candy
------------------
</t>
    </r>
    <r>
      <rPr>
        <b/>
        <u/>
        <sz val="11"/>
        <color rgb="FF000000"/>
        <rFont val="Calibri"/>
        <family val="2"/>
      </rPr>
      <t>+ VESELA CANDY-BAR/ MANUSI/ SERVETELE!</t>
    </r>
  </si>
  <si>
    <t>Mihaela (Emilia)
0726199545</t>
  </si>
  <si>
    <t>strada Secuilor, nr 7, bl B31, sc 3, et 3, ap 39,</t>
  </si>
  <si>
    <t>Popa Manuela
0766522908</t>
  </si>
  <si>
    <t>1 x tort decorat figurina hello kitty ca in poze décor.  (oreo - 2 kg)
Mesajul este " La Multi Ani, Eva! Te iubim!"</t>
  </si>
  <si>
    <t>1.6 kg oreo pentru popa manuela 22.12.2019</t>
  </si>
  <si>
    <t xml:space="preserve">1 x cozonac raw vegan turmenic
2 x cozonac Mac vegan
4 x Raw vegan cu nuca
4 x cozonac Cacao nuca si rom </t>
  </si>
  <si>
    <t>Raluca
+40 741 333 003</t>
  </si>
  <si>
    <t>Intrarea Unditei nr.1, ap 9, interfon 9, et. 4</t>
  </si>
  <si>
    <t>factura pe perceptum events</t>
  </si>
  <si>
    <t>1 x tort krantz 1.5 kg</t>
  </si>
  <si>
    <t>Alexandra T.
0 741 352 505</t>
  </si>
  <si>
    <t>1 x cozonac mic nuca cacao</t>
  </si>
  <si>
    <t>Strada Măgura Vulturului 42, București 021704</t>
  </si>
  <si>
    <t>2 x cozonaci cu nucă
1 x cozonac rahat și mac</t>
  </si>
  <si>
    <t>Strada Pașcani 9, bl TD35, et. 6, ap. 40</t>
  </si>
  <si>
    <t>Bogdan Buzdugan
0 744 625 550
(de sunat dimineata si anutat ora)</t>
  </si>
  <si>
    <t>factura pe bogdan buzdugann persoana fizica</t>
  </si>
  <si>
    <t>4 buc. – Cozonac cu nuca, cacao si rom 
- 2 buc. – Cozonac RAW VEGAN cu nuca 
- 1 buc. – Cozonac RAW VEGAN cu caju si mac
--------
COZONACII NEAPARAT SA FIE CALZI</t>
  </si>
  <si>
    <t>3 cozonaci cu nuca si cacao
1 cozonac cu rahat si fructe confiate</t>
  </si>
  <si>
    <t>55 choux fistic
35 tarte cu lamaie
15 cake pops</t>
  </si>
  <si>
    <t xml:space="preserve">5 x pasca </t>
  </si>
  <si>
    <t>Str Viselor nr 60, complex Good Afternoon, Balotesti</t>
  </si>
  <si>
    <t>strada aviator jean texier 3</t>
  </si>
  <si>
    <t>CLAUDIU TE ROG NEAPARAT SA LE ROGI PE FETE SA-TI DEA 2 ROLE de banglica
-----
Artisanal Sweetbread x 64 buc
Mini Muffin decorata x 64 buc
Choux a la Crème (Pistachio) x 85 buc
Choux a la Crème (Vanilla) x 85 buc
Choux a la Crème (Coffee) x 85 buc
Choux a la Crème (Chocolate) x 85 buc
Monochromatic Macarons (Lemon) x 43 buc
Monochromatic Macarons (Raspberry) x 43 buc
Monochromatic Macarons (Pistachio) x 43 buc
Monochromatic Macarons (Vanilla) x 43 buc
Hand-Painted Macarons x 110 buc
-----
50 x cutie auriecu manson transparent &amp; panglica LV**
350 x Hand-Painted Macarons</t>
  </si>
  <si>
    <t>Ridicare Candy-Bar Best western</t>
  </si>
  <si>
    <t xml:space="preserve">Strada Occidentului 25, Best Western Occidental
</t>
  </si>
  <si>
    <t>recuperare candy-bar</t>
  </si>
  <si>
    <t>1 cozonac raw cu caju si mac
1 x  cutie 12 macarons - combinate</t>
  </si>
  <si>
    <t>Emilia (Lara)</t>
  </si>
  <si>
    <t xml:space="preserve">
Tort Tematic White
Sortimentul Tortului: Tort Chocolate Delight
----
"rog fara glazura martipan"</t>
  </si>
  <si>
    <t>Vrajitoru Irina
0745999778</t>
  </si>
  <si>
    <t>str.Delea Noua 3 - Delea Business Centre</t>
  </si>
  <si>
    <t>a fost platita</t>
  </si>
  <si>
    <t>Floring Draghescu</t>
  </si>
  <si>
    <t>2 x platou 5 prrsoane
2 x cozonac cu nuca</t>
  </si>
  <si>
    <t xml:space="preserve"> 1 x  cozonac cu mac si rahat
1 x cozonac raw vegan cu caju si mac.</t>
  </si>
  <si>
    <t>B - dul Tudor Vladimirescu nr. 29 A, cladirea Afi Tech Park 1, et. 5.</t>
  </si>
  <si>
    <t>Mihaela Olteanu
+40 723 600 880</t>
  </si>
  <si>
    <t>discount de 15% inclus cu BON</t>
  </si>
  <si>
    <t>Iliescu Mihaela
0742142207</t>
  </si>
  <si>
    <t>cash cu bon (15% inclus in pret)</t>
  </si>
  <si>
    <t>Bogdan (lara)</t>
  </si>
  <si>
    <t>1 x cozonac nuca
1 x cozonac rahat si fructe confiate
1 x cozonat mac
1 x 1.6 kg duo-mousse visine
1 x cozonac raw vegan nuca
1 x cozonac raw-vegan caju</t>
  </si>
  <si>
    <t>Ridciare laborator</t>
  </si>
  <si>
    <t xml:space="preserve">3 x cozonac nuca si cacao
1 x caozonac fructe confiate
1 x cozonac mac
3 x platou miniprajituri 5 persoane
</t>
  </si>
  <si>
    <t>Se scade din factura Lib platita in avans</t>
  </si>
  <si>
    <t>Roxana Prisacariu
0 724 805 060</t>
  </si>
  <si>
    <t>Stada Oboga, nr 5, bloc 160, sc 2, etaj 7, ap 74, interfon 274 C</t>
  </si>
  <si>
    <t>8 x choux fistic
8 x choux ciocolata
8 x miniecler cafea
8 x miniecler ciocolata
10 x mini tarta ciocolata
10 x mini tarta citron
10 x mini tarta fructe
16 x negresa
+
1 x cozonac cacao, nuca si rom</t>
  </si>
  <si>
    <t>Artisanal Sweetbread x 64 buc
Mini Muffin decorata x 64 buc
Choux a la Crème (Pistachio) x 85 buc
Choux a la Crème (Vanilla) x 85 buc
Choux a la Crème (Coffee) x 85 buc
Choux a la Crème (Chocolate) x 85 buc
Monochromatic Macarons (Lemon) x 43 buc
Monochromatic Macarons (Raspberry) x 43 buc
Monochromatic Macarons (Pistachio) x 43 buc
Monochromatic Macarons (Vanilla) x 43 buc
Hand-Painted Macarons x 110 buc
-----
67 x cutie auriecu manson transparent &amp; panglica LV**
350 x Hand-Painted Macarons</t>
  </si>
  <si>
    <t>Tudosr</t>
  </si>
  <si>
    <t>1 x Tort Noisette, 3 kg, dreptunghiular, mesaj "Craciun fericit!"
1 x Platou minipraji de 10 pers 
10 x tarte zmeura
5 x tarte mure
2 x cozonac nuca, cacao si rom</t>
  </si>
  <si>
    <t>incasare direct Dan(reducere 30%)</t>
  </si>
  <si>
    <t>10 cozonaci  / (5 cozonaci ramasi)</t>
  </si>
  <si>
    <t>10 cozonaci  / (5 cozonaci ramasi + 5 platiti)</t>
  </si>
  <si>
    <t>factura LBE</t>
  </si>
  <si>
    <t>3 x savarina
3 x tarta mare ciocolata
3 x tarta mare citron
3 x tarta mare fructe
3 x cheese cake</t>
  </si>
  <si>
    <t>15 prajituri la 9 ron bucata
--
factura pe selari investment</t>
  </si>
  <si>
    <t>reducere 15%. Ridica Dan din Laborator, la 9:00</t>
  </si>
  <si>
    <t>Grigorescu
0729057479(de sunat Dan)</t>
  </si>
  <si>
    <t>Teodora Parvu
0752292337</t>
  </si>
  <si>
    <t>2,2 kg total -  (1,6 kg compozitie tort clasic Andreea "zmeura cu cioco") + decorul machetei cu "Ren, Mos Craciun si Om zapada" din cofetarie
3x  cozonaci cu cacao și nuca 
2 x pasca cu branza
1 x Platou mini prăjituri 10 pers 
1 x Raw Vegan Pistachio Pillow (100 g)
1 x Raw Vegan Blueberry Finger (100g)
1 x Raw Vegan Cashew Stone (100g)</t>
  </si>
  <si>
    <t xml:space="preserve">1 x nuca, cacao si rom
1 x fructe confiate </t>
  </si>
  <si>
    <t>1,6 Kg tort tematic craciun "White" || compozitie fitic cu zmeua (poza decor)
+
1 x platou minipraji de 10 persoane FARA MACARONS (pe care ii inlocuiti cu extra 4 choux si 4 minipavlove)
+
1 x platou de 30 macarons</t>
  </si>
  <si>
    <t>Nardin Luiza
076757671</t>
  </si>
  <si>
    <t>4 x macarons
5 x mini tarte fructe
10 xmini tarte ciocolata
9 x choux fistic</t>
  </si>
  <si>
    <t>Alex
0 754 301 039</t>
  </si>
  <si>
    <t>1 x tor raspberry vanilla decorat ca pe website (1 kg) cu mesajul 
"La Multi Ani, Ethan Nicholas!"
"6 luni"</t>
  </si>
  <si>
    <t>Tensdea Nicu
0721132483
(neaparat de comunicat cand poate fi ridicat tortul)</t>
  </si>
  <si>
    <t>1 x 1.6 kg TORT KRANTZ
4 x tarte mari fistic
4 x tarte mix fructe
4 x cozonac nuca
2 x cozonac fructe confiate</t>
  </si>
  <si>
    <t>de reglat luni</t>
  </si>
  <si>
    <t>Catalina Sabina Cremeneanu
0723598918</t>
  </si>
  <si>
    <t>Tort Bailey's
Greutate: 1.5 kg
Mesaj Personalizat: 
La multi ani, Catalina!
Happy 21st!</t>
  </si>
  <si>
    <t>Calea Rahovei Nr 295, Bl 72, Sc 2, Ap 56, Et 8</t>
  </si>
  <si>
    <t>20 x cozonac cacao si nuca
7 x cozonac fructe confiate si rahat
3 x cozonac mac</t>
  </si>
  <si>
    <t>1 x cozonac mac</t>
  </si>
  <si>
    <t>strada sergent latea gheorghe, nr 10, bl c53, sc 1, et 8</t>
  </si>
  <si>
    <t>Amelia Dumitrescu
0745250037</t>
  </si>
  <si>
    <t xml:space="preserve">1 x cozonac vegan cu turmeric
+
5 x Raw Vegan Pistachio Pillow (20 -25 g)
11 x Trufe Alune Padure (chiar daca sunt in cioco)
puneti ceva in plus dupa cum am vorbit la telefon
</t>
  </si>
  <si>
    <t>Ioana Bucurei
0729057479(Dan)</t>
  </si>
  <si>
    <t>Catalin Cavaleru
0724358661</t>
  </si>
  <si>
    <t>protocol pentru ca a fost fenomenal la controlul de la DSP</t>
  </si>
  <si>
    <t>2 x cozonaci cu nuca, rom si cacao
4 praji raw vegan de 100g :
le alege Ioana si le transmite lui Dan</t>
  </si>
  <si>
    <t>Bresug Denisa
0723773389</t>
  </si>
  <si>
    <t>1 x tort snickers 2 kg cu urmatoarele elemente decorate
REN, OM DE ZAPDA, BRADULET, MOS CRACIUN
---
Mesaj: Craciun Fericit, Dragii nostri Nasi!</t>
  </si>
  <si>
    <t>a fost achitat deja 100. Totalul este 300. 150 ron/kg</t>
  </si>
  <si>
    <t>Mare Fraga
0751606208</t>
  </si>
  <si>
    <t>Oprea Alina
0729207979</t>
  </si>
  <si>
    <t>1 x tiramisu raw vegan 1 kg
" La Multi Ani, Mamaie!" sa fie scris pe o foita de ciocolata
+
1 x cozonac cu nuca si cacao</t>
  </si>
  <si>
    <r>
      <t xml:space="preserve">1 x tort personalizat 1.6 kg
</t>
    </r>
    <r>
      <rPr>
        <sz val="11"/>
        <color rgb="FF000000"/>
        <rFont val="Calibri"/>
        <family val="2"/>
      </rPr>
      <t>MOUSSE CIOCOLATA ALBA
MOUSSE CIOCOLATA NEAGRA
JELEU FRUCTE DE PADURE (doar jeleu, fara fructe)
DE FACUT CU FRUCTOZA SAU GREEN SUGAR (e diabetic)
---
La Multi Ani, Marian!</t>
    </r>
  </si>
  <si>
    <t>a platit in cofetarie</t>
  </si>
  <si>
    <t>s-a facut factura la soiree SOIREEE</t>
  </si>
  <si>
    <t>a introdus tudor in cash flow</t>
  </si>
  <si>
    <t>doar 100 ron cash cu bon. s-a achitat deja 200.
S-a achitat la cofetarie</t>
  </si>
  <si>
    <t>s-a achitat la cofetarie</t>
  </si>
  <si>
    <t>s-a ridicat de la cofetarie</t>
  </si>
  <si>
    <t>Vlad LPV</t>
  </si>
  <si>
    <t xml:space="preserve">1.5 kg raspberry vanilla </t>
  </si>
  <si>
    <t>București, Calea Griviței nr 216, bl. I, SC. A, et. 10, ap. 40, interfon 40</t>
  </si>
  <si>
    <t>Andreea
0 722 974 984</t>
  </si>
  <si>
    <t>cash cu bon (15% discount inclus)</t>
  </si>
  <si>
    <t>Elvira
0765738918</t>
  </si>
  <si>
    <t>400 ron cash cu bon</t>
  </si>
  <si>
    <t>1 x tort oreo pentru tort decorat Elvira (3 kg)</t>
  </si>
  <si>
    <t>1 x tort decorat ca in poze décor (OREO || 4 kg total)
- In loc de "Eddy" sa scrie "NICOLAS"
- Sa nu fie bancnote pe tort</t>
  </si>
  <si>
    <t>6 x cozonac nuca si cacao
1 x tort keto fructe de padure</t>
  </si>
  <si>
    <t>6 x cozonac nuca si cacao
2 x pasca cu ciocolata</t>
  </si>
  <si>
    <t>Mitrache Dana
0743099977</t>
  </si>
  <si>
    <t>4 kg dreptunghiular tort oreo (decorat ca pe website)
"La Multi Ani, Ana si Andreea"
+
2 x platou miniprajituri 10 persoane</t>
  </si>
  <si>
    <t>achitat la cofetarie in data de 23.12.2019</t>
  </si>
  <si>
    <t>George
0 (768) 101 953
(ADRESA ESTE GRESITA. DE SUNAT INAINTE DE A MERGE PENTRU A AFLA ADRESA CORECTA)</t>
  </si>
  <si>
    <t>cash cu bon
(90 cozonacul si 70 pasca) - 15% inclus</t>
  </si>
  <si>
    <t>Bulevardul Dimitrie Cantemir Cantemir nr 19, bloc 5, sc b, ap 33
Salon Lady Ann</t>
  </si>
  <si>
    <t>Drumul fermei, 105-107 Popesti Leordeni.</t>
  </si>
  <si>
    <t>factura 1/2 pers fizica TVA inclus (-15%) - trimite DAN</t>
  </si>
  <si>
    <t>factura 2/2 pers fizica TVA inclus (1.5kg x 130) - Trimite Dan</t>
  </si>
  <si>
    <t>Strada Pinului nr 8 langa complex Avangarde 4</t>
  </si>
  <si>
    <t>3 x cozonaci nuca, cacao si rom (1kg) - NEAPARAT DIN TRANSA DE MAINE(insista clientul si avand in vedere ca tot ce face face cu noi ii voi livra eu comnada dupa ce avem prima transa de cozonaci de maine)</t>
  </si>
  <si>
    <t>4 x pasca clasica (din cele 5 ramase)
2 x cozonac mac
1 x cozonac nuca, cacao si rom
1 x cozonac fructe confiate
--
1 x cutie verde cu:
- 1 x tarta mure
- 1 x cheese cake
1 x tarta ciocolata
1 x tarta lamaie
--
1 x cutie verde cu:
- 1 x tarta mure
- 2 x tarte zmeura
1 x cheese cake
--
1 x cutie verde cu:
- 3 x tarta mure
- 1 x tarta zmeura</t>
  </si>
  <si>
    <t>de intocmit factura lbe</t>
  </si>
  <si>
    <t>Cornelia Buscu
0721280083</t>
  </si>
  <si>
    <t>Maria Parcalabescu
0745031394
(SA NU FIE MAI DEVREME DE 14:00!)</t>
  </si>
  <si>
    <t>Sole Events</t>
  </si>
  <si>
    <t>1 x tort krantz (1 kg)
1 x platou miniprajituri 5 persoane</t>
  </si>
  <si>
    <t>Stada Oboga, nr 5, bl 160, sc 2, ap 74, etaj 7, interfon 274C</t>
  </si>
  <si>
    <t>1 x tort decorat real cu 2 etaje ca in poze décor (6 kg greutate totala || duo-mousse visine)
----
24 x choux fistic
24 x carrot cake
24 x raspberry vanilla
5 x cake pops (albastru, alb verde)
10 x briose (albastru, alb, verde)</t>
  </si>
  <si>
    <t>2 torturi pentru tort decorat sole 27.12 (duo-mouuse visine 5 kg greutate totala)</t>
  </si>
  <si>
    <t>1 x tort decorat ca in poze décor 3 kg greutate totala (stie Mirela R. detalii)
---
Compozitie: Mousse cioco neagra și mousse vanilie ( cel de la framboisier) cu blat cioco și crocant între mouse-uri</t>
  </si>
  <si>
    <t>2.5 kg compozitie speciala pentru Mihaela Vizireanu
--
 Mousse cioco neagra și mousse vanilie ( cel de la framboisier) cu blat cioco și crocant între mouse-uri</t>
  </si>
  <si>
    <t>Factura Sole Events. 238 RON cu tva inclus. Ia tudor banii cash pe tort si ii baga in cash flow. (600)</t>
  </si>
  <si>
    <t>Str. Smaraldului nr 12, bloc 7, ap 6, Bragadiru</t>
  </si>
  <si>
    <t xml:space="preserve">4 x cheese cake
4 x savarina
4 x tarta ciocolata
4 x tarta zmeura
4 x tarta citron
</t>
  </si>
  <si>
    <t>Selari</t>
  </si>
  <si>
    <t>5 x cozonaci cu nuca, cacao si rom
+ 
5 buc pasca</t>
  </si>
  <si>
    <t>factura Getica 95</t>
  </si>
  <si>
    <t>laurentiu</t>
  </si>
  <si>
    <t xml:space="preserve">Strada Nerva Traian nr.3 (City Business Center) etaj 3
</t>
  </si>
  <si>
    <t xml:space="preserve">2 x tort chocolate fiesta (1.2 kg) - feliat dar lasat in forma intreaga
2 x  tort krantz (1.2 kg) - feliat dar lasat in forma intreaga
2 x Oreo (1.2 kg) - feliat dar lasat in forma intreaga
---
30 x buc choux fistic
20 x pahare tiramisu
20 x mini-carrot cake
</t>
  </si>
  <si>
    <t>Ghioca Cosmin
0724209054</t>
  </si>
  <si>
    <t>Tort Oreo
Greutate: 1.5 kg</t>
  </si>
  <si>
    <t>Colonel Iosif Albu, nr:88, Bl:B, Sc: 1, Ap:42, Et:5 sector 3</t>
  </si>
  <si>
    <t>1 x tort raw veg peanut butter &amp; chocolate 1 kg</t>
  </si>
  <si>
    <t>1 x tort 4 kg tort trio-mousse cu mesajul 
"-CODUL PENAL ARTICOLUL 113-
-Minorul care are varsta intre 14 si 16 ani raspunde PENAL!-
-La Multi Ani Ana si Andreea-"</t>
  </si>
  <si>
    <t>Batanas Florin
0765837157</t>
  </si>
  <si>
    <t>1 x tort trio mousse 1.6 kg cu mesajul "La Multi Ani, Flavia si Marian!"</t>
  </si>
  <si>
    <t xml:space="preserve">Mai are de achitat 28 RON. Cash cu bon!
--
achitat cofetarie 100 RON. </t>
  </si>
  <si>
    <t>CERTICFICAT DE CONFORMITATE
+
achitat cu card deja la cofetarie integral</t>
  </si>
  <si>
    <t>Gheorghe Titeica 184</t>
  </si>
  <si>
    <t>1 x cozonac nuca,cacao si rom</t>
  </si>
  <si>
    <t>Mara Albu
0727153358
(de sunat neaparat cu 1 ora inainte ca sa fie acasa)</t>
  </si>
  <si>
    <t>cash cu bon 20% discount inclus</t>
  </si>
  <si>
    <t>Degustare Sole
0 722 998 422</t>
  </si>
  <si>
    <t>1 x felie tort honney
1 x felie duo-mousse visine
1 x felie tort chocolate delight</t>
  </si>
  <si>
    <t>Str Moinesti, nr 16, bl 206, Sc A et 5 ap 34, sect 7.
Interfon 74</t>
  </si>
  <si>
    <t>Vernescu Niculae
0769 948 958</t>
  </si>
  <si>
    <t xml:space="preserve">1 x tort trio mousse (1 kg) cu mesajul "La Multi Ani, 2020!"
--
1 x tort duo-mousse visine (1 kg) cu mesajul  "La Multi Ani, 2020!"
</t>
  </si>
  <si>
    <t>Marinel Luminita
0770438787</t>
  </si>
  <si>
    <t>1 x tort pavlova 2 kg 
Comentariu: Tort bezea, mousse ciocolata, zmeura, frisca. FARA CREMA VANILIE</t>
  </si>
  <si>
    <t>1 x tort duo mousse visine 2 kg</t>
  </si>
  <si>
    <t>Badea Nicoleta
0724503368</t>
  </si>
  <si>
    <t>1 x tort pavlova 1.6 kg</t>
  </si>
  <si>
    <t>achitat deja pe 28.12.019</t>
  </si>
  <si>
    <t>Mariana Ivascu
0763601375</t>
  </si>
  <si>
    <t>1 x tort trio mousse 1 kg
+
1 x tort snickers 1 kg</t>
  </si>
  <si>
    <t>A achitat 130 RON pe 28.12. ARE RESTANT DE PLATA 30 RON cash cu bon</t>
  </si>
  <si>
    <t>Stoica Ionut</t>
  </si>
  <si>
    <t>1 x tort fistic si zmeura (1.6 kg)</t>
  </si>
  <si>
    <t>Strada Plesul 32, sector 6</t>
  </si>
  <si>
    <t>a fost achitata la dan</t>
  </si>
  <si>
    <t>Marian Dima
0768689292</t>
  </si>
  <si>
    <t>Strada Sapte Drumuri,4c, bliss Hotel
---
De lasat prajiturile in frigider si de predat vesela</t>
  </si>
  <si>
    <t>cash cu bon. A achitat deja 80 RON din totalul de 160.</t>
  </si>
  <si>
    <t>achitat deja pe 100 din 128 pe 28.12.019</t>
  </si>
  <si>
    <t>aici daca putem pune nuca mai faramitata….
---------------
1 x cozonac,nuca cacao si rom
1 x RAHAT, NUCA, CACAO si ROM</t>
  </si>
  <si>
    <t>Eugenia Isvan
0 721 109 526
(de sunat si intrebat daca se poate mai devreme)</t>
  </si>
  <si>
    <t>Factura Lido</t>
  </si>
  <si>
    <t>Bogdan Mihalte
0728875686</t>
  </si>
  <si>
    <t>Tort Opera
Greutate: 1.5 kg</t>
  </si>
  <si>
    <t>str stefan mihaileanu 40B, interfon 11, sector 2 Bucuresti</t>
  </si>
  <si>
    <t>135 ron cash cu bon</t>
  </si>
  <si>
    <t>Mihaela(Emilia)</t>
  </si>
  <si>
    <t>8 x tarte mure
8 x tarte zemura
8 x tarte fistic
810 eclere mari cioco
4 x amandine 
4 x savarine</t>
  </si>
  <si>
    <t>incasat Dan</t>
  </si>
  <si>
    <t>1 x tort citron 1 kg
1 x tort pomme de chocolate 1 kg
1 x cozonac cu mac</t>
  </si>
  <si>
    <t xml:space="preserve">strada corod, nr. 16, sector 5, bucuresti
</t>
  </si>
  <si>
    <t>Dateu Catalina
0761337076</t>
  </si>
  <si>
    <t>1 x tort trio mousse 1.6 kg</t>
  </si>
  <si>
    <t>a fost achitat deja in intregime</t>
  </si>
  <si>
    <t>Client Laura
0752686610
(de sunat neaparat inainte de a pleca spre el)</t>
  </si>
  <si>
    <t>1 x tort framboisier 1.6 kg cu mesajul "La Multi Ani Perfecti, Ana-Maria!"</t>
  </si>
  <si>
    <t>Strada Sandu Aldea 38, Bucuresti</t>
  </si>
  <si>
    <t>ia laura banii direct</t>
  </si>
  <si>
    <t>1 x 1.6 kg tort capsuni (stie Andreea)</t>
  </si>
  <si>
    <t>se scade din factura lib laura</t>
  </si>
  <si>
    <t>Ridicare Documente Cofetarie
--
0720442240
Sunati aici ca sa iasa omul</t>
  </si>
  <si>
    <t>11 x plicuri salarii
_
Dosar  acte simona</t>
  </si>
  <si>
    <t>Viesparilor 26 Bucurest</t>
  </si>
  <si>
    <t>ridicare documente</t>
  </si>
  <si>
    <t>Dus dosar acte simona. (Plicurile se pastreaza si se lasa Andreei la cofetarie)</t>
  </si>
  <si>
    <t>depunere documente</t>
  </si>
  <si>
    <t>Tuor</t>
  </si>
  <si>
    <t xml:space="preserve">
95 x portii de 125g FRAMBOISIER
Macheta din poze décor cu etajul 2 real din Framboisier si urmatoarele detalii:
-nume Radu Stefan scris ca in poze pe 2 etaje
-se pastreaza exact toate culorile machetei din poza 
-se pun baloane albastre, argintii si albe ca in poza
-pe fiecare etaj sa apara un ursulet gri(4 in total: 1 pe suport, 1 pe lateral etajul doi, 1 tine etajul 3 si ultimul e pe etajul 3)
--------------------------------------
Candy bar de 70 persone:
(tema ursuleti si revelion 2020: praf auriu si stelute pe unde sepoate + globuri, baloane aurii, albastru prafuit, argintiu si alb)
55 x macarons DOAR CU FRUCTE (doar culorile auriu si albastru prafuit, de pictat baloane, 2020, stelute, ursuleti)
30 x tarte fructe
20 x tarte ciocolata (de presarat auriu pe ele)
20 x tarte lamaie (de presarat auriu pe ele)
25 x choux ciocolata
25 x choux vanilie
30 x minipavlova
20 x mousse vanilie si zmeura la pahar - de pus ceva steluta sau ursulet 
20 x tiramisu la pahar - de pus ceva steluta sau ursulet 
15 x briose ciocolata - cu personalizare ursulet
15 x briose vanilie cu mascarpone - cu personalizare ursulet
20 x cakepops - in forma de ursulet
20 x biscuiti sau turta dulce cu ursuleti
15 x carrot cake bites - decorat ceva festiv revelion
15 x cheese cake bites- decorat ceva festiv revelion
</t>
  </si>
  <si>
    <t xml:space="preserve">
1,5 kg total || compozitie "Tort Clasic (stie Andreea, cel cu cioco si zmeura)", din care 1 kg compozite (clientul stie ca iese mic):
Avem o funda ce o punem central pe fata tortului si in mijlocul fundei sa fie o brosa cu cristale argintii si mov (sa se asorteze cu rochita si pantofiorii) si la baza tortului(pe suport) si pe partea superioara sa aibe “bobite” argintii. Deasupra sa avem intr-un OVAL, cifra 5 si pe margine cristale argintii sau mov(vedeti cum arata mai bine).Iar dimensiunea decorului a fost perfecta de la ultimul(4-5 cm ca "4" din tortul traditional)
+
de refacut cifra 3(doar cifra 3, fara floare) cum a fost facuta prima oara de catre RETA, (poza decor)
</t>
  </si>
  <si>
    <t>Tort Pomme Chocolat
Greutate: 1.5 kg
Mesaj Personalizat: La multi ani, mamaie!!
---
Tort Raspberry Vanilla
Greutate: 1.5 kg
Mesaj Personalizat: La multi ani, 2020!!</t>
  </si>
  <si>
    <t>factura tva inclus pentru:
S.C.M. &amp; A Ideal Accomdoation SRL (CUI 41267936)
---
150 Ron amenajare
666 RON candy-bar 35 pers
780 RON 6.5 kg tort</t>
  </si>
  <si>
    <t>Phoenicia Grand Hotel, Bulevardul Alexandru Șerbănescu nr. 87, București, Amenajare de la 18:00 la 19:00</t>
  </si>
  <si>
    <t>banii se vor incasa dupa eveniment de catre Dan sau Laura. NU se scoate bon sau factura. Se va merge NEAPARAT CU CERTIFICAT DE CONFORMITATE</t>
  </si>
  <si>
    <t>Popa Luminita
0727414235</t>
  </si>
  <si>
    <t>a fost achitat deja cu cardul</t>
  </si>
  <si>
    <t>Tudor Adriana
0723060197</t>
  </si>
  <si>
    <t>1 x tort honney 2 kg</t>
  </si>
  <si>
    <t>1 x tort oreo 1.6 kg decorat ca pe website</t>
  </si>
  <si>
    <t>1 x tort duo-mousse visine 2 kg</t>
  </si>
  <si>
    <t>Falca Mihaela
0731436992</t>
  </si>
  <si>
    <t>Curelea Victorita
0768493146</t>
  </si>
  <si>
    <t>1 x tort duo-mousse visine 4 kg</t>
  </si>
  <si>
    <t>A platit 220 RON. Mai are de achitat doar 100 RON cash cu bon</t>
  </si>
  <si>
    <t>Cotiga Sara
0765127431</t>
  </si>
  <si>
    <t>1 x tort honney 1 kg</t>
  </si>
  <si>
    <t>a fost achitata pe 30.12.2019</t>
  </si>
  <si>
    <t>Manea Andrei
0726423411</t>
  </si>
  <si>
    <t>1 x tort framboisier 1.6 kg</t>
  </si>
  <si>
    <t>valentina
0749571756</t>
  </si>
  <si>
    <t>1 x tort fistic si zmeura (1.6 kg)
1 x cozonac nuca, cacao si rom</t>
  </si>
  <si>
    <t>1 x tort keto ciocolata si cocos (1 kg)
1 x cozonac raw vegan nuca si turmeric
2 x tarta mare zmeura
2 x tarta mare capsuni
2 x tarta mare mure</t>
  </si>
  <si>
    <t>cash cu bon cu discount 30% inclus</t>
  </si>
  <si>
    <t xml:space="preserve">
1 x 1.6 kg tort capsuni (stie Andreea)
4 x tarta mare fistic
10 x choux fistic
10 x tarta mica ciocolata
4 x tarta mare zmeura
2 x cheese cake
2 x indiene
</t>
  </si>
  <si>
    <t>Corina
0751751215</t>
  </si>
  <si>
    <t>1 x tort duo mousse visine 1.6 kg</t>
  </si>
  <si>
    <r>
      <t xml:space="preserve">
1 x tort decorat dreptunghiular KRANTZ (6.5 kg in total) ca in poze décor - 1 singur etaj cu 2020 scris ca in poza
+
1 x tort ciocolata portocale
+
5 x artificii tort in cutie candy-bar
--
+
</t>
    </r>
    <r>
      <rPr>
        <b/>
        <u/>
        <sz val="11"/>
        <color rgb="FF000000"/>
        <rFont val="Calibri"/>
        <family val="2"/>
      </rPr>
      <t xml:space="preserve">Vesela Candy-Bar 35 Persoane
</t>
    </r>
    <r>
      <rPr>
        <b/>
        <sz val="11"/>
        <color rgb="FF000000"/>
        <rFont val="Calibri"/>
        <family val="2"/>
      </rPr>
      <t xml:space="preserve">+
21 x choux fistic
21  x macarons culori (negru/alb/auriu)
21 x tarta ciocolata &amp; caramel
21 x tarte lamaie
21 x  pavlova
21 x tarte fructe
15 x cake pops (negru/alb/auriu)
15 x mini eclere ciocolata
10 x briose decorate tematic (negru/alb/auriu cu 2020)
500 gr bezele colorate tematic 
</t>
    </r>
  </si>
  <si>
    <t>Ruxandra Sandu
0728122996</t>
  </si>
  <si>
    <t>Adelina Stoian
0745889812</t>
  </si>
  <si>
    <t>Ana Maria (Lara)</t>
  </si>
  <si>
    <t>1 x fistic, portocale si jeleu zmeura (1.6 kg)</t>
  </si>
  <si>
    <t>cash cu bon. Achita Laura Separat</t>
  </si>
  <si>
    <t>Strada Brailita 5, Scara 2
--
Neaparat de sunat cand aungem ca sa deschide</t>
  </si>
  <si>
    <t>2,5 Kg tort fistic cu zmeura (astept raspuns daca pe rotund inalt sau dreptunghiular)|| "La multi ani, Irina!"</t>
  </si>
  <si>
    <t>ridicare cofetarie</t>
  </si>
  <si>
    <t>fara brrrr, discount 30%</t>
  </si>
  <si>
    <t>Degustare</t>
  </si>
  <si>
    <t>Andrada Calinescu
0 726 752 423
(Candy-Bar)</t>
  </si>
  <si>
    <t>Recuperare Candy-Bar</t>
  </si>
  <si>
    <t>Recuperare Vesela Amberry Hall</t>
  </si>
  <si>
    <t>Factura amberry Hall cu tva inclus</t>
  </si>
  <si>
    <t>certificat de conformitate
--
Incaseaza Tudor Separat Cash-ul</t>
  </si>
  <si>
    <t xml:space="preserve">
1 x tort decorat ca in poza décor (2 etaje - honney - 6 kg).
Comentariu1: Tortul are doar 2 etaje. Nu vor etajul  din mijloc. 
-
Comentariu 2: Partea de jos o vor sa fie colorata cu auriu ca in poza "CULOARE AURIU" (decorul sa ramana la fel)
-
Comentariu 3: Vor sa ramana aiba si bratarile de pe tort
-
Comentariu 4: NU VOR CORONITA. In loc de Coronita vor sa le facem din pasta de zahar o funda mare de cadou. Culoarea sa fie Auriu ca la etajul de jos
-
Comentariu 5: Vor un cake topper precum cel de pe acest link
https://tomvalk.ro/products/topper-tort-happy-18-rk
TREBUIE COMANDAT!
-
Comentariu 6: Vor o placuta cu mesajul "La Multi Ani, Oana"
</t>
  </si>
  <si>
    <t>Website</t>
  </si>
  <si>
    <t>Popesti Vest nr 24 et 2 ap 32, interfon 32, Ilfov.</t>
  </si>
  <si>
    <t>1 x tort decorat ca in poze décor (3 kg greutate totala || berry chocolate)
Mesajul este :"La multi ani, TeoTero!"</t>
  </si>
  <si>
    <t>Radu Avram
0721433503</t>
  </si>
  <si>
    <t>Facebook</t>
  </si>
  <si>
    <t xml:space="preserve">Tudor </t>
  </si>
  <si>
    <t>Tort 2 kg berry chocolate pentru tort decorat Andrada Calinescu (11.01)</t>
  </si>
  <si>
    <t xml:space="preserve">tort 1.6 kg honney pentru Tudor Adriana </t>
  </si>
  <si>
    <t>cash cu bon in cofetarie</t>
  </si>
  <si>
    <t>1 x tort decorat ca in poze décor (3 kg greutate totala || berry chocolate)
Mesajul este :"La mulți ani Rebecca Florentina!"
--
IN LOC DE CIFRA 1 sa punem CIFRA 2</t>
  </si>
  <si>
    <t>Adriana Lara
0 760 292 889</t>
  </si>
  <si>
    <t>1 x tort berry chocolate 2.5 kg pentru comanda Adriana lara 08.01</t>
  </si>
  <si>
    <t>Lara</t>
  </si>
  <si>
    <t>2,5 Kg tort fistic cu zmeura (dreptunghiular)|| "La multi ani, Irina!"</t>
  </si>
  <si>
    <t>2 etaje honney pentru tort decorat sole 10.01.2019 ( 6 kg in total)</t>
  </si>
  <si>
    <t>1 x tort decorat 2.5 kg berry chocolate pentru comanda (Radu Avram - 09.01)</t>
  </si>
  <si>
    <t>Recuperare Vesela Bliss Hotel de la eveniment 31.12
(de sunat si intrebat unde au pastrat-o)</t>
  </si>
  <si>
    <t>Recuperare Candy-Bar
(Marian Dima
0768689292)</t>
  </si>
  <si>
    <t>factura + certificat conformitate
---
Atentie ca factura include si torturile de data trecuta care nu au fost facturate</t>
  </si>
  <si>
    <t>1 x tort honney 1.6 kg
1 x tort krantz 1.6 kg
--
Cum au fost trimse inainte de revelion</t>
  </si>
  <si>
    <t>Altele</t>
  </si>
  <si>
    <t>Dus Documente + Bani Cofetarie in parcul carol</t>
  </si>
  <si>
    <t>Dus Documente</t>
  </si>
  <si>
    <t>COD</t>
  </si>
  <si>
    <t>Decemrbie</t>
  </si>
  <si>
    <t>1 x tort dreptunghiular krantz (3 kg) acoperit cu pasta de zahar ca in poza décor. Sa fie pus logo-ul Kearney pe Tort. 
--
ATENTIE: Logo-ul sa fie printat pe pasta de zahar iar apoi sa fie decupata dreptunghiular in jurul logo-ului si lipit pe o placa mai groasa ala din pasta de zahar ca sa iasa un pic in relief</t>
  </si>
  <si>
    <t>Ioana Stoica
0 75 20 05 227</t>
  </si>
  <si>
    <t>Bd. General Gheorghe Magheru 1-3, cladirea Magheru One, etaj 5, usa din dreapta - scrie A.T. Kearney pe usa</t>
  </si>
  <si>
    <t>Tort Noisette
Greutate: 1 kg</t>
  </si>
  <si>
    <t>Colonel Iosif Albu, nr 88, Bl:B, Sc:1, Ap:42, Et:5, sector 3</t>
  </si>
  <si>
    <t>2 x platou miniprajituri 10 persoane
+
felii din cele 2 torturi ramase de pe 31</t>
  </si>
  <si>
    <t>Birou LPV</t>
  </si>
  <si>
    <t>Palatul Bragadiru
(De specificat ca tortul este din partea Laurei)</t>
  </si>
  <si>
    <t xml:space="preserve">
1 x tort chocolate delight 2 kg
Mesaj: "La Multi Ani, Tati!"
--
1 x felie TORT FRAMBOISIER
1 x felie TORT CITRON
1 x felie TORT RICOTTA SI FRUCTE CONFIATE
1 x felie Trio mousse
1 x felie Mousse de ciocolata cu crema de vanilie si zmeura
+ 
alte felii daca mai sunt la indemana
---
Neaparat de sunat inainte!!!
</t>
  </si>
  <si>
    <t>Ruxandra Stefan 
0 758 017 279</t>
  </si>
  <si>
    <t>1 x 1 kg cheesecake si 1 x approx 1.5 kg duo mousse fructe cu decor unicorn cu bezele, cat mai mic, il cantarim cand e gata (stie ca va iesi mic) cu mesajul "La multi ani, Irina!"</t>
  </si>
  <si>
    <t>Drumul Taberei (stie Andreea Adresa)</t>
  </si>
  <si>
    <t>Anca Marinescu
0 751 111 039</t>
  </si>
  <si>
    <t>strada Fetesti nr 5</t>
  </si>
  <si>
    <t>achita la Dan direct cash</t>
  </si>
  <si>
    <t>Flavia
0763014040</t>
  </si>
  <si>
    <t>1 x framboisier 1.6 kg cu print poza ca in departament décor cu mesajul "La Multi Ani Ion si Ionela!"</t>
  </si>
  <si>
    <t>Burghelea Lucian
0744340530</t>
  </si>
  <si>
    <t>1 x tort chocolate fiesta 1.6 kg ca pe website cu mesajul "La Multi Ani, Filip"</t>
  </si>
  <si>
    <t>Alexandra
0 723 734 684</t>
  </si>
  <si>
    <t>1 x tort honney 1.6 kg cu figurina pisica ca in poze décor + figurina spiderman (fara martipan) cu mesajul "la Multi Ani Ale"</t>
  </si>
  <si>
    <t>Ambassador, Pitar Mos nr 9 (parcare hotel Ambasador) - restaurant etaj 12
--
Candy-Bar'ul se amenajeaza intre 12:45 si 13:45</t>
  </si>
  <si>
    <t>Voicu Sabina
0761560175</t>
  </si>
  <si>
    <t>1 x tort oreo ca pe website 3 kg cu mesajul "La Multi Ani, Sabina!"</t>
  </si>
  <si>
    <t>cash cu bon. A PLATIT DEJA 100</t>
  </si>
  <si>
    <t>1 x tort fornite ca in poze décor (Mousse cioco neagra și mousse vanilie ( cel de la framboisier) cu blat cioco și crocant între mouse-uri || 4 kg)
--
Mesajul este "Patrick, 5 ani"</t>
  </si>
  <si>
    <t>Clubul Copiilor, Soseaua Pantelimon 300</t>
  </si>
  <si>
    <t>1 x tort  3 kg (Mousse cioco neagra și mousse vanilie ( cel de la framboisier) pentru comanda (Client Mirela 11.01)</t>
  </si>
  <si>
    <t>1 x turta miresei ca in poza décor facuta din coca de cozonac (mac cu rahat) cu trei figurine din pasta de zahar peste : ruj/margele si foarfeca (dupa modelul celor din poze décor)
-
Mesajul de pe turta sa fie "EVA -ANTONIA"</t>
  </si>
  <si>
    <t>Aleea Slătioara, Nr 1, Bl 12, Sc 2, Ap 21 ,Sct.4 București</t>
  </si>
  <si>
    <t>fidel</t>
  </si>
  <si>
    <t>OP cu factura</t>
  </si>
  <si>
    <t>Strada Vladeasa 1, blc. C67, Sc A, Et2, Ap 10</t>
  </si>
  <si>
    <t>Cristana Bratan
0730594010</t>
  </si>
  <si>
    <t>Silvia
0 762 107 783</t>
  </si>
  <si>
    <t xml:space="preserve">
Amenajare Candy-Bar 100 pers:
23 x cake pops
40 x mini ecler (50%-50%)
50 x tarte fructe
15 x choux fistic
15 x choux cafea
15 x choux ciocolata
15 x choux vanilie
50 x tarta ciocolata
50 x tarta lamaie
50 x mini pavlova
50 x macarons mix
50 x mouse vanilie &amp; zmeura la pahar
50 x tiramisu la pahar
</t>
  </si>
  <si>
    <t>1 x tort Honey dreptunghiular de 3 KG ||ornat cu discuri ca pe site || "La Multi Ani, Matei!" si undeva cifra 11
+
Certificat conformitate</t>
  </si>
  <si>
    <t>fara brrr, reducere 10%, incasare direct Dan
+
CERTIFICAT CONFORMITATE</t>
  </si>
  <si>
    <t>fara brrrr, discount 30%(plateste direct lui Dan)</t>
  </si>
  <si>
    <t>Ana Maria Vasile
0723424227</t>
  </si>
  <si>
    <t>clubul Tapo (strada Oltetului nr 30-zona Pescariu</t>
  </si>
  <si>
    <t>4 kg  (imi dati cu o zi inainte greutatea exacta) total tort ca in poza din décor || compozitia tort clasic zmeura cu cioco:
- etajul 2 sa fie de un argintiu gri lucios pe cat se poate
- se pastreaza margelelele argintii din fata pe etajul 2
-sus pe etajul 2 se va face o floare alba care sa aiba in picioare cifrele "35" ciferele sa fie de 4-5 cm. Cifrele sa fie tot ALBE</t>
  </si>
  <si>
    <t>1  x tort chocolate fiesta ca pe website</t>
  </si>
  <si>
    <t xml:space="preserve">Calea Vitan 8
--
Restaurant Tress 2
</t>
  </si>
  <si>
    <t>???
0743184713
---
Neaparat de sunat cu ceva timp inainte ca sa plece de la birou sa se vada cu curierul</t>
  </si>
  <si>
    <t>Karina Ionescu
0 724 688 055</t>
  </si>
  <si>
    <t>1 x 1 kg raspberry vanilla (fara mesaj)
--
1 x 1 kg Oreo  cu mesajul "La multi ani, Ioana-Karina!"</t>
  </si>
  <si>
    <t>Banu Dumitrache nr 46 sector 2 (sediul IGSU)</t>
  </si>
  <si>
    <t>cash cu bon 200 ron</t>
  </si>
  <si>
    <t>Str George Constantinescu, nr 3, sediul Nestle, etaj 7, sector 2</t>
  </si>
  <si>
    <t>35 x choux fistic
15 x choux vanilie</t>
  </si>
  <si>
    <t>Mercure Bucharest City Center
--
George Enescu Street, București 010302</t>
  </si>
  <si>
    <t xml:space="preserve">
Ioana Plopeanu
0730 192 802
--
Curierul trebuie sa o sune si sa ii zica ca I s-a modificat ora de la 14:00 la 12:30
</t>
  </si>
  <si>
    <t xml:space="preserve">
Cosmin Ghioca
0724209054
--
Curierul trebuie sa o sune si sa ii zica ca I s-a modificat ora de la 17:00 la 16:00
</t>
  </si>
  <si>
    <t>Rocsana Mihaloni
0724396416</t>
  </si>
  <si>
    <t>BNI</t>
  </si>
  <si>
    <t>factura pe :
ERA Concept SRL
CUI: 37228670
J23/1076/2017
Comuna Snagov, jud. Ilfov</t>
  </si>
  <si>
    <t>Amberry Hall,
Șoseaua București Nord nr 15-23
----
Amenajarea se face de la 11:00 la 12:00 Evenimentul incepe la 12:00</t>
  </si>
  <si>
    <t xml:space="preserve">
ATENTIE TORTUL DECORAT SE ASEAZA IN CANDY-BAr
-------------
1 x tort decorat berry chocolate ca in Poze Decor. (2.5 kg - 1 etaj - berry chocolate)
Comentariu 1: 
Designul tortului sa fie fara pasta de zahar si sa arate ca in "Model Tort.png"
Comentariu 2: 
Globuletele de pe el sa fie din ciocolata si sa fie colorate in mov, roz, turqoise, alb mat, auriu si argintiu sidefat ca in "POZA CULORI BILE.jpg"
Comentariu 3: 
Pe marginea tortului sa existe fulgi de nea din pasta de zahar asemanatori celor de pe tort.
Comentariu 4:
Mesajul de pe tort este "Iana"(iana) in stil baroc ca in poza "FONT.jpg" de culoare auriu si crem cu fulgi de nea mici colorati pe litere.
+
34 felii x berry chocolate 34 (150 gr). Sa fie feliile exact ca in poza de pe website. (Trebuie decorat mai intai tortul cred?)
</t>
  </si>
  <si>
    <t>---------------------</t>
  </si>
  <si>
    <t>1,8 kg tort clasic (cel cu Cioco si zmeura )</t>
  </si>
  <si>
    <t>corina moisa</t>
  </si>
  <si>
    <t>1,8 kg tort CITRON || "La multi ani, Roby!"</t>
  </si>
  <si>
    <t>Degustare:
1. Snickers
2. Berry chocolate
3. Raspberry Vanilla
4. Carrot cake</t>
  </si>
  <si>
    <t>Aleea G.C.Stanciu nr 1 bl. V91 sc. 3 ap. 77</t>
  </si>
  <si>
    <t>Carpou George
0722278466</t>
  </si>
  <si>
    <t>1 x tort raspberry vanilla 2 kg cu mesajul "La Multi Ani, Aris"!</t>
  </si>
  <si>
    <t>a achitat avans deja de 100 lei u cardul</t>
  </si>
  <si>
    <t>1 x tort minecraft 2 compozitie oreo (6 kg)
cu mesajul l "La Multi Ani, Aris"!
+
De impachetat intr-o cutie mai solide</t>
  </si>
  <si>
    <t>a achitat avans deja de 400 lei u cardul</t>
  </si>
  <si>
    <t>tort oreo 5 kg pentru comanda carpou george 17.01</t>
  </si>
  <si>
    <t>Cristea Mihaela
0 740 254 425
---
de sunat si anuntat ora</t>
  </si>
  <si>
    <t>1 x carrot cake
1 x felie oreo
1 x felie krantz
1 x felie black jack
1 x felie ciocolata si rom</t>
  </si>
  <si>
    <t>Bulevardul Constantin Brancoveanu 124, Bl 18, Sc1, Ap M1, Interfon 22</t>
  </si>
  <si>
    <t>Degustare Sole (26 jan
0745222070
---
de sunat la 10:00 si cumonunicat ore</t>
  </si>
  <si>
    <t>Carmen Scurtu
0 746 121 457</t>
  </si>
  <si>
    <t>Locație: Gradina cu licurici (strada Gospodari 16, Roșu, Ilfov)
----
Evenimentul incepe la 16:00. Amenajam candy-bar'ul intre 14:45 si 15:45</t>
  </si>
  <si>
    <t>3 etaje krantz (8 kg) pentru comanda Carmen Scurtu 08.02.2020</t>
  </si>
  <si>
    <t>Andrei Dunuta
0 762 630 952</t>
  </si>
  <si>
    <t>Restaurant Gradina Roka, Strada Maşina de Pâine 49-51, București</t>
  </si>
  <si>
    <t>factura STA Sales</t>
  </si>
  <si>
    <t>preia tudor direct banii
+
certificat conformitate se plateste direct in banca</t>
  </si>
  <si>
    <t>1 x tort rotund KRANTZ acoperit cu poza din poze décor cu mesajul
"La Multi Ani
3 Ani "
----
1.1 kg</t>
  </si>
  <si>
    <t>incasare cash Dan</t>
  </si>
  <si>
    <t>inacasare Dan</t>
  </si>
  <si>
    <t>incurcatura cu "din partea Laurei?</t>
  </si>
  <si>
    <t>2 etaje krantz (8 kg) pentru tortul decorat sole 18.01.2020</t>
  </si>
  <si>
    <t>Simona Alexandra Neacsu
0767 452 223</t>
  </si>
  <si>
    <t>factura cu op</t>
  </si>
  <si>
    <t>Calea Dorobantilor 135-145, Bl 10, Sc C, Et 2, Ap 147, Sector 1, Bucuresti</t>
  </si>
  <si>
    <t>Tania Deaconu
0 721 811 136</t>
  </si>
  <si>
    <t>Amenajare candy-bar 50 persoane:
SA ADUCEM FATA DE MASA ROZ
TEMATICA: flutri + alb/roz pal/turqoise
25 x choux fistic 
25  x macarons culori tematice (alb/roz pal/turqoaise)
45 x mini pavlova
25 x mini tarta lamaie si bezea flambata
25 x cake pops tematic (roz/turqoaise cu fluture artizanal)
15 x pahar mousse zmeura si vanilie (roz)
15 x pahar tiramisu
45 x eclere artizanale (alb/roz pal/turqoise) 
30 x turta tematica decorata artizanal "fluture"
250 gr bezele colorate tematic (alb/ roz pal/turqoaise)
---
SA DECORAM CAT PUTEM CANDY-BAR'ul cu FLUTURI DIN PASTA ZAHAR</t>
  </si>
  <si>
    <t>Rebecca Ballroom, Strada Vatra Luminoasă 108, București 021919
-
Se amenajeaza intre 16:45 si 17:45</t>
  </si>
  <si>
    <t>se plateste prin factura</t>
  </si>
  <si>
    <t>Fidel</t>
  </si>
  <si>
    <t>Metropolitan Events,Șoseaua Pipera Nr. 48, București 030309
---
Candy-Bar'ul se amenajeaza de la 17:45 la 18:45. Evenimentul incepe la 19:00
---
Salonul Manhatan</t>
  </si>
  <si>
    <t>Iulia Georgescu
0721520060</t>
  </si>
  <si>
    <t>Laserta Arena Bucuresti, in incinta Sema Parc, adresa: Splaiul Independentei nr. 319, sector 6</t>
  </si>
  <si>
    <t>plata cu cardul
+
certificat de conformitate</t>
  </si>
  <si>
    <t xml:space="preserve">Mocanu Adrian
</t>
  </si>
  <si>
    <t>1 x 1.6 duo mousse visine</t>
  </si>
  <si>
    <t>a fost achitat in avans 50 RON</t>
  </si>
  <si>
    <t>Stoica Otilia</t>
  </si>
  <si>
    <t>4 x amandine
2 x tarte lamaie
1 x tarta mure
1 x tarta fructe
1 x choux vanilie
1 x tarta ciocolata
1 x cheese cake</t>
  </si>
  <si>
    <t>Strada Doctor Grigore Mora</t>
  </si>
  <si>
    <t>a achitat avans la cofetarie</t>
  </si>
  <si>
    <t>Suplimentare Sole</t>
  </si>
  <si>
    <t>primeste tudor banii cash</t>
  </si>
  <si>
    <t>Cosmin Diaconu
0741676375</t>
  </si>
  <si>
    <t xml:space="preserve">1 x tort robot bumblebee (1 etaj - 5 kg - oreo)
</t>
  </si>
  <si>
    <t xml:space="preserve">Lasertag arena - București, Splaiul Independenței nr. 319, Sector 6 (în incinta Sema Parc)
</t>
  </si>
  <si>
    <t>a platit online! 
+
CERTIFICAT CONFORMITATE</t>
  </si>
  <si>
    <t>1 x tort decorat 5 kg oreo pt comanda lasertag 19 Jan cosmin diaconu</t>
  </si>
  <si>
    <t>Calea Mosilor 243, BL 47bis, Ap 10, et 3, Sector 2, interfon 10.
--
Intrarea dinspre strada de langa statia de autobuz fainari</t>
  </si>
  <si>
    <t>SE PLATESTE CU CARDUL
--
POS</t>
  </si>
  <si>
    <t>cash direct de la sole. Are 20% discount</t>
  </si>
  <si>
    <t>1 x tort decorat IDENTIC ca in poze décor (8 kg - 2 etaje + butaforie- krantz) cu mesajul "Tudor Mihai"</t>
  </si>
  <si>
    <t>2 etaje krantz 6 kg greutate naked 26 ianuarie sole</t>
  </si>
  <si>
    <t>1 x oreo 1.6 kg pt comanda simona ionescu 19-jan decorat cu roz</t>
  </si>
  <si>
    <t>1 x set degustare mousse-uri</t>
  </si>
  <si>
    <t>degustare Botez</t>
  </si>
  <si>
    <t>Client Laura
+40 763 981 205</t>
  </si>
  <si>
    <t>1 x tort 2.5 kg trio mousse + poza din print décor
DE ADAGAUGAT POZA</t>
  </si>
  <si>
    <t>Roberta Ariton
0767165561</t>
  </si>
  <si>
    <t>degustare candy-bar
2 x choux fistic
2 x mini-tarta lamaie
2 x mini-tarta fructe
2 x ecler (cioco + vanilie)
2 x mini-pavlova</t>
  </si>
  <si>
    <t>Tudor Lara</t>
  </si>
  <si>
    <t>1 x placinta cu mere (1.8 kg)</t>
  </si>
  <si>
    <t>Cofetaria</t>
  </si>
  <si>
    <t>Lupascu ALina
0 785 433 664</t>
  </si>
  <si>
    <t>Marta Gavrila
0723567597</t>
  </si>
  <si>
    <t>Gargantua Anniversaire, Strada Icoanei 2, București 020456</t>
  </si>
  <si>
    <t>factura gargantua anniversaire</t>
  </si>
  <si>
    <t>Gargantua</t>
  </si>
  <si>
    <t>1 x cozonac raw vegan cu nuca</t>
  </si>
  <si>
    <t>cash cu bon. Discount 30% inclus</t>
  </si>
  <si>
    <t xml:space="preserve">Sandra Olanescu
</t>
  </si>
  <si>
    <t xml:space="preserve"> 4 tarte lamaie
4 cioco
4 mure
4 amandine
4 savarine
4 chesecake
4 choux mare
4 felii tarta mere</t>
  </si>
  <si>
    <t>1 x 2 etaje tort decorat (4 kg in total- berry chocolate) pentru Marta Gavrila 18.01 (gargantua)</t>
  </si>
  <si>
    <t>Manuela
0 723 581 099</t>
  </si>
  <si>
    <t>1 x 1.6 kg tort fistic si mango
"La Multi Ani, 80 ani"</t>
  </si>
  <si>
    <t>Degustare la Cofetarie</t>
  </si>
  <si>
    <r>
      <t xml:space="preserve">
Rugaminte ca Lara Sweets sa aduca o fata de masa Roz Pal pe care sa amplaseze candy-bar'ul
-
</t>
    </r>
    <r>
      <rPr>
        <b/>
        <u/>
        <sz val="16"/>
        <color rgb="FF000000"/>
        <rFont val="Calibri"/>
        <family val="2"/>
      </rPr>
      <t>Amenajare Candy-Bar "Fulg de Nea" 50 persoane</t>
    </r>
    <r>
      <rPr>
        <b/>
        <sz val="16"/>
        <color rgb="FF000000"/>
        <rFont val="Calibri"/>
        <family val="2"/>
      </rPr>
      <t xml:space="preserve">
20 x tarta ciocolata
15 x tarta fructe zmeura
15 x tarta fructe mure
15 x tarta fructe exotice mix
15 x tarta fructe afine &amp; coacaze
20 x pavlove
20 x tarte citron
10 x mini briose decorate (roz cu fulgi de nea albi || albe cu fulgi de nea roz)
20 x macarons (roz pal || roz normal || roz inchis)
20 x eclere ciocolata (glazura roz + fulgi nea)
15 x cake pops (roz cu fulgi de nea albi || albe cu fulgi de nea roz)
20 x mousse mango
20 x mouse vanilie &amp; zmeura
</t>
    </r>
    <r>
      <rPr>
        <b/>
        <u/>
        <sz val="16"/>
        <color rgb="FF000000"/>
        <rFont val="Calibri"/>
        <family val="2"/>
      </rPr>
      <t>22 x bucati mini vanila stone (design-ul ca pe site dar cu semisfere)</t>
    </r>
    <r>
      <rPr>
        <b/>
        <sz val="16"/>
        <color rgb="FF000000"/>
        <rFont val="Calibri"/>
        <family val="2"/>
      </rPr>
      <t xml:space="preserve">
300 gr bezele artizanale
</t>
    </r>
  </si>
  <si>
    <r>
      <t xml:space="preserve">1 x felie citron
1 x felie Krantz
1 x felie omnia fistic
1 x felie ciocolata si portocala
---
Feliile sa aiba 120 gr
-----------------------
</t>
    </r>
    <r>
      <rPr>
        <b/>
        <u/>
        <sz val="16"/>
        <color rgb="FF000000"/>
        <rFont val="Calibri"/>
        <family val="2"/>
      </rPr>
      <t>ATENTIE CA ESTE CLIENTUL CARE NE-A FACUT PRAF CU DEGUSTAREA TRECUTA</t>
    </r>
  </si>
  <si>
    <r>
      <t xml:space="preserve">
1 x Raspberry Vanilla 1.5 kg
+</t>
    </r>
    <r>
      <rPr>
        <b/>
        <u/>
        <sz val="16"/>
        <color rgb="FF000000"/>
        <rFont val="Calibri"/>
        <family val="2"/>
      </rPr>
      <t xml:space="preserve">
4 kg miniprajitrui candy-bar/premium</t>
    </r>
    <r>
      <rPr>
        <b/>
        <sz val="16"/>
        <color rgb="FF000000"/>
        <rFont val="Calibri"/>
        <family val="2"/>
      </rPr>
      <t xml:space="preserve">
40 x choux fistic
60 x min tarta ciocolata
60 x mini tarta bezea flambata
20 x mini ecler (10 cioco - 10 cafea)
60 x mini tarta citron
60 x mini tarta ciocolata
---
(neaparat sa le cantarim sa vedem daca sunt 4 kg. Daca nu sunt 4 va rog sa suplimentam pana ajungem la gramajul corect. Este un eveniment de promovare la un hotel)</t>
    </r>
  </si>
  <si>
    <r>
      <rPr>
        <b/>
        <u/>
        <sz val="16"/>
        <color rgb="FF000000"/>
        <rFont val="Calibri"/>
        <family val="2"/>
      </rPr>
      <t>Mini-Praji Candy-Bar (albastru si argintiu)</t>
    </r>
    <r>
      <rPr>
        <b/>
        <sz val="16"/>
        <color rgb="FF000000"/>
        <rFont val="Calibri"/>
        <family val="2"/>
      </rPr>
      <t xml:space="preserve">
18 x mini pavlova
18 x cake pops (albastru/argintiu)
9 x rasberry vanilla
9 x carrot cake
18 x choux fistic
200 gr  bezele (albastru/argintiu)
5 x  mini briose (albastru argintiu)</t>
    </r>
  </si>
  <si>
    <r>
      <t xml:space="preserve">
1 x tort decorat ca in poze décor (10 kg ||KRANTZ)
Mesajul este: "Ezra Christian" in loc de scrisul tortului
Comentariu 0:
Tot tortul trebuie schimbat din nuante de roz/pal in nuante de albastru pal
Comentariu 1: 
Baloanele cu </t>
    </r>
    <r>
      <rPr>
        <b/>
        <u/>
        <sz val="16"/>
        <color rgb="FF000000"/>
        <rFont val="Calibri"/>
        <family val="2"/>
      </rPr>
      <t>albastru</t>
    </r>
    <r>
      <rPr>
        <b/>
        <sz val="16"/>
        <color rgb="FF000000"/>
        <rFont val="Calibri"/>
        <family val="2"/>
      </rPr>
      <t xml:space="preserve"> si </t>
    </r>
    <r>
      <rPr>
        <b/>
        <u/>
        <sz val="16"/>
        <color rgb="FF000000"/>
        <rFont val="Calibri"/>
        <family val="2"/>
      </rPr>
      <t xml:space="preserve">auriu
Comentariu 2:
</t>
    </r>
    <r>
      <rPr>
        <b/>
        <sz val="16"/>
        <color rgb="FF000000"/>
        <rFont val="Calibri"/>
        <family val="2"/>
      </rPr>
      <t xml:space="preserve"> vrea stelute in loc de trandafiri
Comentariu 3:
vrea un ursulet care sta in fund in loc de cel care sta in picoare
-------------------
Am pus niste poze de inspiratie. Ideea este ca trebuie transformat tortul in tort de baietel
</t>
    </r>
  </si>
  <si>
    <r>
      <t xml:space="preserve">Simona Ionescu
0769690171
--
</t>
    </r>
    <r>
      <rPr>
        <b/>
        <u/>
        <sz val="16"/>
        <color rgb="FF000000"/>
        <rFont val="Calibri"/>
        <family val="2"/>
      </rPr>
      <t>ORA E IMPORTANTA</t>
    </r>
  </si>
  <si>
    <r>
      <t>1 x tort oreo 2 kg greutate totala
mesaj pe placuta "La Multi Ani Daria"
DECORAT CA IN POZE DECOR
-
Comentarii
-Sa arate exact ca in poza (inimi/bezele roz pal)
-Fara ursulet
-</t>
    </r>
    <r>
      <rPr>
        <b/>
        <u/>
        <sz val="16"/>
        <color rgb="FF000000"/>
        <rFont val="Calibri"/>
        <family val="2"/>
      </rPr>
      <t>DRIPUL SA FIE ROZ INCHIS</t>
    </r>
  </si>
  <si>
    <t>Diaconescu Olga
0724283220</t>
  </si>
  <si>
    <t>Degustare doar cu minipraji din vitrina</t>
  </si>
  <si>
    <t xml:space="preserve"> Cofetarie</t>
  </si>
  <si>
    <t>40 x choux fistic (1 kg)
10 x mini ecler ciocolata (400 gr)
10 x mini ecler vanile (400 gr)
20 x mini tarte cioco (400 gr)
20 x mini tarta fructe (400 gr)
20 x mini tarta lamaie (400 gr)</t>
  </si>
  <si>
    <t>Ana Maria Toma
0722416512</t>
  </si>
  <si>
    <t>Miercani 61</t>
  </si>
  <si>
    <t xml:space="preserve">1 x tort decorat ca in poze décor (3.5 kg-tort clasic)
Comentariu: Pe carte sa scrie mesajele din fisier décor (Mesaje.jpg)
</t>
  </si>
  <si>
    <t>1 x 2.8 kg dreptunghiular tort clasic pentru comanda Ana-Maria-Toma</t>
  </si>
  <si>
    <t>1 x tort decorat ca in poze décor (2 etaje - 5 kg - berry chocolate)
- Sa nu fie nici o cifra pe el
- In loc de "Matteo" sa scriem Alex</t>
  </si>
  <si>
    <t>Calea Plevnei nr.46-48</t>
  </si>
  <si>
    <t>Catalin
0726006614</t>
  </si>
  <si>
    <t>doreste sa deguste maine dupa orele 16:00  felii de tort in special noisette si alte torturi pe baza de ciocolata fara visine si fara cafea
---
Minim 3 sortimente</t>
  </si>
  <si>
    <t xml:space="preserve"> felii tarta mere
2 indiene
2 savarina
o tarta cu mure
2 choux mare</t>
  </si>
  <si>
    <t>cash la laura direct</t>
  </si>
  <si>
    <t>1 x tort ciocolata si fructe de padure (berry chocolate? - 3.5 kg) pentru Maria Parcalbescu 19.01</t>
  </si>
  <si>
    <t xml:space="preserve">
LE PREIA TUDOR R.</t>
  </si>
  <si>
    <r>
      <rPr>
        <b/>
        <u/>
        <sz val="16"/>
        <color rgb="FF000000"/>
        <rFont val="Calibri"/>
        <family val="2"/>
      </rPr>
      <t>2 x pachet degustare evenimente (ca in whatsapp)</t>
    </r>
    <r>
      <rPr>
        <b/>
        <sz val="16"/>
        <color rgb="FF000000"/>
        <rFont val="Calibri"/>
        <family val="2"/>
      </rPr>
      <t xml:space="preserve">
2 x macarons
2 x choux
2 x pavlova
1 x tarta ciocolata
1 x tarta citron
2 x tarta fructe
1 x felie citron
1 x felie fistic
1 x felie duo-mousse visine
1 x felie ciocolata portocala</t>
    </r>
  </si>
  <si>
    <t>Valentina Radulescu
0743508072</t>
  </si>
  <si>
    <t>strada grigore alexandrescu 89-97, Metropolis Center</t>
  </si>
  <si>
    <t>1 kg x Framboisier
1 kg x Baileys
1 kg x fistic cu zmeura, doar pe acesta sa scriem " La multi ani, dulce Valentina" - acesta este surpriza
1 x platou minipraji 10 persoane
1 x platou minipraji 5 persoane</t>
  </si>
  <si>
    <t>STR. NOVACI NR 9B</t>
  </si>
  <si>
    <t>revine ea</t>
  </si>
  <si>
    <t>1 x raspberry vanilla ornat cu bezele si acadele cu mesajul "La Multi Ani, Sofia!" (1.5 kg)
------
1 x tort decorat ca in poze décor (1 etaj - berry chocolate -5 kg). DOAR ETAJUL DE SUS.
+
Numele fetitei scris jos "Enna Ioana"</t>
  </si>
  <si>
    <t>1 x tort berry chocolate 3.5 kg greutate totala pt tort decorat diaconescu olga 22.01.2020</t>
  </si>
  <si>
    <t>Ivascu Aura
0772204001</t>
  </si>
  <si>
    <t>1 x tort raw vegan tiramisu 1 kg
"La Multi Ani!"</t>
  </si>
  <si>
    <t>a fost achitat in avans 100 ron</t>
  </si>
  <si>
    <t>Luminita
0770438797</t>
  </si>
  <si>
    <t>1 x tort 2 kg personalizat
doua foi de bezea, intre ele mousse de ciocolata, deasupra frisca si zmeura 
(este poza in comenzi)</t>
  </si>
  <si>
    <t>Ana Maria Diceanu
0 740 426 835</t>
  </si>
  <si>
    <t>The Institute Café,
Strada Știrbei Vodă 104, București</t>
  </si>
  <si>
    <t>factura persoana fizica
+
CERTIFICAT CONFORMITATE PT LOCATIE</t>
  </si>
  <si>
    <t xml:space="preserve">1 x tort decorat ca in poze décor. (5.5 kg greutate totala-krantz)
Comentariu 1: 
In loc de WC sa punem poza logo GWPR
Comentariu 2:
Pe colt sa fie culori care sa complementeze logo-ul (mov si roz, etc)
Comentariu 3:
Daca este nevoie, incadrati logoul printat intr-o rama rotunda
--------------
ATENTIE: TORTUL ASTA AJUNGE LA TELEVIZOR!!! VA ROG DEPUNETI EFORTURI EXTRA CA SA IASA SUPERB! </t>
  </si>
  <si>
    <t>2 etaje patrate krantz (4 kg in total) pentru comanda ANA MARIA DICEANU (20.01.2020)
---
COMANDA ASTA ESTE FOARTE IMPORTANTA. Sa va uitati pe pozele din décor va rog</t>
  </si>
  <si>
    <t>cash direct la laura. Nu se achita nimic la client</t>
  </si>
  <si>
    <t>1 x felie duo-mousse visine
1 x felie vanilie cu zmeura
1 x felie ricotta &amp; fructe confiate
1 x felie fistic &amp; zmeura
---
Feliile sa aiba 120 gr</t>
  </si>
  <si>
    <t>Rocsana Mihaloni
0724396416
----
De sunat si comunicat ora!:)</t>
  </si>
  <si>
    <t>teodora tudosie
0729.899.706</t>
  </si>
  <si>
    <t>1 x tort honney 1.6 kg
1 x tort krantz 1.6 kg</t>
  </si>
  <si>
    <t>Hello Hotel, Calea Griviței 143, București 010708</t>
  </si>
  <si>
    <t>Client Laura
+40 (736) 999 153</t>
  </si>
  <si>
    <t>Strada Novaci nr 10, bloc P 60, sc 3, etaj 4, ap 77, interfon 77, sector 5</t>
  </si>
  <si>
    <t>1 x tort pavlova pentru 10 persoane (1.6 kg)
Mesajul este "La Multi Ani, Justin!" "1 an"</t>
  </si>
  <si>
    <t>Lolea Gabriel
0745981208</t>
  </si>
  <si>
    <t>5 x platou miniprajituri 5 persoane
+
2 minipavlova
2 mini tarta citron
2 mini tarta ciocolata
2 mini-choux
2 macarons</t>
  </si>
  <si>
    <t>cash cu bon. A platit deja 200 RON avans</t>
  </si>
  <si>
    <t>1 x tort berry chocolate (3.6 kg) cu mesajul "La Multi Ani, Carina"
+
plic bani lasertag la receptie</t>
  </si>
  <si>
    <t>am incasat suplimentar 100 lei pentru fistic
de incasat 538 de la client ci cardul POS!!!</t>
  </si>
  <si>
    <t>Factura Gematex (4,5 x 110 + 15 x 2)</t>
  </si>
  <si>
    <t>1 x tort ciocolata si fructe de padure (berry chocolate - 3 kg compozitie) imbracat pasta de zahar alba + cu un print spiderman pe el ca in poza din décor|| "Happy Birthday, Bogdan!"
+ 2 x praji tiramisu la 125 g</t>
  </si>
  <si>
    <t>Factura Interactive Financial SRL 294 lei
+73.5 a platit cash fara brr</t>
  </si>
  <si>
    <t>1 x pachet degustare evenimente (ca in whatsapp)
2 x macarons
2 x choux
2 x pavlova
1 x tarta ciocolata
1 x tarta citron
2 x tarta fructe
1 x felie citron
1 x felie fistic
1 x felie duo-mousse visine
1 x felie ciocolata portocala</t>
  </si>
  <si>
    <t>Comanda Lasertag
0723613765</t>
  </si>
  <si>
    <t>1 x tort decorat 2.5 kg berry chocolate pentru comanda Lasertag - 24.01.2020)</t>
  </si>
  <si>
    <t>Palatul Bragadiru
Cristina Gheorghe
0743 226 064</t>
  </si>
  <si>
    <t>Padurile regale
Loredana Barbuceanu
0725463404</t>
  </si>
  <si>
    <t>Se fac torturile urmatoare la 500 gr si se taie jumatate!
LISTA TORTURI SI DESCRIERI (ANDREEA)
+
Pachet degustare:
250 gr x Tort Naked Krant
250 gr x Tort Naked Citron
250 gr x Tort Naked Duo Mousse cu Visine
250 gr x  Tort Naked Fistic si Zmeura
250 gr x Tort Naked Framboisier
250 gr x Tort Naked Honey
250 gr x Tort fistic cu mango
250 gr x Tort ciocolata, portocale si mango</t>
  </si>
  <si>
    <t xml:space="preserve">
AMENAJARE CANDY-BAR 100 Persoane
(sa punem décor cu frunze)
57 x macarons mix (alb/verde)
57 x tarte fructe
57 x tarte ciocolata
57 x mini-pavlova
57 x mini choux a la creme (alb/verde) 
57 x mini eclere artizanale
57 x tarte citron
12.5 x briose decorate (crema de ricotta si frunze din zahar)
27.5 x cake pops (alb cu decor de frunza din zahar)
0.3 kg bezele artizanale (alb verde)  
--
100 felii tort x fistic cu zmeura (De glasat daca se poate. Alternativ de glasat cat mai frumos)
</t>
  </si>
  <si>
    <t>2658.6
--
10% discount inclus
(factura firma)
ro33296434
(TREBUIE FACUTA)</t>
  </si>
  <si>
    <t>Popescu Gabriel Adrian
0 727 689 756</t>
  </si>
  <si>
    <r>
      <t xml:space="preserve">1 x macheta tort ca in Departament décor (etaj real)
-
300 x felie 120 gr Tort Fistic si Mango, Omnia
-
Compozitie Candy-Bar (3.5 Euro/persoana - 150 pax + 300 RON) - 2799 RON
--
</t>
    </r>
    <r>
      <rPr>
        <b/>
        <u/>
        <sz val="16"/>
        <color rgb="FF000000"/>
        <rFont val="Calibri"/>
        <family val="2"/>
      </rPr>
      <t>AMENAJARE CANDY-BAR 150 persoane</t>
    </r>
    <r>
      <rPr>
        <b/>
        <sz val="16"/>
        <color rgb="FF000000"/>
        <rFont val="Calibri"/>
        <family val="2"/>
      </rPr>
      <t xml:space="preserve">
88 x Choux (33% - ciocolata || cafea || fistic) 
19 x Briose Colorate Tematic  
88 x Mini-Tarte Lamaie si Bezea Flambata
88 x Mini-Tarte Ciocolata si Caramel
88 x Mini-Tarte Fructe 
88 x Mini Pavlove 
88 x Pahar Tiramisu 
88 x Mini Ecler Artizanal (ciocolata || cafea)
40 x Cake Pops Tematici 
--
DE ITNREBAT CARE E TEMATICA/CROMATICA CANDY-Barului</t>
    </r>
  </si>
  <si>
    <t>???
---
La ce ora se face amenajarea</t>
  </si>
  <si>
    <t>Alina Ionescu
0 724 688 055</t>
  </si>
  <si>
    <t xml:space="preserve">1 x 1 kg raspberry vanilla </t>
  </si>
  <si>
    <t>George Boboc
+40 722 123 059</t>
  </si>
  <si>
    <t>1 x 1 kg duo mousse fara visine</t>
  </si>
  <si>
    <t>GBC, Strada Eugen Lovinescu, Nr: 14</t>
  </si>
  <si>
    <t xml:space="preserve">1 x tort decorat ca in poze décor (3 kg totala || oreo)
mesajul este "La Multi Ani, Anastasia!" </t>
  </si>
  <si>
    <t>a fost achitat cu cardul</t>
  </si>
  <si>
    <t>Ion Metiu
0742125252</t>
  </si>
  <si>
    <t>1 x tort 2.2 kg oreo pentru tort decorat ion metiu (25.01.2020)</t>
  </si>
  <si>
    <t>achita la tudor cash direct</t>
  </si>
  <si>
    <t>candy-bar turqoise si verde:
18 x cake pops ( turqoise si verde)
18 x mini briose ( turqoise si verde)
18 x choux fistic
18 x choux vanilie 
18 x mini carrot cake
18 x mini tarte cu ciocolata</t>
  </si>
  <si>
    <t>18 x mini briose
18 x choux fistic
18 x choux vanilie
18 x cake pops
 9 x carrot cake
9 xrasberry vanilla</t>
  </si>
  <si>
    <t>AMENAJARE CANDY-BAR 40 persoane:
24 x choux fistic
24  x macarons (alb si roz)
24 x mini tarta ciocolata &amp; caramel
24 x mini tarta lamaie si bezea flambata
24 x mini pavlova
24 x mini tarte fructe
12 x pahar mousse zmeura si vanilie
12 x pahar tiramisu
24 x eclere artizanale (alb si roz)
12 x cake pops colorate tematic (alb si roz)
---
ATENTIE SA PUNEM VESELA CU ROZ SI ALB + FATA DE MASA ROZ</t>
  </si>
  <si>
    <t>1 x tort Fortnite ca in poza|| 2kg compozitie + decor (aprox total de 3,5 kg)|| compozitia snikers ||"La mulți ani, Rareș și Tudor!"</t>
  </si>
  <si>
    <t>1 x tort de 2kg snikers pentru tortul Fortnite al Corinei Moisa din 25.01.2020</t>
  </si>
  <si>
    <t>Metropolitan, Sala Richmond, Șoseaua Pipera 48, București
--
Se face amenajarea intre 17:45 si 18:45. Evenimentul incepe la 19:00</t>
  </si>
  <si>
    <t>a fost achitat un avans de 600 de leo pe 21.01. Mai trebuie incasati cash fara BRR cand se face amenajarea inca 1400</t>
  </si>
  <si>
    <t>AMENAJARE CANDY-BAR
(UNICORN ROZ/ALB/MOV)
65 x choux vanilie (roz)
65  x macarons culori tematice (roz/alb/mov)
65 x mini tarta ciocolata &amp; caramel
65 x mini tarta lamaie si bezea flambata
65 x mini pavlova
65 x mini tarte fructe
34 x pahar mousse zmeura si vanilie
65 x pahar tiramisu
65 x eclere artizanale (vanilie si cafea) (roz/alb/mov)
26 x cup-cakes (ca in poza)
34 x cake pops tematici
---
Atentie1: 
Macarons trebuie sa fie pe o piramida de macarons
Atentie 2: 
Cake pops trebuie sa fie identici cu cei din poza.
Atentie 3: 
Cupcakes trebuie sa fie identici cu cei din poza
Atentie 4: 
Cat mai mult decor cu unicorni pe langa (ca in poze)</t>
  </si>
  <si>
    <t>1 x tort decorat fortnite ca in poze décor.  (3.6 kg greutate totala || Berry Chocolate)
Pe banner sa fie "La Multi Ani"
Sa facem o placuta care sa semene cu lemn pe care sa scriem "Luca David"</t>
  </si>
  <si>
    <t>Recuperare Candy-Bar de la restaurant Odeon de la eveniment Mihaela Cristea</t>
  </si>
  <si>
    <r>
      <t xml:space="preserve">Platou Alina Rosman (13:00 -14:00)
1 x snickers
1 x krantz
1 x oreo
1 x black jack
1 x tort clasic
-----------
</t>
    </r>
    <r>
      <rPr>
        <b/>
        <u/>
        <sz val="16"/>
        <color rgb="FF000000"/>
        <rFont val="Calibri"/>
        <family val="2"/>
      </rPr>
      <t>Platou Gradinaru</t>
    </r>
    <r>
      <rPr>
        <b/>
        <sz val="16"/>
        <color rgb="FF000000"/>
        <rFont val="Calibri"/>
        <family val="2"/>
      </rPr>
      <t xml:space="preserve">
1 x fistic si zmeura
1 x citron
1 x duo-mousse visine
1 x ciocolata si mango
1 x fistic omnia
4 x choux fistic
4 x mini ecler
4 x mini-tarte lamaie
4 x mini-tarte ciocolate
4 x mini-tarte fructe
</t>
    </r>
  </si>
  <si>
    <t>Restaurantul Odeon din cadrul Palatului Odeon - Splaiul Unirii nr 162</t>
  </si>
  <si>
    <t>Bianca Visan
0740120104</t>
  </si>
  <si>
    <t>PLATA CU POS
+ 
Certificat conformitate
390 pe tort
100 pe platou</t>
  </si>
  <si>
    <t>Mihaela
0731727588</t>
  </si>
  <si>
    <t>1 x 2 kg tort clasic, fara pasta de zahar (cu 2 blaturi), glasat si decorat cat mai potrivit pentru o fata cocheta careia ii place sa deseneze si care implineste 16 ani. Pe tort sa scrie "La multi ani, Alina" si "16" separat (avem mana libera la decor, bezele, macarons, fructe)</t>
  </si>
  <si>
    <t>CPRU sector 4, Str. Macesului nr. 2, sector 4, Bucuresti</t>
  </si>
  <si>
    <t>se iau banii direct de la Florin Draghescu. Achita el.</t>
  </si>
  <si>
    <t>Ramona
0 723 506 040</t>
  </si>
  <si>
    <t>Tort Oreo 2.5-3,00 kg
Cu mesjul "La multi ani,Riana!" 
Decorat ca pt o fetita de 9 an</t>
  </si>
  <si>
    <t>The Mark restaurant Calea Grivitei 84-98</t>
  </si>
  <si>
    <t>Denisa Valentina Negreanu
0766758754</t>
  </si>
  <si>
    <t>Tort Opera
Greutate: 4 kg
Mesaj Personalizat: La mulți ani Marius!</t>
  </si>
  <si>
    <t>Str. Peleaga nr. 17</t>
  </si>
  <si>
    <t>Sos. Kiseleff nr. 9, sector 1</t>
  </si>
  <si>
    <t>Tort Bailey's
Greutate: 2.5 kg
---
Tort cu Fistic si Zmeura
Greutate: 1 kg</t>
  </si>
  <si>
    <t>Mihaela Tudosie
0 720 067 570</t>
  </si>
  <si>
    <t>1 x tort dreptunghiular oreo ( 4 kg) pentru comanda Mihaela Tudosie (01.02.2020)</t>
  </si>
  <si>
    <t>cash cu bon 
!!! A PLATI DEJA 100 RON. Mai are doar 580 de achitat!
--
5 x 120 ron/kg
2 x 40 ron/figurina</t>
  </si>
  <si>
    <t>1 x tort ca in poze décor (1 singur etaj || oreo||  drepunghiular || MAXIM 5.5 kg greutate)
Comentariu 0: 
Vrea trei figurine ca in poze décor. Va rog sa aveti grija la ele. Puteti sta extra pe modelarea lor!
Comentariu 1: 
Tortul va fi dreptunghiular. Trebuie sa fie bleu (sa semene doar cu primul etaj al tortului)
Comentariu 2:
Sa apara si logo-ul brawl war</t>
  </si>
  <si>
    <t>1 x tort fornite ca in poze décor (2 kg compozitie, 3.5 greutate totala)
Sa scriem "La Multi Ani, Matei" si cifra "11"
+
PLATOU 1 kg mix: (de verificat ca sunt 1 kg. NU MAI MULT!)
10 x mini lamaita
10 x mini oreo
10 x paleuri
10 x mini ecler
10 x mini-negresa</t>
  </si>
  <si>
    <t>Alina Lupascu
0785 433 664</t>
  </si>
  <si>
    <t>Factura persoan fizica (Lupascu Alina,Bucuresti Sect 5) / avans 30 %
+ 
certificat conformitate</t>
  </si>
  <si>
    <t>1 x tort clasic pe 2 etaje (5 kg, maxim 6)
--
Sa fie acoperit in crema roz pal si decorat pe ambele etaje in drip de cioc</t>
  </si>
  <si>
    <t>Alina Rosman
0 722 518 209</t>
  </si>
  <si>
    <t>factura pe firma
(adrecro consulting srl)</t>
  </si>
  <si>
    <t>Tudor Alexandru
0723275971</t>
  </si>
  <si>
    <t>1 x tort framboisier 1.8 kg cu mesajul "La Multi Ani!"</t>
  </si>
  <si>
    <t>Madalina Iorga</t>
  </si>
  <si>
    <t xml:space="preserve">1 x felie duo-mousse
1 x felie framboisier </t>
  </si>
  <si>
    <t>Boarna Cristian
0767259859</t>
  </si>
  <si>
    <t>Restaurant Britania, Strada Petre Ispirescu 9B</t>
  </si>
  <si>
    <t>1 x macheta ca in departament décor (doar macheta) + o placuta cu numele "Patrick Mihai"
--
83 monoportii (120 grame) bailey's</t>
  </si>
  <si>
    <t>A platit deja 350 pe 24.01.2020. Mai are de achitat restul pana la 1150</t>
  </si>
  <si>
    <r>
      <t>1 x tort decorat ca in poze decor (5 kg - 2 etaje)In loc de "Eva" sa scriem "Cezara". In loc de fluture sa fie o zana aurie 
---
1 x tort bayleys 1.1 cu o placuta pe care sa scrie "La Multi Ani, Silvia!"
+
FATA DE MASA + vas aditional de bezele
-</t>
    </r>
    <r>
      <rPr>
        <b/>
        <u/>
        <sz val="16"/>
        <color rgb="FF000000"/>
        <rFont val="Calibri"/>
        <family val="2"/>
      </rPr>
      <t xml:space="preserve">
Amenajare cu Tematica Zana - 50 pers</t>
    </r>
    <r>
      <rPr>
        <b/>
        <sz val="16"/>
        <color rgb="FF000000"/>
        <rFont val="Calibri"/>
        <family val="2"/>
      </rPr>
      <t xml:space="preserve">
29 x macarons mix (alb/roz)
29 x tarte fructe
29 x tarte ciocolata
96 x mini-pavlova
29 x mini choux a la creme (vanilie/fistic) 
29 x mini eclere artizanale
29 x tarte citron
7 x briose decorate (aripi de zana aurii/ crema roz)
14 x cake pops (roz cu aripi de zana aurii)
0.3 kg bezele artizanale (roz cu alb)
</t>
    </r>
  </si>
  <si>
    <t>Mihaela Cristea
0 740 254 425
-
Sunati-ma cand mergeti catre candy-bar'ul acesta. Tudor.</t>
  </si>
  <si>
    <t xml:space="preserve">Restaurantul Odeon din cadrul Palatului Odeon - Splaiul Unirii nr 162
--
12:45 la 13:45  amenajeaza Ioana. 
La 14:00 incepe evenimentul. </t>
  </si>
  <si>
    <t>Restaurant Il Locale, Șoseaua Nordului 7-9, București 014192
--
16:45 si 17:45  face amenajarea Mirela</t>
  </si>
  <si>
    <t>Ridicare Candy-Bar Il Locale</t>
  </si>
  <si>
    <t>Il Locale</t>
  </si>
  <si>
    <t>Str. Caporal Ilina nr 2 bl 11b SC A ap 33 interfon 33 sector 5</t>
  </si>
  <si>
    <t>1 x tort framboisier 3.5 kg, cu mesajul La mulți ani, Deni!</t>
  </si>
  <si>
    <t>30% discount introdusi. Cash cu bon</t>
  </si>
  <si>
    <t>Madalina Dumbrava
0741980965.</t>
  </si>
  <si>
    <t>1 x degustare tort
citron
fistic omnia
ciocolata omnia
framboisier
duo-mousse visine</t>
  </si>
  <si>
    <t>Baltita nr 4, bl B26, sc 2, et. 1, ap 20, interfon 20</t>
  </si>
  <si>
    <t>Diana Dimitriu (Sole)
0724253458
---
de sunat dimineata sa I se comunica la cat ajunge ora de catre curier</t>
  </si>
  <si>
    <t>2 x set degustari tort:
-
1 x felie Tort Naked Krant
1 x felie Tort Naked Duo Mousse cu Visine
1 x felie Tort Naked Framboisier
1 x felie Tort fistic cu mango
1 x felie Tort ciocolata, portocale si mango</t>
  </si>
  <si>
    <t>1 x felie Oreo 
1 x felie Rasberry vanilla
1 x felie Honey pt torturi decorate (sau normal daca nu avem)
1 x carrot cake
1 x fistic cu Zmeura</t>
  </si>
  <si>
    <r>
      <t xml:space="preserve">1 x TORT CHEESECAKE CU jeleu ZMEURA si zmeura fresh  1.5 kg </t>
    </r>
    <r>
      <rPr>
        <b/>
        <u/>
        <sz val="16"/>
        <color rgb="FF000000"/>
        <rFont val="Calibri"/>
        <family val="2"/>
      </rPr>
      <t>PENTRU DIABETICI</t>
    </r>
  </si>
  <si>
    <t>Lazar Elena
0770382460</t>
  </si>
  <si>
    <t>Madalina Iorga
0 728 971 666</t>
  </si>
  <si>
    <t>1 x monoportie 150 gr framboisier
1 x monoportie 150 gr duo-mousse
---
Va rog sa nu depasim gramajele!!!! E important ca sunt degustari pentru un eveniment mare si vor sa vada cum arata in farfurie</t>
  </si>
  <si>
    <r>
      <rPr>
        <b/>
        <u/>
        <sz val="16"/>
        <color rgb="FF000000"/>
        <rFont val="Calibri"/>
        <family val="2"/>
      </rPr>
      <t xml:space="preserve">
</t>
    </r>
    <r>
      <rPr>
        <b/>
        <sz val="16"/>
        <color rgb="FF000000"/>
        <rFont val="Calibri"/>
        <family val="2"/>
      </rPr>
      <t xml:space="preserve"> 1 x macheta cu etaj real ca in poze decor. 
ATENTIE: 
Macheta de tort semana cu cea din "Inspiratie.jpg" cu urmatoarele amendamente:
Etajul de jos - gri deschis/lavanda
Etajul de mijloc - roz pal
Etajul superior - alb
Renuntam la decorul de flori superior in favoarea decorului din poza "Model Decor.jpg", pe care il vom adapta cromatic la restul tortului
--</t>
    </r>
    <r>
      <rPr>
        <b/>
        <u/>
        <sz val="16"/>
        <color rgb="FF000000"/>
        <rFont val="Calibri"/>
        <family val="2"/>
      </rPr>
      <t xml:space="preserve">
Candy-Bar (Roz Pal/ Alb/ Gri Pal) - 100 pers</t>
    </r>
    <r>
      <rPr>
        <b/>
        <sz val="16"/>
        <color rgb="FF000000"/>
        <rFont val="Calibri"/>
        <family val="2"/>
      </rPr>
      <t xml:space="preserve">
31 x cupcake pepite ciocolata colorate tematic
24 x cake pops colorate tematic
51 x tarte fructe
51 choux a la creme </t>
    </r>
    <r>
      <rPr>
        <b/>
        <u/>
        <sz val="16"/>
        <color rgb="FF000000"/>
        <rFont val="Calibri"/>
        <family val="2"/>
      </rPr>
      <t>(</t>
    </r>
    <r>
      <rPr>
        <b/>
        <sz val="16"/>
        <color rgb="FF000000"/>
        <rFont val="Calibri"/>
        <family val="2"/>
      </rPr>
      <t xml:space="preserve"> ciocolata || cafea || fistic || vanilie</t>
    </r>
    <r>
      <rPr>
        <b/>
        <u/>
        <sz val="16"/>
        <color rgb="FF000000"/>
        <rFont val="Calibri"/>
        <family val="2"/>
      </rPr>
      <t>)</t>
    </r>
    <r>
      <rPr>
        <b/>
        <sz val="16"/>
        <color rgb="FF000000"/>
        <rFont val="Calibri"/>
        <family val="2"/>
      </rPr>
      <t xml:space="preserve">
51 x tarta ciocolata
51 x tarta lamaie
51 x mini pavlova
51 x macarons mix
51 x mouse vanilie &amp; zmeura la pahar
51 x tiramisu la pahar  
51 x eclere artizanale</t>
    </r>
  </si>
  <si>
    <t>Loredana Gradinaru
2880420420017
--
Contact locatie:
Nicoleta Simionescu
0 756 116 009</t>
  </si>
  <si>
    <t>American Ballroom, Faur, Poarta 1, Bulevardul Basarabia 256
--
Amenajarea se face de la 18:45 la 19:45. Evenimentul incepe la ora 20:00</t>
  </si>
  <si>
    <t>plata cu factura</t>
  </si>
  <si>
    <t>Adina Veselin
0757949177</t>
  </si>
  <si>
    <t>1 x Felie Tort Raw-Vegan Coconut (150 gr)
---
Tort Berry Chocolate
Greutate: 2 kg
Mesaj Personalizat: La multi ani fericiti, Adina!</t>
  </si>
  <si>
    <t>Str. Economu Cezarescu 52, Bloc 1, Scara A, Ap. 1202, Bucuresti.</t>
  </si>
  <si>
    <t>cash cu bon
--
2 x 90 RON/kg
+
25 RON felie</t>
  </si>
  <si>
    <r>
      <t xml:space="preserve">1 x tort decorat 3 etaje - 10 kg - krantz ca in poze décor
Comentariu 1:
In loc de figurinele de pe tort, vrea cele 3 figurine puse in fisierul décor figurine. Le putem face mari, eventual 1 pe fiecare etaj
Comentariu 2:
Sa se pastreze frunzele/betele si toate decorurile naturale de pe tort
Comentariu 3:
Sa aiba acelasi efect naked.
Comentariu 4: 
Numele "Eveline" sa fie scris ca in model decor: agatat pe stegulete
--------------------------
1 x tort black jack 2 kg cu mesajul "La mulți ani, Buni Ioana"
--------------------------
Amenajare Candy-Bar pe Buturugi 80 Persoane
</t>
    </r>
    <r>
      <rPr>
        <b/>
        <u/>
        <sz val="16"/>
        <color rgb="FF000000"/>
        <rFont val="Calibri"/>
        <family val="2"/>
      </rPr>
      <t xml:space="preserve">ATENTIE CA TREBUIE SA FIE PE BUTURUGI
</t>
    </r>
    <r>
      <rPr>
        <b/>
        <sz val="16"/>
        <color rgb="FF000000"/>
        <rFont val="Calibri"/>
        <family val="2"/>
      </rPr>
      <t xml:space="preserve">46 x macarons mix (alb/albastru-menta(verde))
46 x tarte fructe
46 x tarte ciocolata
46 x mini-pavlova
46 x mini choux a la creme (alb/albastru-menta(verde)) 
46 x mini eclere artizanale
46 x tarte citron
10 x biscuiti turta dulce in forma de nea
22 x cake pops *albastru menta pal cu fulgi de nea albi sculptati artizanal)
0.3 kg bezele artizanale (alb/albastru-menta(verde))  </t>
    </r>
  </si>
  <si>
    <t xml:space="preserve"> Taverna Sarbului, Strada Tipografilor 31, București</t>
  </si>
  <si>
    <t>VA ROG SA FACETI BON 130 RON x numarul de kilograme final. Sa scrieti pe whatsapp comenzi cat a fost suma
+
certificat conformitate</t>
  </si>
  <si>
    <t>1.8 kg * 80 RON/kg
--
cash cu bon</t>
  </si>
  <si>
    <t>Alexandra Timaru
0 765018543</t>
  </si>
  <si>
    <t>cash cu bon. 90 Ron kg de tort</t>
  </si>
  <si>
    <t>1 x tort decorat ca in poze décor (1 etaj, tort clasic 1.6 kg compozitie+decor)
--
In loc de negru sa facem tapiterie beige ca in poze
Mesajul din fata sa fie "La Multi Ani, Dr. Albu"</t>
  </si>
  <si>
    <t>Strada Iuliu Maniu 59, Bl. 10A, Sc 6, Et.7, Ap 277, interfin *77
--
de sunat cand suntem in fata blocului sa verificam interfonul</t>
  </si>
  <si>
    <t>Laura Serbu (Sole)
0728026074
--
Claudiu sa suni te rog dimineata sa-I comunici ora</t>
  </si>
  <si>
    <t>Mariage Fest</t>
  </si>
  <si>
    <t>0.8 kg compozitie Raspberry Love (Blat umed cu migdale, mousse de ciocolata alba cu pastaie de tonka si jeleu de zmeura) (total aprox 2 KG)- Iar decorul- fundalul rosu (imi place f mult ce ati facut dvs pt Craciun) cu mai multe bilute aurii, de diverse forme- asezate deasupra si pe lateralul tortului si pe suport. Pe fata tortului sa fie o stema aurie sau ceva de decor. Pe tort sa avem cifra 6 cu rosu, pe fundal alb si cu rama aurie.
+
In plus doresc o placuta pe care sa scrieti
 “La multi ani si pt tine, tati!" 
"Te iubim foarte mult”</t>
  </si>
  <si>
    <t>plata direct Dan
de dat doar certificat de conformitate</t>
  </si>
  <si>
    <t xml:space="preserve"> 1 x 1.6-1.8 kg tort fistic si zmeura (cel vechi)</t>
  </si>
  <si>
    <t>Tort Mickey Mouse ca in departament Décor ( 4 kg greutate totala, 3 kg greutate compozitie)
Alege Compozitia: Snickers
Mesaj Personalizat: Dominic 1</t>
  </si>
  <si>
    <t>Iulia Balo
0768178100</t>
  </si>
  <si>
    <t>480 RON cu 10% discount cash cu bon
+
certificat conformitate</t>
  </si>
  <si>
    <t>1 x tort snicekrs decorat pentru comanda Iulia Balo (07.02.2020)</t>
  </si>
  <si>
    <t xml:space="preserve">Chiriac Argentina
</t>
  </si>
  <si>
    <t>1 x tort framboisier 1 kg greutate totala (decorat ca pe website)
--
Mesajul este "La Multi Ani, Andreea!"</t>
  </si>
  <si>
    <t>a fost achitat pe 28.01.2020</t>
  </si>
  <si>
    <t>0.8 kg compozitie Raspberry Love (Blat umed cu migdale, mousse de ciocolata alba cu pastaie de tonka si jeleu de zmeura)</t>
  </si>
  <si>
    <t>- noisette
- ciocolata și rom
- Snickers
- honey
- berry chocolate</t>
  </si>
  <si>
    <t>Str principala, nr 186, com Clinceni, Jud Ilfov</t>
  </si>
  <si>
    <t>Aida 
0 787 327 725</t>
  </si>
  <si>
    <t>1 x figurina Hermoine ca in poza décor</t>
  </si>
  <si>
    <t>Restaurant naan, Progresului nr1, In incinta delta studio</t>
  </si>
  <si>
    <t>cash cu bon 
+ 
certificat conformitate</t>
  </si>
  <si>
    <t>Tudurp</t>
  </si>
  <si>
    <t>Degustare Nunta
(Alexandra)
0 727 689 756
---
De sunat si anunta ora</t>
  </si>
  <si>
    <t>Corina Moisa
0728 838 193</t>
  </si>
  <si>
    <t>Palatul Cotroceni pt dna dr. Diana Păun, CONSILIER PREZIDENTIAL</t>
  </si>
  <si>
    <t>ATENTIE E CADOU, NU CERETI NIMIC LA LIVRARE!
plata direct Dan
de dat doar certificat de conformitate</t>
  </si>
  <si>
    <t>1,6 x tort Ciron + glasaj + 7 trandafiri mici MOV, total 2 kg (in loc de crema si discuri cum e pe site) cu mesajul: "La mulți ani! Pentru cea mai buna Nasa!"</t>
  </si>
  <si>
    <t>Adriana
(Lev'Or)
0 724 220 663</t>
  </si>
  <si>
    <t>Lev'Or</t>
  </si>
  <si>
    <t>factura cu CASH.  Se trimite chitanta pe mail de catre tudor luni</t>
  </si>
  <si>
    <t>3 etaje fistic cu zmeura adaptat la décor (7 kg in total) pentru comanda Sole (09.02.2020)</t>
  </si>
  <si>
    <t>1 x felie fistic si zmeura
1 x felie omnia fistic
1 x felie omnia portocale
1 x felie raspberry vanilla
1 x felie citron</t>
  </si>
  <si>
    <t>???
‭‭+0770524857</t>
  </si>
  <si>
    <t>Calea Dudesti 188, Complex In city, bloc B ap 16, interfon 16</t>
  </si>
  <si>
    <t>1 x 1.5 kg tort pavlova</t>
  </si>
  <si>
    <t>mini-Stracciatella</t>
  </si>
  <si>
    <t xml:space="preserve">Prajituri - 1.5 Euro/pers (150 persoane)
180 x mini-raspberry vanila (22.5 gr/buc)
180 x mini-carrot cake (22.5 gr/buc)
180 x mini-straciatella (22.5 gr/buc)
</t>
  </si>
  <si>
    <t>Radulescu Cezar
0762757283</t>
  </si>
  <si>
    <t>1 x 1.6 kg tort noisette 
cu mesajul "La Multi Ani, Teo"</t>
  </si>
  <si>
    <t>TREBUIE RIDICATE 3 ECUSOANELE DE LA REPREZENTATUL GHIBI BALLROOM (0 744 504 879) PENTRU A NE PUTEA REINTOARCE LA PALATUL PARLAMENTULUI LA ORA 16:00 pentru amenajare</t>
  </si>
  <si>
    <t>DE SUNAT TUDOR
dimineata</t>
  </si>
  <si>
    <t>PALATUL PARLAMENTULUI, INTRAREA DE LA MNAC</t>
  </si>
  <si>
    <t>RIDICARE 3 ECUSOANE</t>
  </si>
  <si>
    <t>AMENAJARE STAND</t>
  </si>
  <si>
    <t>PALATUL PARLAMENTULUI, MARRIAGE FEST</t>
  </si>
  <si>
    <t>LUAT PACHET RETA AMENAJARE STAND
+
vas pricomigdale
--
Amenajeaza Standul Mirela R. si Claudiu</t>
  </si>
  <si>
    <t xml:space="preserve">Colaborare cu Ghibi:
30 x mini ecler
30 x mini lamaita
30 x mini shuneg 
30 x mini amandina
30 x min excelent
-------------------
1 kg pricomigdale
---
2 x Candy-Bar 50 pax (jos este un singur candy-bar de 50 pax)
-
28 x Choux a la Crème Fistic
28 x Macarons Culori Tematice
28 x Mini Tarta Ciocolata si Caramel
28 x Mini Tarta Lamaie si Bezea Flambata
28 x Mini Pavlova
28 x Mini Tarta Fructe
18 x Pahar Tiramisu
18 x Ecler Artizanal18 x Cake Pops Tematice18 x Turta Dulce Tematica
9 x Briose Tematice
+
</t>
  </si>
  <si>
    <t>1 x felie krantz
1 x felie tort clasic
1 x felie raspberry vanilla
1 x felie berry chocolate</t>
  </si>
  <si>
    <t>Complex rezidential Cosmopolis,  localitatea Stefanestii de jos,  strada Fericirii nr 2, bloc N18D2 apartament  003, jud Ilfov</t>
  </si>
  <si>
    <t>Degustare Sole Anca Bratu
0 724 541 641
--
Curierul trebuie sa sune sa anunte ora</t>
  </si>
  <si>
    <t>AMENAJARE CANDY-BAR 100 persoane: (vesela aurie)
60 x choux fistic
60  x macarons pictati cu tema ursuleti botez
60 x mini tarta ciocolata &amp; caramel
60 x mini tarta lamaie si bezea flambata
60 x mini pavlova
60 x mini tarte fructe
30 x pahar mousse zmeura si vanilie
30 x pahar tiramisu
60 x eclere artizanale 
30 x cake pops in forma de ursuleti
20 x briose tematice ursuleti</t>
  </si>
  <si>
    <t>Cristina Dragomirescu
0722396000</t>
  </si>
  <si>
    <t>1 x tort decorat 4.5 kg ca in poze décor cu mesajul "La mulți ani Tatiana Alexandra!" (3 greutate compozitie OREO-4.5 kg greutate totala)</t>
  </si>
  <si>
    <t>A fost achitat pe website
---
Certificat de conformitate adresat "La Iris"</t>
  </si>
  <si>
    <t>1 x oreo 3 kg pentru tort Cristina Dragomirescu (02.02.2020)</t>
  </si>
  <si>
    <t xml:space="preserve"> Décor</t>
  </si>
  <si>
    <t>Manda Eugenia
0739154444</t>
  </si>
  <si>
    <t>1 x tort cu fistic si zmeura (2 kg) cu mesajul "La Multi Ani, Eliza" (decorat ca pe website)
-
1 x platou 5 persoane</t>
  </si>
  <si>
    <t>A fost achitat pe 30.01</t>
  </si>
  <si>
    <t>2 x platouri de miniprajituri de 5 persoane</t>
  </si>
  <si>
    <t>degustare Electrica</t>
  </si>
  <si>
    <t>Ridicare Cofetarie de catre domanul Apostol</t>
  </si>
  <si>
    <t>Oana
0726138971</t>
  </si>
  <si>
    <t>3 kg compozitie Framboisier cu UNUL DINTRE STRATURI DE CIOCOLATA ALBA  + décor macarons si fructe ca in poza Décor(total 3,5 KG) + scrisul "EVA" din poza si elemente de décor ca in poza</t>
  </si>
  <si>
    <t>Tratoria il calcio drumul taberei etajul 2</t>
  </si>
  <si>
    <t>lido
de sunat la nr. de mai jos cand ajungeti
(0724) 987 984 Eugen (Lido)</t>
  </si>
  <si>
    <t>Dragos - BELLUNO 
0 721 888 186</t>
  </si>
  <si>
    <t>degustare torturi sala evenimente BELLUNO</t>
  </si>
  <si>
    <t>Șoseaua Alexandriei 193c</t>
  </si>
  <si>
    <t>Bdul D. Cantemir nr 19, bloc 5, sc b, ap 33
Salon Lady Ann
(0754) 080 075 Andreea (salon Lady Ann)</t>
  </si>
  <si>
    <t>3 kgTort discuri de ciocolata|| compozitia snikers de 2,5kg din stoc|| discuri de ciocolata neagra cu auriu + macarons aurii care sa acopere partea de sus a tortului.(discurile sa depaseasca tortul in partea de sus si toata suprafata de sus sa fie cu macarons ca intr-un cos)
+
certificat de conformitate</t>
  </si>
  <si>
    <t xml:space="preserve"> Aleea Suter 23-25</t>
  </si>
  <si>
    <t>Cristina Dragna
0788600100</t>
  </si>
  <si>
    <t>AFI COTROCENI etaj 2 zona la LASERMAXX</t>
  </si>
  <si>
    <t>certificat conformitate
-
cash cu bon
(3x90 ron/kg cu 10% discount)</t>
  </si>
  <si>
    <t>Lev'Or, Strada Occidentului 25</t>
  </si>
  <si>
    <t>10 x cupcake (bleu cu alb)
15 x choux fistic
15 x mini tarta ciocolata
15 x minitarta fructe
15 x mini tarta citron
15 x cake pops (bleu cu alb)
15 x mini pavlova 
15 x macarons mix
10 x mousse tiramisu
15 x mini carrot cake
300 gr bezele artizanale (bleu cu alb)</t>
  </si>
  <si>
    <t>Reina Events Ballroom Salon Sofia.Bucuresti sect 3, str locotenent Nicolae Pascu nr 81
---
Amenajarea se face intre 17:00 si 18:00 de catre Mirela L.</t>
  </si>
  <si>
    <t>Corina Isac
0740230582</t>
  </si>
  <si>
    <t>1 x tort duo-mousse visine cu mesajul "La multi ani, Albert!"</t>
  </si>
  <si>
    <t>Bv. Libertatii 23 bl.102 dc.3 et.2 Bucuresti sector 5</t>
  </si>
  <si>
    <t>Andreea stie ce degustare trebuie
--
Degustare Francezi
Andrea Popa - 28 August</t>
  </si>
  <si>
    <t>Dogaru Ana Maria
0733506712</t>
  </si>
  <si>
    <t>1 x tort duo-mousse (2 kg) cu mesajul "La Multi Ani, Ana!"</t>
  </si>
  <si>
    <t>casu cu bon! A dat avans 100 RON</t>
  </si>
  <si>
    <t>Fecioru Alina
0763635505</t>
  </si>
  <si>
    <t>tort
+
miniprajituri
---------------
de sunat si confirmat. A fost la targ</t>
  </si>
  <si>
    <t>Targ</t>
  </si>
  <si>
    <t xml:space="preserve">
1 x felie snickers
1 x felie oreo
1 x felie trio-mousse</t>
  </si>
  <si>
    <t>7 x choux fistic
14 x macarons ( selectie mix Georgiana)
7 x min-ecler fistic
7 x mini tarte fructe
7 x mini tarta ciocolata
7 x min-tarte lamaie
7 x mini lamaita
7 x mini shunegi
 7 x mini excelent
7 x mini amandina
----
Asezate frumos pe platouri aurii</t>
  </si>
  <si>
    <t xml:space="preserve">1,6 kg fistic cu zmeura de pe stoc sau citron </t>
  </si>
  <si>
    <t>Hotel Dalin Bulevardul Mărășești 70-72
----
Tortul de lasat la receptie</t>
  </si>
  <si>
    <t>1 x felie chocolate delight</t>
  </si>
  <si>
    <t>Dimitriu Diana
Sole</t>
  </si>
  <si>
    <t>Mihaela Dumitriu
0 755708539</t>
  </si>
  <si>
    <t>1 x 2-2.5 kg berry chocolate decorat cu crema si cu niste print-uri cu eroii in pijamale "La multi ani, Ianis!" Si Cifra 2</t>
  </si>
  <si>
    <t>Degustare Tudor R.</t>
  </si>
  <si>
    <t>o cutie degustare evenimente noi si o cutie cu prajituri din alea de 55 lei/ kg</t>
  </si>
  <si>
    <t>Isolleta, Soseaua Nordului</t>
  </si>
  <si>
    <t>1 x degustare tort
1 x degustare candy-bar</t>
  </si>
  <si>
    <t>Nedelcu Razvan
0724090209</t>
  </si>
  <si>
    <t>tort carrot cake 2 kg cu mesajul "La Multi Ani, Gabriela". Décor ca pe website cu macarons</t>
  </si>
  <si>
    <t>Emilia
0 723 526 067</t>
  </si>
  <si>
    <t>Soseaua Stefan cel Mare, Nr 35, Bl. 31, Sc2, Et3, Ap 51
----
22 februarie</t>
  </si>
  <si>
    <t>1 x Framboisier
1 x Noisette
1 x Bailey's
1 x Fistic si zmeura
1 x Chocolate Delight
---
sa fie neaparat toate torturile</t>
  </si>
  <si>
    <t>Client Solee
--
0753030199</t>
  </si>
  <si>
    <t>Firma AIVA, Str. Oxigenului nr. 1D, Cernica, Judet Ilfov</t>
  </si>
  <si>
    <t>Calea Vitan, 117, Bl.  V21A, Sc. 2, Et, 4, Ap. 46, Interfon 46</t>
  </si>
  <si>
    <t>Simona Bratu
0724209181
---
de sunat cand suntem jos</t>
  </si>
  <si>
    <t>Mail</t>
  </si>
  <si>
    <t xml:space="preserve">1 x tort (3 kg, raspberry vanilla) batman ca in departament décor.
ATENTIE: Vrea tortul in sine sa fie galben si doar Sigla, masca și restul decorațiunilor sa fie negre.
--
"La Multi Ani, Luca!" pe o placuta
--
3 in loc de 26 </t>
  </si>
  <si>
    <t>1 x tort 2.6 kg raspberry vanilla pt simona bratu (08.02.2020)</t>
  </si>
  <si>
    <r>
      <t xml:space="preserve">1 x tort decorat 3 etaje - 10 kg - krantz ca in poze décor
Comentariu 1:
In loc de figurinele de pe tort, vrea cele 3 figurine puse in fisierul décor figurine. Le putem face mari, eventual 1 pe fiecare etaj
Comentariu 2:
Sa se pastreze frunzele/betele si toate decorurile naturale de pe tort
Comentariu 3:
Sa aiba acelasi efect naked.
Comentariu 4: 
Numele "Eveline" sa fie scris ca in model decor: agatat pe stegulete
--------------------------
1 x tort black jack 2 kg cu mesajul "La mulți ani, Buni Ioana"
--------------------------
Amenajare Candy-Bar pe Buturugi 80 Persoane
</t>
    </r>
    <r>
      <rPr>
        <b/>
        <u/>
        <sz val="11"/>
        <color rgb="FF000000"/>
        <rFont val="Calibri"/>
        <family val="2"/>
      </rPr>
      <t xml:space="preserve">ATENTIE CA TREBUIE SA FIE PE BUTURUGI
</t>
    </r>
    <r>
      <rPr>
        <b/>
        <sz val="11"/>
        <color rgb="FF000000"/>
        <rFont val="Calibri"/>
        <family val="2"/>
      </rPr>
      <t xml:space="preserve">46 x macarons mix (alb/albastru-menta(verde))
46 x tarte fructe
46 x tarte ciocolata
46 x mini-pavlova
46 x mini choux a la creme (alb/albastru-menta(verde)) 
46 x mini eclere artizanale
46 x tarte citron
10 x biscuiti turta dulce in forma de nea
22 x cake pops *albastru menta pal cu fulgi de nea albi sculptati artizanal)
0.3 kg bezele artizanale (alb/albastru-menta(verde))  </t>
    </r>
  </si>
  <si>
    <r>
      <t xml:space="preserve">1 x macheta tort ca in Departament décor (etaj real)
-
300 x felie 120 gr Tort Fistic si Mango, Omnia
-
Compozitie Candy-Bar (3.5 Euro/persoana - 150 pax + 300 RON) - 2799 RON
--
</t>
    </r>
    <r>
      <rPr>
        <b/>
        <u/>
        <sz val="11"/>
        <color rgb="FF000000"/>
        <rFont val="Calibri"/>
        <family val="2"/>
      </rPr>
      <t>AMENAJARE CANDY-BAR 150 persoane</t>
    </r>
    <r>
      <rPr>
        <b/>
        <sz val="11"/>
        <color rgb="FF000000"/>
        <rFont val="Calibri"/>
        <family val="2"/>
      </rPr>
      <t xml:space="preserve">
88 x Choux (33% - ciocolata || cafea || fistic) 
19 x Briose Colorate Tematic  
88 x Mini-Tarte Lamaie si Bezea Flambata
88 x Mini-Tarte Ciocolata si Caramel
88 x Mini-Tarte Fructe 
88 x Mini Pavlove 
88 x Pahar Tiramisu 
88 x Mini Ecler Artizanal (ciocolata || cafea)
40 x Cake Pops Tematici 
--
DE ITNREBAT CARE E TEMATICA/CROMATICA CANDY-Barului</t>
    </r>
  </si>
  <si>
    <r>
      <rPr>
        <b/>
        <u/>
        <sz val="11"/>
        <color rgb="FF000000"/>
        <rFont val="Calibri"/>
        <family val="2"/>
      </rPr>
      <t xml:space="preserve">
</t>
    </r>
    <r>
      <rPr>
        <b/>
        <sz val="11"/>
        <color rgb="FF000000"/>
        <rFont val="Calibri"/>
        <family val="2"/>
      </rPr>
      <t xml:space="preserve"> 1 x macheta cu etaj real ca in poze decor. 
ATENTIE: 
Macheta de tort semana cu cea din "Inspiratie.jpg" cu urmatoarele amendamente:
Etajul de jos - gri deschis/lavanda
Etajul de mijloc - roz pal
Etajul superior - alb
Renuntam la decorul de flori superior in favoarea decorului din poza "Model Decor.jpg", pe care il vom adapta cromatic la restul tortului
--</t>
    </r>
    <r>
      <rPr>
        <b/>
        <u/>
        <sz val="11"/>
        <color rgb="FF000000"/>
        <rFont val="Calibri"/>
        <family val="2"/>
      </rPr>
      <t xml:space="preserve">
Candy-Bar (Roz Pal/ Alb/ Gri Pal) - 100 pers</t>
    </r>
    <r>
      <rPr>
        <b/>
        <sz val="11"/>
        <color rgb="FF000000"/>
        <rFont val="Calibri"/>
        <family val="2"/>
      </rPr>
      <t xml:space="preserve">
31 x cupcake pepite ciocolata colorate tematic
24 x cake pops colorate tematic
51 x tarte fructe
51 choux a la creme </t>
    </r>
    <r>
      <rPr>
        <b/>
        <u/>
        <sz val="11"/>
        <color rgb="FF000000"/>
        <rFont val="Calibri"/>
        <family val="2"/>
      </rPr>
      <t>(</t>
    </r>
    <r>
      <rPr>
        <b/>
        <sz val="11"/>
        <color rgb="FF000000"/>
        <rFont val="Calibri"/>
        <family val="2"/>
      </rPr>
      <t xml:space="preserve"> ciocolata || cafea || fistic || vanilie</t>
    </r>
    <r>
      <rPr>
        <b/>
        <u/>
        <sz val="11"/>
        <color rgb="FF000000"/>
        <rFont val="Calibri"/>
        <family val="2"/>
      </rPr>
      <t>)</t>
    </r>
    <r>
      <rPr>
        <b/>
        <sz val="11"/>
        <color rgb="FF000000"/>
        <rFont val="Calibri"/>
        <family val="2"/>
      </rPr>
      <t xml:space="preserve">
51 x tarta ciocolata
51 x tarta lamaie
51 x mini pavlova
51 x macarons mix
51 x mouse vanilie &amp; zmeura la pahar
51 x tiramisu la pahar  
51 x eclere artizanale</t>
    </r>
  </si>
  <si>
    <t>Prajituri - 1.5 Euro/pers (150 persoane)
180 x mini-raspberry vanila (22.5 gr/buc)
180 x mini-carrot cake (22.5 gr/buc)
180 x mini-straciatella (22.5 gr/buc)</t>
  </si>
  <si>
    <t>Alexandra Stamate
0763250054</t>
  </si>
  <si>
    <t>MAGIC PLACE, SALA PARIS - 
Șoseaua Virtuții nr. 155, sector 6</t>
  </si>
  <si>
    <t>factura pe firma
SC Aratravel Medical Srl Cui 38304490
Str Maslinului nr 16 sector 1</t>
  </si>
  <si>
    <t>FARA AMENAJARE !!!!! - DOAR DE LIVRAT PRAJITURILE 80 persoane (de personalizat cu albastru, piersica si auriu - aveti invitatia in decor)
30 x choux fistic
30 x choux ciocolata
30  x macarons (albastru, piersica sau auriu)
45 x mini tarta ciocolata &amp; caramel
45 x mini tarta lamaie si bezea flambata
45 x mini pavlova
45 x mini tarte fructe
29 x pahar tiramisu
29 x eclere artizanale 
29 x cake pops (albastru, piersica sau auriu)
15 x briose tematice (albastru, piersica sau auriu)</t>
  </si>
  <si>
    <t>cristina serban
0727016743</t>
  </si>
  <si>
    <t>2.5 kg tort decorat (900 gr compozitie) trio mousse. Decor din pasta de zahar, cu un camion alb si remorca gri, pe care sa scrie "Amenda Transporte", plus nr inmatriculare, si MAN pe el. Langa camion o figurina de barbat cu burta si niste semne de circulatie. mai jos pozele cu ceea ce-si doreste
---
Pozele le gasiti in departament decor</t>
  </si>
  <si>
    <t>A platit avans 50 lei. De recuperat 275 cash cu bon</t>
  </si>
  <si>
    <t>900 grame trio mousse pentru comanda Cristina Serban</t>
  </si>
  <si>
    <t>Niculae Suzana
0769161618</t>
  </si>
  <si>
    <r>
      <t xml:space="preserve">1 x 1.3 kg tort </t>
    </r>
    <r>
      <rPr>
        <b/>
        <u/>
        <sz val="11"/>
        <color rgb="FF000000"/>
        <rFont val="Calibri"/>
        <family val="2"/>
      </rPr>
      <t>AMANDINA</t>
    </r>
    <r>
      <rPr>
        <b/>
        <sz val="11"/>
        <color rgb="FF000000"/>
        <rFont val="Calibri"/>
        <family val="2"/>
      </rPr>
      <t xml:space="preserve"> cu mesajul "La Multi Ani din Partea Nasilor!"</t>
    </r>
  </si>
  <si>
    <t>au achitat 50 ron. Mai au de achitat 80</t>
  </si>
  <si>
    <t>Mirela Ciuta
0735841491</t>
  </si>
  <si>
    <t>42 macarons mix</t>
  </si>
  <si>
    <t>Belvedere Grand Ballroom, Strada Carierei 58, Clinceni 077060
---
Amenajarea se face intre  17:30 - 18:45</t>
  </si>
  <si>
    <t>Factura persoana fizica
--
Madalina Iorga</t>
  </si>
  <si>
    <r>
      <t>1 x macheta tort cu etaj real 2 kg</t>
    </r>
    <r>
      <rPr>
        <b/>
        <u/>
        <sz val="11"/>
        <color rgb="FF000000"/>
        <rFont val="Calibri"/>
        <family val="2"/>
      </rPr>
      <t xml:space="preserve"> (CE SORTIMENT)</t>
    </r>
    <r>
      <rPr>
        <b/>
        <sz val="11"/>
        <color rgb="FF000000"/>
        <rFont val="Calibri"/>
        <family val="2"/>
      </rPr>
      <t xml:space="preserve"> ca in poze decor
ATENTIE: vom scrie pe ea "M&amp;M" cu auriu ca in poza Model Scris.
---
</t>
    </r>
    <r>
      <rPr>
        <b/>
        <u/>
        <sz val="11"/>
        <color rgb="FF000000"/>
        <rFont val="Calibri"/>
        <family val="2"/>
      </rPr>
      <t>ATENTIE - TREBUIE BAGAT SI PENTRU DECOR ETAJUL REAL DUPA CE SE HOTARASTE</t>
    </r>
    <r>
      <rPr>
        <b/>
        <sz val="11"/>
        <color rgb="FF000000"/>
        <rFont val="Calibri"/>
        <family val="2"/>
      </rPr>
      <t xml:space="preserve">
---
38 x 120 gr felie (CE SORTIMENT)
---</t>
    </r>
    <r>
      <rPr>
        <b/>
        <u/>
        <sz val="11"/>
        <color rgb="FF000000"/>
        <rFont val="Calibri"/>
        <family val="2"/>
      </rPr>
      <t xml:space="preserve">
Candy-Bar 50 persoane (Tematica Natura || Alb si Verde Pal)</t>
    </r>
    <r>
      <rPr>
        <b/>
        <sz val="11"/>
        <color rgb="FF000000"/>
        <rFont val="Calibri"/>
        <family val="2"/>
      </rPr>
      <t xml:space="preserve">
30 x choux fistic
30  x macarons culori tematice
30 x mini tarta ciocolata &amp; caramel
30 x mini tarta lamaie si bezea flambata
30 x mini pavlova
30 x mini tarte fructe
30 x eclere artizanle
15 x briose decorate tematic
12 x cake pops tematici
</t>
    </r>
  </si>
  <si>
    <t xml:space="preserve">1 x platou degustare tort
-
1 x felie mica citron
1 x felie mica framboisier
1 x felie mica omnia fistic
1 x felie mica omnia portocale
1 x felie mica duo-mousse visine
1 x felie mica krantz
---
1 x platou candy-bar
-
4 x choux fistic (2 cu 2)
2 x tarta fructe
2 x tarta ciocolata
2 x tarta lamaie
2 x ecler (mix)
</t>
  </si>
  <si>
    <t>Laura Serbu (Sole)
0728026074
--
Trebuie doar lasat la Sole</t>
  </si>
  <si>
    <t xml:space="preserve">1 x tort citron dreptunghiular (5 kg) ornat frumos cu macarons si fructe. Sa fie scris "La Multi Ani, </t>
  </si>
  <si>
    <t>Recupereaza Tudor banii cash de la Sole</t>
  </si>
  <si>
    <t>1 x tort krantz (1.2 kg)
--
1 x felie tort raw-vegan cheese cake
--
1 x tort decorat ca in poze décor (7 kg compozitie, 9 kg greutate totala, fistic adaptat la décor)
----
!!! FARA twinkle twinkle
!!! Fara little star
!!! Fara figurina cu bebelus
!!! Sa pastram fundita galbena</t>
  </si>
  <si>
    <t>95 Ron x 9 kg tortul decorat
--
10 lei felia raw vegan
--
108 lei tortul krantz
----
 Ia tudor direct de la sole cash</t>
  </si>
  <si>
    <t>ia tudor cash direct de la locatie</t>
  </si>
  <si>
    <t>Alexandra Bruja
0727 113 223</t>
  </si>
  <si>
    <t xml:space="preserve">PLATA cash
</t>
  </si>
  <si>
    <t>Cecilia
0 740 975 299</t>
  </si>
  <si>
    <t>Factura pe coloseum</t>
  </si>
  <si>
    <t>Prajituri - 1.5 Euro/pers (150 persoane)
90 x mini-raspberry vanila (22.5 gr/buc)
90 x mini-carrot cake (22.5 gr/buc)
90 x mini-straciatella (22.5 gr/buc)</t>
  </si>
  <si>
    <t>4 x savarina
4 x tarta lameie
4 x tarta ciocolata
4 x tarta fructe
4 x cheese cake</t>
  </si>
  <si>
    <t>Edgar Isaakyan
0747270812</t>
  </si>
  <si>
    <t>1 x platou prajituri 10 persoane (il serveste colegilor de birou, sa le punem pe platouri aurii eventual)</t>
  </si>
  <si>
    <t>Bd Ferdinand 58, office 5</t>
  </si>
  <si>
    <t>199 cu 10% discount. (SA FIE PE BON)
--
+ 
certificat conformitate</t>
  </si>
  <si>
    <t>Dinu Alexandra
0769916779</t>
  </si>
  <si>
    <t>degustare tort nunta
1 x citron
1 x fistic zmeura
1 x fistic omnia
1 x ciocolata omnia
1 x krantz
1 x frambosier
1 x duo-mousse visine
-----
Vor oferta pentru 100 persoane la 3500ron. Au degustat toate mini și acum vor sa se hotărască  și la tort.</t>
  </si>
  <si>
    <t>1 x tort 1.6 kg lamaie
-
1 x cutie cu:
3 tarte mure
2 tarte ciocolata
2 tarte lamaie
2 x choux mare 
2 xcheesecake
2 monoportii cafea
2 monoportii din alea albe
2 felii de tarta mere
----
 Important sa fie proaspete, puse frumos in cutie si cutia sau cutiile sa fie pline. Daca mai ramene loc in cutie se mai pune ceva extra</t>
  </si>
  <si>
    <t>1 x tort chocolate delight 6 kg (dreptunghiular) decorat frumos cu macarons 
----
1 x tort framboisier (NEAPARAT DECORAT CA PE WEBSITE) cu o placuta cu mesajul "La Multi Ani, Betty"</t>
  </si>
  <si>
    <t>factura pe UNOVENT SISTEM SRL</t>
  </si>
  <si>
    <t>culori: bleu, verde, galben
----
15 x Choux fistic 
16 x Choux vanilie
15 x Mini briose (bleu, verde, galben)
15 x Pahar Tiramisu
15 x rasberry vanilla
16 x carrot cake
15 xTarte cu ciocolata</t>
  </si>
  <si>
    <r>
      <t xml:space="preserve">NEPARAT culorile : roz si roz inchis
---
10 x mini briose (roz si roz inchis)
16 x cake pops (roz si roz inchis)
16 x choux vanilie (roz)
16 x mousse de fructe de padure
16 x mini pavlova
---
</t>
    </r>
    <r>
      <rPr>
        <b/>
        <u/>
        <sz val="11"/>
        <color rgb="FF000000"/>
        <rFont val="Calibri"/>
        <family val="2"/>
      </rPr>
      <t>CAT MAI MULT ROOOZ. 
MUUUULT ROOOOOOOOZ!!!</t>
    </r>
  </si>
  <si>
    <t xml:space="preserve"> 1 x tort decorat mickey mouse ca in poze décor. (3.5 kg greutate totala, OREO)
Albastru in loc de rosu
Cu "1" in loc de "2"
Cu "Lucas Nicolas" in loc de Pablo"</t>
  </si>
  <si>
    <t>tort oreo 2.5 kg pentru comanda sole 08.02
--</t>
  </si>
  <si>
    <t>Colonel Iosif Albu nr 88, Bl:b, Sc:1, Ap:42, Et:5, sector 3</t>
  </si>
  <si>
    <t>1 x tort framboisier 1 kg greutate totala (decorat ca pe website)</t>
  </si>
  <si>
    <t>Adelina Paun
adelinasp@yahoo.ro
0721972485</t>
  </si>
  <si>
    <t>1 x tort ciocolata portocale omnia cu décor ca in catalog ( 2 kg)
---
Mesajul este "La Multi Ani!"</t>
  </si>
  <si>
    <t>promotie 80 ron/kg
-
cash cu bon</t>
  </si>
  <si>
    <t>1 x tort harry potter (3 kg - oreo)
--
Mesajul este "Happy 10th Birthday, David"</t>
  </si>
  <si>
    <t>cash cu bon (20% discount inclus)</t>
  </si>
  <si>
    <t>Calin Cristian
0724 566 994</t>
  </si>
  <si>
    <t>1.5kg - 1.7 kg tort oreo pentru Calin Cristian 09.02.2020</t>
  </si>
  <si>
    <t>Lara Carol
-
Diana
Tudor 
Oliva</t>
  </si>
  <si>
    <t>Cadou</t>
  </si>
  <si>
    <t xml:space="preserve">Ruxandra Stefu
(Mirela R. Stie)
</t>
  </si>
  <si>
    <t>7 kg fistic cu zmeura ( 3 etaje) pentru comanda Ruxandra Stefu</t>
  </si>
  <si>
    <t xml:space="preserve">3 x cutii cu
-
3 x tarta fructe mix
3 x tarta fructe ciocolata
3 x savarina
3 x indiene
10 x choux fistic
10 x macarons mix (georgiana)
---
Se lasa la ei in birou, cadou din partea cofetariei
</t>
  </si>
  <si>
    <t>Preia Mirela Cash</t>
  </si>
  <si>
    <t>Strada Trifesti,  nr 5, ap 15, sector 1, zona Baneasa</t>
  </si>
  <si>
    <t>Alina
0742803363</t>
  </si>
  <si>
    <t>Dedgustare</t>
  </si>
  <si>
    <t>degustare torturi sala evenimente BELLUNO
--
Din partea lui Dan florea</t>
  </si>
  <si>
    <t>Dragos - BELLUNO 
0 721 888 186
---
De sunat dimineata si anuntat ca s-a schimbat ora de la 14:00 la 10:45</t>
  </si>
  <si>
    <t>negru cu auriu
---
15 x choux fistic
16 x  rasberry vanila
16 x carrot cake
15 x pahar tiramisu
15 x cake pops
16 x mini-briose</t>
  </si>
  <si>
    <t>shlomo sharon
0731 202 023</t>
  </si>
  <si>
    <t>Blvd pipera 198j.columbus residence (also in waze)</t>
  </si>
  <si>
    <t>2 kg compozitie OREO (3,3Kg total) tort iepuras modelul si culorile exact ca in poza|| mesaj pe suport "MAAYAN 9"</t>
  </si>
  <si>
    <t>Sapun Dragos Ionut
0735 562 409</t>
  </si>
  <si>
    <t xml:space="preserve">AMENAJARE CANDY-BAR 60 persoane: (vesela aurie)
34 x choux fistic
34  x macarons culori tematice
34 x mini tarta ciocolata &amp; caramel
34 x mini tarta lamaie si bezea flambata
34 x mini pavlova
34 x mini tarte fructe
22 x pahar tiramisu
22 x eclere artizanale 
22 x cake pops tematice
11 x briose tematice </t>
  </si>
  <si>
    <t>Comision Corina (30 euro)</t>
  </si>
  <si>
    <t>factura avans persoan Sapun Dragos Ionut 30%</t>
  </si>
  <si>
    <t>Georgiana
0 756 938 873</t>
  </si>
  <si>
    <t>Zaar
(Langa Issoleta)</t>
  </si>
  <si>
    <t>Factura pe
Zar International Events
RO41382242</t>
  </si>
  <si>
    <t>Zaar</t>
  </si>
  <si>
    <t>Denisa Mihalache
0762808657</t>
  </si>
  <si>
    <t>2 x platou 10 persoane miniprajituri pe tavite aurii</t>
  </si>
  <si>
    <t>1 x etaj krantz pentru macheta denisa mihalache (uitati-va la macheta ca sa estimati gramajul va rog)</t>
  </si>
  <si>
    <t>Strada Lipscani 16, cladirea BNR, 030035
--
de sunat cand suntem jos</t>
  </si>
  <si>
    <t>Georgiana Balea
0724558800
---
Laurentiu te rog sa o suni la 9:00 si sa o anunti ora de sosire.</t>
  </si>
  <si>
    <t>Tudor Bianca
0763938634</t>
  </si>
  <si>
    <t>12 kg tort x 80 ron
-
50 ron figurina
- 
1000 ron 50 pax candy-bar
----------
A platit avans 500 RON la cofetarie. Cash cu bon la restaurant</t>
  </si>
  <si>
    <t>Alegria 2 (trebuie sa sunam sa luam adresa)
---
Evenimentul incep la 20:00. Amenajarea se face de la 18:00 la 19:30</t>
  </si>
  <si>
    <t>Ignat Irina
0768162200</t>
  </si>
  <si>
    <t>1 x tort duo-mousse pentru macheta irnat irina 02.05.</t>
  </si>
  <si>
    <t>Lake Resort Buftea, Aleea cu Brazi 3-5, Buftea
----
Evenimentul incepe la 18:00. Amenajarea se face de la 16:30 la 17:30</t>
  </si>
  <si>
    <t>800 RON TORT
-
450 RON macheta
-
1000 RON candy
-----------
A platit deja 500 RON avans. Fara brrr la eveniment</t>
  </si>
  <si>
    <t>A platit deja 350 pe 24.01.2020. Mai are de achitat restul pana la 1150
---
cash cu bon. Plateste la restaurant</t>
  </si>
  <si>
    <r>
      <t xml:space="preserve">Asezam tort real si monoportii pe suport plexiglas:
---
1 x tort real 2kg duo-mousse visine cu drip alb si figurina pusa pe el (in departament décor)
PE TORT SA PUNEM O PLACUTA CU "Delia Maria"
---
80 x monoportie rotunda duo-mousse visine (120 greutate totala)
-
AMENAJARE PE MOBILIER TARG
-
Candy-Bar 50 Pax
</t>
    </r>
    <r>
      <rPr>
        <b/>
        <u/>
        <sz val="11"/>
        <color rgb="FF000000"/>
        <rFont val="Calibri"/>
        <family val="2"/>
      </rPr>
      <t>(AURIU CU ALB)</t>
    </r>
    <r>
      <rPr>
        <b/>
        <sz val="11"/>
        <color rgb="FF000000"/>
        <rFont val="Calibri"/>
        <family val="2"/>
      </rPr>
      <t xml:space="preserve">
28 x Choux a la Crème Fistic
28 x Macarons (alb cu auriu)
28 x Mini Tarta Ciocolata si Caramel
28 x Mini Tarta Lamaie si Bezea Flambata
28 x Mini Pavlova
28 x Mini Tarta Fructe
18 x Pahar Tiramisu
18 x Ecler Artizanal (alb/auriu)
18 x Cake Pops Tematice (alb/auriu)
9 x Briose Tematice (Alb/auriu)</t>
    </r>
  </si>
  <si>
    <t>1 x macheta ca in departament décor (doar macheta) + o placuta cu numele "Patrick Mihai".
--
83 monoportii (120 grame) bailey's</t>
  </si>
  <si>
    <t xml:space="preserve">
1 x tort ca in poze décor cu 1 etaje macheta si 1 real (duo-mousse visine)
Pe discul machetei sa fie scris "Emily Sofia"
--
80 x monoportie triunghiulara duom-mousse visnie(120 gr felie)
--
AMENAJARE PE MOBILIER TARG
-
Candy-Bar 50 Pax
(ROZ CU ALB)
28 x Choux a la Crème Fistic
28 x Macarons (alb cu roz)
28 x Mini Tarta Ciocolata si Caramel
28 x Mini Tarta Lamaie si Bezea Flambata
28 x Mini Pavlova
28 x Mini Tarta Fructe
18 x Pahar Tiramisu
18 x Ecler Artizanal (alb/roz)
18 x Cake Pops Tematice (alb/roz)
9 x Briose Tematice (Alb/roz)
</t>
  </si>
  <si>
    <t>Ana Ciuperca
0 720 052 042</t>
  </si>
  <si>
    <t>IN AFARA BUC
--
Vinalia. Se afla în Ceptura de jos, nr 719A.
---
Evenimentul incepe la 19:30. Se amenajeaza de la 18:00 la 19:00</t>
  </si>
  <si>
    <t>3 etaje tort berry chocolate pt tort real ana ciuperca 22.08 (5.5 kg in total)</t>
  </si>
  <si>
    <t>Ramada Nord, Strada Daniel Danielopolu 44, București
---
Evenimentul incepe la 20:00. Amenajarea se face intre 18:30 si 19:45</t>
  </si>
  <si>
    <t>etaj fistic si zmeura adaptat décor pentru macheta cecilia 12.09.</t>
  </si>
  <si>
    <r>
      <t>1 x macheta cu 2 etaje false + 1 real (fistic cu zmeura).</t>
    </r>
    <r>
      <rPr>
        <b/>
        <u/>
        <sz val="11"/>
        <color rgb="FF000000"/>
        <rFont val="Calibri"/>
        <family val="2"/>
      </rPr>
      <t xml:space="preserve"> INCA NU STIM DESIGNUL</t>
    </r>
    <r>
      <rPr>
        <b/>
        <sz val="11"/>
        <color rgb="FF000000"/>
        <rFont val="Calibri"/>
        <family val="2"/>
      </rPr>
      <t xml:space="preserve">
---
200 x monoportii rotunde (150 gr) fistic zmeura (glasate cu verde) si zmeura in varf</t>
    </r>
    <r>
      <rPr>
        <b/>
        <u/>
        <sz val="11"/>
        <color rgb="FF000000"/>
        <rFont val="Calibri"/>
        <family val="2"/>
      </rPr>
      <t xml:space="preserve">
</t>
    </r>
    <r>
      <rPr>
        <i/>
        <sz val="11"/>
        <color rgb="FF000000"/>
        <rFont val="Calibri"/>
        <family val="2"/>
      </rPr>
      <t>--</t>
    </r>
    <r>
      <rPr>
        <b/>
        <u/>
        <sz val="11"/>
        <color rgb="FF000000"/>
        <rFont val="Calibri"/>
        <family val="2"/>
      </rPr>
      <t xml:space="preserve">
Amenajare Candy-Bar 130 pax</t>
    </r>
    <r>
      <rPr>
        <b/>
        <sz val="11"/>
        <color rgb="FF000000"/>
        <rFont val="Calibri"/>
        <family val="2"/>
      </rPr>
      <t xml:space="preserve">
73 x Choux a la Crème Fistic
73 x Macarons Culori Tematice
73 x Mini Tarta Ciocolata si Caramel
73 x Mini Tarta Lamaie si Bezea Flambata
73 x Mini Tarta Fructe
73 x Pahar Mousse Vanilie &amp; Zmeura
47 x Pahar Tiramisu
47 x Mini-Tarta Fistic
47 x Cake Pops Tematice
24 x Briose Tematice</t>
    </r>
  </si>
  <si>
    <r>
      <t xml:space="preserve">1 x tort macheta ca in poze décor cu un etaj real (krantz)
---
100 x felii krantz 120 gr frumos decorate
----
</t>
    </r>
    <r>
      <rPr>
        <b/>
        <u/>
        <sz val="11"/>
        <color rgb="FF000000"/>
        <rFont val="Calibri"/>
        <family val="2"/>
      </rPr>
      <t xml:space="preserve">amenajare candy-bar 100 pax
</t>
    </r>
    <r>
      <rPr>
        <b/>
        <sz val="11"/>
        <color rgb="FF000000"/>
        <rFont val="Calibri"/>
        <family val="2"/>
      </rPr>
      <t xml:space="preserve">56 x Choux a la Crème Fistic
56 x Macarons Culori Tematice
56 x Mini Tarta Ciocolata si Caramel
56 x Mini Tarta Lamaie si Bezea Flambata
56 x Mini Pavlova
56 x Mini Tarta Fructe
36 x Pahar Tiramisu
36 x Ecler Artizanal
36 x Cake Pops Tematice
18 x Briose Tematice
</t>
    </r>
  </si>
  <si>
    <t>Club Colonial, Cernica
--
Evenimentul incepe la 19:00. Amenajarea se face de la 17:45 la 18:45</t>
  </si>
  <si>
    <t xml:space="preserve">1 x etaj kratnz pentru macheta dinu alexandra. (atentie ca e tort patrat) </t>
  </si>
  <si>
    <t>Anca
0724616610</t>
  </si>
  <si>
    <t>2.5 kg tort snickers cu poza din departament décor</t>
  </si>
  <si>
    <t>cash cu bon. A platit integra.</t>
  </si>
  <si>
    <t>Ridicare Candy</t>
  </si>
  <si>
    <t>Ridicare Candybar Carmen Scur</t>
  </si>
  <si>
    <t>Restaurant Gradina cu Licurici</t>
  </si>
  <si>
    <t>Ruxandra Despa
0 785 222 123</t>
  </si>
  <si>
    <t>prtocol degustare
--
targ</t>
  </si>
  <si>
    <t>alexandru eliz
0769088877</t>
  </si>
  <si>
    <t>1 x tort bailey's 3 kg cu mesajul La Multi Ani Tati</t>
  </si>
  <si>
    <t>A platut 200. Mai trebuie incasati 40 RON cash cu bon</t>
  </si>
  <si>
    <t xml:space="preserve">1 x tort real ca in departament decor ( 3 etaje, berry chocolate) 7.5 kg greutate totala
--
atentie mare la figurine!
--
Mesajul de pe tort sa fie "Forță fie cu voi!" in loc de Star Wars dar cu acelasi font!
+
Amenajare Candy-Bar 50 Pax
(STAR WARS)
28 x Choux a la Crème Fistic
28 x Macarons (star wars)
28 x Mini Tarta Ciocolata si Caramel
28 x Mini Tarta Lamaie si Bezea Flambata
28 x Mini Pavlova
28 x Mini Tarta Fructe
18 x Pahar Tiramisu
18 x Ecler Artizanal (star wasr)
18 x Cake Pops Tematice (star wars)
9 x Briose Tematice(star wasrs)
</t>
  </si>
  <si>
    <t>Candy-Bar: 1000 RON
Tort: 750 RON
Transport: 756 RON
---
A platit factura avans 750 RON. Mai trebuie facuta factura rest 1756 RON</t>
  </si>
  <si>
    <t>Bobbi 
0725739103</t>
  </si>
  <si>
    <t xml:space="preserve">1,2 kg Fistic cu Mango (Omnia) </t>
  </si>
  <si>
    <t>220 x portii de 100g de TRIOMOUSSE
+
1,5 kg tort real pentru macheta mica
+
macheta alba 4 etaje mica de 10 (stie Reta) - poze décor</t>
  </si>
  <si>
    <t>23,5 x 75 
+
400 
(factura Mogosoaia IT QUEST &amp; Management)</t>
  </si>
  <si>
    <t>Olguta Orzan
0 721 250 525</t>
  </si>
  <si>
    <t>12:3p</t>
  </si>
  <si>
    <t>1 x tort decorat (Tort Figurina Mignon)
 3 kg (1 etaj)
 Berry Chocolate
Mesaj Personalizat: La mulți ani Milan!</t>
  </si>
  <si>
    <t>1 x 2.2 kg berry chocolate pentru comanda Laura preda 21.02</t>
  </si>
  <si>
    <t>Naan Project, Strada Progresului 1-3</t>
  </si>
  <si>
    <t>1 x tort drepunghiular (12 kg Fistic cu zmeura). Sa punem o poza mare cu Mickey Mousse ca in departament décor si sa scriem mare pe tort "Vlad Stefan". Restul tortului sa fie ornat frumos cu fructe/macarons/etc ca sa nu para gol</t>
  </si>
  <si>
    <t>1 x tort drepunghiular fistic cu zmeura 12 kg pentru Emilia (22.02.2020)</t>
  </si>
  <si>
    <t>Decir</t>
  </si>
  <si>
    <t xml:space="preserve">1 x vesela candy-bar
+
1 x candy-bar 40 persoane botez baiat:
--
40 x Choux a la Crème Fistic
40 x Macarons Culori Tematice
40 x Mini Tarta Ciocolata si Caramel
40 x Mini Tarta Lamaie si Bezea Flambata
40 x Mini Pavlova
40 x Mini Tarta Fructe
26 x Pahar Tiramisu
26 x Ecler Artizanal
26 x Cake Pops Tematice
13 x Briose Tematice
---
Aici vom trimite doar vesela! Mirela sa-mi dai te rog frumos pe whatsapp o poza cu amenajarea sa le trimintem sa stie ce sa faca!
</t>
  </si>
  <si>
    <t>Comanda Telefon
0736941341</t>
  </si>
  <si>
    <t>1 x tort oreo 1 kg cu mesajul "La Multi Ani, Aida Ilinca"
---
1 x tort opera 1 kg
---
1 x felie peanut butter chocolate raw vegan (e alergica la lapte)</t>
  </si>
  <si>
    <t>Soseaua Pantelimon 225, Bl. 66, Sc. 5, Et 1, Ap 179,  Interfon "179C"</t>
  </si>
  <si>
    <t>195 cash cu bon</t>
  </si>
  <si>
    <t>Dana Neacsu
0 762 189 013</t>
  </si>
  <si>
    <t>Alexandru
0 721 235 084
---
De specifciat ca prajiturile sunt din partea Laurei</t>
  </si>
  <si>
    <t>1 x tort oreo 2.5 kg pentru tort Alexandru 15.02</t>
  </si>
  <si>
    <t>Client Sole
0723335183</t>
  </si>
  <si>
    <t>7 kg tort opera, "la multi ani, selma" scris direct pe tort, nu vor placuta, decor minimalist din ciocolata,nu vor fructe</t>
  </si>
  <si>
    <t>1 x tort fortnite (3.5 kg) oreo ca in poze décor cu un singur etaj.
Numele este "Stefan".
Cifra este "9".
--
2 x platou miniprajituri 10 persoane</t>
  </si>
  <si>
    <t xml:space="preserve">Amanda (Lev'Or)
</t>
  </si>
  <si>
    <t>Strada occidentului 25, Hotel Best Western</t>
  </si>
  <si>
    <r>
      <rPr>
        <b/>
        <u/>
        <sz val="11"/>
        <color rgb="FF000000"/>
        <rFont val="Calibri"/>
        <family val="2"/>
      </rPr>
      <t>Cash</t>
    </r>
    <r>
      <rPr>
        <b/>
        <sz val="11"/>
        <color rgb="FF000000"/>
        <rFont val="Calibri"/>
        <family val="2"/>
      </rPr>
      <t xml:space="preserve"> cu factura. Lev' Or Impex</t>
    </r>
  </si>
  <si>
    <r>
      <rPr>
        <b/>
        <u/>
        <sz val="11"/>
        <color rgb="FF000000"/>
        <rFont val="Calibri"/>
        <family val="2"/>
      </rPr>
      <t>NU FACEM NOI AMENAJARAEA</t>
    </r>
    <r>
      <rPr>
        <b/>
        <sz val="11"/>
        <color rgb="FF000000"/>
        <rFont val="Calibri"/>
        <family val="2"/>
      </rPr>
      <t xml:space="preserve">
Cupcake x 20
Choux Fistic x 30
Mini Tarta Ciocolata x 45
Mini Tarta Fructe x 45
Mini Tarta Citron x 30
Cake Pops x 30
Mini Pavlova x 45
Macarons Mix x 45 (toate culorile. E important!!!)
Mousse Tiramisu x 20
Mini Carrot Cake x 30
Bezele Artizanale x 40</t>
    </r>
  </si>
  <si>
    <t>Factura cu OP pe firma "NEVER SAY NEVER SRL"
--
12 kg x 100 ron</t>
  </si>
  <si>
    <t>Dan
0729057479</t>
  </si>
  <si>
    <t>1 x Raspberry love 700g
+ 
1 x Ciocolate passion 700g
+ 
1 x First Bite Mille Feuiile 700g
+
20 macarons in forma de inima</t>
  </si>
  <si>
    <t xml:space="preserve">protocol </t>
  </si>
  <si>
    <t>2 x platouri minipraji 10 persoane</t>
  </si>
  <si>
    <t>de dat LPV din partea mea</t>
  </si>
  <si>
    <t>1 x Raspberry love 700g
+
1 x First Bite Mille Feuiile 700g</t>
  </si>
  <si>
    <t>pentru personal cofetarie (un tort sa fie servit miercuri pe un schimb si celalalt joi pe celalalt schimb)</t>
  </si>
  <si>
    <t>degustare torturi: 
1x fistic cu zmeura 
1 x honey
1 x portocala, mango si ciocolata
1 x Krant
1 x framboisier</t>
  </si>
  <si>
    <t>Mogosoaia</t>
  </si>
  <si>
    <t>protocol de gustare de dus impreuna cu comanda</t>
  </si>
  <si>
    <t xml:space="preserve">macheta - 600
tort - 2550 ron(30 kg x 85)
candy-bar - 2216 RON
---
I-am facut factura de 782 RON. Trebuie stornata aia si facuta una cu toata suma pt diferenta de 4042.15 RON
</t>
  </si>
  <si>
    <t>Enache Georgiana/ David Iuta
0784619373</t>
  </si>
  <si>
    <t xml:space="preserve">Candy-Bar 135 persoane (Negru si Auriu)
76 x Choux a la Crème Fistic
76 x Macarons Culori Tematice (culori tematice)
76 x Mini Tarta Ciocolata si Caramel
76 x Mini Tarta Lamaie si Bezea Flambata
76 x Mini Pavlova
76 x Mini Tarta Fructe
49 x Pahar Tiramisu
49 x Ecler Artizanal
49 x Cake Pops Tematice
25 x Briose Tematice
</t>
  </si>
  <si>
    <t>Salon du mariage, DN1, Calea București nr. 51, Săftica
---
Evenimentul incepe la 19:30. Amenajarea se face intre 18:00 si 19:00</t>
  </si>
  <si>
    <t>221 transport
2177 candy-bar
--
Factura pe david iuta de avans facuta pt 240 RON. Trebuie facuta factura pt toata suma si stornata celalalta</t>
  </si>
  <si>
    <t>Cristian Badea
0 721 951 363</t>
  </si>
  <si>
    <t>Hotel Marshal Garden, Calea Dorobanți 50B, restaurant etaj 6
---
Evenimentul incepe la 20:00. Candy bar'ul se amenajeaza de la 18:30 la 19:30</t>
  </si>
  <si>
    <t xml:space="preserve">Candy-Bar 100 pax cu amenajare:
LILA + ALB
56 x Choux a la Crème Fistic
56 x Macarons Culori Tematice
56 x Mini Tarta Ciocolata si Caramel
56 x Mini Tarta Lamaie si Bezea Flambata
56 x Mini Pavlova
56 x Mini Tarta Fructe
36 x Pahar Tiramisu
36 x Ecler Artizanal
 36 x Cake Pops Tematice
18 x Briose Tematice
</t>
  </si>
  <si>
    <t>1672 RON candy-bar
--
Le-am facut factura de 167 RON. Trebuie anulata factura si incasat restul sumei de 1505.</t>
  </si>
  <si>
    <t>Madalina Graur
0 735 111 212</t>
  </si>
  <si>
    <t>Candy-Bar 50 persoane (Tematica Natura || Alb/Verde)
56 x Choux a la Crème Fistic
56 x Macarons Culori Tematice
56 x Mini Tarta Ciocolata si Caramel
56 x Mini Tarta Lamaie si Bezea Flambata
56 x Mini Pavlova
56 x Mini Tarta Fructe
36 x Pahar Tiramisu
36 x Ecler Artizanal
36 x Cake Pops Tematice
18 x Briose Tematice
---
Sa aducem mult decor ca sa umplem masa</t>
  </si>
  <si>
    <t>Gradina Floreasca, Salonul 2, Bulevardul Mircea Eliade 16, București 014192
---
Evenimentul incepe la 20:00. Amenajarea se face de la 18:45 la 19:45</t>
  </si>
  <si>
    <t>I-am facut factura de avans de 95 Ron. Trebuie stornata si sa-I facem o factura intreaga cu 950</t>
  </si>
  <si>
    <t>Loredana Gradinaru
0749218858
--
Contact locatie:
Nicoleta Simionescu
0 756 116 009</t>
  </si>
  <si>
    <t>oferta de 3500 candy-bar si tort. 
--
3500 cu 10% discount. Au primit factura de avansa de 10%(300 RON). Trebuie stornata factura si facuta factura pe suma totala</t>
  </si>
  <si>
    <t>Anca Bratu
0 724 541 641</t>
  </si>
  <si>
    <t>1 x tort decorat ca in poze décor (berry chocolate - 9 kg - 3 etaje)
--
In loc de albastru sa punem galben (inclusiv benzile de satin)
--
Pe norisorul din centru sa scriem numele baiatului "Eric"</t>
  </si>
  <si>
    <t>Factura pe persoana fizca</t>
  </si>
  <si>
    <t>3 etaje berry chocolate pentru tort Anca Bratu 04.04.2020 (6 kg)</t>
  </si>
  <si>
    <t>Str Victor Brauner nr 34 38, complex metropolitan, etj 4, ap32</t>
  </si>
  <si>
    <t>2 kg compozitie framboisier cu un strat de mousse ciocolata alba in loc de vanilie,  tort unicorn avand culorile exact ca in poza|| mesaj pe suport "Anastasia" si cifra 2 sau cum vreti voi sa arate bine
+
3 x tarte cu zmeura</t>
  </si>
  <si>
    <t>card (POS) cu bon</t>
  </si>
  <si>
    <t>facebook</t>
  </si>
  <si>
    <t>Hagivreta Dafina
0 769 211 282</t>
  </si>
  <si>
    <r>
      <rPr>
        <b/>
        <u/>
        <sz val="11"/>
        <color rgb="FF000000"/>
        <rFont val="Calibri"/>
        <family val="2"/>
      </rPr>
      <t xml:space="preserve">Amenajare Candy-Bar 170 persoane  </t>
    </r>
    <r>
      <rPr>
        <b/>
        <sz val="11"/>
        <color rgb="FF000000"/>
        <rFont val="Calibri"/>
        <family val="2"/>
      </rPr>
      <t xml:space="preserve">
96 x Choux a la Crème Fistic
96 x Macarons Mix
96 x Mini Tarta Ciocolata si Caramel
96 x Mini Tarta Lamaie si Bezea Flambata
96 x Mini Pavlova
96 x Mini Tarta Fructe
62 x Pahar Tiramisu
62 x Ecler Artizanal
62 x Cake Pops
31 x Briose 
</t>
    </r>
  </si>
  <si>
    <t>Conacul din Livada, Șoseaua Olteniței nr. 11, Popești-Leordeni 077160
---
Evenimentul incepe la 19:00. Amenajarea se face de la 17:45 la 18:45</t>
  </si>
  <si>
    <t>A fost facuta factura de 268 RON. Trebuie stearsa factura si facuta una pe toata suma. Mai are de platit 2414 RON</t>
  </si>
  <si>
    <t xml:space="preserve">Georgiana Balea
0724558800
</t>
  </si>
  <si>
    <r>
      <rPr>
        <b/>
        <u/>
        <sz val="11"/>
        <color rgb="FF000000"/>
        <rFont val="Calibri"/>
        <family val="2"/>
      </rPr>
      <t>Candy-Bar 90 persoane cu amenajare</t>
    </r>
    <r>
      <rPr>
        <b/>
        <sz val="11"/>
        <color rgb="FF000000"/>
        <rFont val="Calibri"/>
        <family val="2"/>
      </rPr>
      <t xml:space="preserve">
51 x Choux a la Crème Fistic
51 x Macarons Culori Tematice
51 x Mini Tarta Ciocolata si Caramel
51 x Mini Tarta Lamaie si Bezea Flambata
51 x Mini Pavlova
51 x Mini Tarta Fructe
33 x Pahar Tiramisu
33 x Ecler Artizanal
33 x Cake Pops Tematice
17 x Briose Tematice
---
ASTEPTAM SA NE SPUNA TEMATICA
</t>
    </r>
  </si>
  <si>
    <t>Lagoo Snagov, DJ101B, Comuna Snagov 077165
--
Evenimentul incepe la 18:00. Amenajarea se face de la 16:45 la 17:45</t>
  </si>
  <si>
    <t>I-am facut factura de avans de 152 Ron. Trebuie stornata si sa-I facem o factura intreaga cu 1528</t>
  </si>
  <si>
    <t>voicu dan
0761551270</t>
  </si>
  <si>
    <t>2 x cashew stone raw veg (20 lei/buc)
2 x peanutbutter chocolate bar (25 lei/buc)</t>
  </si>
  <si>
    <t>A platut 50 rona vans pe 11.02.2020. Mai are de achita doar 40 RON</t>
  </si>
  <si>
    <t>2 x RASPBERRY LOVE CAKE
2 x CHOCOLATE PASSION CAKE.</t>
  </si>
  <si>
    <t>Brindus
0722 351 666</t>
  </si>
  <si>
    <t>Gara Herastrau, 2-4, etaj 7</t>
  </si>
  <si>
    <t>1 x LOVE AT FIRST BITE (Mille Feuille)
1 x CHOCOLATE PASSION CAKE(FARA CARAMEL!!!!!!)</t>
  </si>
  <si>
    <t>Simina 
0 726 697 785</t>
  </si>
  <si>
    <t>Nicolae Filipescu, 50</t>
  </si>
  <si>
    <t>1 x Rasberry Love Cake / placuta cu  "La multi ani minunati, dr. Angela!"</t>
  </si>
  <si>
    <t>bd. Corneliu Coposu 3, Farmcia Dona (Unirii)</t>
  </si>
  <si>
    <t>platit pe 13</t>
  </si>
  <si>
    <t>incaseaza direct dan</t>
  </si>
  <si>
    <t>fara brrrr
incaseaza Dan direct pentru tortul asta si cele de pe 15 (20 % reducere)</t>
  </si>
  <si>
    <t xml:space="preserve">Adina-Florentina Marusca
-
0 774 035 570 (numar sot)
</t>
  </si>
  <si>
    <r>
      <t xml:space="preserve">1 x macheta 3 nivele cu etaj real. </t>
    </r>
    <r>
      <rPr>
        <b/>
        <u/>
        <sz val="11"/>
        <color rgb="FF000000"/>
        <rFont val="Calibri"/>
        <family val="2"/>
      </rPr>
      <t>ATENTIE CA INCA NU AM PRIMIT DESIGN SI NU AM BAGAT COMANDA DECOR</t>
    </r>
    <r>
      <rPr>
        <b/>
        <sz val="11"/>
        <color rgb="FF000000"/>
        <rFont val="Calibri"/>
        <family val="2"/>
      </rPr>
      <t xml:space="preserve">
--------------
200 x felii (150 gr) compozitie personalizata (Capac de Krantz + Tort Omnia de la jeleu inclusiv in jos)
--------------
Candy-Bar 200 pax Amenajare
-
112 x Choux a la Crème Fistic
112 x Macarons Culori Tematice
112 x Mini Tarta Ciocolata si Caramel
112 x Mini Tarta Lamaie si Bezea Flambata
112 x Mini Pavlova
112 x Mini Tarta Fructe
72 x Pahar Tiramisu
72 x Ecler Artizanal
72 x Cake Pops Tematice
36 x Briose Tematice
</t>
    </r>
  </si>
  <si>
    <t>Hotel Bulevard Prestige, Bulevardul Alexandru Ioan Cuza Nr. 12, Slatina 230001
---
Evenimentul incepe la 20:00. Candy-bar'ul se amenajeaza de la 18:45 la 19:45</t>
  </si>
  <si>
    <t>am facut factura de avans pe 12.02 de 650. Trebuie stearsa si facuta factura pe toata suma</t>
  </si>
  <si>
    <t>1 x tort 1 kg personalizat
---
De jos in sus:
- Blat Negru Nuci Insiropate cu Fructul pasiunii
- Mousse Ciocolata &amp; Portocale
- Jeleu de Mango
- Mousse de Arahide de La Krantz</t>
  </si>
  <si>
    <t>parcul carol</t>
  </si>
  <si>
    <t>Orlando
0 726 752 636</t>
  </si>
  <si>
    <t xml:space="preserve">2 x Raspberry love  
+ o cutie de macarons </t>
  </si>
  <si>
    <t>cash cu bon. Are discount inclus!</t>
  </si>
  <si>
    <t>1 x monoportie duo-mousse visine
1 x monoportie framboisier
1 x monoportie krantz
1 x monoportie carrot cake
1 x monoportie fistic mango omnia
---
Toate trebuie sa fie 150-170 gr max
Decorul trebuie sa fie identic ca la eveniment
--
Atentie ca vor fi produse 500 de buc</t>
  </si>
  <si>
    <t>Degustare Kinesis
--
De sunat si confirmat data/locatie/ora</t>
  </si>
  <si>
    <t>Client Cofetarie
0 727 689 756</t>
  </si>
  <si>
    <t>1 x tort honney 1.5 kg (greutate totala) decorat ca in poze décor (cu glaze ALB!)
---
in loc de mesaj sa scriem "Forever"</t>
  </si>
  <si>
    <t>1 x tort honney 1 kg pentru Client cofetarie 14.02.2020</t>
  </si>
  <si>
    <t>Ridicare Candybar ZAAR</t>
  </si>
  <si>
    <t>Ridicare Candy
0 756 938 873</t>
  </si>
  <si>
    <t>Roxana Chiritoiu
0733.527.201</t>
  </si>
  <si>
    <t>1 x etaj krantz pentru macheta bragadiru 15.02.2020</t>
  </si>
  <si>
    <t>Culori: roz, mov, galben,, alb
15 x cake pops (roz, mov, galben,, alb)
15 x mini briose (roz, mov, galben,, alb)
16 x choux fistic
16 x choux vanilie 
15 x  carrot cake
15 xrasberry vanilla</t>
  </si>
  <si>
    <t>2 etaje (4.5 kg total) pentru tort sole 16.02.2020</t>
  </si>
  <si>
    <t>Ples Iliana
0741252373</t>
  </si>
  <si>
    <t>1 x tort 1.6 kg pavlova</t>
  </si>
  <si>
    <t>Taqueria El Torito - Strada Apolodor Nr 3, 050741</t>
  </si>
  <si>
    <t>SCOS CERTIFICAT DE CONFORMITATE
--
A fost achitat pe website</t>
  </si>
  <si>
    <t>Total Euro:</t>
  </si>
  <si>
    <t>Valoare Euro Comenzi Preluate</t>
  </si>
  <si>
    <t>Average/ day</t>
  </si>
  <si>
    <t>Corina Lpv
0726503541</t>
  </si>
  <si>
    <t>1 x tort framboisier 1.8 kg
"La Multi Ani Eric!"
"1 an"</t>
  </si>
  <si>
    <t>1 x Raspberry Love Cake 
1 x Love at First Bite Mille Feuille</t>
  </si>
  <si>
    <t>15 x tarte fructe</t>
  </si>
  <si>
    <t>Confort City, Splaiul Unirii 9, Bl 7, Sc. B, Interfon 81, Popești-Leordeni 077160
--
Se intra pe la bariera, 2 ore sunt gratis</t>
  </si>
  <si>
    <t xml:space="preserve">Alecsia Toth
0771515756
</t>
  </si>
  <si>
    <t xml:space="preserve">1 x tarta ciocolata
1 x cutie macarons valentines (impachetata frumos si pusa separat in punga)
1 x tarta fructe
1 x choux mare
1 x ecler ciocolata
1 x ecler cafea
1 x amandina
</t>
  </si>
  <si>
    <t>preia Tudor Banii direct cash</t>
  </si>
  <si>
    <t>Anca Marinescu 
0751 111 039</t>
  </si>
  <si>
    <t>2 x Rasberry LOVE</t>
  </si>
  <si>
    <t>Strada Italia nr. 1-7, Chiajna, - sediul Ford Trucks</t>
  </si>
  <si>
    <t>Bulevardul Nicolae Grigorescu 157, pers de contact d-na Magda Cojocaru, tel: 0728 171 632</t>
  </si>
  <si>
    <t>cadou din partea Ancai Marinescu</t>
  </si>
  <si>
    <t>1 x Rasberry LOVE</t>
  </si>
  <si>
    <t>Strada Fetesti nr 10, Bl V13, pers de contact Silvia Marinescu - tel: 0723 857 038</t>
  </si>
  <si>
    <t>George Enescu nr 8A, intre magheru si Calea Victoriei, pers de contact Roberta Leonardo, tel: 0720 709 264</t>
  </si>
  <si>
    <t>Str. Aviator Petre Cretu, nr. 49., Biroul notarial Alina Tinta, Tel: 0732 146 690</t>
  </si>
  <si>
    <t>Madalina Blue
0 764 382 800</t>
  </si>
  <si>
    <t>Str. Magura Vulturului 42</t>
  </si>
  <si>
    <t>Tort Berry Chocolate
Greutate: 1.5 kg
Mesaj Personalizat: La multi ani, Paula!</t>
  </si>
  <si>
    <t>Cristina Badea
0744337946</t>
  </si>
  <si>
    <t>a fost achitat pe website</t>
  </si>
  <si>
    <t>Strada Coralului nr 2, bl 1, sc 2, ap 102, interfon 102
---
blocul terasat, dupa Penny in drepata, cel care are la parter Mega Shop&amp;Go si salonul Beauty Maker.</t>
  </si>
  <si>
    <t>card (POS) cu bon (reducere 30% ) promotie FB</t>
  </si>
  <si>
    <t>Platou Prăjituri cafea 10 persoane:
12 x brownies
8 x chocolate chip cookie
8 x cookie afine
----------------------------
Platou mini Prăjituri 10 persoane, care sa contina:
10 x tarta ciocolata
16 x choux fistic
10 x tarta fructe
16 x macaron
---------------------
raw vegan bites 25g:
7 x Raw Vegan Pistachio Pillow
7 x Raw Vegan Blueberry Finger
7 x Raw Vegan Cashew Stone
7 x Peanut Butter &amp; Chocolate Bar</t>
  </si>
  <si>
    <t>strada Johannes Kepler 58-60, sector 2</t>
  </si>
  <si>
    <t>Daniel Anghelina
0 732 776 433</t>
  </si>
  <si>
    <t>Palatul Stirbei, Salon Stirbey Voda, Str. Știrbei Vodă, nr. 36, Buftea
---
Amenajarea se face intre 18:30-19:45. Evenimentul incepe la 20:00.</t>
  </si>
  <si>
    <t>1672 candy-bar
-
700 macheta
-----
I-am facut factura de avans de 1000 Ron. Trebuie stornata si facuta factura pentru restul sumei</t>
  </si>
  <si>
    <t xml:space="preserve">cash cu bon (199 + 135 + 140) </t>
  </si>
  <si>
    <t>5 kg Tort oreo NAKED pe 2 etaje rotunde cu 2 figurine in varf (alegeti voi)||" Cosmin" si cifra 8 undeva</t>
  </si>
  <si>
    <t xml:space="preserve">1 x macheta ca in poze décor cu ultimul etaj real krantz. MACHETA SA AIBA PRIMELE DOUA RANDURI DE JOS si ultimul de sus (3 etaje in total)
---
350 x felie krantz (125 gr) frumos decorata
---
candy-bar 100 persoane cu amenajare:
56 x choux fistic
92 macarons (roz si alb)
83 x mini tarta ciocolata
83 x mini tarta fructe
56 x mini pavlova
36 x pahar tiramisu
36 x ecler artizanal (alb si roz)
36 x cake pops tematic (alb si roz)
18 x briose tematica (Alb si roz)
</t>
  </si>
  <si>
    <t>Factura persoana fizica
--
Denisa mihalache
3117 ron (37.5 kg tort)
---
Candy-bar: 1760 ron
+
468 ron 50 feliie xtra tort</t>
  </si>
  <si>
    <t>Cristian Vaduva
0726549823</t>
  </si>
  <si>
    <t>client telefon
0 766 302 664</t>
  </si>
  <si>
    <t>1 x RASPBERRY LOVE CAKE</t>
  </si>
  <si>
    <t>Piața Sfântul Ștefan nr 6</t>
  </si>
  <si>
    <t>factura ozone media</t>
  </si>
  <si>
    <t>Steliana Irimia
0 785 707 598</t>
  </si>
  <si>
    <t>1 pachet :
1 x raspberry love 
1 x chocolate passion
1 x love at first bite (Mille Feuille)
2 x cutii macarons inima in cutie cu funda
-----------------------------------
al doilea pachet:
1 x raspberry love 
1 x chocolate passion
1 x love at first bite (Mille Feuille)
2 x cutii macarons inima in cutie cu funda</t>
  </si>
  <si>
    <t>1 x raspberry love 
1 x love at first bite (Mille Feuille)
1 x cutii macarons inima in cutie cu funda</t>
  </si>
  <si>
    <t>protocola degustare</t>
  </si>
  <si>
    <t>1 x raspberry love
1 x cutie 8 macarons</t>
  </si>
  <si>
    <t>Grigore Mora 17 bis</t>
  </si>
  <si>
    <t>1 x Rasberry Love Cake / "La multi ani minunati, dr. Monique!"
1 x Chocolate Passione Cake / fara mesaj
--
1 x cutie macarons inimioare
1 x tort inimoara raspberry
1 x borcanel crema fistic</t>
  </si>
  <si>
    <t>Simina 
0 726 697 785
--
de mentionat ca sunt cateva surprize din partea laurei</t>
  </si>
  <si>
    <t xml:space="preserve">3 x cutie macarons
2 x mille feuille
2 x raspberry love
2 x chocolate passion cake
</t>
  </si>
  <si>
    <t>2x Millefeuille 
3x chocolate pasion cake
2 x raspberry love
----------
ambalate frumos si SEPARAT. Se dau fiecare cadou unei persoane</t>
  </si>
  <si>
    <t>Andreea
(Milk And Honney)</t>
  </si>
  <si>
    <t>Strada Țintașului 17-19, București</t>
  </si>
  <si>
    <t>Photshoot</t>
  </si>
  <si>
    <t>1 x millefeiulle
1 x chocolate passion cake
1 x raspberry love
1 x cutie macarons
---
Sunt pentru o sesiune photo. Sa avem grija cu ele la transport si preparare</t>
  </si>
  <si>
    <t xml:space="preserve">1 x macheta cu 3 nivele (ultimul real - krantz) ca in poze décor
---
70 x felii krantz (120 gr)
---
Prajituri - 3 Euro/pers (65 persoane)
65 x macarons mix
32 x mini-tarte fructe
32 x mini-tarte ciocolata
32 x pavlova
32 x choux a la creme mix
32 x mini-tarte lamaie cu bezea flambata
32 x mini carrot cake
32 x mini raspberry vanilla
</t>
  </si>
  <si>
    <t>Certificat de conforimtate
+
Au primit Factura pe mail
---
200 butaforie
--
65 ron/kg tort
--
1.5 euro/pers candybar</t>
  </si>
  <si>
    <t>Anca Marinescu 
0751 111 039
----
De sunat si anuntat ca avem un pachet din partea Ancai Mrinescu</t>
  </si>
  <si>
    <t>Anca Marinescu 
0751 111 039
----
De sunat de pe drum si anuntat ca avem un pachet din partea Ancai Mrinescu</t>
  </si>
  <si>
    <t xml:space="preserve">Ana Maria Ducuta
‭‭‭‭‭(0724) 036 199‬
----
De sunat de pe drum si anuntat ca avem un pachet din partea Ancai Mrinescu
</t>
  </si>
  <si>
    <t>factuda DOT. Se da cadou.</t>
  </si>
  <si>
    <t>1 x platou candy-bar
-
4 x choux fistic (2 cu 2)
2 x tarta fructe
2 x tarta ciocolata
2 x tarta lamaie
2 x ecler (mix)</t>
  </si>
  <si>
    <t>am facut factura de avans pe 14.02 de 515. Trebuie stearsa si facuta factura pe toata suma</t>
  </si>
  <si>
    <t xml:space="preserve">Cristian Alin Vaduva
0726549823
</t>
  </si>
  <si>
    <t xml:space="preserve">Candy-Bar 50 persoane 
28 x Choux a la Crème Fistic
28 x Macarons Culori Tematice
28 x Mini Tarta Ciocolata si Caramel
28 x Mini Tarta Lamaie si Bezea Flambata
28 x Mini Pavlova
28 x Mini Tarta Fructe
18 x Pahar Tiramisu
18 x Ecler Artizanal
18 x Cake Pops Tematice
9 x Briose Tematice
----
INCA NU STIM CE CULOARE VA AVEA. TREBUIE SUNATI SI INTREBATI
</t>
  </si>
  <si>
    <t>Imperial Ballroom, Sala Ludovic, Șoseaua Pipera, Strada Avionului 9
---
Se amenajeaza intre 18:30 si 19:45. Evenimentul incepe la 20:00</t>
  </si>
  <si>
    <t>Au achitat integral cash cu bon la factura pe 14.02.2020. A batut bonul Tudor</t>
  </si>
  <si>
    <t>Georgiana Zaar</t>
  </si>
  <si>
    <t>1 x tort decorat 2 etaje real ca in poze décor (7.5 kg total || duo-mousse visine adaptat la décor)
--
Pe tort sa fie o placuta pe care sa scrie "Eva Ioana"</t>
  </si>
  <si>
    <t>1 x tort snickers 1.5 kg cu mesajul "La Multi Ani Viorela!"
-
Culori: roz pal, auriu, rose gold
19 x choux vanilie
18 x mini briose  (roz pal/auriu/rose gold)
19 x choux fistic
18 x mini rasberry vanilla
19 x mini pavlova
18 x tiramisu la pahar
19 x mini tarte cu ciocolata
100 gr bezele (roz pal/auriu/rose gold)</t>
  </si>
  <si>
    <t>Magic Castle STR. Intrarea CERCEILOR, NR. 10</t>
  </si>
  <si>
    <t>Tania Deaconu
0 721 811 136
---
Reprezentant Locatie
0723251236</t>
  </si>
  <si>
    <t>certificat de conformitate separat
+
se plateste prin factura</t>
  </si>
  <si>
    <t>Domeniul Cu Ciresi, Șoseaua Giurgiului nr. 9, 077005
---
Amenajarea se face intre 17:00 si 18:00
---
Face Laurentiu Amenajarea</t>
  </si>
  <si>
    <t>Rebecca Ballroom, Salon Queen, Strada Vatra Luminoasă 108, București 021919
-
Amenajeaza Mirela R.  intre 16:20 si 17:20</t>
  </si>
  <si>
    <t>Metropolitan, Sala Richmond, Șoseaua Pipera 48, București
--
Amenajeaza mirela R. intre 17:45 si 18:45. Evenimentul incepe la 19:00</t>
  </si>
  <si>
    <t xml:space="preserve">
SA ADUCEM FATA DE MASA ROZ
TEMATICA: flutri + alb/roz pal/turqoise
25 x choux fistic 
25  x macarons culori tematice (alb/roz pal/turqoaise)
45 x mini pavlova
25 x mini tarta lamaie si bezea flambata
25 x cake pops tematic (roz/turqoaise cu fluture artizanal)
15 x pahar mousse zmeura si vanilie (roz)
15 x pahar tiramisu
45 x eclere artizanale (alb/roz pal/turqoise) 
30 x turta tematica decorata artizanal "fluture"
250 gr bezele colorate tematic (alb/ roz pal/turqoaise)
---
SA DECORAM CAT PUTEM CANDY-BAR'ul cu FLUTURI DIN PASTA ZAHAR</t>
  </si>
  <si>
    <t>65 x choux vanilie (roz)
65  x macarons culori tematice (roz/alb/mov)
65 x mini tarta ciocolata &amp; caramel
65 x mini tarta lamaie si bezea flambata
65 x mini pavlova
65 x mini tarte fructe
34 x pahar mousse zmeura si vanilie
65 x pahar tiramisu
65 x eclere artizanale (vanilie si cafea) (roz/alb/mov)
26 x cup-cakes (ca in poza)
34 x cake pops tematici
---
Atentie1: 
Macarons trebuie sa fie pe o piramida de macarons
Atentie 2: 
Cake pops trebuie sa fie identici cu cei din poza.
Atentie 3: 
Cupcakes trebuie sa fie identici cu cei din poza
Atentie 4: 
Cat mai mult decor cu unicorni pe langa (ca in poze)</t>
  </si>
  <si>
    <r>
      <t>1 x platou degustare tort
-
1 x felie mica citron
1 x felie mica framboisier
1 x felie mica omnia fistic
1 x felie mica omnia portocale
1 x felie mica duo-mousse visine
1 x felie mica krantz
---
1 x platou candy-bar
-</t>
    </r>
    <r>
      <rPr>
        <b/>
        <u/>
        <sz val="11"/>
        <color rgb="FF000000"/>
        <rFont val="Calibri"/>
        <family val="2"/>
      </rPr>
      <t xml:space="preserve">
</t>
    </r>
    <r>
      <rPr>
        <b/>
        <sz val="11"/>
        <color rgb="FF000000"/>
        <rFont val="Calibri"/>
        <family val="2"/>
      </rPr>
      <t>4 x choux fistic (2 cu 2)
2 x tarta fructe
2 x tarta ciocolata
2 x tarta lamaie
2 x ecler (mix)
2 x mini-pavlova</t>
    </r>
  </si>
  <si>
    <t>Telcian Mihaita
0752090324</t>
  </si>
  <si>
    <t>1 x 1.6 kg ricotta cu fructe confiate</t>
  </si>
  <si>
    <t>mai are de achitat doar 28 ron. A platit avans 100</t>
  </si>
  <si>
    <t>Am facut factura de avans 351 lei pe 15.02. Trebuie sa refacem factura pe toata suma.</t>
  </si>
  <si>
    <t>American Ballroom, Faur, Poarta 1, Bulevardul Basarabia 256,
--
Evenimentul incepe la ora 19:00 . Amenajarea se face intre 17:45 si 18;:45</t>
  </si>
  <si>
    <r>
      <t xml:space="preserve">1 x tort real ca in departament décor (20 kg - 4 etaje)  (atentie, e tot real)
TREBUIE SA NE SPUNA COMPOZITIA si sa o punem in decor
!!! Crema sa fie cu nuante de verde pal in loc de roz pal
!!! Dripul Sa fie Verde pal
!!! Florile sa fie din pasta de zahar (albe/verde Pal)
--
Amenajare Candy-Bar 130 Pax
</t>
    </r>
    <r>
      <rPr>
        <b/>
        <u/>
        <sz val="11"/>
        <color rgb="FF000000"/>
        <rFont val="Calibri"/>
        <family val="2"/>
      </rPr>
      <t>CU MOBILIER CA LA TARG (Alb/verde pal)</t>
    </r>
    <r>
      <rPr>
        <b/>
        <sz val="11"/>
        <color rgb="FF000000"/>
        <rFont val="Calibri"/>
        <family val="2"/>
      </rPr>
      <t xml:space="preserve">
25 x Choux Ness
25 x Choux Vanilie
25 x Choux Ciocolata
73 x Macarons Culori Tematice
73 x Mini Tarta Ciocolata si Caramel
73 x Mini Tarta Lamaie si Bezea Flambata
73 x Mini Pavlova
73 x Mini Tarta Fructe
47 x Pahar Tiramisu
47 x Ecler Artizanal
47 x Cake Pops Tematice
24 x Briose Tematice</t>
    </r>
  </si>
  <si>
    <t>1 x carrot cake
1 x felie krantz
1 x felie raspberry vanilla
1 x felie berry chocolate
1 x snickers 
1 x felie black jack
1 x felie ciocolata si rom</t>
  </si>
  <si>
    <t>Strada Andrei Muresanu 14B, Voluntari Ilfov
--
Sa sunam inainte</t>
  </si>
  <si>
    <r>
      <t xml:space="preserve">1 x macheta 4 etaje (3 etaje fake + 1 reale) 
Comentariu 1:
In loc de negru sa facem bleumarin ca in "Poza Bleumarin"
Comentariu 2:
In loc de flori albe sa fie flori roz pal.
</t>
    </r>
    <r>
      <rPr>
        <b/>
        <u/>
        <sz val="11"/>
        <color rgb="FF000000"/>
        <rFont val="Calibri"/>
        <family val="2"/>
      </rPr>
      <t>ATENTIE CA TREBUIE SA II FACEM ETAJ REAL CA TORTUL PE CARE IL AU DEJA SI NU STIM COMPOZITIA. Trebuie bagat la decor</t>
    </r>
    <r>
      <rPr>
        <b/>
        <sz val="11"/>
        <color rgb="FF000000"/>
        <rFont val="Calibri"/>
        <family val="2"/>
      </rPr>
      <t xml:space="preserve">
---</t>
    </r>
    <r>
      <rPr>
        <b/>
        <u/>
        <sz val="11"/>
        <color rgb="FF000000"/>
        <rFont val="Calibri"/>
        <family val="2"/>
      </rPr>
      <t xml:space="preserve">
Candy-Bar 100 persoane (Bleumarin || Alb || Roz Pal) cu amenajare</t>
    </r>
    <r>
      <rPr>
        <b/>
        <sz val="11"/>
        <color rgb="FF000000"/>
        <rFont val="Calibri"/>
        <family val="2"/>
      </rPr>
      <t xml:space="preserve">
56 x Choux a la Crème Fistic
56 x Macarons Culori Tematice
56 x Mini Tarta Ciocolata si Caramel
56 x Mini Tarta Lamaie si Bezea Flambata
56 x Mini Pavlova
56 x Mini Tarta Fructe
36 x Pahar Tiramisu
36 x Ecler Artizanal
36 x Cake Pops Tematice
18 x Briose Tematice
</t>
    </r>
  </si>
  <si>
    <t>Ridicare Candy-Bar Roberta Ariton
30 buc
Sala Richmon</t>
  </si>
  <si>
    <t>Metropolitan, Sala Richmond, Șoseaua Pipera 48, București</t>
  </si>
  <si>
    <t>altele</t>
  </si>
  <si>
    <t>Domeniul Cu Ciresi, Șoseaua Giurgiului nr. 9, 077005</t>
  </si>
  <si>
    <t xml:space="preserve">Ridicare Candy-Bar Denisa Mihalache
</t>
  </si>
  <si>
    <t xml:space="preserve">Rebecca Ballroom, Salon Queen, Strada Vatra Luminoasă 108, </t>
  </si>
  <si>
    <t xml:space="preserve">Tania Deaconu
27 buc </t>
  </si>
  <si>
    <t>Factura persoana fizica ruxandra despa 196 Ron. Avans</t>
  </si>
  <si>
    <r>
      <rPr>
        <b/>
        <u/>
        <sz val="11"/>
        <color rgb="FF000000"/>
        <rFont val="Calibri"/>
        <family val="2"/>
      </rPr>
      <t>Cabdy-Bar 120 pers (ALB/AURIU)</t>
    </r>
    <r>
      <rPr>
        <b/>
        <sz val="11"/>
        <color rgb="FF000000"/>
        <rFont val="Calibri"/>
        <family val="2"/>
      </rPr>
      <t xml:space="preserve">
68 x Choux a la Crème Fistic
68 x Macarons Culori Tematice
68 x Mini Tarta Ciocolata si Caramel
68 x Mini Tarta Lamaie si Bezea Flambata
68 x Mini Pavlova
68 x Mini Tarta Fructe
44 x Pahar Tiramisu
44 x Ecler Artizanal
44 x Cake Pops Tematice
22 x Briose Tematice</t>
    </r>
  </si>
  <si>
    <t>Ghica Tei, Str. Doamna Ghica 5, sector 2
---
Amenajarea se face intre 16:30 ai 17:45. Evenimentul incepe la 18:00</t>
  </si>
  <si>
    <t>5 x cheese cake
4 x tarte fructe
4 x tarte ciocolata</t>
  </si>
  <si>
    <t>plata directa Dan cash Flow</t>
  </si>
  <si>
    <t>1 x tava negresa
22 x cookies ciocolata
22 x cookie afine</t>
  </si>
  <si>
    <t>1 x tort snickers 1.5 kg decorat ca pe website
-
1 x platou miniprajituri 5 persoane</t>
  </si>
  <si>
    <t>Aleea Stupilor nr 5, bl E7, sc 2, etaj 1, ap 27, interfon K2140 , sector 4, zona Grand Arena</t>
  </si>
  <si>
    <t>Serban 
0721231162</t>
  </si>
  <si>
    <t>Sos pantelimon 225, bl.66, sc.6, et.11, ap.268, sect 2
Interfon 268C</t>
  </si>
  <si>
    <t xml:space="preserve">tort fistic 1,6 kg
platou miniprajituri 10 pers </t>
  </si>
  <si>
    <t>Restaurant Solarino, Aleea Sinaia, Târgoviște</t>
  </si>
  <si>
    <t xml:space="preserve">1 x tort decorat ca in departament décor (raspberry vanilla 2 kg)
In loc de "ethan" sa scriem "rafael"
---
50 x monoportie triunghiulara omnia fistic (150-170 gr)
</t>
  </si>
  <si>
    <t>1.2 kg raspberry vanilla pentru Bianca Elena Badea 17.02.2020</t>
  </si>
  <si>
    <t>10 x cupcake (alb cu lila)
15 x choux fistic
15 x mini tarta ciocolata
15 x minitarta fructe
15 x mini tarta citron
15 x cake pops(alb cu lila) 
15 x mini pavlova 
15 x macarons(alb cu lila)
10 x mousse tiramisu
15 x mini carrot cake
15 x mini raspberry vanilla</t>
  </si>
  <si>
    <t xml:space="preserve">Amanda (Lev'Or)
0 724 220 663
</t>
  </si>
  <si>
    <t>28 x Choux a la Crème Fistic
28 x Macarons Culori Tematice
28 x Mini Tarta Ciocolata si Caramel
28 x Mini Tarta Lamaie si Bezea Flambata
28 x Mini Pavlova
28 x Mini Tarta Fructe
21 x Pahar Tiramisu
21 x Pahar Vanilie si Zmeura
21 x Ecler Artizanal</t>
  </si>
  <si>
    <t>Best Western Plus Briston Hotel
-
Calea Bucureștilor 11, Otopeni 075100</t>
  </si>
  <si>
    <t>certificat de conformitate
--
cash fara brr</t>
  </si>
  <si>
    <t>Lucian Service LPV
 22.02.2020</t>
  </si>
  <si>
    <t>cash la ridicare</t>
  </si>
  <si>
    <t>2 etaje oreo (estimati voi greutatea va rog) pentru tort lucian service 22.02.2020</t>
  </si>
  <si>
    <t>Ridicare</t>
  </si>
  <si>
    <t>Desert Online Novaci Nr.7 Bucuresti Bucuresti România</t>
  </si>
  <si>
    <t>de cumparat un sac cu zahar pudra 10 kg (85 lei)</t>
  </si>
  <si>
    <t>Intrare</t>
  </si>
  <si>
    <t>1 x citron
1 x fistic zmeura
1 x fistic omnia
1 x ciocolata omnia
1 x krantz
1 x frambosier
1 x duo-mousse visine
-
4 x choux fistic (2 cu 2)
2 x tarta fructe
2 x tarta ciocolata
2 x tarta lamaie
2 x ecler (mix)
2 x mini-pavlova
2 x macarons georgiana</t>
  </si>
  <si>
    <t>Iordache Irina
0 767 005 516</t>
  </si>
  <si>
    <t>degustare targ</t>
  </si>
  <si>
    <t>1 x citron
1 x fistic omnia
1 x ciocolata omnia
1 x krantz
1 x frambosier
1 x duo-mousse visine
-
4 x choux fistic (2 cu 2)
2 x tarta fructe
2 x tarta ciocolata
2 x tarta lamaie
2 x ecler (mix)
2 x mini-pavlova
2 x macarons georgiana</t>
  </si>
  <si>
    <t>Bealcu Beatrice
0 725 820 435</t>
  </si>
  <si>
    <t>4 x choux fistic (2 cu 2)
2 x tarta fructe
2 x tarta ciocolata
2 x tarta lamaie
2 x ecler (mix)
2 x mini-pavlova
2 x macarons georgiana</t>
  </si>
  <si>
    <t>Olteanu Andreea Ramona
0 762 093 121</t>
  </si>
  <si>
    <t>Amberry Hall Lights
0 726 232 259</t>
  </si>
  <si>
    <t>Amberry</t>
  </si>
  <si>
    <t>Factura pe amberry hall</t>
  </si>
  <si>
    <t>Avranuta Ruxandra
0727140631</t>
  </si>
  <si>
    <t>1 x tort raspberry vanilla ca in departament décor (cu foaie printata) (4 kg || raspberry vanilla) cu mesajul "La multi ani Rebecca"</t>
  </si>
  <si>
    <t>a platit avans 100 ron. Mai are de platit 420 cash cu bon</t>
  </si>
  <si>
    <t xml:space="preserve">1 x tort 2.8 kg raspberry vanilla pentru comanda ruxandra avranuta </t>
  </si>
  <si>
    <t>36. Badica Nicoleta
0 729 488 519</t>
  </si>
  <si>
    <t>Ioana Panait
0 731 434 160</t>
  </si>
  <si>
    <t>Candy-Bar cu amenajare
---
56 x Choux a la Crème Fistic
56 x Macarons Culori Tematice
56 x Mini Tarta Ciocolata si Caramel
56 x Mini Tarta Lamaie si Bezea Flambata
56 x Mini Pavlova
56 x Mini Tarta Fructe
36 x Pahar Tiramisu
36 x Ecler Artizanal
36 x Cake Pops Tematice
18 x Briose Tematice</t>
  </si>
  <si>
    <t>Magic Ballroom and Events, Drumul Taberei 115, București 061378
--
Evenimentul incepe la 20:00. Amenajarea se face de la 18:30 la 19:45</t>
  </si>
  <si>
    <t>Am facut factura avans de 167 lei. Trebuie stornata si platit restul</t>
  </si>
  <si>
    <t>CULOARE: CORAI
--
16 x cake pops
16 x mini briose
16 x choux fistic
16 x mini rasberry vanilla
16 x carrot cake
16 x mini pavlova
16 xchoux vanilie</t>
  </si>
  <si>
    <t>Culori: lila
-
30 x choux fistic
30 x choux vanilie
30 x mini  carrot cake
30 x mini pavlova
30 x mousse de fructe</t>
  </si>
  <si>
    <t>1 x tort omnia fistic 1.2 kg</t>
  </si>
  <si>
    <t>Cristina
0751 786 443
--
De sunat pentru confirmare ora si adresa</t>
  </si>
  <si>
    <t>Spitalul universitar, Splaiul Independenței 169,  et 1, angiograf</t>
  </si>
  <si>
    <t>1 x mille feiulle
1 x raspberry love
1 x chocolate passion</t>
  </si>
  <si>
    <t>Strada Copilului,6-12, Sc B, Et. 6, int. 27</t>
  </si>
  <si>
    <t>Sorin Elisei
0746288764</t>
  </si>
  <si>
    <t>Alexandra Olteanu
0740101126
(INITIATIVE)
--
Din partea firmei TEMPO</t>
  </si>
  <si>
    <t>Strada Grigore Alexandrescu 89-97 (Metropolis Bravo)</t>
  </si>
  <si>
    <t>A fost achitat. Este cadou</t>
  </si>
  <si>
    <t>Tempo</t>
  </si>
  <si>
    <t>1 x 1.6 kg tort omnia fistic
+
CARTOLINA DE LA TEMPO ADUSA DE CLAUDIU</t>
  </si>
  <si>
    <t>Strata Jules Michelet 18</t>
  </si>
  <si>
    <t>Calea Grivitei 82-98</t>
  </si>
  <si>
    <t>Clara Berindean
0722227314
(MIND SHARE)
--
Din partea firmei tempo</t>
  </si>
  <si>
    <t>Valeriu Galani
0751511022
(SPARK/ PUBLICIS)
--
Din partea firmei tempo</t>
  </si>
  <si>
    <t>Strada Nicolae Iorga 13</t>
  </si>
  <si>
    <t>1 x 1 kg tor omnia fisti
(ATENTIE CA ESTE 1 kg)
+
CARTOLINA DE LA TEMPO ADUSA DE CLAUDIU</t>
  </si>
  <si>
    <t>Goerge Enescu 11-11A, etaj 4, Biroul 3</t>
  </si>
  <si>
    <t>ORICAND</t>
  </si>
  <si>
    <t>ORIDACND</t>
  </si>
  <si>
    <t>Ridicare Candy-Bar
--
De sunat sunat sa vedem cand putem ridica
0723251236</t>
  </si>
  <si>
    <t>Ridicare Candy-Bar
---
0727734097
De sunat sa vedem cand putem merge sa le ridicam</t>
  </si>
  <si>
    <t>Roxana Chiritoiu
0 733 527 201</t>
  </si>
  <si>
    <t xml:space="preserve">Ridicare Macheta Bragadiru. De sunat si intrebat ore
</t>
  </si>
  <si>
    <t>palatul bragadiru</t>
  </si>
  <si>
    <t>ridicare macheta</t>
  </si>
  <si>
    <t>Mircea Gheorghe
0721298228
(CARAT)
--
din pareta firmei tempo</t>
  </si>
  <si>
    <t>Victor Croitoru
0724299581
(UNIVERSAL MCCAN)
--
Din partea firmei tempo</t>
  </si>
  <si>
    <t>Simona Khamissi
0 721 587 566</t>
  </si>
  <si>
    <t>1 x tort framboisier 2 kg decorat ca pe website cu mesajul "Sofia" si dedesubt "9 ani"</t>
  </si>
  <si>
    <t>Factura pe simona khamissi</t>
  </si>
  <si>
    <t>degustare felii mari 100 g :
1 x fistic cu zmeura
1 x framboisier
1 x duomousse cu visine
1 x citron 
1 x honey</t>
  </si>
  <si>
    <t>de dus impreuna cu comanda de la Mogosoaia</t>
  </si>
  <si>
    <t>de pregatit si pus la frigider degustare Mogosoaia</t>
  </si>
  <si>
    <t>frigider cofetarie</t>
  </si>
  <si>
    <t>Chiru Delia
0743189604</t>
  </si>
  <si>
    <t>112 x Choux a la Crème Fistic
112 x Macarons Culori Tematice
112 x Mini Tarta Ciocolata si Caramel
112 x Mini Tarta Lamaie si Bezea Flambata
138 x Mini Pavlova
140 x Mini Tarta Fructe
72 x Pahar Tiramisu
98 x Ecler Artizanal
20 x Cake Pops Tematice
36 x Briose Tematice</t>
  </si>
  <si>
    <t>Conacul din Livada, Șoseaua Olteniței nr. 11, Popești-Leordeni 077160
--
Evenimentul incepe la 19:00. Amenajarea se face de la 17:30 la 18:45</t>
  </si>
  <si>
    <t>Am facut factura de avans 320 Ron. Trebuie stearsa si facuta factura pe toata suma</t>
  </si>
  <si>
    <t>Ionita Dragos
0752425125</t>
  </si>
  <si>
    <t>Regal Ballroom, Bulevardul Poligrafiei 1B, București 013704
--
Amenajarea se face intre 18:30 si 19:45</t>
  </si>
  <si>
    <t>a fost facuta factura de avans 123 RON</t>
  </si>
  <si>
    <t xml:space="preserve">Candy-Bar 70 persoane (Alb || Crem) cu AMENAJARE
40 x Choux a la Crème Fistic
40 x Macarons Culori Tematice
40 x Mini Tarta Ciocolata si Caramel
40 x Mini Tarta Lamaie si Bezea Flambata
40 x Mini Pavlova
40 x Mini Tarta Fructe
26 x Pahar Tiramisu
26 x Ecler Artizanal
26 x Cake Pops Tematice
13 x Briose Tematice
</t>
  </si>
  <si>
    <t>Alecu Ionut
0767210535</t>
  </si>
  <si>
    <t>De sunat si intrebat</t>
  </si>
  <si>
    <t>Au platit deja 250 lei la cofetarie avans pe 10.02.
---
Mai trebuie achitati doar 380 RON. DE ANUNTAT!!!
--
PREIA TUDOR DIRECT DE LA LOCATIE</t>
  </si>
  <si>
    <t xml:space="preserve">Laurentiu Cazac
0 774 035 570
</t>
  </si>
  <si>
    <t>Cafeneaua de Vara  a Actorilor, Parcul Tineretului, Debarcader 1, București
--
Evenimentul incepe la 19:00. Se amenajeaza intre 17:30 si 18:45</t>
  </si>
  <si>
    <t>Corina LPV
0724288123</t>
  </si>
  <si>
    <t xml:space="preserve"> 1 x 4 kg tort drepunghiular ciocolata alba si tonka, jeleu zmeura, foaie nocciole si foaie de miere, decorat cu glazura oglinda bleu, cu un model 2D (nu figurina) baby shark (de vorbit cu reta despre decor, cu print sau decupat)
---
mini candy bar tematic:
10 x cake pops tematici 
10 x  turta dulce tematica baby shark (cu print comestibil aplicat pe turta) 
200 g bezele galbene, albe, bleu, 
20 mini briose cu crema alba, galbena si bleu</t>
  </si>
  <si>
    <t>480 Tort
209 candy
--
689
- 30% discount
--
482.3 RON cash cu bon</t>
  </si>
  <si>
    <t>Degustare Reina Events
-
1 x platou prajituri raw-vegane mix mare pentru manager (cat mai multe sortimente)
-
Toate feliile sa fie MARI, GLASATE si DECORATE
1 x citron
1 x duo-mousse visine
1 x fistic si zmeura
1 x framboisier
1 x honney
1 x fistic omnia
1 x portocala cioco omnia
1 x krantz
--------------
SE TRIMTIE POZA PE GRUP LAUREI PENTRU OK INAINTE CA PACHETUL SA PLECE</t>
  </si>
  <si>
    <t>tort 10.8 x 75 lei + TVA
+ etaj tort suplimentar 150 lei + TVA
(factura Mogosoaia IT QUEST &amp; Management)</t>
  </si>
  <si>
    <r>
      <t xml:space="preserve">5 x cheese cake
5 x tarte fructe
5 x tarte ciocolata
5 x tarta citron
5 x savarina
---
1 x cutie degustare monoportii ca in whatsapp (fiecare etichetata). PE CUTIE SA SCRIETI VA ROG </t>
    </r>
    <r>
      <rPr>
        <u/>
        <sz val="11"/>
        <color rgb="FF000000"/>
        <rFont val="Calibri"/>
        <family val="2"/>
      </rPr>
      <t>DEGUSTARE EUGEN</t>
    </r>
  </si>
  <si>
    <t>1 x citron cu print din Décor cu mesajul "La Multi Ani, Sofia!" (1.5 kg)
------
1 x tort decorat ca in poze décor (1 etaj - berry chocolate -5 kg). DOAR ETAJUL DE SUS.
+
Numele fetitei scris jos "Emma Ioana"</t>
  </si>
  <si>
    <t>1 x tort real 3 etaje 7 kg ca in poze decor (compozitie fistic cu zmeura)
--
Candy-Bar 30 pax
--
18 x Choux a la Crème Fistic
18 x Macarons Culori Tematice
18 x Mini Tarta Ciocolata si Caramel
18 x Mini Tarta Lamaie si Bezea Flambata
18 x Mini Pavlova
18 x Mini Tarta Fructe
12 x Pahar Raspberry Vanilla
12 x Cake Pops Tematice
7 x Briose Tematice</t>
  </si>
  <si>
    <t>Fecioru Alina
0763635505
---
DE SUNAT SI PROGRAMAT IN WEEKEND</t>
  </si>
  <si>
    <r>
      <t xml:space="preserve">Bianca Elena Badea
0728748200
---
</t>
    </r>
    <r>
      <rPr>
        <b/>
        <u/>
        <sz val="11"/>
        <color rgb="FF000000"/>
        <rFont val="Calibri"/>
        <family val="2"/>
      </rPr>
      <t>Loredana Gradinaru
0749218858</t>
    </r>
  </si>
  <si>
    <t>10 x macarons roz cu crema acrisoara de zmeura</t>
  </si>
  <si>
    <t>Amalia Gheorghe (sefa Metropolitan)
+40722998665</t>
  </si>
  <si>
    <t>Iki Land (Strada Speranței 21-23, Bragadiru)</t>
  </si>
  <si>
    <t>4kg Rapsberry Vanilla, pe 2  etaje rotunde cu crema de unt albastra ca sa imite apa, décor NEMO(un peste ametit nemo cu niste plante verzi, scoici din bezea roz mov galben) || Matei si cifra 8 undeva</t>
  </si>
  <si>
    <t>1 x 3.5-4 kg tort decorat oreo cu mousse ciocolata alba (fata fructe) decor conform pozei de mai jos cu cativa macarons si cifra 18 potrivita in ton cu tortul "La multi ani, Cristiana!"</t>
  </si>
  <si>
    <t>3,8 kg fistic 2 etaje imbracat DOAR in crema de unt bleu (in ideea sa imite cerul) + etajul de jos macheta cat mai mare imbracat in aceeasi crema de unt bleu
+
70 portii de fistic de 100g
+
10 coji macarons roz</t>
  </si>
  <si>
    <t>1 x platou de minipraji 10 persoane 
+
10 briose cu crema roz cu o tablita pe ele cu "it's a girl"
+
10 cake pops cu roz(unicorn si fundite) ca in poza</t>
  </si>
  <si>
    <t>Marina Neagu
+44 7375 401821</t>
  </si>
  <si>
    <t>cash cu bon (briosele si cakepops sunt din partea noastra, e surpriza pentru sotia lui Catalin)</t>
  </si>
  <si>
    <t>Catalin</t>
  </si>
  <si>
    <t>Str. Almasu Mic, nr. 15, bl. B12, SC. 2, ap. 18|| de sunat la 0760803250 - Geanina Popa</t>
  </si>
  <si>
    <t>4 kg (compozitie Raspberry Vanilla + crema de unt alba)|| decorul tortului Ursulet pastrand culorile (Bulinuțe auri, scris one tot cu auriu, fundița roz și ursuletul ca in poza)|| neaparat pe suport(ca la torturile cu unicorn) sa scrie "Carina"</t>
  </si>
  <si>
    <t>Client Telefon
0742211150</t>
  </si>
  <si>
    <t>Sos Olteniței nr 232, bl 23, Sc 1, etj 3, ap 7, sector 4</t>
  </si>
  <si>
    <t>1 x tort opera 1.6 kg cu mesajul "la multi ani tati"
1 x platou minipraji 5 pax</t>
  </si>
  <si>
    <t>Manuela
0732581099</t>
  </si>
  <si>
    <t>1 x 1.6 kg trio mousse
1 x platou minipraji 5 persoane</t>
  </si>
  <si>
    <t>260 tort
562 monoportii
-
180 transport
(loredana gradinaru)
--
Au fost trimisa factura</t>
  </si>
  <si>
    <t>Adrian Borotea
(0729) 990 663</t>
  </si>
  <si>
    <t xml:space="preserve">1 x cutii cookie si negresa (10 pax)
1 x cutie pavlova (20 sau cate incap in cutie daca ramane loc)
</t>
  </si>
  <si>
    <t>Nu se achita nimic la livrare. Se trece la datorie</t>
  </si>
  <si>
    <t>Louis Vuitton
--
Mariott Grand Hotel,, Calea 13 Septembrie, 90
----
In galeriile de la Mariot.</t>
  </si>
  <si>
    <t>Louis Voitton
--
Camelia Trandafir
(0 720 195 947)</t>
  </si>
  <si>
    <t>1 x etaj extra macheta
1 x masa sweets (doar 100 diferenta)</t>
  </si>
  <si>
    <t>factura pe numele ei</t>
  </si>
  <si>
    <r>
      <rPr>
        <b/>
        <u/>
        <sz val="11"/>
        <color rgb="FF000000"/>
        <rFont val="Calibri"/>
        <family val="2"/>
      </rPr>
      <t xml:space="preserve">1 x macheta 4  nivele cu etaj real KRANTZ. ca in poza decor
</t>
    </r>
    <r>
      <rPr>
        <b/>
        <sz val="11"/>
        <color rgb="FF000000"/>
        <rFont val="Calibri"/>
        <family val="2"/>
      </rPr>
      <t xml:space="preserve">!!!FARA AIMALUTE!!!
!!!FARA CUBURI!!!!! </t>
    </r>
    <r>
      <rPr>
        <b/>
        <u/>
        <sz val="11"/>
        <color rgb="FF000000"/>
        <rFont val="Calibri"/>
        <family val="2"/>
      </rPr>
      <t xml:space="preserve">
</t>
    </r>
    <r>
      <rPr>
        <sz val="11"/>
        <color rgb="FF000000"/>
        <rFont val="Calibri"/>
        <family val="2"/>
      </rPr>
      <t>-</t>
    </r>
    <r>
      <rPr>
        <b/>
        <u/>
        <sz val="11"/>
        <color rgb="FF000000"/>
        <rFont val="Calibri"/>
        <family val="2"/>
      </rPr>
      <t xml:space="preserve">
</t>
    </r>
    <r>
      <rPr>
        <b/>
        <sz val="11"/>
        <color rgb="FF000000"/>
        <rFont val="Calibri"/>
        <family val="2"/>
      </rPr>
      <t>250 x felie tort (150 gr)</t>
    </r>
    <r>
      <rPr>
        <b/>
        <u/>
        <sz val="11"/>
        <color rgb="FF000000"/>
        <rFont val="Calibri"/>
        <family val="2"/>
      </rPr>
      <t xml:space="preserve"> (KRANTZ)
</t>
    </r>
    <r>
      <rPr>
        <b/>
        <sz val="11"/>
        <color rgb="FF000000"/>
        <rFont val="Calibri"/>
        <family val="2"/>
      </rPr>
      <t>-</t>
    </r>
    <r>
      <rPr>
        <b/>
        <u/>
        <sz val="11"/>
        <color rgb="FF000000"/>
        <rFont val="Calibri"/>
        <family val="2"/>
      </rPr>
      <t xml:space="preserve">
Candy-Bar 100 persoane cu Amenajare SI MASA SWEETS</t>
    </r>
    <r>
      <rPr>
        <b/>
        <sz val="11"/>
        <color rgb="FF000000"/>
        <rFont val="Calibri"/>
        <family val="2"/>
      </rPr>
      <t xml:space="preserve">
56 x Choux a la Crème Fistic
56 x Macarons Culori Tematice
56 x Mini Tarta Ciocolata si Caramel
56 x Mini Tarta Lamaie si Bezea Flambata
56 x Mini Pavlova
56 x Mini Tarta Fructe
36 x Pahar Tiramisu
36 x Ecler Artizanal
36 x Cake Pops Tematice
18 x Briose Tematice
</t>
    </r>
  </si>
  <si>
    <t>Domeniul cu Ciresi, Soseaua Giurgiului 9
---
Amenajarea se face intre 18:00 si 19:15 CU MASA "SWEETS"</t>
  </si>
  <si>
    <t>1 x etaj krantz pentru macheta Steliana Irimia 14.06.2020</t>
  </si>
  <si>
    <t>NEAPRAT DE RIDICAT MACHETA DACA NU S-A ridicat marti
Mostre Tort:
KRANTZ
DUO MOUSSE CU VIȘINE
FRAMBOISIER
HONEY
FISTIC ŞI MANGO
PORTOCALĂ, MANGO ŞI CIOCOLATĂ</t>
  </si>
  <si>
    <t xml:space="preserve">sos. Bucuresti Ploiesti nr. 44C, Kiddo Play Academy
--
Baneasa Shopping City - Galeriile Mobexpert
</t>
  </si>
  <si>
    <t>1 x tort decorat ( 5.5 kg || berry chocolate) ca in poze décor.
-
Mesajul este 
"La multi ani, Ana Maria!"
"5"</t>
  </si>
  <si>
    <t>2 x etaje berry chocolate (4 kg impreuna)</t>
  </si>
  <si>
    <t>Roxana
0726449968</t>
  </si>
  <si>
    <t>1 cutie aurie cu funda rosie cu 6 macarons fistic
+ 
1 cutie aurie cu 4 choux ciocolata
+
1 inima Raspberry love</t>
  </si>
  <si>
    <t>fara brrr, plateste Dan inima</t>
  </si>
  <si>
    <t>Agenția Națională pentru Achiziții Publice - Strada Foișorului 2A, București</t>
  </si>
  <si>
    <t>viitor fidel</t>
  </si>
  <si>
    <r>
      <t xml:space="preserve">AMENAJARE CANDY-BAR tematica Minnie MOuse (100 pax)
---
56 x Choux a la Crème Fistic
56 x Macarons (Alb/Roz)
56 x Choux a la Crème Ciocolata
56 x Mini Tarta Citron
56 x Mini Pavlova
56 x Mini Tarta Fructe
36 x Pahar Tiramisu
36 x Mini ecler cioco
36 x Cake Pops (Alb/Roz cu ceva decor minnie, eventual fundita)
18 x Briose Tematice (Alb/Roz cu print minnie si numele sarbatoritei)
---
Atentie vrea sa personalizam toate chestiile  cu </t>
    </r>
    <r>
      <rPr>
        <b/>
        <u/>
        <sz val="11"/>
        <color rgb="FF000000"/>
        <rFont val="Calibri"/>
        <family val="2"/>
      </rPr>
      <t>MINNIE</t>
    </r>
    <r>
      <rPr>
        <b/>
        <sz val="11"/>
        <color rgb="FF000000"/>
        <rFont val="Calibri"/>
        <family val="2"/>
      </rPr>
      <t xml:space="preserve"> si cu numele fetitei "ANASTASIA"</t>
    </r>
  </si>
  <si>
    <t>1 x tort trio-mousse 1.6 kg</t>
  </si>
  <si>
    <t>Roxana Schwab
0766450229</t>
  </si>
  <si>
    <t>Carrot Cake
Greutate: 1.5 kg
Mesaj Personalizat: Sexy Mamasita</t>
  </si>
  <si>
    <t>Diamantului 111A, bl.2 et.3, ap./interfon 16, Bragadiru, Ilfov</t>
  </si>
  <si>
    <t>200 x macarons roz cu crema acrisoara de zmeura</t>
  </si>
  <si>
    <t>facut si trimis factura</t>
  </si>
  <si>
    <t>Louis Vuitton</t>
  </si>
  <si>
    <t>100 x macarons roz cu crema acrisoara de zmeura</t>
  </si>
  <si>
    <t>a fost achitat anterior</t>
  </si>
  <si>
    <t>200 x macarons roz cu crema acrisoara de zmeura
-
Atentie ca le da si duminica</t>
  </si>
  <si>
    <t>11;45</t>
  </si>
  <si>
    <t>Hermina Lupoiu
0 720 369 860</t>
  </si>
  <si>
    <t>se achita toata comanda pe 16.</t>
  </si>
  <si>
    <t>Oana Maria Stejar
0723305495</t>
  </si>
  <si>
    <t>1 x tort decorat ca in departament décor (oreo, 3 kg, 1 etaj)
--
Mesajul este "La multi ani, Catinca!"</t>
  </si>
  <si>
    <t>București, sect 1, str Pictor Barbu Iscovescu 15, etj 2</t>
  </si>
  <si>
    <t>1 x etaj oreo 2.2 kg pentru tort Oana Maria Stejar 29.02</t>
  </si>
  <si>
    <t>Alice Mihaela Gheorghiu
0733757032</t>
  </si>
  <si>
    <t>Tort Ricotta &amp; Fructe Confiate
Greutate: 2.5 kg
Mesaj Personalizat: La multi ani, Alice!</t>
  </si>
  <si>
    <t>Bd. Uverturii, nr 43, bloc 1, scara 3, ap 95, sector 6, Bucuresti</t>
  </si>
  <si>
    <t>Ratiu Diana
0767334033</t>
  </si>
  <si>
    <t>Pachet Degustare
Duo mousse cu visine
Rasberry vanilla
Oreo
Fistic si zmeura</t>
  </si>
  <si>
    <t>Strada Erou Iancu Nicolae, Nr. 120, Et 6, Ap 16, Interfon 16</t>
  </si>
  <si>
    <t>Strada Filipescu 50</t>
  </si>
  <si>
    <t>Simina
0 726 697 785</t>
  </si>
  <si>
    <t xml:space="preserve">
Amenajare Candy-Bar 65 pers:
15 x cake pops
26 x mini ecler (50%-50%)
32 x tarte fructe
9 x choux fistic
9 x choux cafea
9 x choux ciocolata
9 x choux vanilie
32 x tarta ciocolata
32 x tarta lamaie
32 x mini pavlova
32 x macarons mix
32 x mouse vanilie &amp; zmeura la pahar
32 x tiramisu la pahar
</t>
  </si>
  <si>
    <t>Monica
0732572170</t>
  </si>
  <si>
    <t>1 x tort 2 kg fistic cu zmeura cu mesajul:
"La Multi Ani"
"17"</t>
  </si>
  <si>
    <t>Strada Berechet 5, Bucuresti</t>
  </si>
  <si>
    <t>3 x platou miniprajituri 5 persoane
3 x cutie martisor 3 cookie
2 x turta dulce yellow flower
2 x turta dulce white flower
1 x raspberry love cake</t>
  </si>
  <si>
    <t>12 x raspberry love
12 x cutie 8 macarons</t>
  </si>
  <si>
    <t>Florin Draghescu
0 724 288 126</t>
  </si>
  <si>
    <t>3 x cutie 8 macarons
3 x inimioara</t>
  </si>
  <si>
    <t>Adrian Balsanu
+40 724 353 212</t>
  </si>
  <si>
    <t>Horia Macelariu 30-34, Sector 1, sediul Bosch</t>
  </si>
  <si>
    <t>Factura pe persoana fizica Adrian Balsanu</t>
  </si>
  <si>
    <t>REAPARAT DE RIDICAT MACHETA
+
Pachet Mostre Tort:
KRANTZ
DUO MOUSSE CU VIȘINE
FRAMBOISIER
HONEY
FISTIC ŞI MANGO
PORTOCALĂ, MANGO ŞI CIOCOLATĂ</t>
  </si>
  <si>
    <t>1. TORT FISTIC SI ZMEURA  1.6 kg
+
2. PLATOU MINIPRAJITURI 10 PERS - 10 x pavlova, 10 x marveilleux cu crema de pralina&amp;frisca cu cioco rasa, 8 x choux fistic, 10 x tarta fructe, 8 mini choux (vanilie, cioco, caramel, cafea), 10 x tarta lamaie
+
3. 1 PLATOU 30 MACARONS combinate</t>
  </si>
  <si>
    <t>Societe Generale Eiropena Business Services, West Gate, Bd Preciziei,nr 24, sector 6</t>
  </si>
  <si>
    <t xml:space="preserve"> str Secuilor nr 7, bl B31, sc 3, ap 39</t>
  </si>
  <si>
    <t>2 x platou 6 persoane miniprajituri (mai puneti cate 1 extra la fiecare)
--
1 x chocolate passion cake (inima)
--
1 x tarta citron mare</t>
  </si>
  <si>
    <t>Taverna Sarbului, Strada Tipografilor 31</t>
  </si>
  <si>
    <r>
      <t xml:space="preserve">Ana Caranovic
0 727 300 402
--
Curierul trebuie sa sune si sa anunta </t>
    </r>
    <r>
      <rPr>
        <b/>
        <u/>
        <sz val="11"/>
        <color rgb="FF000000"/>
        <rFont val="Calibri"/>
        <family val="2"/>
      </rPr>
      <t xml:space="preserve">ora de livrare </t>
    </r>
    <r>
      <rPr>
        <b/>
        <sz val="11"/>
        <color rgb="FF000000"/>
        <rFont val="Calibri"/>
        <family val="2"/>
      </rPr>
      <t xml:space="preserve">si </t>
    </r>
    <r>
      <rPr>
        <b/>
        <u/>
        <sz val="11"/>
        <color rgb="FF000000"/>
        <rFont val="Calibri"/>
        <family val="2"/>
      </rPr>
      <t>cat este de plata</t>
    </r>
  </si>
  <si>
    <t>Din partea Alexandra Cristina
0 725 820 435</t>
  </si>
  <si>
    <t>degustare targ
(25 apr. botez/ 80 pax/ candy+tor). Tortul neaimbracat in pasta zahar.  90 Ron/kg</t>
  </si>
  <si>
    <t>1 x krantz
1 x carrot cake
1 x tort clasic
1 x raspberry vanilla
1 x berry chocolate
1 x snickers
-
4 x choux fistic (2 cu 2)
2 x tarta fructe
2 x tarta ciocolata
2 x tarta lamaie
2 x ecler (mix)
2 x mini-pavlova
2 x macarons georgiana</t>
  </si>
  <si>
    <t>Tort Oreo
Greutate: 1 kg
(decorat ca pe website)</t>
  </si>
  <si>
    <t>Colonel Iosif Albu nr 88, Bl:b, Sc:1, Ap:42, Et:5 sector 3</t>
  </si>
  <si>
    <t>cash cy bon</t>
  </si>
  <si>
    <r>
      <t xml:space="preserve">
1 x tort decorat (3 etaje || 10 kg || duo-mousse visine adaptat pentru decor) ca in poze decor.
In loc de "Sebastian Edward" sa scriem "</t>
    </r>
    <r>
      <rPr>
        <b/>
        <u/>
        <sz val="11"/>
        <color rgb="FF000000"/>
        <rFont val="Calibri"/>
        <family val="2"/>
      </rPr>
      <t>Petru Ayan"</t>
    </r>
    <r>
      <rPr>
        <b/>
        <sz val="11"/>
        <color rgb="FF000000"/>
        <rFont val="Calibri"/>
        <family val="2"/>
      </rPr>
      <t xml:space="preserve">
--
Candy-Bar (Albastru si Rosu)
18 x choux fistic
19 x choux vanilie
18 x tarte cu lamaie si bezea flambata
19 x pahare tiramisu
18 x cake pops (albastru cu rosu)
19 x mini briose (albastru cu rosu)</t>
    </r>
  </si>
  <si>
    <t>3 etaje duo-mousse (7.5) visine adaptat la décor pentru comanda sole 29.02. (10 kg in total)</t>
  </si>
  <si>
    <t>claudia
0731.383.950</t>
  </si>
  <si>
    <t>2 x indiene
1 x tort duo-mousse visine 1.6 kg
--
Model:glasat cu ciocolata +macaroni inimioara,
Mesaj:la multi ani, Doamna Diriginta!</t>
  </si>
  <si>
    <t>A dat avans 152 ron. Mai trebuie sa achita doar 52</t>
  </si>
  <si>
    <t>Veronica Constantin
0724207090</t>
  </si>
  <si>
    <t>gokidsgo Tineretului (Str. Lanariei nr 93-95, sector 4)</t>
  </si>
  <si>
    <t>a fost achitat cu cardul
--
de facut certificat de conformitate</t>
  </si>
  <si>
    <t>1 x etaj raspberry vanilla 2.2 kg pentru tort Veronica constantin 01.03</t>
  </si>
  <si>
    <t xml:space="preserve">Client Telefon (adirana)
0762667533
</t>
  </si>
  <si>
    <t>1 x raspberry love</t>
  </si>
  <si>
    <t>1 x Tort 1.6 kg frumos decorat (orice e in stoc)</t>
  </si>
  <si>
    <t>De dus in Birou la LPV</t>
  </si>
  <si>
    <t>a fost achita anterior</t>
  </si>
  <si>
    <t>Sandra Olanescu
(0723) 669 933
---
De specificat ca e din partea laurei</t>
  </si>
  <si>
    <t xml:space="preserve">Ana Maria Ducuta
‭‭‭‭‭(0724) 036 199‬
----
De specificat ca e din partea laurei
</t>
  </si>
  <si>
    <t>factura Lara International</t>
  </si>
  <si>
    <t>2 x cutie 4 briose
2 x cutie 8 macarons
2 x platouri 5 persoane
2 x inima rosie</t>
  </si>
  <si>
    <t>Dan Florea
--
Pentru Electrica</t>
  </si>
  <si>
    <t>1,2-1,5 kg compozitie Rapberry Love modificata + décor NASA|| mesajul in engleza sa fie modificat cu “La mulți ani Andrei”. Pe steag cifra 8</t>
  </si>
  <si>
    <t xml:space="preserve">Bdul D. Cantemir nr 19, bloc 5, sc b, ap 33
Salon Lady Ann
</t>
  </si>
  <si>
    <t>1 x tort Framboisier 2 kg
+
2 tarte zmeura 
+ 
1 x monoportie cioco - zmeura Dana 
+ 
1 x monoportie cafea Dana</t>
  </si>
  <si>
    <t>plata direct la Dan (discount 30% )</t>
  </si>
  <si>
    <t>Andrei Triff
0 737 409 899</t>
  </si>
  <si>
    <t>2,5 compozitie clasic (neaparat cu zmeura) + décor unicorn 2 (3,7 kg total) || "La Multi Ani, Sofia"
+
1,8 kg tort clasic naked (neaparat cu zmeura)||"La Multi Ani, Sofia"</t>
  </si>
  <si>
    <t>3,7 x 100 + 80 x 1.8 (card POS in cofetarie)</t>
  </si>
  <si>
    <t>Catalin Cavaleru 
0724358661</t>
  </si>
  <si>
    <t>35 biscutiti fungi de ciocolata (stie Andreea, a facut anul trecut pentru gradi IZA)</t>
  </si>
  <si>
    <t>protocol Cata</t>
  </si>
  <si>
    <t>3 kg compozitie Oreo + décor Unicorn ca in poza din décor (4,5kg)</t>
  </si>
  <si>
    <t>Patrascu Nicoleta
0767616219</t>
  </si>
  <si>
    <t>1 x tort trio mouse 1.2 kg cu mesajul "Traiasca Nasii, Marian si Adina!"
-
1 x tort duo-mousee 1.8 kg</t>
  </si>
  <si>
    <t>cash cu bon. A achitat deja 100 ron avans. Mai are de platit doar 240</t>
  </si>
  <si>
    <t xml:space="preserve">60 miniprajituri vegane in total:
----
1 x platou miniprajitu raw vegan 15 pax
(3 sortimente x 15 buc)
(sau mai variat daca putem)
--
1 x platou minipraji raw vegan 5 pax
3 sortimente x 5 buc 
(sau mai variat daca putem) 
</t>
  </si>
  <si>
    <t>60 mini praji x 25 gr x 200 RON/kg
--
cash cu bon cu 10 % inclus</t>
  </si>
  <si>
    <t xml:space="preserve">
Daniela Bodeanu
0723.325.909</t>
  </si>
  <si>
    <t>Str. Ermil Pangratti, nr. 20, sector 1</t>
  </si>
  <si>
    <t>1 x platou minipraji 5 persoane
5 x cutie 3 macarons
2 x mini-pavlova
2 x mini-marveilleux
--
Daca nu avem cutii de 3 macs, faceti 5 cutii de 8
--
puneti mini-pavlova si mini-marveilleux mai multe in cea mai mica cutie pe care o avem (ar arata nasol 2x2)</t>
  </si>
  <si>
    <t>Daniela Vasile
0 723 491 982</t>
  </si>
  <si>
    <t>Candy-Bar Flori (Culori pale + florin din pasta zahaar)
84 x Choux a la Crème Fistic
84 x Pahar Duo Mousse
84 x Mini Tarta Ciocolata si Caramel
84 x Mini Tarta Lamaie si Bezea Flambata
84 x Mini Pavlova
84 x Mini Tarta Fructe
54 x Pahar Tiramisu
54 x Ecler Artizanal
54 x Cake Pops Tematice
27 x Briose Tematice</t>
  </si>
  <si>
    <t>Biavati Events, Strada Serghei Vasilievici Rahmaninov 2B, București 014192
---
Evenimentul incepe la 19:15. Amenajarea se face intre 17:45 si 19:00</t>
  </si>
  <si>
    <t>am facut factura avans de 30% (718 RON). Trebuie stearsa si refacuta pentru toata suma</t>
  </si>
  <si>
    <t>Ralcom Exhibitons
Alina Ral.
0 729 725 266
--
De mentionat ca sunt cadou din partea dl. Liviu Radacineanu</t>
  </si>
  <si>
    <r>
      <rPr>
        <b/>
        <u/>
        <sz val="11"/>
        <color rgb="FF000000"/>
        <rFont val="Calibri"/>
        <family val="2"/>
      </rPr>
      <t xml:space="preserve">2 x cutie personalizata ca mai jos:
</t>
    </r>
    <r>
      <rPr>
        <b/>
        <sz val="11"/>
        <color rgb="FF000000"/>
        <rFont val="Calibri"/>
        <family val="2"/>
      </rPr>
      <t>2 x tarta marme zmeura
2 x tarta mare ciocolata
2 x tarta mare citron
2 x cheese cake
------</t>
    </r>
    <r>
      <rPr>
        <b/>
        <u/>
        <sz val="11"/>
        <color rgb="FF000000"/>
        <rFont val="Calibri"/>
        <family val="2"/>
      </rPr>
      <t xml:space="preserve">
1 x cutie personalizata ca mai jos:</t>
    </r>
    <r>
      <rPr>
        <b/>
        <sz val="11"/>
        <color rgb="FF000000"/>
        <rFont val="Calibri"/>
        <family val="2"/>
      </rPr>
      <t xml:space="preserve">
2 x tarta mare zmeura
2 x tarta mare ciocolata
2 x amandina mare
2 x eclere
------</t>
    </r>
    <r>
      <rPr>
        <sz val="11"/>
        <color rgb="FF000000"/>
        <rFont val="Calibri"/>
        <family val="2"/>
      </rPr>
      <t xml:space="preserve">
</t>
    </r>
    <r>
      <rPr>
        <b/>
        <u/>
        <sz val="11"/>
        <color rgb="FF000000"/>
        <rFont val="Calibri"/>
        <family val="2"/>
      </rPr>
      <t>3 x platou miniprajituri 5 persoane</t>
    </r>
    <r>
      <rPr>
        <b/>
        <sz val="11"/>
        <color rgb="FF000000"/>
        <rFont val="Calibri"/>
        <family val="2"/>
      </rPr>
      <t xml:space="preserve">
!!! Pe minitarte fructe va rog sa punem doar zmeura
------
1 x tort duo-mousse visine 1.6 kg decorat ca pe website
</t>
    </r>
  </si>
  <si>
    <t>1 x platou miniprajituri 10 persoane
(in loc de macarons sa punem choux-uri in acelasi nr de bucati)</t>
  </si>
  <si>
    <t>Strada Răspântiilor 20A</t>
  </si>
  <si>
    <t>Factura Ralcom</t>
  </si>
  <si>
    <t>12 x cutii macarons 8 buc catalog 8 martie</t>
  </si>
  <si>
    <t>Se ocupa Simi de factura</t>
  </si>
  <si>
    <t>Vlad Sabau
+40 721 430 377</t>
  </si>
  <si>
    <t>9 x platou 10 persoane
--
Atentie la macarons sa nu fie vechi! E o comanda pt ING</t>
  </si>
  <si>
    <t>ING Bank, noul sediu central, Aviator Popișteanu 54A, Clădirea 3</t>
  </si>
  <si>
    <t>Certificat de conformitate
--
preia Tudor Banii direct cash</t>
  </si>
  <si>
    <t>tort de 1,6 kg pere
1 x inimima rosie</t>
  </si>
  <si>
    <t>factura lara business international.
--
A fost deja achitata</t>
  </si>
  <si>
    <t>Marioara Cismasu
0217763345</t>
  </si>
  <si>
    <t>a fost achita integral pe 27.02</t>
  </si>
  <si>
    <t xml:space="preserve">1 x tort duo-mousse visine 1.5 kg maxim cu mesajul "La Multi Ani, ANASTASIA!"
</t>
  </si>
  <si>
    <t>Dl Luta LPV</t>
  </si>
  <si>
    <t>1 x 2 kg choc delight 
1 x 1 kg framboisiee</t>
  </si>
  <si>
    <t>factura Lara Energy
-
a fost facuta</t>
  </si>
  <si>
    <t xml:space="preserve">COMRAD EVENTS
RO22670516 </t>
  </si>
  <si>
    <t>6 kg compozitie snikers rotund pe 2 etaje ca in poza cu balerina din décor + décor balerina poza décor, detalii si culori ca in poza (9kg total)
+
1,8 Kg Noissete rotund decorat cu floricele mici, gen margarete, stelute, fluturasi || "La multi ani!" "Sa va iubiti mereu!"
+ 
AMENAJARE CANDY-BAR 35 persoane: (vesela aurie)
20 x choux fistic
20  x macarons culori tematice(vezi tort)
20 x mini tarta ciocolata &amp; caramel
20 x mini tarta lamaie si bezea flambata
20 x mini pavlova
20 x mini tarte fructe
22 x eclere artizanale 
26 x cake pops tematice (balerina tort)
10 x briose tematice (balerina tort)</t>
  </si>
  <si>
    <t>1 x tort framboisier 1.6 kg decorat ca pe website</t>
  </si>
  <si>
    <t>1 x tort decorat ca in departament décor (3 kg || 1 etaj || raspberry vanilla) cu toate cele 4 personaje
--
Mesaj personalizat: 
"Radu"
 "5 ani"</t>
  </si>
  <si>
    <t>De confirmat numarul final de persoane si facut factura soiree
-----
400 macheta tva inclus
65+tva tortul
3 euro + tva candy-bar</t>
  </si>
  <si>
    <t>(Soiree)
Adina Toma
0 729 151 010</t>
  </si>
  <si>
    <t>Soiree
--
evenimentul incepe la 18:00. se amenajeaza candy-bar'ul de la 16:30 la 17:45. ATENTIE CA VREA MASA SWEETS</t>
  </si>
  <si>
    <r>
      <t xml:space="preserve">1 x macheta cu etaj real (ricotta cu fructe confiate) ca in departament décor (3 etaje total)
--
200 x felie tort 100 gr ricotta &amp; fructe confiate decorata
--
</t>
    </r>
    <r>
      <rPr>
        <b/>
        <u/>
        <sz val="11"/>
        <color rgb="FF000000"/>
        <rFont val="Calibri"/>
        <family val="2"/>
      </rPr>
      <t>MASA SWEETS</t>
    </r>
    <r>
      <rPr>
        <b/>
        <sz val="11"/>
        <color rgb="FF000000"/>
        <rFont val="Calibri"/>
        <family val="2"/>
      </rPr>
      <t xml:space="preserve">
--
candy-bar 200 pax cu amenajare 
(verde + alb)
112 x Choux a la Crème Fistic
112 x Macarons Culori Tematice
112 x Mini Tarta Ciocolata si Caramel
112 x Mini Tarta Lamaie si Bezea Flambata
112 x Mini Pavlova
112 x Mini Tarta Fructe
72 x Pahar Tiramisu
72 x Ecler Artizanal
72 x Cake Pops Tematice
36 x Briose Tematice
</t>
    </r>
  </si>
  <si>
    <t>fara brrrr, plata direct la Dan (85 + 55 cu discount 10 % )</t>
  </si>
  <si>
    <t>1 x cutie 6 briose + o cutie 4 briose (TOTAL COMANDA 10 BRIOSE)decorate dupa cum urmaza:
5 briose sa fie cu crema rosie si celelalte 5 cu crema alba, apoi in functie de cum merge mai bine 5 sa fie in cosulet rosu si 5 in cosulet alb (decideti voi cum arata mai bine, cosulet rosu/ crema rosie sau intercalat, cosulet rosu cu crema alba)
Doar pe o briosa sa fie un disc de pasta de zahar alba care sa aiba cifra 7 cu rosu (in ideea de as completa colectia de cifre din fiecare luna)
fiecare briosa sa aiba martisor pe ea (va ganditi voi unde si cum sa fie vizibil si sa arate bine)
restul decorului sa fie cu ce ati facut pana cum gen flori, gargarite etc
Ne le va da in cutii, ideea ei e sa le aseze in forma cifrei 7 si sa scoata o poza cool!</t>
  </si>
  <si>
    <t>Restaurant Locanta Jariștea - George Georgescu 50-52, București
------------------------
candy - barul se amenajeaza intre 14:00 si 14:45 RETA</t>
  </si>
  <si>
    <t>Amberry Hall Lights, Bulevardul Tudor Vladimirescu 22, București 050881
---
Evenimentul incepe la 18:00. Amenajarea se face de la 16:30 la 17:45 de catre LAURENTIU</t>
  </si>
  <si>
    <t>20 x cutii 3 macarons martisor (Zmeura, fistic si cioco)
--
Aici trebuie asteptata confirmarea de la dan. A anulat sau vrea cu cutii de 2?</t>
  </si>
  <si>
    <t>Amberry Hall,
Șoseaua București Nord nr 15-23
----
Amenajarea se face de la 13:00 la 14:15 Evenimentul incepe la 14:30
-
Amenajeaza Laurentiu</t>
  </si>
  <si>
    <t>Monica Andreea Postolache
0730900050</t>
  </si>
  <si>
    <t>Cate o felie din fiecare:
berry chocolate 
raspberry vanilla
black jack 
krantz</t>
  </si>
  <si>
    <t>Beatrice Tutelca
0 733 793 452</t>
  </si>
  <si>
    <t>Ridicare Vase</t>
  </si>
  <si>
    <t>Ridicare Vase Corina Moisa</t>
  </si>
  <si>
    <t>Restaurant Locanta Jariștea - George Georgescu 50-52, București</t>
  </si>
  <si>
    <t>ridicare vesela</t>
  </si>
  <si>
    <t>Adrian</t>
  </si>
  <si>
    <t>Ridcare Cofetarie</t>
  </si>
  <si>
    <t>LARA</t>
  </si>
  <si>
    <t>Simona Stefan
0 769 308 271
--
De dat mesaj si vazut daca poate in weekend</t>
  </si>
  <si>
    <t>Georgia Mihalcea 0722856811</t>
  </si>
  <si>
    <t>Restaurant ROST, Strada Herăstrău nr. 4</t>
  </si>
  <si>
    <t>PLATA CU POS
-
Certificat conformitate pe numele restaurantului</t>
  </si>
  <si>
    <t>1. Trufe Alune Padure × 200g
2. Trufe Ciocolata × 200g
3. Raw Vegan Cashew Stone × 200g
4. Felie Tort Cheese Cake &amp; Zmeura x 200g
5. Felie Tort Raw Vegan Tiramisu x 200g
6. Peanut Butter &amp; Chocolate Bar x 200g
7. Raw Vegan BlueBerry Finger x 200g
8. Raw Vegan Pistachio Pillow x 200g
9. Caramel Coffee Bars x 200g
---
Ciuhu Laura: sa se faca miniorajituri  si sa  fie puse in cutii pline, chiar daca se depaseste cantitatea</t>
  </si>
  <si>
    <t>Mitrache
0743099977</t>
  </si>
  <si>
    <t>1 x tort oreo 3 kg decorat ca in poze décor
Mesajul este "Cezar 2"
-
3 x platouri 5 persoane 
!!! De inlocuit choux fistic cu macarons</t>
  </si>
  <si>
    <t>a fost achitat integral pe 29.02</t>
  </si>
  <si>
    <t>1 x tort oreo 2 kg pentru mitrache 07.03</t>
  </si>
  <si>
    <t>1 x tort raspberry vanilla 1.5 kg ca pe website cu mesajul "La Multi Ani!"</t>
  </si>
  <si>
    <t>18 buc x panna cotta cu vanilie si sos de zmeura</t>
  </si>
  <si>
    <t>1 x tort inima rosie glasaj oglinda
1 x cutie 8 macarons cu snur martisor</t>
  </si>
  <si>
    <t xml:space="preserve">3,5 kg compozitie Framboisier cu UNUL DINTRE STRATURI DE CIOCOLATA ALBA  + décor macarons si fructe ca in poza Décor(total 4 KG) + scrisul "EVA" din poza si elemente de décor ca in poza
+
2kg turta FARA GAURA </t>
  </si>
  <si>
    <t>Ioana Epure
0745526515</t>
  </si>
  <si>
    <t>1 x tort DREPTUNGHIULAR, OREO 3kg || “La mulți ani Andrei!"</t>
  </si>
  <si>
    <t>strada Pridvorului nr. 5 sector 4</t>
  </si>
  <si>
    <t>cash cu bon
NEAPARAT certifican conformitate</t>
  </si>
  <si>
    <t xml:space="preserve">1 x tort citron dreptunghiular (6 kg) ornat frumos cu macarons si fructe. Sa fie scris "La Multi Ani, </t>
  </si>
  <si>
    <t>Ridicare Candy-Bar Amberry Hall</t>
  </si>
  <si>
    <t>PLATA CU POS
-
Certificat conformitate pe numele clientului</t>
  </si>
  <si>
    <t>o cutie de bomboane facute de Georgiana
 o cutie cremsnit
2 x platou de 5 persoane</t>
  </si>
  <si>
    <t xml:space="preserve">prtocol degustare
</t>
  </si>
  <si>
    <t>Directia Generala A Vamilor, Strada Alexandru Ivasiuk, nr 34-40, Sector 6, Bucuresti</t>
  </si>
  <si>
    <t>A fost deja platit pe website</t>
  </si>
  <si>
    <r>
      <t xml:space="preserve">1 x platou miniprajituri 10 persoane
+
martisor turta dulce
+
</t>
    </r>
    <r>
      <rPr>
        <b/>
        <u/>
        <sz val="11"/>
        <color rgb="FF000000"/>
        <rFont val="Calibri"/>
        <family val="2"/>
      </rPr>
      <t>"Sa aveti o primavara frumoasa. Va imbratisez cu drag si dor, Aura!" - de scris pe o placuta si pus in interiorul cutiei langa prajituri</t>
    </r>
  </si>
  <si>
    <t>Ioana Butusei
0745016109
--
Este un cadou supriza. Nu I se comunica nimic altecva. Nu I se iau bani</t>
  </si>
  <si>
    <t>1 x miniplatou 5 persoane</t>
  </si>
  <si>
    <t>factura persoana fizica. O trimte Dan direct</t>
  </si>
  <si>
    <t>Georgia Mihalcea 0722856811
---
De sunat la si intrebat daca are cine sa preia tortul la 11:40. Daca nu, se livreaza la 12:30 si se decaleaza restul comenzilor</t>
  </si>
  <si>
    <t>1 x tort raw-vegan cheese cake cu décor de zmeura la fel cum a pus laura pe whatsapp 2 kg</t>
  </si>
  <si>
    <t>Nicoleta Badica
0 729 488 519</t>
  </si>
  <si>
    <r>
      <t>!!! atentie ne-a rugat sa punem ciocolata cu lapte la mini-tarta cioco
!!! sa umplem candy-bar'ul cu flori decorate din pasta de zahar 
---
Candy-Bar 100 persoane (Roz Somon || Auriu)
56 x Choux a la Crème Fistic
56 x Macarons (</t>
    </r>
    <r>
      <rPr>
        <b/>
        <u/>
        <sz val="11"/>
        <color rgb="FF000000"/>
        <rFont val="Calibri"/>
        <family val="2"/>
      </rPr>
      <t>roz somon &amp; alb</t>
    </r>
    <r>
      <rPr>
        <b/>
        <sz val="11"/>
        <color rgb="FF000000"/>
        <rFont val="Calibri"/>
        <family val="2"/>
      </rPr>
      <t xml:space="preserve">)
56 x Mini Tarta Ciocolata cu Lapte si Caramel
56 x Mini Tarta Lamaie si Bezea Flambata
56 x Mini Pavlova
56 x Mini Tarta Fructe
36 x Pahar Tiramisu
36 x Ecler Artizanal
36 x Cake Pops (roz somon si alb)
18 x Briose (niste decoruri pasta zahar)
</t>
    </r>
  </si>
  <si>
    <t>la Avatar Lounge and Ballroom, Strada Safirului 38Bis, Bragadiru 077025
---
Se face amenajarea intre 18:00 si 19:00. Evenimentul incepe la 19:30</t>
  </si>
  <si>
    <t>am facut factura pe persoana fizica de avans de 500 ron. Trebuie facuta factura pentru restul sumei.</t>
  </si>
  <si>
    <t>Tabelul de jos este cu magazin inclus</t>
  </si>
  <si>
    <t>Candy-Bar 100 pax cu amenajare:
LILA + ALB
56 x Choux a la Crème Fistic
56 x Macarons Culori Tematice
56 x Mini Tarta Ciocolata si Caramel
56 x Mini Tarta Lamaie si Bezea Flambata
56 x Mini Pavlova
56 x Mini Tarta Fructe
36 x Pahar Tiramisu
36 x Ecler Artizanal
 36 x Cake Pops Tematice
18 x Briose Tematice</t>
  </si>
  <si>
    <r>
      <t xml:space="preserve">1 x macheta 3 nivele cu etaj real. </t>
    </r>
    <r>
      <rPr>
        <b/>
        <u/>
        <sz val="11"/>
        <color rgb="FF000000"/>
        <rFont val="Calibri"/>
        <family val="2"/>
      </rPr>
      <t>ATENTIE CA INCA NU AM PRIMIT DESIGN SI NU AM BAGAT COMANDA DECOR</t>
    </r>
    <r>
      <rPr>
        <b/>
        <sz val="11"/>
        <color rgb="FF000000"/>
        <rFont val="Calibri"/>
        <family val="2"/>
      </rPr>
      <t xml:space="preserve">
--------------
200 x felii (150 gr) compozitie personalizata (Capac de Krantz + Tort Omnia de la jeleu inclusiv in jos)
--------------
Candy-Bar 200 pax Amenajare
-
112 x Choux a la Crème Fistic
112 x Macarons Culori Tematice
112 x Mini Tarta Ciocolata si Caramel
112 x Mini Tarta Lamaie si Bezea Flambata
112 x Mini Pavlova
112 x Mini Tarta Fructe
72 x Pahar Tiramisu
72 x Ecler Artizanal
72 x Cake Pops Tematice
36 x Briose Tematice</t>
    </r>
  </si>
  <si>
    <t>Strata Stejarului 19, Localitatea Dobroesti, Jud Ilfoz</t>
  </si>
  <si>
    <t>1 x felie krantz
1 x berry chocolate
1 x raspberry vanilla
1 x carrot cake
1 x snickers</t>
  </si>
  <si>
    <t>Raluca Marinescu (client Sole)
0729094210
---
Cand aveti timp da-ti telefon clientului doar ca sa anuntati la ce ora ajungem</t>
  </si>
  <si>
    <t>Iulia Timofan
0 739 852 113</t>
  </si>
  <si>
    <t>Calea Dudesti nr 188, bl B, scara 1, et 5, ap 36</t>
  </si>
  <si>
    <t>cash fara brr. Este pentru dregustare</t>
  </si>
  <si>
    <t>feliile sa aiba 150 gr
--
3 x felie mousse fistic cu zmeura
3 x felie ricotta cu fructe confiate
3 x felie raspberry vanilla
3 x felie berry chocolate
1 x platou mini-prajituri 5 persoane</t>
  </si>
  <si>
    <t xml:space="preserve">Macheta 3, ultimul etaj REAL ca in poza 1 cu urmatoarele modificari:
-culoarea sa fie roz pal ca in poza 2
-in loc de ursuleti sa punem soricei in aceeasi culoare (cafeniu cu alb)
-fiecare etaj are 2 baloane, unul mare si unul mic, incepand de jos in sus baloanele trebuie sa aiba urmatoarele culori(ca stelutele din poza 2): primul balon sa fie albastru cu alb, al doilea roz cu alb, al treilea galben cu alb si apoi repetam culorile inca o data sa terminam cu lete 6 baloane de pe tort. Balonul de sus trebuie sa contina cele 3 culori (albastru, roz si galben, intercalate de alb)
-cuburile de jos sa aiba fondul roz pal ca macheta dar literele colorate in cele 3 culori de la baloane (albastru, roz, galben). Pe cuburi sa scrie ILINCA
-cosul balonului de sus sa fie maro
-norisorii si snurul raman albi
-------------------------------------------------
Candybar cu amenajare (cel roz cu inima poza in decor)
28 x Choux a la Crème Fistic
28 x Macarons Culori Tematice
28 x Mini Tarta Ciocolata si Caramel
28 x Mini Tarta Lamaie si Bezea Flambata
28 x Mini Pavlova
28 x Mini Tarta Fructe
18 x Pahar Tiramisu
18 x Ecler Artizanal
18 x Cake Pops Tematice
9 x Briose Tematice
----
</t>
  </si>
  <si>
    <t>1600 plata suplimentara client fata de feliile de tort ce vor fi comandate de Mogosoaia</t>
  </si>
  <si>
    <t>Comision Corina (25 euro)</t>
  </si>
  <si>
    <t>3 kg compozitie Oreo + décor Unicorn ca in poza din décor (4,5kg)|| "La multi ani, Izabela!"</t>
  </si>
  <si>
    <t>TEMATICA CAROUSSEL:
culori: roz, alb, bleu, lila, auriu
22 x mini briose 
23 x cake pops
22 x choux fistic
23 x choux vanilie
22 x mousse fructe de padure</t>
  </si>
  <si>
    <t>ridica tudor cash</t>
  </si>
  <si>
    <t>Elena Visan
Tempo
-
0 745 121 201</t>
  </si>
  <si>
    <t>Strada George Enescu nr 11, București 030167</t>
  </si>
  <si>
    <t>factura tempo advertising</t>
  </si>
  <si>
    <t>0732719121
sau
0747173271
--
Atentie, tortul este cadou. Nu se ia nimic de la client</t>
  </si>
  <si>
    <t>cash fara brr. Se iau de la DIANA direct. NU SE IA NIMIC DE LA CLIENT</t>
  </si>
  <si>
    <t>Bianca Danciu
0 722 519 589</t>
  </si>
  <si>
    <t>Strada Amurgului 64, Popesti Leordeni</t>
  </si>
  <si>
    <t xml:space="preserve">Sos. Kiseleff nr. 9, sect. 1
Bucuresti, </t>
  </si>
  <si>
    <t>Tort cu Fistic si Zmeura
Greutate: 2 kg</t>
  </si>
  <si>
    <t>Tort Bailey's
Greutate: 1.5 kg</t>
  </si>
  <si>
    <t>Str Delea Noua nr 3 , sector 3, Bucuresti - sediul DB Cargo Romania</t>
  </si>
  <si>
    <t>Gabriela
0 767 315 684</t>
  </si>
  <si>
    <t>plata cu factura per fizica
+ 
Certificat conformitate pe numele spatiului</t>
  </si>
  <si>
    <t>Regal Balroom, Salon Diamond (Cort), Bulevardul Poligrafiei 1B, București
--
Evenimentul incepe la 17:00. Amenajarea se face intre 15:30 si 16:45</t>
  </si>
  <si>
    <t>1 x tort CARS ca in poze décor (12 kg || carrot cake || 3 nivele).
ATENTIE 1: NU TREBUIE ACOPERIT CU PASTA DE ZAHAR CI CU CREMA DE ACEEEASI CULOARE (ALBASTRU DESCHIS)
ATENTIE 2: In loc de "Cezar" trebuie sa scriem "Sebastian Alexandru". Trebuie sa ne intindem pe cele 2 etaje de jos
ATENTIE 3: Nu se va pune nici o cifra pe tort.
--
Candy-Bar 80 persoane (Tematica Cars)
-
45 x Choux a la Crème Fistic
15 x Macarons (Rosu/Galben/Albastru || tematica cars)
45 x Mini Tarta Ciocolata si Caramel
45 x Mini Tarta Lamaie si Bezea Flambata
20 x Mini Pavlova
45 x Mini Tarta Fructe
29 x Ecler Artizanal
29 x Cake Pops (Tematica Cars)
29 x Pahar Tiramisu
29 x Pahar Mousse Vanilie si Zmeura
25 x pahar mousse de fructul pasiunii
15 x Briose (Personaje Cars)</t>
  </si>
  <si>
    <t>candy-bar: 1638
tort: 1080
--
S-a facut o factura de 815 Ron pe numele Virgil-Valenting Costache. Trebuie facuta si factura pentru restul sumei.</t>
  </si>
  <si>
    <t>Mircea
0765348940</t>
  </si>
  <si>
    <t>1 x tort citron dreptunghiular/patrat (4 kg) cu poza din print pe el cu mesajul "Te Iubesc"</t>
  </si>
  <si>
    <t xml:space="preserve">A platit avans 100 RON
--
80 Ron/kg. Trebuie cantarit si cerut pretul corect la gramaj. Transmiteti pretul pe whatsapp </t>
  </si>
  <si>
    <t>Mirela Grigore
(0721) 720 675
---
De specificat ca un platou este din partea Laurei</t>
  </si>
  <si>
    <t xml:space="preserve">1 x tort fistic omnia 1,6 kg
1 x tort pere Ioana 1,2kg </t>
  </si>
  <si>
    <t xml:space="preserve"> Miko Palace, Str Nicolae Iorga nr.19</t>
  </si>
  <si>
    <t>8.5 kg ( 3 nivele) tort carrot cake pentru comanda Gabriela 25.04. Tortul la final trebuie sa aiba 12 kg</t>
  </si>
  <si>
    <t>Diaconu Catalin
0745162515</t>
  </si>
  <si>
    <t>1 x tort de post 2 kg
+
Tort 6 kg ca in poze décor (2 etaje || Oreo)
---
Atentie1: Etajul de sus identic (poza alba ca zapada)
Atentie2:  Etajul de jos sa fie cu ELSA in loc de BELLA !!! E f important:))
Atentie 3: La décor trebuie sa fie mai multi fluturi!!</t>
  </si>
  <si>
    <t>Ikiland, Strada Sperantei 21-23, Bragadiru</t>
  </si>
  <si>
    <t>Certificat de conformitate 
+
De incasat restul cash cu bon:
660 RON
A platit avans 300 RON pe 03.03. Comanda totala este:
6 x 130 tort decorat
2 x 90 tort post</t>
  </si>
  <si>
    <t>2 etaje oreo 4 kg pentru comanda Diaconu Catalin 07.03</t>
  </si>
  <si>
    <t>Daniela
0765756400</t>
  </si>
  <si>
    <t>1 x tort ciocolata portocale 1.6 kg
cu mesajul "La Multi Ani, Ada!"</t>
  </si>
  <si>
    <t xml:space="preserve">A dat avans 100 ORN
-
Va rog sa cantariti cat este tortul si sa il dati la 80 RON/kg. Comunicati pe whatsapp costul final.
</t>
  </si>
  <si>
    <t>cuțitul de argint nr 7 ( ANAF ) sect 4</t>
  </si>
  <si>
    <t>plateste Mirela R. direct in cofetarie</t>
  </si>
  <si>
    <t xml:space="preserve">1 x tort inima rosie glasaj oglinda
</t>
  </si>
  <si>
    <t>Adrian
0768472669
---
De vorbit cu reta inainte de plecare</t>
  </si>
  <si>
    <t>1 x tort duo-mousse visine 1.2 kg</t>
  </si>
  <si>
    <t>Strada Erou Iancu Nicolae 158</t>
  </si>
  <si>
    <t xml:space="preserve"> Telefon</t>
  </si>
  <si>
    <t>Laura Nicolaescu
0722892475</t>
  </si>
  <si>
    <t>1 x tort dreptunghiular/patrat Chocolate fiesta 2 kg cu o placuta pe care sa scrie "Maia 12".
--
1 x tort dreptunghiular/patrat Chocolate Fieste 2 kg cu o plalcuta pe care sa scrie "Bianca 12"
----------------
Atentie: sa le decoram ca pe website cu toate bombonelele alea pe tort</t>
  </si>
  <si>
    <t>PLATA CU POS
+
CERTIFICAT CONFORMITATE</t>
  </si>
  <si>
    <t>Ovidiu
0762 268 200</t>
  </si>
  <si>
    <t>1 x tort raw vegan tiramisu 1.25 kg
1 x tort raw vegan cocos 1.25 kg
---
Sa avem grija sa arate bine estetic. Se dau cadou</t>
  </si>
  <si>
    <t>Strada Olari 12 B, Sector 2</t>
  </si>
  <si>
    <t>plata cu pos
200 RON/kg</t>
  </si>
  <si>
    <t>1 x amandina,
 1 x savarina
1 x caramel coffee bars</t>
  </si>
  <si>
    <t>Roxana Ivascu
(stie Andreea nr)</t>
  </si>
  <si>
    <t xml:space="preserve">aleea posada nr 8, bl 31, scara B, apartament 19, etaj 1, interfon 19. </t>
  </si>
  <si>
    <t>Radu Cristina
0744638264</t>
  </si>
  <si>
    <t>1 x framboisier 1.5-2 kg
-----
!!! ATENTIE: trebuie glasat doar deasupra cu ciocolata. Mesajul este "La Multi Ani, Mama! 73"</t>
  </si>
  <si>
    <t>cash cu bon. Va rog sa-l cantariti si sa-mi trasmiteti care a fost pretul final pe whatsapp!!!
---
A platit avans 100 RON</t>
  </si>
  <si>
    <t>Culori: alb si negru - majorat baiat
23 x mini briose (alb si negru)
23 x choux fistic
23 x choux vanilie
23 x mini pavlova</t>
  </si>
  <si>
    <t>Candy-Bar Flori (Culori pale + florin din pasta zahaar)
84 x Choux a la Crème Fistic
84 x Pahar Duo Mousse
84 x Mini Tarta Ciocolata si Caramel
84 x Mini Tarta Lamaie si Bezea Flambata
84 x Mini Pavlova
84 x Mini Tarta Fructe
54 x Pahar Tiramisu
54 x Ecler Artizanal
54 x Cake Pops Tematice
35 x Mini-Amandina</t>
  </si>
  <si>
    <t>am facut factura avans de 240. Trebuie stearsa si refacuta pentru toata suma</t>
  </si>
  <si>
    <t>Amenajare Stand</t>
  </si>
  <si>
    <t>Vesela Amenajare Candy-Bar Natura
+
Flyere Discount Targ
+
Carti Vizita
+
Farfurii Unica Folosinta
+
Lingurite Unica Folosinta
+
Servetele</t>
  </si>
  <si>
    <t>Palatul Parlamentului, Mariage Fest
---
Amenajeaza Mirela si Claudiu</t>
  </si>
  <si>
    <t>Colaborare cu Ghibi:
3.5 cm inaltime x 3.5 latime
30 x mini ecler
30 x mini lamaita
30 x mini shuneg 
30 x mini amandina
30 x min excelent
-------------------
1 kg pricomigdale
---
1 x Candy-Bar 50 pax (jos este un singur candy-bar de 50 pax)
-
28 x Choux a la Crème Fistic
28 x Macarons Culori Tematice
28 x Mini Tarta Ciocolata si Caramel
28 x Mini Tarta Lamaie si Bezea Flambata
28 x Mini Pavlova
28 x Mini Tarta Fructe
18 x Pahar Tiramisu
18 x Ecler Artizanal18 x Cake Pops Tematice18 x Turta Dulce Tematica
9 x Briose Tematice</t>
  </si>
  <si>
    <t>Colaborare cu Ghibi:
3.5 cm inaltime x 3.5 latime
30 x mini ecler
30 x mini lamaita
30 x mini shuneg 
30 x mini amandina
30 x min excelent
-------------------
1 kg pricomigdale
---
ATENTIE: SUNT 2 candy0bar
2 x Candy-Bar 50 pax (jos este un singur candy-bar de 50 pax)
-
28 x Choux a la Crème Fistic
28 x Macarons Culori Tematice
28 x Mini Tarta Ciocolata si Caramel
28 x Mini Tarta Lamaie si Bezea Flambata
28 x Mini Pavlova
28 x Mini Tarta Fructe
18 x Pahar Tiramisu
18 x Ecler Artizanal18 x Cake Pops Tematice18 x Turta Dulce Tematica
9 x Briose Tematice</t>
  </si>
  <si>
    <t xml:space="preserve">10 x chit degustare tort:
-
1 x felie citron
1 x felie duo-mousse visine
1 x felie fisti si zmeura
1 x felie framboisier
1 x felie tort pere
1 x felie fistic si mango
1 x felie ciocolata si portocale
1 x felie krantz
</t>
  </si>
  <si>
    <t>Reina Events
Madalina Ionescu
(0724) 415 433
--
de sunat si confirmat adresa</t>
  </si>
  <si>
    <t>Reina Events,
Strada Lt. Nicolae Pascu nr. 81 Sector 3, Bucuresti</t>
  </si>
  <si>
    <t>Degustare Bumblebee
0 729 143 053</t>
  </si>
  <si>
    <t>Platou miniprajituri umplut din partea laurei
+
!!! Prinsi cu funda rosie!. E important ca tot pachetul sa fie perfect dpdv estetic!
-
72 de cutii macarons 7 buc ca mai jos
--
1 x macarons roz pal (fructe padure)
1 x macarons bej (cafea)
1 x macaron alb cu fulgi ( cocos)
1 x macarons maro inchis(ciocolata)
1 x macarons maro deschis (caramel)
1 x macaron alb (vanilie si ceai negru)
1 x macarons roz aprins (zmeura)
-
!! in ordinea asta.</t>
  </si>
  <si>
    <t>Diana 22.08 (Targ)
0 744 371 389</t>
  </si>
  <si>
    <t xml:space="preserve">Bon Bon Club, Strada Dambovitei nr 4, Dragomirești-Deal 077095
---
Evenimentul incep ela 20:30. Candy-bar'ul se amenajeaza de la 19:00 la 20:15
</t>
  </si>
  <si>
    <t>A fost facuta o factura de avans de 528 RON. Mai trebuie facuta o factura pe persoana fizica de restul sumei. 
(Beatrice-Mihaela Tutelca)</t>
  </si>
  <si>
    <t>3 etaje (9 kg) carrot cake pentru tort Beatrice Tutelca 16.05.2020. Atentie la inaltime</t>
  </si>
  <si>
    <t>Lucian
0765379852</t>
  </si>
  <si>
    <t>1 x tort berry chocolate 1.2 kg cu mesajul "La Multi Ani, Mama!"</t>
  </si>
  <si>
    <t>2 x 1.2 kg tort trio-mousse
2 x 1.2 kg tort honney</t>
  </si>
  <si>
    <t>Ralcom Exhibitions. Se ocupa Simi</t>
  </si>
  <si>
    <t>3 x 1.2 kg tort trio-mousse</t>
  </si>
  <si>
    <t>A fost achitat anterioro pe 06.Mar de Ralcom</t>
  </si>
  <si>
    <t>Madalina Uta
0 765 522 164</t>
  </si>
  <si>
    <t>Irina Munteanu
0 733 069 778
----
De reverificat ora cu clientul</t>
  </si>
  <si>
    <r>
      <rPr>
        <b/>
        <u/>
        <sz val="11"/>
        <color rgb="FF000000"/>
        <rFont val="Calibri"/>
        <family val="2"/>
      </rPr>
      <t>1 x MASA VOLUMETRICE SWEETS PENTRU CANDY-BAR</t>
    </r>
    <r>
      <rPr>
        <b/>
        <sz val="11"/>
        <color rgb="FF000000"/>
        <rFont val="Calibri"/>
        <family val="2"/>
      </rPr>
      <t xml:space="preserve">
--
1 x tort 12 kg (3 etaje|| carrot cake) ca in departament decor. Efectul cremei trebuie sa fie la fel, sa nu-l acoperim pe tot!!!! Noi luam florile.
</t>
    </r>
    <r>
      <rPr>
        <b/>
        <u/>
        <sz val="11"/>
        <color rgb="FF000000"/>
        <rFont val="Calibri"/>
        <family val="2"/>
      </rPr>
      <t>(ATENTIE TREBUIE SA NE DEA CAKE TOPPER)</t>
    </r>
    <r>
      <rPr>
        <b/>
        <sz val="11"/>
        <color rgb="FF000000"/>
        <rFont val="Calibri"/>
        <family val="2"/>
      </rPr>
      <t xml:space="preserve">
--
120 x felie carrot cake (150 gr) decorata frumos
--
Candy-Bar 200 pers - DÉCOR NATURA
112 x Choux a la Crème Fistic
112 x Macarons ((zmeura, fistic, caramel, cocos, lamaie si ciocolata)
112 x Mini Tarta Ciocolata si Caramel
112 x Mini Tarta Lamaie si Bezea Flambata
112 x Mini Pavlova
112 x Mini Tarta Fructe
72 x Pahar Tiramisu
72 x Ecler Artizanal
72 x Cake Pops Tematice (Infipte in burete)
36 x Pahar Mousse Vanilie</t>
    </r>
  </si>
  <si>
    <t>Ramona Domintineanu
0 785 754 173</t>
  </si>
  <si>
    <t xml:space="preserve">4 x briose ca in model décor. Atentie ca trebuie sa fie acelasi bleumarin cu acelasi roz pal
---
4 x cake pops care sa se potriveasca cu briosele (bleumarin colorate cu pasta de zahar roz pah pe ele in forma de bujori + foita aur)
---
Niste turte rotunde ca in poza (bleumarin/roz pal + foaita aur). Putem doar sa pictam flori pe ele in loc sa scriem happy b-day
------------------------
Este pentru o nunta in septembrie. E ultimul pas al degustarii
</t>
  </si>
  <si>
    <t>Strada Ludescu 12</t>
  </si>
  <si>
    <t>Marina
0727394971</t>
  </si>
  <si>
    <t xml:space="preserve">Str. Salciei nr. 20 Mihailesti, Giurgiu </t>
  </si>
  <si>
    <t>plata cu POS</t>
  </si>
  <si>
    <t>1 x 2 kg Tort decorat OREO stil unicorn cu Twilight Sparkle (stie reta)</t>
  </si>
  <si>
    <t xml:space="preserve">Domnesti, gradinita Universul Copiilor  </t>
  </si>
  <si>
    <t xml:space="preserve"> 1 x 1.5 kg Tort ciocolata cu glazura oglinda MOV si decor din stelute si fluturasi +ornamente facute de reta cu  Twilight Sparkle (stie Reta) fara figurine etc "La multi ani, Ana!"</t>
  </si>
  <si>
    <t>Madalina Ionescu
0724) 415 433</t>
  </si>
  <si>
    <t>1 x tort vegan fistic 1.6 kg
--
2 x tort fistic cu zmeura 1.6 kg</t>
  </si>
  <si>
    <t>Reina</t>
  </si>
  <si>
    <t>Top Andreea
0726263263</t>
  </si>
  <si>
    <t>a platit deja 50 ron. Mai trebuie luat 110 cash cu bon</t>
  </si>
  <si>
    <t>1 x tort Oreo decorat ca pe website 2 kg</t>
  </si>
  <si>
    <t>Roxana Manea
0726449968</t>
  </si>
  <si>
    <t>22 x mucenici</t>
  </si>
  <si>
    <t>Str. Foisorului nr. 2, intrare ANAP</t>
  </si>
  <si>
    <t>Madalina
0741980965</t>
  </si>
  <si>
    <t>mariage fest</t>
  </si>
  <si>
    <t>Domeniul cu Ciresi, Soseaua Giurgiului 9
---
Amenajarea se face intre 18:00 si 19:00</t>
  </si>
  <si>
    <t>am facut factura de avans pe 06.03 de 500. Trebuie stearsa si facuta factura pe toata suma</t>
  </si>
  <si>
    <r>
      <t xml:space="preserve">1 x tort macheta 3 etaje +  un etaj real (4 etaje total)(framboisier modificat cu un strat de ciocolata alba) - astept poza
---
150 x felii framboisier cu uns trat de cioco alba 100 gr frumos decorate
----
</t>
    </r>
    <r>
      <rPr>
        <b/>
        <u/>
        <sz val="11"/>
        <color rgb="FF000000"/>
        <rFont val="Calibri"/>
        <family val="2"/>
      </rPr>
      <t xml:space="preserve">amenajare candy-bar 110 pax - de ales vesela 
</t>
    </r>
    <r>
      <rPr>
        <b/>
        <sz val="11"/>
        <color rgb="FF000000"/>
        <rFont val="Calibri"/>
        <family val="2"/>
      </rPr>
      <t xml:space="preserve">62 x Choux a la Crème Fistic
62 x Macarons Culori Tematice
62 x Mini Tarta Ciocolata si Caramel
62 x Mini Tarta Lamaie si Bezea Flambata
62 x Mini Pavlova
62 x Mini Tarta Fructe
40 x Pahar Tiramisu
40 x Ecler Artizanal
40 x Cake Pops Tematice
20 x Briose Tematice
</t>
    </r>
  </si>
  <si>
    <t>Gabriela
0 726 793 582</t>
  </si>
  <si>
    <t xml:space="preserve">AMENAJARE CANDY-BAR 70 persoane: (de ales vesela)
40 x choux fistic
40  x macarons culori tematice
40 x mini tarta ciocolata &amp; caramel
40 x mini tarta lamaie si bezea flambata
40 x mini pavlova
40 x mini tarte fructe
30 x pahar tiramisu
30 x eclere artizanale 
26 x cake pops tematice
26 x briose tematice </t>
  </si>
  <si>
    <t>Am facut factura de avans 300 lei pe 06.03. Trebuie sa refacem factura pe toata suma.</t>
  </si>
  <si>
    <t>comision corina 35 euro</t>
  </si>
  <si>
    <t>degustare eveniment 100 persoane</t>
  </si>
  <si>
    <t>Silviu Puican
0769639442</t>
  </si>
  <si>
    <t>1 x tort Oreo 3 kg ca pe website cu mesajul "La Multi Ani, Adina!"
+
numarul "12" modelat 3d din pasta de zahar. Trebuie sa stea in picioare</t>
  </si>
  <si>
    <t>a achita avans 100 ron pe 06-Mar. Trebuie sa achite inca 140 cash cu bon</t>
  </si>
  <si>
    <t>Georgeta Baiaș
0726207125
------------
I-a facut adriana programare in cofetarie. Trebuie sunata si stabilit ora de intalnire</t>
  </si>
  <si>
    <t>Marina
0727394971
----
De sunat si reconfirmat ora. Initial a fost trecut 16:00-17:00. De intrebat daca este ok la 15:00</t>
  </si>
  <si>
    <t>PT TUDOR</t>
  </si>
  <si>
    <t>-De facut Follow-Up sotie daniel anghelina
- schimbat in comenzi
- de facut follow-up monica apostolescu
- de facut follow-up beatrice belcu</t>
  </si>
  <si>
    <t>8 x briose (ciocolata cu visine insirpoate in alcool) cu inspiratie din print décor
Comentariu 1: Tot scrisul sa fie in fontul star wars
Comentariu 2: Pe 2 Briose sa scrie cifra "30"
---
Putem face 
-4 personaje sculptate
-2 pe care sa scrie star wasrs
2 pe care sa scrie 30
(daca aveti idei mai bune avem mana libera)
---
4 mucenici</t>
  </si>
  <si>
    <t>fara brrrr, primeste Dan banii direct</t>
  </si>
  <si>
    <t>30 x mucenici din care 6 sa FIE AMBALATI SEPARAT (sa scrieti pe cutie "6 separat" sau ceva)</t>
  </si>
  <si>
    <t>Gabriela
‭(0726) 667 002</t>
  </si>
  <si>
    <t>1 x tort honney 1,2 kg</t>
  </si>
  <si>
    <t xml:space="preserve">Alex Cianga
0 745 321 778
</t>
  </si>
  <si>
    <t>PLATESTE CU CARDUL 2 platouri. Unul este pt luni</t>
  </si>
  <si>
    <t>Win Expert Consulting,  sector 3, Str. Agatha Barsescu nr. 15b</t>
  </si>
  <si>
    <t>1 x platou 10 persoane pe platou auriu cu mesaj pe placuta din pasta de zahar "  Din partea MICRODETAILS SRL. O primăvară frumoasă!"</t>
  </si>
  <si>
    <t>Georgiana Cotovanu
0746936618
---
Atentie. Nu se comunica decat ca am venit cu un cadou</t>
  </si>
  <si>
    <t>a fost achitat duminica</t>
  </si>
  <si>
    <t>Problema Dubita</t>
  </si>
  <si>
    <t>Costas Pricop
0740167686</t>
  </si>
  <si>
    <t>1 x tort fistic si zmeura 1.8 kg decorat ca pe website
+
1 x platou 5 persoane</t>
  </si>
  <si>
    <t>a fost achitat pe 07.03.2020</t>
  </si>
  <si>
    <t>1 x 1.5 kg tort cu pere (varianta noua) cu mesajul "La multi ani, Anca!"
----
1 x cutie 7 macarons</t>
  </si>
  <si>
    <t>Strada Crisul Alb, nr 31, bloc nou, etaj 2, ap 4, sector 4, Bucuresti</t>
  </si>
  <si>
    <t>9 x platou 10 persoane (e importanta prezentarea)
--
Atentie la macarons sa nu fie vechi! E o comanda pt ING</t>
  </si>
  <si>
    <t>Certificat de conformitate
--
preia Tudor Banii direct cash. Nu se ia nici un ban de livrare</t>
  </si>
  <si>
    <t xml:space="preserve">Ana Maria Vasile 
0723424227
</t>
  </si>
  <si>
    <t>Simina 
0 726 697 785
--
Sunt din partea Laurei! De mentionat!</t>
  </si>
  <si>
    <t>1 x cutie 5 mucenici
--
atentie la ambalat. Fiind fff insiripati cred ca trebuie pusa o folie jos in cutie sa protejeze</t>
  </si>
  <si>
    <t>2 x cutii cu 10 mucenici
--
atentie la ambalat. Fiind fff insiripati cred ca trebuie pusa o folie jos in cutie sa protejeze</t>
  </si>
  <si>
    <t>Ramada Nord, Strada Daniel Danielopolu 44, București
--
Invitatii ajung la 19:00. Fac cei de la hotel amenajarea dar cel tarziu la 17:00 trebuie sa fim acolo cu praji</t>
  </si>
  <si>
    <t>a fost facuta o factura de avans de 900 RON. Mai trebuie facuta o factura pe persoana fizica de restul sumei. 
(Madalina Uta`)</t>
  </si>
  <si>
    <r>
      <t xml:space="preserve">15 kg (150 portii x 100 gr) in torturi reale framboisier asezate pe un stativ frumos de torturi. </t>
    </r>
    <r>
      <rPr>
        <b/>
        <u/>
        <sz val="11"/>
        <color rgb="FF000000"/>
        <rFont val="Calibri"/>
        <family val="2"/>
      </rPr>
      <t>ATENTIE! NU A FOST ALES STATIVUL INCA</t>
    </r>
    <r>
      <rPr>
        <b/>
        <sz val="11"/>
        <color rgb="FF000000"/>
        <rFont val="Calibri"/>
        <family val="2"/>
      </rPr>
      <t xml:space="preserve">
---
Candy 120 pers (fara amenajare):
68 x Choux a la Crème (Fistic-Cafea-Ciocolata-Vanilie)
68 x Macarons Culori Tematice
68 x Mini Tarta Ciocolata si Caramel
68 x Mini Tarta Lamaie si Bezea Flambata
34 x Mini Alba ca Zapada
34 x Mini Amandine
68 x Mini Tarta Fructe
44 x Pahar Tiramisu
44 x Mini Ecler Artizanal (vanilie - ciocolata - ness)
44 x Cake Pops Tematice
22 x Briose Tematice
</t>
    </r>
  </si>
  <si>
    <t>BRD</t>
  </si>
  <si>
    <t>10 x platouri 5 persoane</t>
  </si>
  <si>
    <t>Reina Events,
Strada Lt. Nicolae Pascu nr. 81 Sector 3, Bucuresti
---
Evenimentul incepe la 19:30. Se amenajeaza de la 18:15 la 19:15</t>
  </si>
  <si>
    <t>S-a facut factura de 330 RON pe numele Alecu Ionut. Trebuie sters avansul si facut pentru restul sumei</t>
  </si>
  <si>
    <t>1 x candy-bar 60 persoane:
Tematic alb/argintiu/albastru
39 x Pahar Duo-Mousse
18 x macarons albastri (ciocolata alba || ciocolata neagra)
18 x macarons albi (7 x menta || 7 x cafea || 4 x ciocolata neagra)   
34 x Mini Tarta Ciocolata si Caramel
34 x Mini Tarta Lamaie si Bezea Flambata
23 x Ecler Artizanal Ciocolata  
22 x Cake Pops Tematice  
21 x Choux a la Crème Ciocolata
21 x Choux a la Creme Vanilie
16 x Ecler Artizanal Cafea
13 x Choux a la Creme Fistic
13 x Choux a la Creme Cafea
11 x Briose Tematice
-------
Atentie ca modelele pentru cakepops si briose sunt puse in departament decor</t>
  </si>
  <si>
    <t>Comanda website seara</t>
  </si>
  <si>
    <t>1 x tort</t>
  </si>
  <si>
    <t>1 x tort 1.2 kg trio-mouss</t>
  </si>
  <si>
    <t>1 x tort citron 1.6 kg</t>
  </si>
  <si>
    <t xml:space="preserve">Ridicare Cofetarie </t>
  </si>
  <si>
    <t>Andreea Blu
0 727 852 766</t>
  </si>
  <si>
    <t>1 X FRAMBOISIER 1.6 KG decorat ca pe website cu mesajul "La multi ani, mami!"</t>
  </si>
  <si>
    <t>Daniel Marita
0733078350
---
De sunat si anuntat ca se ajunge la 10:00</t>
  </si>
  <si>
    <t>Olivia lara</t>
  </si>
  <si>
    <t>15 x tarta zmeura ambalate individual in cate 1 cutie
---
Daca se poate, ne-a rugat frumos sa legam cu funda rosie in stil cadou</t>
  </si>
  <si>
    <t>ia tudor banii ulterior. Se ofera sa achite pe loc e ok!. Doar daca se ofera:)</t>
  </si>
  <si>
    <t>1 x forma inox care trebuie sa ajunga la Olivia. Din LARA CAROL se ia CATALIN si se merge impreuna cu el la DSV. 
+
1 x telefon android care se afla sus in biroul lara sweets (daca se poate gasi si cutia lui ar fi perfect, daca nu, macar telefonul)</t>
  </si>
  <si>
    <t>Denisa Negreanu
0 766 758 754</t>
  </si>
  <si>
    <t>Strada Caporal Ilina nr 2 bl 11b SC A ap 33 interfon 33</t>
  </si>
  <si>
    <t>1 x framboisier 2 kg decorat ca pe website cu mesajul "La Multi Ani Filip, 6 Luni"</t>
  </si>
  <si>
    <t>1 x cheese cake 1 kg cu mesajul "La Multi Ani Diego, 2 anisori"
---
Trebuie sa facem si 2 labute de caine pe el ca décor</t>
  </si>
  <si>
    <t>de pregatit pentru 11</t>
  </si>
  <si>
    <t>1.6 kg compozitie Raspberry Vanilla + décor Mickey Mouse (poza decor)|| "Filip" si cifra 2 (asezate la fel ca in poza)</t>
  </si>
  <si>
    <t>(pentru comanda de pe 11) 1.6 kg compozitie Raspberry Vanilla + décor Mickey Mouse (poza decor)|| "Filip" si cifra 2 (asezate la fel ca in poza)</t>
  </si>
  <si>
    <t>Strada Nerva Traian nr.3 (City Business Center) etaj 3
NEAPARAT SA AJUNGA PANA IN 9:30</t>
  </si>
  <si>
    <t>2 x platouri de minipraji de 10 persoane 
+ 
cutie din partea mea cu:
1 x amandina
1 x cremsnit
1 x savarina
1 x monoportie cu cafea</t>
  </si>
  <si>
    <t>Cristina (Lasertag)
0 766 905 791</t>
  </si>
  <si>
    <t>pos
+
certificat conformitate</t>
  </si>
  <si>
    <t>1 x tort decorat ca in poze décor (oreo|| 3 kg || 1 singur etaj)
---
Sa scriem "7 Sergiu" in loc de "35 Bogdys"
-------------------
ATENTIE: nu mai vrea fular! Numele copilului il scriem direct pe tort</t>
  </si>
  <si>
    <t>1 x décor 2.2 kg OREO pentru comanda cristina lasertag 14.10</t>
  </si>
  <si>
    <t>Irina Iordache
0767005516</t>
  </si>
  <si>
    <t>oferta este 3553
suplimentare macs 170
masa sweets 300
---
S-a facut factura de avans  de 1207. Trebuie facuta factura pentru restul sumei</t>
  </si>
  <si>
    <r>
      <t xml:space="preserve">1 x macheta ca in poza décor cu etaj real KRANTZ. In loc de roz pal neaparat sa fie ALB. Noi luam florile
---
140 x felie 150 gr krantz decorat frumos
---
</t>
    </r>
    <r>
      <rPr>
        <b/>
        <u/>
        <sz val="11"/>
        <color rgb="FF000000"/>
        <rFont val="Calibri"/>
        <family val="2"/>
      </rPr>
      <t xml:space="preserve">MASA SWEETS CANDY-BAR
</t>
    </r>
    <r>
      <rPr>
        <b/>
        <sz val="11"/>
        <color rgb="FF000000"/>
        <rFont val="Calibri"/>
        <family val="2"/>
      </rPr>
      <t>---
Amenajare Candy-Bar 120 Pax:
61 x Choux a la Crème
120 x Macarons Culori Tematice
61 x Mini Tarta Ciocolata si Caramel
61 x Mini Tarta Lamaie si Bezea Flambata
61 x Mini Pavlova 
61 x Mini Tarta Fructe
44 x Pahar Tiramisu
44 x Pahar Duo-Mousse
44 x Pahar Mousse Vanilie si Zmeura 
44 x Cake Pops Tematice
22 x Briose Tematice
-
!!!!! Atentie, vrea neaparat sa aiba o piramida foarte mare de macarons</t>
    </r>
  </si>
  <si>
    <t>Client Fidel</t>
  </si>
  <si>
    <t>Georgiana 
0739 978 105</t>
  </si>
  <si>
    <t>1x Tort Bailey s 3kg Cu mesajul LA MULTI ANI CORNELIA</t>
  </si>
  <si>
    <t>Cahs-Bon. Avans 160 Lei, achitat. Mai are de achitat 80 Lei</t>
  </si>
  <si>
    <t>factura brd achitat acash</t>
  </si>
  <si>
    <t>Strada George Calboreanu, nr 2, bl. 120, Sc 2, Et. 3, Ap 58, int. 58C</t>
  </si>
  <si>
    <t>plata direct Dan(-30 %)</t>
  </si>
  <si>
    <t>American Ballroom, Salon Hollywood, Faur, Poarta 1, Bulevardul Basarabia 256, București
---
Candy se amenajeaza intre 18:45 si 19:45. Evenimentul incepe la 20:00</t>
  </si>
  <si>
    <t>Ilie Geanina
0744421063</t>
  </si>
  <si>
    <t>4 x pavlova mari</t>
  </si>
  <si>
    <t>a fost achitata integral pe 11.03.2020</t>
  </si>
  <si>
    <t>Alexandra Mihai
0721337006</t>
  </si>
  <si>
    <t>Pantelimon, Şoseaua, nr 144,bl102A, sc.A,et 11,ap45,interfon 45</t>
  </si>
  <si>
    <t>Tort Duo Mousse cu Visine
Greutate: 1 kg
Mesaj Personalizat: La multi ani, draga mea soție! Te iubesc!</t>
  </si>
  <si>
    <t>Raul Vedea bloc 4C,apartamentul 26,etajul 2,interfon 26</t>
  </si>
  <si>
    <t>Corina Niristean
'0769101559</t>
  </si>
  <si>
    <t>Str. Drumul fermei nr. 99a bl. 2 ap. 13 popesti leordeni
---
ATENTIE CA E IN POPESTI LEORDENI</t>
  </si>
  <si>
    <t xml:space="preserve">Telefon
0733078350
---
De anuntat la cat ajunge pachetul
</t>
  </si>
  <si>
    <t xml:space="preserve">
Va rog sa montam comanda asta cat mai tarziu. O duce maine la munte
---
1 x Tort 1.6 kg framboisier  cu mesajul "50 ani"
---
15 x choux fistic
15 x choux ciocolata
15 x choux ness
15 x choux vanilie
</t>
  </si>
  <si>
    <t>Tort Pavlova
Greutate: 1.6 kg
Mesaj Personalizat: La mulți ani, Gelu!</t>
  </si>
  <si>
    <t>Calea Calarasi, nr. 253, bl. 67,
Sc. 1, etaj 4, ap/interfon 19, sector 3, Bucuresti</t>
  </si>
  <si>
    <t>A fost achita tpe website</t>
  </si>
  <si>
    <t>fara brrrr, primeste Dan banii direct(discount 20%)</t>
  </si>
  <si>
    <t>Octeabrina Munteanu
0762922148</t>
  </si>
  <si>
    <t>Ridicare Comanda Vesela
de la Mirela R.</t>
  </si>
  <si>
    <t>Andreea Str. Tony Bulandra 66</t>
  </si>
  <si>
    <t>Trebuie ridicate 2 suporturi in valoare de 300 RON. De luat cash din cofetarie si de luat factura
--
pana in ora 11:00 sau dupa ora 16:00</t>
  </si>
  <si>
    <t xml:space="preserve">de luat bani si luat de acolo factura </t>
  </si>
  <si>
    <t xml:space="preserve"> Chiajna , Str Viitorului, Nr 30 B</t>
  </si>
  <si>
    <t>20 x cakepops (ca in poza decor cu candy bar 29 feb)
 20 choux a la creme cu fistic
20 mini tarte cu lămâie
10 mini tarte cu ciocolata și caramel</t>
  </si>
  <si>
    <t>Tort Raspberry Vanilla
Greutate: 1 kg
Mesaj Personalizat: La multi ani, Natalia!
Scris cu galben, va rog!</t>
  </si>
  <si>
    <t>2 kg Framboisier</t>
  </si>
  <si>
    <t>Calea Moșilor 205, Bloc 11, Scara B, Etaj 7, Apt. 57.</t>
  </si>
  <si>
    <t>1 x tort personalizat 1.2 kg dupa cum urmeaza:
De jos in sus:
1. Blat Migdale
2. Mousse Ciocolata Lapte cu Bucati de Zmeura
3. Blat Migdale
4. Mousse Mango &amp; Fistic (Omnia)
5. Jeleu Zmeura (Omnia)</t>
  </si>
  <si>
    <t>Strada Izbicenu 163, Sector 1</t>
  </si>
  <si>
    <t>Simona Stefan
0 769 308 271</t>
  </si>
  <si>
    <t>American Ballroom, Șoseaua Pipera 48-50, București 014254
----
Evenimentul incepe la 19:30. Se incepe de la 18:00 la 19:00</t>
  </si>
  <si>
    <t>A fost facuta factura fizica pe Simona stefan pe 512 RON. Trebuie stornata si refacutra pe toata suma</t>
  </si>
  <si>
    <t>1 x tort trio-mousse 1.6 kg cu mesajul "La Multi Ani, Adelina"</t>
  </si>
  <si>
    <t>Client Telefon
0 760 195 209</t>
  </si>
  <si>
    <t>1 x 1.2 kg honney cu mesajul "La Multi Ani"</t>
  </si>
  <si>
    <t>Drm valea danului 29 31, sc a, ap 10 et 3</t>
  </si>
  <si>
    <t>Mihai
0 746 205 205
---------
ATENTIE. ESTE CADOU din partea Laurei Bejan. Nu se iau bani</t>
  </si>
  <si>
    <t>ESTE CADOU
-
.factura a fost facuta pe creative lead srld pe 14.03</t>
  </si>
  <si>
    <t>2 x felie tarta mere
2 x tarta ciocolata
2 x cremsnit
2 x tarta zmeura
2 x ecler ciocolata</t>
  </si>
  <si>
    <t>Strada Dornei 5, Bucuresti</t>
  </si>
  <si>
    <t>Nichita Zloteanu
---
De sunat si confirmat adresa</t>
  </si>
  <si>
    <t xml:space="preserve">Corina Moisa
0728 838 193
</t>
  </si>
  <si>
    <t>1 x tort pere ioana cu mesajul "La Multi Ani, Tudor!"</t>
  </si>
  <si>
    <r>
      <t xml:space="preserve">1 x macheta 4 etaje (3 etaje fake + 1 reale) 
Comentariu 1:
In loc de negru sa facem bleumarin ca in "Poza Bleumarin"
Comentariu 2:
In loc de flori albe sa fie flori roz pal.
</t>
    </r>
    <r>
      <rPr>
        <b/>
        <u/>
        <sz val="11"/>
        <color rgb="FF000000"/>
        <rFont val="Calibri"/>
        <family val="2"/>
      </rPr>
      <t>ATENTIE CA TREBUIE SA II FACEM ETAJ REAL CA TORTUL PE CARE IL AU DEJA SI NU STIM COMPOZITIA. Trebuie bagat la decor</t>
    </r>
    <r>
      <rPr>
        <b/>
        <sz val="11"/>
        <color rgb="FF000000"/>
        <rFont val="Calibri"/>
        <family val="2"/>
      </rPr>
      <t xml:space="preserve">
---</t>
    </r>
    <r>
      <rPr>
        <b/>
        <u/>
        <sz val="11"/>
        <color rgb="FF000000"/>
        <rFont val="Calibri"/>
        <family val="2"/>
      </rPr>
      <t xml:space="preserve">
Candy-Bar 100 persoane (Bleumarin || Alb || Roz Pal) cu amenajare</t>
    </r>
    <r>
      <rPr>
        <b/>
        <sz val="11"/>
        <color rgb="FF000000"/>
        <rFont val="Calibri"/>
        <family val="2"/>
      </rPr>
      <t xml:space="preserve">
56 x Choux a la Crème Fistic
56 x Macarons Culori Tematice
56 x Mini Tarta Ciocolata si Caramel
56 x Mini Tarta Lamaie si Bezea Flambata
56 x Mini Pavlova
56 x Mini Tarta Fructe
36 x Pahar Tiramisu
36 x Ecler Artizanal
36 x Cake Pops Tematice
18 x Briose Tematice
!!! Atentie ca este modelul de candy-bar in print
</t>
    </r>
  </si>
  <si>
    <t xml:space="preserve">Este cadou de ziua lui. </t>
  </si>
  <si>
    <t>Voicu Corina
0 (722) 734 374</t>
  </si>
  <si>
    <t>1 x cozonac raw-vegan nuca
1 x cozonac rahat si fructe confiate
1 x kg fursecuri</t>
  </si>
  <si>
    <t>cash cu bon
---
140
85
40</t>
  </si>
  <si>
    <t>Simona Stefan(degustare tort nunta)
0 769 308 271
---
Laurentiu sa o suni si anunti suma si ora de livrare. Este tortul ei personalizat pt nunta. Il duce dl apostol</t>
  </si>
  <si>
    <t>Dl Apostol.</t>
  </si>
  <si>
    <t xml:space="preserve"> Mari
+40 737 366 553</t>
  </si>
  <si>
    <t>1 x tort oreo 2 kg cu mesajul "La Multi Ani, Ani!"
--
Neparat sa fie decorat ca pe website</t>
  </si>
  <si>
    <t>3 kg x 80 Ron tort
1.5 kg x 75 ron minipraji
---
cash cu bon</t>
  </si>
  <si>
    <t>Dumitru Gabriela
0742208159</t>
  </si>
  <si>
    <t>120 ron/kg cash cu bon. A achitat deja 100 RON avans</t>
  </si>
  <si>
    <t>1 x tort framboisier 3 kg cu mesajul "La Multi Ani, Radu!"
+
1.5 kg mix prajituri (neaparat sa fie si eclere)
(30% eclere/ 30% mini-amandine /  40% prajituri clasice la alegere)</t>
  </si>
  <si>
    <t>Razvan (Reina Events)
N/A (stie laura)
--
Este un client f pretentios. Va rog sa gustam din ce ii dam</t>
  </si>
  <si>
    <t>1 x tort ca in poze décor (3. 5 kg greutate totala oreo)
-
Mesajul este "La Multi Ani, Andrei!" si cifra "7"</t>
  </si>
  <si>
    <t>1 x 2.7 kg ore tort pentru dumitru gabriela 28.03</t>
  </si>
  <si>
    <t>500 gr cornulete cu rahat
500 gr fursecuri cu unt
1 x COZONAC PERSONALIAZT CACAO &amp; RAHAT (fara nuca)</t>
  </si>
  <si>
    <t>Bulevarul Libertatii nr.22 bl.102 sc.3 et.2 ap.45 Bucuresti sector 5</t>
  </si>
  <si>
    <t>Tudor Lara
----
I se ureaza La Multi Ani. Tortul este din partea cofetariei</t>
  </si>
  <si>
    <r>
      <t xml:space="preserve">1 x macheta cu 3 etaje cu tort PERSONALIZAT (ce tort personalizat)
ATENTIE 1: De pastrat aspectul metalizat al machetei. 
ATENTIE 2: De schimbat culorile in ALB/ROZ PAL/LILA
ATENTIE 3: De schimbat florile ca in poza "Model Flori"
------------------------------
200 x felie tort personalizat:
(de jos in sus)
1. Blat Migdale
2. Mousse Ciocolata Lapte cu Bucati de Zmeura
3. Blat Migdale
4. Mousse Mango &amp; Fistic (Omnia)
5. Jeleu Zmeura (Omnia)
------------------------------
</t>
    </r>
    <r>
      <rPr>
        <b/>
        <u/>
        <sz val="11"/>
        <color rgb="FF000000"/>
        <rFont val="Calibri"/>
        <family val="2"/>
      </rPr>
      <t>MASA SWEETS</t>
    </r>
    <r>
      <rPr>
        <b/>
        <sz val="11"/>
        <color rgb="FF000000"/>
        <rFont val="Calibri"/>
        <family val="2"/>
      </rPr>
      <t xml:space="preserve">
-- 
Candy-Bar 130 persoane
18 x Choux a la Crème Fructe de Padure
18 x Choux a la Crème Fructe de Lamaie
18 x Choux a la Crème Mango
18 x  Choux a la Crème Zmeura
24 x Macaron Alb (ciocolata alba)
24 x Macaron Lila (fructe de padure)
24 x Macaron Roz Pal (zmeura)
26 x Monoportii Mici Mousse Zmeura (roz) 
26 x Monoporti Mici Mousse Lavanda (lila)
26 x Monoporti Mici Mousse Vanilie (alb)
35 x Mini Tarta Ciocolata si Caramel
35 x Mini Tarta Lamaie si Bezea Flambata
67 x Mini Pavlova
67 x Mini Tarta Fructe
16 x Pahar Tiramisu
16 x Pahar Vanilie si Zmeura
16 x Pahar Duo-Mousse  
40 x Ecler Artizanal (Roz Pal/ Lila/ Alb)
40 x Cake Pops Tematice (Roz Pal/ Lila/ Alb)
24 x Briose Tematice (Roz Pal/ Lila/ Alb)
!!! ATENTIE: VREA CA LA ROBERTA RAITON DAR FARA UNICORNI
</t>
    </r>
  </si>
  <si>
    <t>1 x  etaj real(compozitie personalizata) pentru macheta Simona Stefan 05.09
---
De jos in sus:
1. Blat Migdale
2. Mousse Ciocolata Lapte cu Bucati de Zmeura
3. Blat Migdale
4. Mousse Mango &amp; Fistic (Omnia)
5. Jeleu Zmeura (Omnia)</t>
  </si>
  <si>
    <t>Strada Viesparilor, Ap 10, Etaj 3</t>
  </si>
  <si>
    <t>Andrada 
0 771 515 756</t>
  </si>
  <si>
    <t>Serafim Claudiua
0732835259</t>
  </si>
  <si>
    <t>cash cu bon.  A platit 50 ron in avans</t>
  </si>
  <si>
    <r>
      <t xml:space="preserve">4 x cozonac nuca si cacao </t>
    </r>
    <r>
      <rPr>
        <b/>
        <u/>
        <sz val="11"/>
        <color rgb="FF000000"/>
        <rFont val="Calibri"/>
        <family val="2"/>
      </rPr>
      <t>de post</t>
    </r>
  </si>
  <si>
    <t>1 x tort duo-mousse visine 1.5 kg cu mesajul "La multi ani, Nicomleta!" pe o placuta frumos ornata.
Sa fie ornat cu multe fructe si macarons!
---
Nicomleta e corect!</t>
  </si>
  <si>
    <t>Corina Isac
0 740 230 582
---
De sunat si anuntat ora</t>
  </si>
  <si>
    <t>a fost achitat anterior de catre Tudor</t>
  </si>
  <si>
    <t>1 x tort honney 1 kg cu mesajul "La multi ani, mamica si fiica!"</t>
  </si>
  <si>
    <t>strada Gheorghe Petrascu, numarul 8, bloc o6, scara B, interfon 20, etaj 1, apartament 20</t>
  </si>
  <si>
    <t>1 x tort duo-mousse visine 2 kg cu mesajul "La Multi Ani, Alex!" pe o placuta frumos decorat
----
Cutie cu panglica Rosie</t>
  </si>
  <si>
    <t xml:space="preserve">In fata farmaciei Parhon, Strada Căpitan Gheorghe Demetriade 12, București
---
Trebuie sa asteptati sa il ridice clientul. </t>
  </si>
  <si>
    <t xml:space="preserve">a fost achitat.  A platit Tudor in cash flow. </t>
  </si>
  <si>
    <t>1 x cozonac cu cacao si nuca
1 x pasca cu branza
1 x platou miniprajituri (75 lei)
(rumba/lamaita/foi miere/mini ecler/ excelent/bomboane artizanale)</t>
  </si>
  <si>
    <t>Anca Godeanu
0732719121
-----
De sunat si anuntat ora</t>
  </si>
  <si>
    <t>Denisa Negreanu
0 766 758 754
---------
de sunat si anuntat ora</t>
  </si>
  <si>
    <t>Cristina Chiran
0726137474</t>
  </si>
  <si>
    <t>Str. Baia de Aries nr. 9, bloc 10, scara 3, etaj 1, ap. 77, interfon 67, sector 6, Bucuresti.</t>
  </si>
  <si>
    <t>a achitat prin website</t>
  </si>
  <si>
    <r>
      <t xml:space="preserve">1 x platou miniprajituri 5 persoane
--------
</t>
    </r>
    <r>
      <rPr>
        <b/>
        <u/>
        <sz val="11"/>
        <color rgb="FF000000"/>
        <rFont val="Calibri"/>
        <family val="2"/>
      </rPr>
      <t>Atentie!, in loc de 5 mini-tarte lamaie, punem minieclere</t>
    </r>
  </si>
  <si>
    <t xml:space="preserve">Simina 
0 726 697 785
</t>
  </si>
  <si>
    <t>Cristina
0 727 721 722
---
De sunat si anuntat ora la inceput de program</t>
  </si>
  <si>
    <t>Nicoleta Almaj
0 728 875 686</t>
  </si>
  <si>
    <t>Corbeanca, Paradisul Verde Aleea Trandafirilor nr 9</t>
  </si>
  <si>
    <r>
      <rPr>
        <b/>
        <u/>
        <sz val="11"/>
        <color rgb="FF000000"/>
        <rFont val="Calibri"/>
        <family val="2"/>
      </rPr>
      <t>1 x tort krantz 1.6 kg cu mesajul "La multi ani, Bui!"</t>
    </r>
    <r>
      <rPr>
        <b/>
        <sz val="11"/>
        <color rgb="FF000000"/>
        <rFont val="Calibri"/>
        <family val="2"/>
      </rPr>
      <t xml:space="preserve"> (atentie sa fie fara n)
---
TREBUIE SA PUNEM LUMANARI CU cifra 72. Daca nu avem, trebuiec cumparate
---
</t>
    </r>
    <r>
      <rPr>
        <b/>
        <u/>
        <sz val="11"/>
        <color rgb="FF000000"/>
        <rFont val="Calibri"/>
        <family val="2"/>
      </rPr>
      <t>1 x cozonac cu nuca si cacao
2 x cremsnit</t>
    </r>
    <r>
      <rPr>
        <b/>
        <sz val="11"/>
        <color rgb="FF000000"/>
        <rFont val="Calibri"/>
        <family val="2"/>
      </rPr>
      <t xml:space="preserve">
-----
1 x cutie 4 prajituri goala
1 x cutie 8 prajituri goala
</t>
    </r>
  </si>
  <si>
    <t>21, Strada Primaverii, Corbeanca, 077066</t>
  </si>
  <si>
    <t>a fost achita deja</t>
  </si>
  <si>
    <t xml:space="preserve">Clara
0 745 303 768
----
Este cadou pentru ea de ziua ei
</t>
  </si>
  <si>
    <t>1 x 1.6 kg tort rapsberry vanilla ornat cu zmeura proaspata si fructe ca pe website. (daca zmeura nu arata bine, puneti alt décor)
---
lumanare cu cifra "25" si o artifica
---
mesaj pe o placuta "La Multi Ani Clara"
-----------------------------
Tortul sa fie impachetat intr-o cutie cu o funda rosie
---
Pe cutie sa fie o foaie sau o placuta pe care sa scrie foarte frumos: "Din partea printeselor disney"</t>
  </si>
  <si>
    <t>B-dul Lacul Tei 69, bloc 5, Sc 1, ap 25, etaj 7</t>
  </si>
  <si>
    <t xml:space="preserve">fara brrr, banii direct la Dan, discount 10% </t>
  </si>
  <si>
    <t>1 x cozonac cu cacao, nuca si rom 
1 x platou miniprajituri (75 lei)
(rumba/lamaita/foi miere/mini ecler/ excelent/bomboane artizanale)</t>
  </si>
  <si>
    <t>6 x amandine
6 x savarine
6 x cremsnit
---
ambalate individual</t>
  </si>
  <si>
    <t>Luiza Apostol
0720947514
----
de sunat si anuntat ora</t>
  </si>
  <si>
    <t>Ionut Vrajitoru
0744580521</t>
  </si>
  <si>
    <t>str Copilului 18 - sediul Konica Minolta
Bucuresti, Bucureşti, 12178</t>
  </si>
  <si>
    <t>A fost platita online</t>
  </si>
  <si>
    <t>1 x platou cremsnit (75 lei)
2 x tarta ciocolata (30 lei)</t>
  </si>
  <si>
    <t>str Novaci nr 10, Bloc P 60, sc 3, etaj 4, ap 77, interfon 77, sector 5, București</t>
  </si>
  <si>
    <t xml:space="preserve"> 1 x tort pavlova 1 kg (100 RON) cu mesajul "La Multi Ani, Cristina!"
----
Cutie cu panglica Rosie. Cutia sa fie mai mica astfel incat sa incapa in frigider</t>
  </si>
  <si>
    <t xml:space="preserve">George Boboc
0722123059 </t>
  </si>
  <si>
    <t>GBC exim, str. eugen lovinescu nr 14,</t>
  </si>
  <si>
    <t>1 x tort decorat 1.5 kg in total (COMPOZITIE PERSONALIZATA RASPBERRY VANILLA CU FISTIC)
ca in poza décor</t>
  </si>
  <si>
    <r>
      <t xml:space="preserve">1 x tort 1 kg COMPOZITIE PERSONALIZATA RASPBERRY VANILLA pentru comanda George Bobobc 26.03
---
</t>
    </r>
    <r>
      <rPr>
        <b/>
        <u/>
        <sz val="11"/>
        <color rgb="FF000000"/>
        <rFont val="Calibri"/>
        <family val="2"/>
      </rPr>
      <t>Trebuie sa aiba si fistic maruntit in blat, in loc de zmeura (100-150g)</t>
    </r>
  </si>
  <si>
    <r>
      <t>Laura Pop
0723246767
----
Sunati aici inainte ca sa iasa doctorul.</t>
    </r>
    <r>
      <rPr>
        <b/>
        <u/>
        <sz val="11"/>
        <color rgb="FF000000"/>
        <rFont val="Calibri"/>
        <family val="2"/>
      </rPr>
      <t xml:space="preserve"> Nu avem voie sa ajungem mai devreme</t>
    </r>
  </si>
  <si>
    <t>1 x cozonac cu nuca, cacao si rom
2 x cutii macarons 7 buc</t>
  </si>
  <si>
    <t>Petricani 54, Bucuresti</t>
  </si>
  <si>
    <t xml:space="preserve">1 x tort chocolate delight (cafea) 1 .6 kg cu mesajul "La multi ani epici, Davia!"
---
Cutia de tort sa fie cu panglica rosie si pe ea sa punem o placuta pe care sa scrie "Ganduri Bune" </t>
  </si>
  <si>
    <t>Postelnicul Stroe nr 8A ap 3 sector 2
---
ora e f importanta</t>
  </si>
  <si>
    <t>Intr N Iorga nr 3, sect 1, ap 2</t>
  </si>
  <si>
    <t>2 x cozonac cu nuca si cacao</t>
  </si>
  <si>
    <t>3 x cozonac cu nuca si cacao</t>
  </si>
  <si>
    <t>a fost achitat la cealalta comanda.</t>
  </si>
  <si>
    <t>a fost facuta factura pe florentina lacramioara stefan.
--
NU SE LASA FACTURA. E CADOU</t>
  </si>
  <si>
    <t>a fost facuta factura pe Ana Maria Diceanu
--
NU SE LASA FACTURA. E CADOU</t>
  </si>
  <si>
    <t>Str Drumeagului nr 9</t>
  </si>
  <si>
    <t>Simona 
0768158175</t>
  </si>
  <si>
    <t>1,6 kg tort Fistic cu zmeura || La multi ani, Matei!
+
25 pricomigdale</t>
  </si>
  <si>
    <t>str.Dristorului nr 97-119,scara 2 , et 6, ap 190</t>
  </si>
  <si>
    <t>fara brrrr, primeste Dan direct</t>
  </si>
  <si>
    <t>1 x platou miniprajituri 5 persoane
2 x tarta citron</t>
  </si>
  <si>
    <t xml:space="preserve">Aleea Posada nr. 4 bloc 33 scara 1 etaj 3 ap. 10
</t>
  </si>
  <si>
    <t>Mihaela Benta
0721378635
-----------
Nu a trecut data la comanda. Va rog sa o sunam si sa confirmam ca e astazi si ca ora e corecta(26.03)</t>
  </si>
  <si>
    <t>Achitata pe website</t>
  </si>
  <si>
    <t>1 x cozonac raw vegan cu caju si mac
1 x cozonac cu nuca, cacao si romn</t>
  </si>
  <si>
    <t>Str Paris nr 15, LA Rezidence , casa 5
Tunari, Ilfov 077190, Romania</t>
  </si>
  <si>
    <t>Simona Smadu
0729400450
--
De sunat si anuntat ora</t>
  </si>
  <si>
    <t xml:space="preserve">str costisa nr 21,sector 6(zona prel ghencea)  </t>
  </si>
  <si>
    <t>Ana
0 734 432 832
---
De sunat si anuntat ora</t>
  </si>
  <si>
    <t>cu factura</t>
  </si>
  <si>
    <t>Complec cubic 5, str Drum Ghindari 69-71</t>
  </si>
  <si>
    <t xml:space="preserve">1 x tort framboisier 1.6 kg </t>
  </si>
  <si>
    <t>1 x 1.6 kg tort snickers ca pe website 
cu mesajul "La Multi Ani, Mama"</t>
  </si>
  <si>
    <t>Client Telefon
0 730 263 511</t>
  </si>
  <si>
    <t>1 x tort 1.2 kg-1.6 kg omnia ciocolata cu mesajul "La multi ani!"
+
1 x platou miniprajituri 5 persoane</t>
  </si>
  <si>
    <t>Complex Furtuna, Strada Smaraldului nr. 12,  bl. 7, sc. 1, ap. 52</t>
  </si>
  <si>
    <t>PLATA CU CARDUL POS</t>
  </si>
  <si>
    <t>Liviu Radacineanu
0723246767</t>
  </si>
  <si>
    <t>1 x pasca
1 x cozonac ciocolata si nuca</t>
  </si>
  <si>
    <t>de vazut cum se face plata</t>
  </si>
  <si>
    <t>Buc.sect4, str.Doc Constantin Istrati, nr.40, corpA, ap.1</t>
  </si>
  <si>
    <t>1 x tort duo-mousse visine 1.5 kg cu mesajul ,, La mulți ani, Claudiu"! (sa fie ornat frumos)
---
tortul sa fie in cutie ambalata cu funda rosie</t>
  </si>
  <si>
    <t>factura pe numele Grosu Niculina. A fost data deja catre client</t>
  </si>
  <si>
    <r>
      <rPr>
        <b/>
        <u/>
        <sz val="11"/>
        <color rgb="FF000000"/>
        <rFont val="Calibri"/>
        <family val="2"/>
      </rPr>
      <t>Atentie! De trimis o poza cu tortul inainte de plecare pe numarul: 0 733 161 393</t>
    </r>
    <r>
      <rPr>
        <b/>
        <sz val="11"/>
        <color rgb="FF000000"/>
        <rFont val="Calibri"/>
        <family val="2"/>
      </rPr>
      <t xml:space="preserve">
---
Dna Argesanu
0 744 339 099
----
De sunat cand suntem in fata sa spunem ca avem un cadou. Atentie totul a fsost platit. Este cadou!</t>
    </r>
  </si>
  <si>
    <r>
      <rPr>
        <b/>
        <u/>
        <sz val="11"/>
        <color rgb="FF000000"/>
        <rFont val="Calibri"/>
        <family val="2"/>
      </rPr>
      <t>Atentie! De trimis o poza cu tortul inainte de plecare pe numarul: 0724202465</t>
    </r>
    <r>
      <rPr>
        <b/>
        <sz val="11"/>
        <color rgb="FF000000"/>
        <rFont val="Calibri"/>
        <family val="2"/>
      </rPr>
      <t xml:space="preserve">
---
Grosu Claudiu-Stelian
0756.713.635
---
Este cadou de la mama lui. A fost platita cu factura. De sunat si anuntat la cat ajunge
</t>
    </r>
  </si>
  <si>
    <t>1 kg Tort Raw Vegan Cheese Cake cu Zmeura|| La multi ani, bunicu'!</t>
  </si>
  <si>
    <t>Strada Petricani 54, Bucuresti</t>
  </si>
  <si>
    <t>fara brr, banii direct la Dan</t>
  </si>
  <si>
    <t>Adresa Pericle Papahagi nr 20 (poarta gri) inainte de Pompieri
Nr de contact 0744656207 sau (0740) 019 129</t>
  </si>
  <si>
    <t>de sunat pana in 12:00 si stabilit livarea</t>
  </si>
  <si>
    <t>Pachet Paste</t>
  </si>
  <si>
    <t>Str. Johanes Kepler , nr 4 , bl 1 , sc 1 , etaj 7 , ap 29 , sector 2 Bucuresti , 020346</t>
  </si>
  <si>
    <t>Pachet Paste:
1 x cozonac cacao,nuca si rom
1 x pasca</t>
  </si>
  <si>
    <t>Bucuresti, str. Trestiana, nr. 13, bl. 15, sc. B, sector 4</t>
  </si>
  <si>
    <r>
      <t xml:space="preserve">Pachet Paste:
1 x cozonac </t>
    </r>
    <r>
      <rPr>
        <b/>
        <u/>
        <sz val="11"/>
        <color rgb="FF000000"/>
        <rFont val="Calibri"/>
        <family val="2"/>
      </rPr>
      <t>CACAO si RAHAT</t>
    </r>
    <r>
      <rPr>
        <b/>
        <sz val="11"/>
        <color rgb="FF000000"/>
        <rFont val="Calibri"/>
        <family val="2"/>
      </rPr>
      <t xml:space="preserve">
1 x pasca</t>
    </r>
  </si>
  <si>
    <t>1 x cozonac cu nuca, cacao si rom
1 x platou miniprajituri 5 persoane</t>
  </si>
  <si>
    <t>Str. Erou Iancu Nicolae, nr 69-71, casa 17A, complex BETA, Pipera ( Voluntari) Jud Ilfov</t>
  </si>
  <si>
    <t>a fost achitata pe website</t>
  </si>
  <si>
    <t>1 x tort raw-vegan tiramisu 1 kg
1 x tort negresa de post 1.5 kg (decorata cum a aratat Ioana pe whatsapp pe 26.03)
---
Pe ambele torturi sa fie placute cu mesajul "La mulți ani, Iulian!"</t>
  </si>
  <si>
    <t>Pachet Paste
1 x cozonac cu mac
1 x pasca</t>
  </si>
  <si>
    <t>Strada Sergent Gheorghe Latea, 10, Bl. C53, Sc 1, et 8</t>
  </si>
  <si>
    <t>Soseaua alexandriei 193H, langa depozitul Tobimar</t>
  </si>
  <si>
    <t>Splaiul Independentei nr.15, poarta B</t>
  </si>
  <si>
    <t>Aleea Istru 2C, bl.A14B, sc.6, et.1, ap.80, sect.6, Bucuresti</t>
  </si>
  <si>
    <t>Fortuna Residence, Strada Smaraldului nr. 12,  bl. 7, sc. 1, ap. 52</t>
  </si>
  <si>
    <r>
      <t xml:space="preserve">Oana Toadiroaie
0740221615
---
</t>
    </r>
    <r>
      <rPr>
        <b/>
        <u/>
        <sz val="11"/>
        <color rgb="FF000000"/>
        <rFont val="Calibri"/>
        <family val="2"/>
      </rPr>
      <t>De sunat si anuntat ora</t>
    </r>
  </si>
  <si>
    <t>Drumul Fermei 116, bl B6, et 2, ap 26</t>
  </si>
  <si>
    <t>Carrot Cake
Greutate: 1 kg
Mesaj Personalizat: La mulți ani Iulian &amp; Joyce</t>
  </si>
  <si>
    <t>Soseaua Oltenitei 236
Bucuresti, Bucharest 040773</t>
  </si>
  <si>
    <t>Ana Buhnila
0743904706
---
De sunat si anuntat ora</t>
  </si>
  <si>
    <t>Ghetarilor 17, apt 4</t>
  </si>
  <si>
    <t>2 x cozonac nuca si cacao
1 x pasca</t>
  </si>
  <si>
    <t>Pachet Paste
1 x cozonac cu nuca si cacao
1 x pasca</t>
  </si>
  <si>
    <t>Strada Pucheni, nr 139-149, bloc 3, scara 1, apartament 43, interfon 43, sector 5, București</t>
  </si>
  <si>
    <t>Strada Ciurea, Nr 2-4, Bl. P64, Sc A, Et. 10, Ap 40</t>
  </si>
  <si>
    <t>A achitat cu factura deja.</t>
  </si>
  <si>
    <t>Str. Masina de Paine, nr. 20, Ap. 13</t>
  </si>
  <si>
    <t>Alina Sirbu
0729980192
----
De sunat si anuntat ora. Este cadou din partea Ameliei Dumitrescu</t>
  </si>
  <si>
    <t>factura pe numele amaliei dumitrescu. A fost achitata</t>
  </si>
  <si>
    <t>1 x tort 1.5 kg (700 gr compozitie fistic cu zmeura) ca in poze décor cu mesajul "LA MULTI ANI MUNI!"</t>
  </si>
  <si>
    <t>0.7 kg tort fistic cu zmeura pentru tort decorat Alina Sarbu 12.04. Uitati-va cum arata tortul in décor inainte va rog!</t>
  </si>
  <si>
    <t>Al.Compozitorilor, Nr.11, Bl.G12, Ap.50, Et.8.
Bucuresti</t>
  </si>
  <si>
    <t>Alexandra Drunea
0747639380 
--
De sunat si anuntat ora</t>
  </si>
  <si>
    <t>Magdalena Vrajitoru
0745999778
--
De sunat si anuntat ora</t>
  </si>
  <si>
    <t>Joyce Kroon
0753050099
--
De sunat si anuntat ora</t>
  </si>
  <si>
    <t>Sabina Mihaila
0746066611
--
De sunat si anuntat ora</t>
  </si>
  <si>
    <t>Gabi Stanciu
0753637596
--
De sunat si anuntat ora</t>
  </si>
  <si>
    <t>Str.Amurgului, Nr.25, Bl.2, Sc.1, Ap.32, Et4, Popesti Leorderni</t>
  </si>
  <si>
    <t>strada Elena Vacarescu nr.9, bloc 21/2, scara 1, etaj 2, apart.9</t>
  </si>
  <si>
    <t xml:space="preserve">Drumul Manastirea Varatec , Nr 7-21, Bloc Novum Residence, Sc2, Ap 208, Et 20, interfon 208, Bucuresti, Sector 6 
</t>
  </si>
  <si>
    <t>str. Drumul fermei nr. 99a bl. 2 ap. 13 popesti leordeni</t>
  </si>
  <si>
    <t>FARA BRRRR</t>
  </si>
  <si>
    <t>1 x tort citron 2 kg cu mesajul "La multi ani, puiu!"
---
6 x mini-choux fistic
---
6 x cei mai deliciosi macarons pe care ii avem</t>
  </si>
  <si>
    <t>Comanda Telefon
0 722 887 190
---
De sunat si anuntat la cat ajunge comanda. Atentie ca asta e persoana care face cadoul pentru Tanasescu Maria. Poate ne mai da un buchet de flori sa-l ducem</t>
  </si>
  <si>
    <t>1 x tort raw vegan cheesecake cu zmeura 1 kg cu o placuta placuta pe care sa scrie "La Multi Ani, Draga Noastra Doamna!"
---
In cutie cu funda rosie</t>
  </si>
  <si>
    <t>Stefan Simona
0 769 308 271
---
De sunat si anuntat</t>
  </si>
  <si>
    <t>Strada Izbiceni, nr 163, sect 1 Buc</t>
  </si>
  <si>
    <t>Nica Nicoleta
0721756348</t>
  </si>
  <si>
    <t xml:space="preserve">1x Tort Oreo, greutate totală 1,5 kg. 
---
Decor ca pe site! Plăcuță "La Mulți Ani, Georgi!" + lumânări "14" ! </t>
  </si>
  <si>
    <t xml:space="preserve">Str. Orzari nr. 48, sector 2! </t>
  </si>
  <si>
    <t>Florin Paduretu
0723195767</t>
  </si>
  <si>
    <t>Tort Bailey's
Greutate: 1 kg</t>
  </si>
  <si>
    <t>Str. Echinoctiului nr. 26, bl. 3, ap. 13
Popesti Leordeni , Ilfov 040937, Romania</t>
  </si>
  <si>
    <t>Pachet Paste
1 x cozonac fructe confiate
1 x pasca</t>
  </si>
  <si>
    <t>Bdul. Ctin. Brâncoveanu 97bl M6sc.3etj.4apt.33sector 4
Bucuresti</t>
  </si>
  <si>
    <t>Pachet Paste
1 x cozonac nuca, cacao si rom
1 x pasca</t>
  </si>
  <si>
    <t>Tg Neamt, nr.14A,, bl B37, sc.4, ap.59, interfon 059, etajul 4
Bucuresti,</t>
  </si>
  <si>
    <t>Str Valea Calugareasca nr 2, bl 8, sc B, et 4, ap 29, sector 6, București</t>
  </si>
  <si>
    <t>Str Ghidigeni nr 40, bl C, ap 23, et 4, sector 5
Bucuresti, Bucharest 060279</t>
  </si>
  <si>
    <t>strada cazangiilor nr 85 sector 3 bucuresti</t>
  </si>
  <si>
    <t>Prisecaru Mihaela
0769612349
--
De sunat si anuntat ora</t>
  </si>
  <si>
    <t>Ilinca Popescu
0766590813
--
De sunat si anuntat ora</t>
  </si>
  <si>
    <t>Angelescu Dan
0748754983 
--
De sunat si anuntat ora</t>
  </si>
  <si>
    <t>Otilia-Andreea Davidoiu
0748531714
--
De sunat si anuntat ora</t>
  </si>
  <si>
    <t>Ramona Brinzaru
0740090770
--
De sunat si anuntat ora</t>
  </si>
  <si>
    <t>Anca Marinescu 
0751111039
--
De sunat si anuntat ora</t>
  </si>
  <si>
    <t>Liviu Radacineanu
0723246767
--
De sunat si anuntat ora</t>
  </si>
  <si>
    <t>Amelia Dumitrescu
0745250037
--
De sunat si anuntat ora</t>
  </si>
  <si>
    <t>Camelia Mircea
0749199898
--
De sunat si anuntat ora</t>
  </si>
  <si>
    <t>Gabriela
0 726 793 582
--
De sunat si anuntat ora</t>
  </si>
  <si>
    <t>Andreea Blu
0 727 852 766
--
De sunat si anuntat ora</t>
  </si>
  <si>
    <t>Maria Cozma
0729051119
--
De sunat si anuntat ora</t>
  </si>
  <si>
    <t>Roxana Cozma
0726344138
--
De sunat si anuntat ora</t>
  </si>
  <si>
    <t>Georgeta Seghedin
0722202672
--
De sunat si anuntat ora</t>
  </si>
  <si>
    <t>Monica Mahbod
0722732996
--
De sunat si anuntat ora</t>
  </si>
  <si>
    <t>Str Aleea Izvorul Crisului Nr 6 blA16 Sc Dap55etj 3 interfon 55</t>
  </si>
  <si>
    <t>Silvia Popescu
0720344042
090770
--
De sunat si anuntat ora</t>
  </si>
  <si>
    <t>Comanda Telefon
0 722 887 190
---
De sunat si anuntat la cat ajunge comanda.</t>
  </si>
  <si>
    <t>1 x tarta mere 1.2 kg</t>
  </si>
  <si>
    <t xml:space="preserve">
Adresa finala:
Calea victoriei 142-148, sc.B et.4 ap.33 int.33C</t>
  </si>
  <si>
    <t>cash
---
ESTE CADOU</t>
  </si>
  <si>
    <t>Octavia Mateeas
0747035354
--
De sunat si anuntat la cat ajunge comanda.</t>
  </si>
  <si>
    <t xml:space="preserve">
Dna Dr. Saracu
(0758) 056 322
---
atentie e surpriza
</t>
  </si>
  <si>
    <t>Pachet Paste
1 x cozonacmac
1 x pasca</t>
  </si>
  <si>
    <t>Strada Plutonier Radu Gheorghe, nr 3, bl 11, sc A, et 5,ap 24,interfon 24, sect3</t>
  </si>
  <si>
    <t>1 x tort raw-vegan tiramisu 1 kg cu mesajul "La mulți ani, iubita noastră doamna doctor!"
+
1 x fursecuri de post cu ciocolata intr-o cutie (250 gr)
+
2 x portie tarta mar
------------------
Toate se ambaleaza separat cu fundita</t>
  </si>
  <si>
    <t>Pachet Paste
-
1 x cozonac nuca, cacao si rom
1 x pasca
+
0.8 kg tort omnia portocale</t>
  </si>
  <si>
    <t>Cristina Medrea
0725351505
---
de sunat si anuntat ora</t>
  </si>
  <si>
    <t>Drumul Taberei, nr 58, bloc G II 6, sc.1, etaj 6, ap. 39, sector6, interfon 39 C</t>
  </si>
  <si>
    <t>De pregatit/scos din congelator comanda tort cristina medrea 17.04</t>
  </si>
  <si>
    <t>Str. Floare Rosie nr. 7, bloc 51, scara 4, etaj 4, apt 138, sector 6</t>
  </si>
  <si>
    <t xml:space="preserve">Pachet Paste
-
2 x cozonac nuca, cacao si rom
2 x pasca
</t>
  </si>
  <si>
    <t>Georgeta Avatamanitei
0745696382
--
De sunat si anuntat ora</t>
  </si>
  <si>
    <t>aleea dobrina nr 6 bloc 49c scara b etaj 5 ap 79
București , Bucharest 030384, Romania</t>
  </si>
  <si>
    <t>Diana Dărăbană
0761812888</t>
  </si>
  <si>
    <t xml:space="preserve">Tort Berry Chocolate
Greutate: 1 kg
</t>
  </si>
  <si>
    <t>Dan Zahria
0722313548</t>
  </si>
  <si>
    <t>Str. Copilului, Nr. 6-12, Sc. B, Et. 5, Apt 25
Bucuresti, Bucharest 030605, Romania</t>
  </si>
  <si>
    <t>De pregatit/scos din congelator comanda tort dan zaharia 31.03</t>
  </si>
  <si>
    <t>Complex cubic 5, str Drum Ghindarilor 69-71</t>
  </si>
  <si>
    <t>Tort Ricotta &amp; Fructe Confiate
Greutate: 1 kg
Mesaj Personalizat: La multi ani!</t>
  </si>
  <si>
    <t>Calea Șerban Vodă 100, Sector 4
București, Bucharest 052838, Romania</t>
  </si>
  <si>
    <t>Pachet Paste
-
2 x cozonac mac
2 x pasca
2 x cozonac nuca,cacao si rom</t>
  </si>
  <si>
    <t>Strada Aliman. Numarul 26B
București, 051604, Romania</t>
  </si>
  <si>
    <t>Maria Calin
0767162671
--
De sunat si anuntat ora</t>
  </si>
  <si>
    <t>Maria Carp
0766236344
--
De sunat si anuntat ora</t>
  </si>
  <si>
    <t>Madalina Iordanescu
0734836155
--
De sunat si anutat ora</t>
  </si>
  <si>
    <t>Pachet Paste
-
1 x cozonac nuca, cacao si rom
1 x pasca
+
1 x tort bailey's 1 kg</t>
  </si>
  <si>
    <t>Bulevardul Unirii nr. 80, bl. J1, sc.1, ap.33, et.6</t>
  </si>
  <si>
    <t>1.5 kg cornulete cu rahat pe tavita in folie
---
Tort Ricotta &amp; Fructe Confiate
Greutate: 1.5 kg
Mesaj Personalizat: La multi ani !
---
Tortul sa fie impachetat cu fundita</t>
  </si>
  <si>
    <t>60 RON II ACHITA CASH LA LIVRARE!!!!!!!!!!
--
180 a fost achitata online</t>
  </si>
  <si>
    <t>Cristina Comsa
0 726 779 372</t>
  </si>
  <si>
    <t>1 x tort cheese cake raw vegan cu zmeura (1 kg) cu mesajul "La Multi Ani, Nico"</t>
  </si>
  <si>
    <t>str. General Petre Popovat, nr 68, sector 6, Bucuresti</t>
  </si>
  <si>
    <t>A fost platit cu factura</t>
  </si>
  <si>
    <t>De facut/scos din congelator tort Cristina Comsa 01.04</t>
  </si>
  <si>
    <t>Strada Caporal Ilina nr 2 bl 11b SC A ap 33 interfon 33 sector 5</t>
  </si>
  <si>
    <r>
      <t xml:space="preserve">pachet paste
-
1 x cozonac nuca, cacao
1 x pasca
+
</t>
    </r>
    <r>
      <rPr>
        <b/>
        <u/>
        <sz val="11"/>
        <color rgb="FF000000"/>
        <rFont val="Calibri"/>
        <family val="2"/>
      </rPr>
      <t>1 x platou 1 kg (framboisier/carrot cake/cheesecake/ straciatella)</t>
    </r>
  </si>
  <si>
    <r>
      <t xml:space="preserve">1 x tort personalizat georgiana 2 kg! (intrebat Tudor daca e nevoie)
--
1. Blat Migdale
2. Mousse Ciocolata Lapte cu Bucati de Zmeura
3. Blat Migdale
4. Mousse Mango &amp; Fistic (Omnia)
5. Jeleu Zmeura (Omnia)
!! PE TORT SA SCRIEM: </t>
    </r>
    <r>
      <rPr>
        <b/>
        <u/>
        <sz val="11"/>
        <color rgb="FF000000"/>
        <rFont val="Calibri"/>
        <family val="2"/>
      </rPr>
      <t>La multi ani, tata!</t>
    </r>
    <r>
      <rPr>
        <b/>
        <sz val="11"/>
        <color rgb="FF000000"/>
        <rFont val="Calibri"/>
        <family val="2"/>
      </rPr>
      <t xml:space="preserve">
----
pachet paste
1 x cozonac CACAO &amp; RAHAT
1 x pasca</t>
    </r>
  </si>
  <si>
    <t>Str Istriei n7, blC6, sc4,etj5, ap62 (zona Dristor), bucuresti</t>
  </si>
  <si>
    <t>Nasii Simonei Stefan
--
+40 (726) 710 540</t>
  </si>
  <si>
    <t>1 x tort personalizat georgiana 1.2 kg! (intrebat Tudor daca e nevoie)
--
1. Blat Migdale
2. Mousse Ciocolata Lapte cu Bucati de Zmeura
3. Blat Migdale
4. Mousse Mango &amp; Fistic (Omnia)
5. Jeleu Zmeura (Omnia)
Cu mesajul:
Paste Fericit! Va iubim! ❤️ Semnat: Finii</t>
  </si>
  <si>
    <t>A fost achitat la alta comanda</t>
  </si>
  <si>
    <t>Bragadiru, str. Revederii, nr.8</t>
  </si>
  <si>
    <t>1 x tort decorat scooby doo ca in poze décor (1.5 kg greutate totala raspberry vanilla) cu mesajul "La multi ani, Alex!" pe o placut
+
1 x cozonac cu nuca si cacao</t>
  </si>
  <si>
    <t>Alina Oprea
0 729 207 979
--
De sunat si anuntat ora</t>
  </si>
  <si>
    <t>Factura pt mai multe comenzi</t>
  </si>
  <si>
    <t>1 x tort raspberry vanilla  0.7 kg pentru tort alina oprea</t>
  </si>
  <si>
    <t>Pachet Paste
-
2 x pasca
2 x cozonac cu nuca si cacao</t>
  </si>
  <si>
    <t>a fost facturat pe 30.03</t>
  </si>
  <si>
    <t>Pachte Paste
-
2 x cozonac cacao si rom
1 x pasca</t>
  </si>
  <si>
    <t>Client Telefon
0 730 263 511
---
De anuntat ora</t>
  </si>
  <si>
    <t>1 x tort omnia portocale 2 kg cu mesajul "La Multi Ani Radu, 4 ani!" pe o placuta</t>
  </si>
  <si>
    <t xml:space="preserve">Telefon
0766486585
---
De anuntat neaparatla cat ajungem
</t>
  </si>
  <si>
    <t>Chiajna, Strada Panselelor 12</t>
  </si>
  <si>
    <t>Mihai</t>
  </si>
  <si>
    <t>Mogoșoaia, Strada Brazilor nr 30</t>
  </si>
  <si>
    <t>1 x tort framboisoier 1.6 kg</t>
  </si>
  <si>
    <t>cash cu bon
-
Sa fie si pos in orice caz</t>
  </si>
  <si>
    <t>Tort Trio Mousse
Greutate: 1 kg
Mesaj Personalizat: Happy Birthday!</t>
  </si>
  <si>
    <t xml:space="preserve"> strada. Scoala floreasca nr. 34, 1A etaj 3</t>
  </si>
  <si>
    <t>pregatit/scos din congelator tort Hymeyra Mahmut 01.04</t>
  </si>
  <si>
    <t>Pachete Paste
-
2 x cozo nuca si rom
2 x pasca</t>
  </si>
  <si>
    <t>Soseaua Bucuresti nord 10B,BlB2B,ScB,et7,ap 519 Complex 4City</t>
  </si>
  <si>
    <t>Humeyra Mahmut
0728054508
-
De sunat</t>
  </si>
  <si>
    <t>Andreea Oprea
0743953484
--
De sunat</t>
  </si>
  <si>
    <t>Pachet Paste
-
1 x cozo nuca si rom
1 x pasca</t>
  </si>
  <si>
    <t>București, str. Intrarea Sfatului nr.4, sector 1</t>
  </si>
  <si>
    <t>Camelia Ionescu
0728899271
-
De sunat</t>
  </si>
  <si>
    <t>Telefon
0766262769</t>
  </si>
  <si>
    <t>pachet paste
1 x cozonac mac
1 x pasca</t>
  </si>
  <si>
    <t>Strata Mintii Tatra, 12, Sca A, Et 1, Ap 4, Interfon 4</t>
  </si>
  <si>
    <t>Strada Principala nr 354, Copaceni, ILFOV!!!!!</t>
  </si>
  <si>
    <t>0.8 kg compozitie Raspberry Love (Blat umed cu migdale, mousse de ciocolata alba cu pastaie de tonka si jeleu de zmeura) (total aprox 2 KG) - fundalul sa fie roz ca in poza 1 sau culoarea rochitei|| pe fata tortului sa fie  curcubeu semicerc colorat ca in poza 2, in capatul lui, bilute ca in poza 2 si lipit de curcubeu sa fie cifra "8"|| pe tort sa fie bilute albe ca in poza 1 si deasupra cu bete infipte sa fie niste bile albe ca in poza 3|| pe suport sa scriem cu alb (daca suportul e imbracat in roz roz) “Totul va fi bine”
+
Amintire disc cu "rame, cilindrii colorati...concentrici" si cu cifra 8 (practic ca pe tort doar ca in loc de semicerc vom avea un cerc intreg)
+ 
pachet personalizat dupa cum urmeaza:
1 x cozonac nuca, cacao si rom
4 x cremsnit 
4 x amandine 
4 x choux fistic
4 x savarine
+ 
200 grame negresa post + 200 g cornulete post</t>
  </si>
  <si>
    <t>pachet de:
1 x cozonac cu nuca, cacao si rom
1 x chec cu ciocolata
4 x amandine
4 x cremsnit
4 x choux fistic</t>
  </si>
  <si>
    <t>1,8 kg Framboisier cu measjul " La multi, ani!"
(sa puneti fructe ca sa ajunga la 1,8 kg)</t>
  </si>
  <si>
    <t>str Viitorului la Nr 24 E</t>
  </si>
  <si>
    <t xml:space="preserve">fara brrr, banii direct la Dan, discount 20% </t>
  </si>
  <si>
    <t>Cristian Benchea
0744234144</t>
  </si>
  <si>
    <t>1 kg tort de post (blat de negresa si crema de ciocolata cu lapte de cocos) || "La mulți ani, soția mea dragă!"</t>
  </si>
  <si>
    <t>Pescarilor nr 3 ,bl 24,sc.3 ap 03, sector 2</t>
  </si>
  <si>
    <t>Ene Tiberiu Valentin
0727568559</t>
  </si>
  <si>
    <t>str. patriotilor nr.9, bl. pm7, scara D, ap./interfon 128 sector 3 Bucuresti</t>
  </si>
  <si>
    <t>Calancianschi Alexandru
0761250474</t>
  </si>
  <si>
    <t>Popesti-Leordeni,str. Oituz 56, bl.1,et.2, ap 8</t>
  </si>
  <si>
    <t>Tort, cremsnit, rata mere - se decide miercuri</t>
  </si>
  <si>
    <t>90 ron/kg cash cu bon. A achitat deja 100 RON avans</t>
  </si>
  <si>
    <t>Nicoleta Traistar
0766524850</t>
  </si>
  <si>
    <t>Pachet Paste
1 x cozonac cu nuca
1 x pasca</t>
  </si>
  <si>
    <t>Vasile Topliceanu, 15, Bl. P4 2 B, ap 40</t>
  </si>
  <si>
    <t>Daniel
0724538395</t>
  </si>
  <si>
    <t>Strada Borsa, 33, Bl. 7G, Sc 1, Ap 15</t>
  </si>
  <si>
    <t>Iohan Gaagt
0721600078</t>
  </si>
  <si>
    <t>Strada Campia Libertatii 29, Bl 6, Sc. 2, Ap 43, Parter</t>
  </si>
  <si>
    <t>Cristian Calin
 0724 566 994</t>
  </si>
  <si>
    <t>Pachet Paste
2 x cozonac nuca si cacao
2 x pasca</t>
  </si>
  <si>
    <r>
      <t xml:space="preserve">Pachet paste
1 x cozonac mac
</t>
    </r>
    <r>
      <rPr>
        <b/>
        <u/>
        <sz val="11"/>
        <color rgb="FF000000"/>
        <rFont val="Calibri"/>
        <family val="2"/>
      </rPr>
      <t>1 x cozonac CACAO si RAHAT</t>
    </r>
    <r>
      <rPr>
        <b/>
        <sz val="11"/>
        <color rgb="FF000000"/>
        <rFont val="Calibri"/>
        <family val="2"/>
      </rPr>
      <t xml:space="preserve">
2 x pasca</t>
    </r>
  </si>
  <si>
    <t>Bragadiru, Garofitei 24C</t>
  </si>
  <si>
    <t>Sorin Radu
0726273570</t>
  </si>
  <si>
    <t>str.Aleea Ramnicu Valcea 5-7
bl.S15, sc.A , et.5, ap.23</t>
  </si>
  <si>
    <t>NECHIFOR IOANA
0721815782</t>
  </si>
  <si>
    <t>Pachet Paste
1 x cozonac fructe confiate
1 x pasca
--------------
Platou personalizat minitarte
-
6 x mini tarta ciocolata
6 x mini tarta fructe
6 x mini tarta lamaie</t>
  </si>
  <si>
    <t>STR. NUCSOARA, NR. 6, BLOC 42, SC.1, APT. 11, SECTOR 6</t>
  </si>
  <si>
    <t>A fost achitat pe website</t>
  </si>
  <si>
    <t>Rodica Doina Pencea
0744687203</t>
  </si>
  <si>
    <t>Aleea Leresti, nr.5,Bl.A1,Sc.A,Ap.2,interfon 002, Bucuresti</t>
  </si>
  <si>
    <t>Nicoleta Ionescu
0744488902</t>
  </si>
  <si>
    <t>Strada Aurel Vlaicu nr. 97
Bucuresti</t>
  </si>
  <si>
    <t>Sergiu Staniloiu
0741611023</t>
  </si>
  <si>
    <t>Strada Drumul Gura Fagetului 69,bloc 1,etaj 5,sector 3,Bucuresti</t>
  </si>
  <si>
    <t>Veronica Bardas
0728195564</t>
  </si>
  <si>
    <t>Borsa 19-21, bl.8E, sc1, etj.2, ap.11, Bucuresti,</t>
  </si>
  <si>
    <t>Tort cu Fistic si Zmeura
Greutate: 1.5 kg
Mesaj Personalizat: La multi ani, Alex!</t>
  </si>
  <si>
    <t>Ana Maria Inac
0752176822</t>
  </si>
  <si>
    <t>framboisier 1.2 kg
platou 5 persoane</t>
  </si>
  <si>
    <t>Stefania Vasile
0766520453</t>
  </si>
  <si>
    <t xml:space="preserve"> B dul Ion Mihalache Nr.317 Bl.3 Sc.A Ap 1 Sector 1</t>
  </si>
  <si>
    <t>Pachet Paste
2 x cozonac cu nuca si cacao
2 x pasca</t>
  </si>
  <si>
    <t>Andra Ionita
0755372737</t>
  </si>
  <si>
    <t>Pachet Paste
2 x cozonac cu nuca si cacao
2 x pasca
2 x cozonac rahat si fructe confiate
--
In doua pungi distribuite in mod egal</t>
  </si>
  <si>
    <t>Str Sfantul Constantin nr 31A, bl 1 , sc 1, et 2 ap 5, sector 1</t>
  </si>
  <si>
    <t>PLALTA CU POS</t>
  </si>
  <si>
    <t>Iulia Feordeanu
0721348574</t>
  </si>
  <si>
    <t>Fat frumos 8 bl P16 sc 3 et 3 ap 64 int 64 c, Bucuresti sect 5</t>
  </si>
  <si>
    <t>lacramioara</t>
  </si>
  <si>
    <t>sorina unci
0736168780</t>
  </si>
  <si>
    <t>1 x cozonac nuca, cacao si rom
2 x pasca
2 x cremsnit
2 x amandine
2 x savarine</t>
  </si>
  <si>
    <t xml:space="preserve"> Voluntari!!!!, Strada Pinului nr.8</t>
  </si>
  <si>
    <t xml:space="preserve">fara brrr, banii direct la Dan, discount 17% </t>
  </si>
  <si>
    <t>Chelba Anamaria
0 785 636 817</t>
  </si>
  <si>
    <t>Pachet Paste
-
1 x cozonac cu nuca si cacao
1 x pasca</t>
  </si>
  <si>
    <t>Bucuresti, str. Resita, Nr. 1, Bl. 8, Sc. 2, Et. 7, Ap. 111, Sector 4</t>
  </si>
  <si>
    <t>Paste</t>
  </si>
  <si>
    <t xml:space="preserve">Ana Maria Vasile 
0723424227
--
numarul la care trebuie sa sunam este in adresa.
</t>
  </si>
  <si>
    <t>dsad</t>
  </si>
  <si>
    <t>Stefaniu Aurelia
0773783731</t>
  </si>
  <si>
    <r>
      <t xml:space="preserve">Pachet Paste
1 x Pasca
</t>
    </r>
    <r>
      <rPr>
        <b/>
        <u/>
        <sz val="11"/>
        <color rgb="FF000000"/>
        <rFont val="Calibri"/>
        <family val="2"/>
      </rPr>
      <t>1 x COZONAC CACAO SI RAHAT (FARA NUCA)</t>
    </r>
  </si>
  <si>
    <t>str Luntrei nr 6 bloc 7 SC. 2 et 5 ap 133 interfon 133 sector 2 București</t>
  </si>
  <si>
    <t>Șoseaua Olteniței nr 188, Bl1, sc2, etj 10, ap. 80,sect 4, interfon 80C</t>
  </si>
  <si>
    <t xml:space="preserve">Mihai
0769 679 838
-
Din partea Simonei Khamissi
</t>
  </si>
  <si>
    <t>a fost achitat cu factura pe 01.04</t>
  </si>
  <si>
    <t>Gabriela Dragoescu
0740137709</t>
  </si>
  <si>
    <t>Pachet Paste
1 x cozonac cu nuca,cacao si rom
1 x pasca</t>
  </si>
  <si>
    <t>Strada Secuilor 5, Bl. P29, Sc. 4, Et. 2, Ap 58, Interfon 058</t>
  </si>
  <si>
    <t>CU CARDUL</t>
  </si>
  <si>
    <t>1 x tort 2 kg duo-mousse cu mesajul "La multi ani Antonuta!" pe o placuta scris frumo</t>
  </si>
  <si>
    <t>Victorina Irina Isarescu
0729933175</t>
  </si>
  <si>
    <t>B-ul Lacul Tei nr 109 bl 13A Sc C Et 7 ap 111 int 111 sector 2, București</t>
  </si>
  <si>
    <t>Camelia Rusitoru
0745581748</t>
  </si>
  <si>
    <t>Pachet Paste
-
1 x cozonac cacao,nuca si rahat
1 x pasca</t>
  </si>
  <si>
    <t xml:space="preserve">Bd Lacul Tei 126-128, Bl 17-18,sc D,Sect 2,Bucuresti
</t>
  </si>
  <si>
    <t>Achitat pe Website</t>
  </si>
  <si>
    <t>Cristina Nedelcu
0769469195</t>
  </si>
  <si>
    <t xml:space="preserve">Bd.1 decembrie 1918 nr.51 bl.j38 sc.2 etaj 4 ap.28
</t>
  </si>
  <si>
    <t>Florentina Raileanu
0767713076</t>
  </si>
  <si>
    <t xml:space="preserve"> Str.Mizil 2A, bl.Petaluda, Sc.1, Ap.13, Sect.3, București</t>
  </si>
  <si>
    <t>Dana Popa
0726915176</t>
  </si>
  <si>
    <t>Aleea Lunguletu 2, bl V1 ap 7 sector 2 Bucuresti</t>
  </si>
  <si>
    <t>Pachet Paste
-
1 x cozonac mac
1 x pasca</t>
  </si>
  <si>
    <t>Rodica Macri
0721783333</t>
  </si>
  <si>
    <t>Str. Ionescu Grigore nr. 94, Bl. T7 B, sc.1, interfon 11 C</t>
  </si>
  <si>
    <t>Ana Ilinca Macri
0723408816</t>
  </si>
  <si>
    <t>Pachet Paste
-
1 x cozonac cacao,nuca si rom
1 x pasca</t>
  </si>
  <si>
    <t>str. gen Andrei Popovici nr. 16, bl. 8, sc. B, sector 1
bucuresti, Bucharest 011721</t>
  </si>
  <si>
    <t>Ioana Marineanu
0745091092</t>
  </si>
  <si>
    <t>Pachet Paste
-
1 x cozonac cacao,nuca si rom
1 x pasca
-------------------------
2 x ecler ciocolata mare
2 x opera (2 x 200 gr)
1 x savarina</t>
  </si>
  <si>
    <t>BUCURESTI SECT 2 str. MAICA Domnului 4 bl T57 sc 1 et 4 ap 20 interfon 20</t>
  </si>
  <si>
    <t>Mari Costanda
0744661511</t>
  </si>
  <si>
    <t>aron cotrus nr 5
bucuresti , Bucharest 014131</t>
  </si>
  <si>
    <t>Andrei Lascateu
0744924291</t>
  </si>
  <si>
    <t>1 x platou 6 cremsnit
1 x tarta citron
1 x tort framboisier 1 kg cu mesajul "6 luni
La multi ani, Valentina!"</t>
  </si>
  <si>
    <t>Str. Drumul Malu Mierii 78-80, bl. 78-80, et. 3, ap. 57
Sector 3, Bucharest 032319, Romania</t>
  </si>
  <si>
    <t>Intrarea Odobesti nr 6, bl V9, sc 1, et 6 , ap 28, sector 3
Bucuresti, Bucharest 032159, Romania</t>
  </si>
  <si>
    <t>Cristina Perifan 
0729151066</t>
  </si>
  <si>
    <t xml:space="preserve">
Pachet Paste
-
1 x cozonac FRUCTE CONFIATE
1 x pasca
</t>
  </si>
  <si>
    <t>Bld. Gloriei, nr. 79,apt.6,et.2,sector1.Bucuresti</t>
  </si>
  <si>
    <t>Comanda Telefon
0 730 554 787</t>
  </si>
  <si>
    <t>Bd 1 Decembrie 1918, nr.47, Bl J40, Sc 8, Et4, Ap110,Interfon 110</t>
  </si>
  <si>
    <t xml:space="preserve">Pachet Paste
-
2 x pasca
2 x cozonac nuca
-------------
Din partea laurei de pus 4 prajituri mari din orice fel!
</t>
  </si>
  <si>
    <t>Godoroza Elena
(0728) 929 200
--
De mentionat la livrare ca sunt cateva prajituri extra din partea laurei surpriza:)</t>
  </si>
  <si>
    <t>1,8 kg Framboisier cu measjul " La multi, ani!" si "Te iubim, Didi!"
(sa puneti fructe ca sa ajunga la 1,8 kg)</t>
  </si>
  <si>
    <t xml:space="preserve"> Strada Pinului nr8, voluntari.</t>
  </si>
  <si>
    <t>1 kg carrot cake (FARA GHIMBIR ca e alergica)||" La mulți ani Dady"
4 x tarte cu mere
3 x cremsnit</t>
  </si>
  <si>
    <t>Aleea Platanului nr.9 Bl A43 sc.2 etj 3 ap 29 sect 5</t>
  </si>
  <si>
    <t>card (POS cu bon)</t>
  </si>
  <si>
    <t>Simion Apostol
0745114245</t>
  </si>
  <si>
    <t>Pachet Paste
-
1 x cozonac fructe confiate
1 x pasca</t>
  </si>
  <si>
    <t>Strada Voila, 10, Bl 21, Sc 1, Ap 8, Int. 07</t>
  </si>
  <si>
    <t>Slevoaca Nicoleta
0722831638</t>
  </si>
  <si>
    <t>Tort Framboisier
Greutate: 1.5 kg
Mesaj Personalizat: La multi ani Lorena!</t>
  </si>
  <si>
    <t>,str Aviator Popișteanu Nr 3 bl 2 ap 8 sector 1 interfon oo8</t>
  </si>
  <si>
    <t>Geni Vexler
0745059853</t>
  </si>
  <si>
    <t xml:space="preserve"> str ritmului nr 14 bl 432 sc b et 3 ap 57,interfon 57,bucuresti
</t>
  </si>
  <si>
    <t>Bd 1 decembrie 1918 nr7F sat Rosu
Chiajna, Ilfov 060279, Romania</t>
  </si>
  <si>
    <t>Antoaneta Oprea
0723372552</t>
  </si>
  <si>
    <t>Bulevardul Timisoara nr 63 bloc OD 8 scara 3 etaj 2 ap 89</t>
  </si>
  <si>
    <t>Nina Tarcomnicu
0762266303</t>
  </si>
  <si>
    <t>Paula Baroti
0727372115</t>
  </si>
  <si>
    <t>Tort Citron
Greutate: 1.5 kg
Mesaj Personalizat: La mulți ani Alex!</t>
  </si>
  <si>
    <t>Greenfield, Drumul padurea neagra nr 52 a bloc Rubin 42 b
Bucuresti</t>
  </si>
  <si>
    <t>Popescu Rodica
0722672016</t>
  </si>
  <si>
    <t>strada: Aleea Compozitorilor ne 11 bloc G12 etaj 7 ap. 46 scara 1 interfon 46</t>
  </si>
  <si>
    <t>Ioana Vlad
0741019292</t>
  </si>
  <si>
    <t>Pachet Paste
1 x cozonac si fructe confiate
1 x pasca</t>
  </si>
  <si>
    <t>Str. Verii nr. 7A - vila J2
Bragadiru</t>
  </si>
  <si>
    <t>Andreea Sirbu
0729746148</t>
  </si>
  <si>
    <t xml:space="preserve">Strada. Gheorghe Ionescu Sisesti, nr 146-156, bl E, ap 13, et 3 , interfon 13. Sector 1, valletta residence
</t>
  </si>
  <si>
    <t>Somesan Alexandra
0763659573</t>
  </si>
  <si>
    <t>Tort Duo Mousse cu Visine
Greutate: 1 kg</t>
  </si>
  <si>
    <t xml:space="preserve">Comuna Afumati, jud ilfov, str Stefanesti nr 124A
</t>
  </si>
  <si>
    <t>Nedelea Simona
0747221465</t>
  </si>
  <si>
    <t>Baiut nr 13, bloc a34,sc.c,et 4, ap.43,sector 6, bucuresti</t>
  </si>
  <si>
    <t>Pachet Paste
2 x cozonac nuca, cacao si rom
2 x pasca</t>
  </si>
  <si>
    <t>Clinica Oftalmologica Sf Andrei, Strada Viesparilor 37, București 020644</t>
  </si>
  <si>
    <t>Diana Anchidin
0744780184</t>
  </si>
  <si>
    <t>Adriana Banu
0770998110</t>
  </si>
  <si>
    <t>str.Capalna, nr.14, blc.15A, sc.1, etj.3,apt.12, sector 1, cartierul Aviatiei</t>
  </si>
  <si>
    <t>Pachet Family
-
1 x cozonac fructe confiate si rahat
1 x pasca
1 x platou 5 persoane
1 x tort mango/fistic omnia 1.6 kg</t>
  </si>
  <si>
    <t>Ana Maria Turcin
0760712663</t>
  </si>
  <si>
    <t>Pachet Family
-
1 x cozonac cacao,nuca si rom
1 x pasca
1 x platou 5 persoane
1 x tort trio mousse 1.6 kg</t>
  </si>
  <si>
    <t>Str.obaie nr 9p
Bragadiru , Ilfov 011017, Romania</t>
  </si>
  <si>
    <t xml:space="preserve">Sos. Morarilor nr 4D, bl K2, ET. 4, AP.14, Bucuresti, sector 2
</t>
  </si>
  <si>
    <t>Mihaela Raileanu
0743706109</t>
  </si>
  <si>
    <t>Roxana Gorgan
0763030232</t>
  </si>
  <si>
    <t>Bdl.Tineretului nr.5, bl.Z2, sc.1, et.10, ap.61, sector 4, interfon 61</t>
  </si>
  <si>
    <t xml:space="preserve"> Bdl.Tineretului nr.5, bl.Z2, sc.1, et.10, ap.61, sector 4, interfon 61</t>
  </si>
  <si>
    <t>Sabina Olteanu
0726727143</t>
  </si>
  <si>
    <t xml:space="preserve"> Drumul Cooperativei, nr.106, scara 3, ap.1, Sector 5, Bucuresti.
</t>
  </si>
  <si>
    <t>Iuliana Voicu
0740066972</t>
  </si>
  <si>
    <t>Pachet Paste
1 x cozonac nuca, cacao si rom
1 x pasca
--
Tort Chocolate Delight
Greutate: 1.5 kg</t>
  </si>
  <si>
    <t>calea vitan, 229, bl. 7C, sc. B, etaj 9, ap. 102, sector 3
MUNICIPIUL BUCURESTI</t>
  </si>
  <si>
    <t>Daca se poate ora 12:00</t>
  </si>
  <si>
    <t>Simona Badnouk
0722484776</t>
  </si>
  <si>
    <t>Pachet Family
-
1 x cozonac cacao,nuca si rom
1 x pasca
1 x platou 5 persoane
1 x tort ciocolata si portocale omnia 1.6 kg</t>
  </si>
  <si>
    <t>Republicii 339
Dragomiresti Deal, Ilfov 077096, Romania</t>
  </si>
  <si>
    <t>Clapan Ana
0787967086</t>
  </si>
  <si>
    <t xml:space="preserve">Str. Uioara nr.8 Bl.42 Sc.2 Apt.33 Etj.3 Sector 4, Bucureti Interfon 33
</t>
  </si>
  <si>
    <t>Liliana Dinu
0749098429</t>
  </si>
  <si>
    <t>Bul Dimitrie cantemir, nr 3, nl 4, ap 71,sector 4
Bucuresti, Bucharest 052838, Romania</t>
  </si>
  <si>
    <t>Constantin Galbura
0728086261</t>
  </si>
  <si>
    <t>Maria Carp
0766236344</t>
  </si>
  <si>
    <t>Calea Șerban Vodă 100, sector 4, Bucuresti</t>
  </si>
  <si>
    <t>Horea Lacramioara
0731492560</t>
  </si>
  <si>
    <t>Str Vultureni nr 38, etaj 2, aptm 7, sector 4, Bucuresti</t>
  </si>
  <si>
    <r>
      <t xml:space="preserve">Pachet Paste
</t>
    </r>
    <r>
      <rPr>
        <b/>
        <u/>
        <sz val="11"/>
        <color rgb="FF000000"/>
        <rFont val="Calibri"/>
        <family val="2"/>
      </rPr>
      <t>1 x cozonac DOAR CU RAHAT</t>
    </r>
    <r>
      <rPr>
        <b/>
        <sz val="11"/>
        <color rgb="FF000000"/>
        <rFont val="Calibri"/>
        <family val="2"/>
      </rPr>
      <t xml:space="preserve">
1 x pasca</t>
    </r>
  </si>
  <si>
    <t>Nicolae Lazar
0722797808</t>
  </si>
  <si>
    <t>1 x kg cornulete
1 x cozonac nuca, cacao si rom
1 x pasca</t>
  </si>
  <si>
    <t>Strada Rascoala din 1907, Nr. 11, Bl. 16, Sc 4, Et 4, Ap 140, Interfon 40</t>
  </si>
  <si>
    <t xml:space="preserve">Telefon Adresa 1:
0 722 887 190
---
Dna Elena
(0723) 247 790 </t>
  </si>
  <si>
    <t>1 x tort raw vegan tiramisu 1.5 kg cu mesajul "La Multi Ani, Elena"
--
In cutie de tort cu panglica rosie</t>
  </si>
  <si>
    <t>Doca Ana Delores
0722935605</t>
  </si>
  <si>
    <t>Strada Serban Cantacuzino,(fosta Drumul Potcoavei), Nr 90e</t>
  </si>
  <si>
    <t>0.5 kg cornulete
0.5 kg fursecuri simple unt</t>
  </si>
  <si>
    <t>cash cu bon
--
15 ron transport
40 ron dulce</t>
  </si>
  <si>
    <t>Comanda Telefon
0727297615</t>
  </si>
  <si>
    <t>Pachet Paste
-
2 x cozonac cacao,nuca si rom
2 x pasca</t>
  </si>
  <si>
    <t>Strada Toporas, Nr. 31, Bl 1, Sc 1, Et 6, Ap 22, Int 22, Sector 5</t>
  </si>
  <si>
    <t>Sanda
0723743613</t>
  </si>
  <si>
    <t>Pachet Paste
1 x cozonac mac
1 x cozonac nuca, cacao si rom
2 x pasca</t>
  </si>
  <si>
    <t>Aleea Drumul Potcoavei 55V (in spatele magazinului Jolie Ville)</t>
  </si>
  <si>
    <t>Arhip Dorina
0742436111</t>
  </si>
  <si>
    <t>Soseaua Oltenitei 134-136, Bl. M1, Sc E, Et 1, Ap 5, Interfon 5, Sector 5</t>
  </si>
  <si>
    <t>Pachet Paste
1 x cozonac si fructe confiate
1 x pasca
1 x cozonac cu nuca,cacao si rom</t>
  </si>
  <si>
    <t>Str.baia mare, nr.2, bl.4, sc.a, et.10, ap.41, sect.3, bucuresti, int.1956 C</t>
  </si>
  <si>
    <t>Strada Maramureș 55, etaj 3, ap 16, Otopeni, Ilfov (075100)</t>
  </si>
  <si>
    <t xml:space="preserve">Olivia Maria Stocheci
0741147056 </t>
  </si>
  <si>
    <t>Gabriela Stefan
0727 378 447</t>
  </si>
  <si>
    <t>1 x pasca
1 x cozonac cu nuca,cacao si rom</t>
  </si>
  <si>
    <t xml:space="preserve">Simona Smadu
0729400450
</t>
  </si>
  <si>
    <t xml:space="preserve">Alina Oprea
0 729 207 979
</t>
  </si>
  <si>
    <t>Bdul Nerva Traian, nr. 3, Clădirea City Business Center, et. 3, sector 3</t>
  </si>
  <si>
    <t>Viorel Tudose 
0744350020
(Getica 95)</t>
  </si>
  <si>
    <t>Geanina Vasilescu
0722250559</t>
  </si>
  <si>
    <t>Str drumul gazarului nr. 34-36, bl.138,sc.3, etaj 4,apt 57, interfon 57, sectorul 4</t>
  </si>
  <si>
    <t>Comanda Telefon
0720) 093 610</t>
  </si>
  <si>
    <t>Strada Teleajen nr.29</t>
  </si>
  <si>
    <t>Comanda Telefon
0727) 081 011</t>
  </si>
  <si>
    <t>Strada Gradistea Nr.4, Bloc Gradistea Nr.4, ApD4</t>
  </si>
  <si>
    <t>Pachet Paste
1 x cozonac mac
2 x pasca</t>
  </si>
  <si>
    <t>Adina Georgescu
0744251082</t>
  </si>
  <si>
    <t xml:space="preserve"> str. Tâmpa nr.5, bl. 3C, sc.1, et.2, ap.12 -sector 2</t>
  </si>
  <si>
    <t xml:space="preserve"> 1 x tort ca in poze décor (2 kg - berry chocolate)
cu mesaj ca in poza</t>
  </si>
  <si>
    <t>Client
40 (769) 494 077
-
Daca nu raspunde primul numar: 0 762 635 35</t>
  </si>
  <si>
    <t>Bulevardul Iuliu Maniu, 59, bl. 10A, Sc. A</t>
  </si>
  <si>
    <t>1.2 kg berry chocolate</t>
  </si>
  <si>
    <t>Ana Maria Ducuta
0724) 036 199
---
PLATESTE LAURA</t>
  </si>
  <si>
    <t>1 x cozonac
1 x chec
1 x pasca
2 x platou 75 RON</t>
  </si>
  <si>
    <t>cash fara brr plateste laura</t>
  </si>
  <si>
    <t>Pachet Family
 1 x Cozonac cu nuca cacao si Ron
1 x  Pasca cu branza
1 x Miniprajituri 5 persoane
1 x tort fistic cu zmeura 1.6 kg</t>
  </si>
  <si>
    <t xml:space="preserve">Pachet Family
-
1 x cozonac cacao,nuca si rom
1 x pasca
1 x platou 5 persoane
1 x tort trio mousse 1  kg cu mesajul "La Multi Ani!"
1 x 300 gr cornulete
</t>
  </si>
  <si>
    <t>Calea Vitan, Nr.25 C,Bloc C1,Scara 2,Etaj 1, Apart.34, Interfon 134. Blocul de langa mall Vitan, accesul se face prin sectia de politie nr.11,</t>
  </si>
  <si>
    <t>Adresa 1: Nr. 193 H lângă depozitul Tobimar
de aici luam banii
(11:15)
-
Adresa 2: Str. Drumul Fermei, nr.112, bl.1, Et.1, oraș Popesti Leordeni, Jud. Ilfov
(aici livram)
SE LIVREAZA ULTIMA COMANDA, DUPA ANAMARIA DUCUTA</t>
  </si>
  <si>
    <t>Laurențiu Claudian 15 sector 2</t>
  </si>
  <si>
    <t>Anca
0 723 643 340</t>
  </si>
  <si>
    <t>Pachete Paste
-
3 x pasca
1 x cozonac nuca
1 x cozonac mac
1 x cozonac fructe confiate</t>
  </si>
  <si>
    <t>Diana Zatea
0721225075</t>
  </si>
  <si>
    <t>Pachet Classics
-
1 x cozonac cu nuca
1 x chec cacao
2 x cremsnit
2 x amandina
2 x savarina</t>
  </si>
  <si>
    <t>Strada Dumbrava Rosie 1 (ambasada iordaniei)
-
Sa o sunam si cand am ajuns ca sa iasa</t>
  </si>
  <si>
    <t>Pachet Paste
-
1 x pasca
1 x cozonac nuca, cacao si rom</t>
  </si>
  <si>
    <t>Aleea Ramnicu Valcea, 13 , Bl S31, Et 1, Ap 7</t>
  </si>
  <si>
    <t>Stamat Elena
0734115660</t>
  </si>
  <si>
    <t>Calea Bucurestilor 5, Otopeni, Ilfov</t>
  </si>
  <si>
    <t>Daniela Constantin
0726784493</t>
  </si>
  <si>
    <t xml:space="preserve">Str. Dr. Staicovici 30, ap. 1, sector 5, București
</t>
  </si>
  <si>
    <t xml:space="preserve">Adriana Mihut
0726137438
</t>
  </si>
  <si>
    <t>Iulia Stanculescu
0723212726</t>
  </si>
  <si>
    <t>Bulevardul Iuliu Maniu nr. 16, bloc 14, scara B, etaj 11, ap. 59, sector 6 Bucuresti</t>
  </si>
  <si>
    <t>2 x cheese cake
2 x amandina</t>
  </si>
  <si>
    <t>Strada Sergent Constantin Apostol nr. 3-5, bloc 3, scara 1, etaj 8, ap. 44, sector 6 Bucuresti</t>
  </si>
  <si>
    <t>Iulia Stanculescu
0723212726
--
" as dori sa lasati comanda la usa dansilor fara contact. Ma sunati inainte de livrare Va multumesc pentru intelegere!"</t>
  </si>
  <si>
    <t>Iuliu Maniu nr. 19f, et. 1, ap. 5, interfon 5, sector 6, bucuresti. este un magazin "e-piesa" si un notariat si un cabinet veterinar la parter, ca referinta (blocul are 7 etaje si este gri cu alb)</t>
  </si>
  <si>
    <t>Mihaela Calen
0784883188</t>
  </si>
  <si>
    <t>Pachet Family
-
1 x cozonac nuca cacao si rom
1 x pasca
1 x minipraji 5 persoane
1 x tort oreo 1.6 kg</t>
  </si>
  <si>
    <t>Comuna Berceni
Ștefan cel mare nr 28
0784883188</t>
  </si>
  <si>
    <t>Daniela Tudor
0766732694</t>
  </si>
  <si>
    <t xml:space="preserve">Calea Griviței nr 228 bl.4 sc.B ap.2 parter sector 1
</t>
  </si>
  <si>
    <t>Raluca Horohai
0742498074</t>
  </si>
  <si>
    <t>Nicolette Borontis
0745240750</t>
  </si>
  <si>
    <t>Str. Eufrosina Popescu, nr 54, bl 57 A+B, sc C, et 5, ap 111</t>
  </si>
  <si>
    <t>Monica Orha
0728787778</t>
  </si>
  <si>
    <t>Pachet Family
-
1 x cozonac nuca cacao si rom
1 x pasca
1 x minipraji 5 persoane
1 x tort ricotta 1.6 kg</t>
  </si>
  <si>
    <t>bd. Gloriei nr 73, sector 1, Bucuresti</t>
  </si>
  <si>
    <t>Cecilia Cercel
0787 445996</t>
  </si>
  <si>
    <t>Pachet Paste
-
1 x pasca
1 x cozonac mac</t>
  </si>
  <si>
    <t>STR. BERVENI NR 34, Sector 1, Bucurestii Noi,</t>
  </si>
  <si>
    <t>Bucuresti, sect. 6, Valea Ialomitei, nr. 13, bl. A32, sc. D, ap. 46</t>
  </si>
  <si>
    <t>Sfirloaga Lavinia
0728109370</t>
  </si>
  <si>
    <t>Str. G-ral Ioan V. Culcer, nr. 21, casa</t>
  </si>
  <si>
    <t xml:space="preserve">Catalin Petre
0747447655
</t>
  </si>
  <si>
    <t>1 x cozonac nuca, cacao si rom
1 x pasca
1 x platou miniprajituri 5 persoane</t>
  </si>
  <si>
    <t>I s-a emis Factura</t>
  </si>
  <si>
    <t>Mihaela Benta
0721378635</t>
  </si>
  <si>
    <t>Pachet Paste
-
2 x pasca
1 x cozonac nuca, cacao si rom
1 x mac</t>
  </si>
  <si>
    <t>ALEEA POSADA NR. 4, BLOC 33, SCARA A, ET. 3, AP. 10, SECTOR 5,</t>
  </si>
  <si>
    <t xml:space="preserve">Humeyra Mahmut
0728054508
</t>
  </si>
  <si>
    <t>1 x tort trio mousse 1 kg cu mesajul "La Multi Ani!"</t>
  </si>
  <si>
    <t>Scoala calea floreasca nr.34 1 A etaj 3
Bucuresti,</t>
  </si>
  <si>
    <t>Madalina Rata
0768849985</t>
  </si>
  <si>
    <t>București, sector 3, strada Cozla, nr 3, bloc B1A, scara 3, etaj 6, ap 115</t>
  </si>
  <si>
    <t xml:space="preserve">Ioana Stefanescu
</t>
  </si>
  <si>
    <t>str.liviu rebreanu Nr 46-58,scC,ap 83,sector3complex răsărit de soare</t>
  </si>
  <si>
    <t>Pachet Paste
-
1 x pasca
2 x cozonac nuca, cacao si rom</t>
  </si>
  <si>
    <t>4 cremanit
4 indiana
10 choux fistic
10 miniplavova
1 pasca
2 tarta mare cu zmeura
1 chec
2 monoportii cu cafea</t>
  </si>
  <si>
    <t>Bulevardul Corneliu Coposu nr 3</t>
  </si>
  <si>
    <t>plateste laura cash</t>
  </si>
  <si>
    <t>Simina
0726) 697 785
--
PLATESTE LAURA!</t>
  </si>
  <si>
    <t>Pachet Maxi
-
1 x cozonac nuca
1 x chec
2 x cremsnit
2 x savarina
2 x amandina
1 x tarta zmeura</t>
  </si>
  <si>
    <t>Comanda Telefon
0744337336
(sau 0754056358)</t>
  </si>
  <si>
    <t>Strada Carbunarilor 16 (singurul bloc), et 1, Ap 3, Int 03</t>
  </si>
  <si>
    <t>blvd. Maresal Alexandru Averescu 1, bl.1 sc. B, ap. 25.</t>
  </si>
  <si>
    <t>Laura Vicha
0736833922</t>
  </si>
  <si>
    <t>Irina Tescaru
0744109358</t>
  </si>
  <si>
    <t>Pachet Family
-
1 x cozonac nuca cacao si rom
1 x pasca
1 x minipraji 5 persoane
1 x tort omnia fistic 1.6 kg</t>
  </si>
  <si>
    <t>Str Dinu Vintila nr 6b,scara E, ap 15,etaj4, interfon 403, Central Parc, sectorul 2, București</t>
  </si>
  <si>
    <t>Simona Nedelea
0747221465</t>
  </si>
  <si>
    <t>1 x cozonac cu nuca, cacao si mac
1 x cozonac cu mac</t>
  </si>
  <si>
    <t>Aleea Baiut nr.13, Bloc A34, SC.c,Et.4,Ap.43, Sector 6 Bucuresti</t>
  </si>
  <si>
    <t>Andreea Bechir
0757570589</t>
  </si>
  <si>
    <t>Str. Nucsoara 6, bloc 42, scara A, etaj 3, ap. 12</t>
  </si>
  <si>
    <t>Pachet Paste
-
2 x pasca
2 x cozonac nuca, cacao si rom</t>
  </si>
  <si>
    <t>Mihaela Nae
0723138058</t>
  </si>
  <si>
    <t>Strada Prelungirea Ferentari, nr. 52-60, Bl. B, sc. 2, etj. 6, ap. 62, sector 5, București</t>
  </si>
  <si>
    <t>Iulia Stoenescu
0766713215</t>
  </si>
  <si>
    <t>Pachet Paste
-
2 x pasca
3 x cozonac nuca, cacao si rom</t>
  </si>
  <si>
    <t xml:space="preserve">Str Caramidarii de jos, nr.12, ap.2, sect.4, București, intrarea pe lateral
QTY: 1
</t>
  </si>
  <si>
    <t>Mariana Bucur
0721337129</t>
  </si>
  <si>
    <t>bd Tineretului nr 3 bloc Z1 ap 3 sector 4 Bucuresti</t>
  </si>
  <si>
    <t>Calea Griviței, Nr. 190, bl. F, sc. D, etaj. 6, ap. si interfon 125, sector 1.</t>
  </si>
  <si>
    <t>Florentina Serescu
0771347143</t>
  </si>
  <si>
    <t>Daniela Puscasu
0725592212</t>
  </si>
  <si>
    <t>Pachet Paste
-
1 x pasca
1 x cozonac nuca, cacao si rom
1 x cozonac cu fructe confiate</t>
  </si>
  <si>
    <t xml:space="preserve">Strada. Sergent Alexandru Cutieru 25B bloc C2 sc 2, et.1, ap.179 interfon 179
Sector 6, București
</t>
  </si>
  <si>
    <t>B-dul Uverturii 12  Bl B2  Sc 4. Ap 108 Sector 6</t>
  </si>
  <si>
    <t xml:space="preserve">Client Laura
-
0 744 662 050
</t>
  </si>
  <si>
    <t>3 x cozonac cu nuca
2 x pasca</t>
  </si>
  <si>
    <t>Dorobantilor 158</t>
  </si>
  <si>
    <t>Client Laura
0 (720) 825 008</t>
  </si>
  <si>
    <t>1 x cozonac cu rahat simplu
1 x cozonac cu fructe confiate si rahat</t>
  </si>
  <si>
    <t>Nu se achita nimic. A trimis Laura degustare.</t>
  </si>
  <si>
    <t>Mariana
0 740 580 399</t>
  </si>
  <si>
    <t>Pachet Paste
-
1 x pasca
1 x cozonac rahat si fructe confiate</t>
  </si>
  <si>
    <t>Bdul Pipera 198/4, complex Ibiza Sol, bloc Malaga, sc 2, ap 9.</t>
  </si>
  <si>
    <t>Florentina Anton
0745 260 426</t>
  </si>
  <si>
    <t>Str.Traian Popovici Nr.128 Bl.B4A Sc.A Et.1 Ap.9 Interfon 9 Sector 3 Buc</t>
  </si>
  <si>
    <t>Atentie ca l-am mai facut o data si a zis ca a fost un pic prea amarui pe partea de sus. 
--------------
1 x tort 1 kg personalizat
---
De JOS in SUS:
- Blat Negru Nuci Insiropate cu Fructul pasiunii
- Mousse Ciocolata &amp; Portocale
- Jeleu de Mango
- Mousse de Arahide de La Krantz</t>
  </si>
  <si>
    <t>Strada Drumul Jilavei, 64-66, Bl. 2, Venus Residence
--
Sunam sa coboare</t>
  </si>
  <si>
    <t>Nicolae Chiritescu
0723631467</t>
  </si>
  <si>
    <t>Calea Mosilor 221, Bl. 331, Sc. 2, Et 7, Ap 60, Int. 060</t>
  </si>
  <si>
    <t>a fost achitat de dl nicolae chiritescu (fratele ei)</t>
  </si>
  <si>
    <t>Calea Mosilor 306, Bl. 65, Sc. 1, (in spate), interofon 12, Ap 12, etaj 3</t>
  </si>
  <si>
    <r>
      <t xml:space="preserve">Pachet Paste
-
1 x pasca
</t>
    </r>
    <r>
      <rPr>
        <b/>
        <u/>
        <sz val="11"/>
        <color rgb="FF000000"/>
        <rFont val="Calibri"/>
        <family val="2"/>
      </rPr>
      <t>1 x COZONAC SIMPLU CU STAFIDE</t>
    </r>
  </si>
  <si>
    <t>Sora lui Nicolae Chiritescu
(Mariete)
0723631467</t>
  </si>
  <si>
    <t>Sorina Benea
0766463050</t>
  </si>
  <si>
    <r>
      <t>ATENTIE!!! E ALERGEICA
!!!! ATENTIE
1 x cozonac cacao si rom (</t>
    </r>
    <r>
      <rPr>
        <b/>
        <u/>
        <sz val="11"/>
        <color rgb="FF000000"/>
        <rFont val="Calibri"/>
        <family val="2"/>
      </rPr>
      <t xml:space="preserve">!!! SA NU CONTINA NUCA!!!!!)
</t>
    </r>
    <r>
      <rPr>
        <b/>
        <sz val="11"/>
        <color rgb="FF000000"/>
        <rFont val="Calibri"/>
        <family val="2"/>
      </rPr>
      <t xml:space="preserve">1 x pasca </t>
    </r>
    <r>
      <rPr>
        <b/>
        <u/>
        <sz val="11"/>
        <color rgb="FF000000"/>
        <rFont val="Calibri"/>
        <family val="2"/>
      </rPr>
      <t>(SA NU CONTINA COAJA DE LAMAIE/PORTOCALA)</t>
    </r>
  </si>
  <si>
    <t>1 x tort pavlova 1 kg</t>
  </si>
  <si>
    <t>Comanda Telefon
0746288764</t>
  </si>
  <si>
    <t>1 x cozonac cu nuca
1 x pasca
-
2 x cremsnit
2 x savarina
2 x amandina</t>
  </si>
  <si>
    <t>Strada Copilului, 6-12, Scara B, Etaj 6, Ap 27, interfon 27 clopotel</t>
  </si>
  <si>
    <t>Bulevardul Tineretului 53, Bl. 65, Sc. A, Ap 15</t>
  </si>
  <si>
    <t>Roxana Ivascu
0765216760</t>
  </si>
  <si>
    <t>Aleea Posada 8, bloc 31, sc. B, ap 19, intefoon 19</t>
  </si>
  <si>
    <t>Comanda Telefon
0722 222 201</t>
  </si>
  <si>
    <t>Strada Garoafei 10, Bl. 8, Sc D, Et 4, Ap 50, Sector 5</t>
  </si>
  <si>
    <t>Telefon
0723120404</t>
  </si>
  <si>
    <t>1 x cozonac nuca,cacao si rom
1 x pasca</t>
  </si>
  <si>
    <t>Strada Delea Veche, 16-18, Int 9, sector 2</t>
  </si>
  <si>
    <t>Mihail Puiu
0744440589</t>
  </si>
  <si>
    <t>str. Dumitru Theodor Neculuta, nr 49, Sector 2.</t>
  </si>
  <si>
    <t>Pachet Family
-
1 x cozonac fructe confiate si rahat
1 x pasca
1 x platou 5 persoane
1 x tort duo-mousse visine 1.6 kg</t>
  </si>
  <si>
    <t>Mihai
0 753 377 777</t>
  </si>
  <si>
    <t>bd. Chisinau 19, bl.a5, sc.a, ap.4, sector 2 Buc. Interfon 04</t>
  </si>
  <si>
    <t>Comanda Telefon
0729) 107 053</t>
  </si>
  <si>
    <t>1  x cozonac cu nuca, cacao si rom
1 x pasca</t>
  </si>
  <si>
    <t>Strada Spinis Nr.7, Bl 45., Sc 3, Ap.45, Interfon 45</t>
  </si>
  <si>
    <t>Tudor R.
0724255551</t>
  </si>
  <si>
    <t>CASA DE MARCAT PAM BAKERY!! (trebuie adusa in carol)
---
Prajituri:
2 x cremsnit
2 x amandina
2 x cafina
2 x ciocolatina
2 x mont blanc
1 x platou miniprajituri 5 persoane (tavita)
2 x tarta citron
2 x tarta ciocolata
2 x tarta zmeura
2 x tarta citron
2 x tarta mere
3 x felie citron
3 x felie omnia fistic
2 x cheese cake
-
Ambalaje:
25 x cutie 1 prajitura
15 x cutie 4 prajitur
8 x cutie 8 prajituri
15 x pungi mari
15 x pungi mici</t>
  </si>
  <si>
    <t>Client Telefon
0770160465
-
Atentie ca nu vorbeste romana!</t>
  </si>
  <si>
    <t>Caraiman 35 sector 1 Bucureşti</t>
  </si>
  <si>
    <t>cash cu bon dar sa fie si POS-ul in orice caz</t>
  </si>
  <si>
    <t>Alexandra Badea
0739522300</t>
  </si>
  <si>
    <t xml:space="preserve">1 x tort cheese cake acoperit cu zmeura glasata cu print circular in mijloc. Sa fie zmeura in jurul pozei pana la marginea tortului. E in poze décor printul.
Mesajul este: "Happy Birthday, Viata Mea!" pe o placuta cumva pe tort
--
In cutie cu panglica rosie </t>
  </si>
  <si>
    <t>Str Motilor, nr 12, etaj 3, ap 12</t>
  </si>
  <si>
    <t>1 x tort in forma de masina mercedes ca in poza décor factu din blat si ganache de ciocolata. (sa semene cu cel vechi pe care l-am facut, stie Mirela R.)
-
3 kg maxim
Mesajul Este "Cu mesajul “La mulți ani iubitul meu”
-----------------------
Ambalat in cutie cu funda</t>
  </si>
  <si>
    <t>3 x pasca
2 x cozonac nuca
1 x cozonac fructe confiate</t>
  </si>
  <si>
    <t>2 x cozonac nuca, cacao si rom
2 x cozonac cu nuca,cacao si rahat</t>
  </si>
  <si>
    <t>achitat integral pe 03.04</t>
  </si>
  <si>
    <t xml:space="preserve">4 x tarte cu ciocolata si caramel (mari)
4 x tarte doar CU CIOCOLATA (mari)
4 x tarte lamaie (mari)
4 x pavlova (mari)
</t>
  </si>
  <si>
    <t>Calea 13 septembrie nr 241 bloc v6 et 4 ap 20</t>
  </si>
  <si>
    <t>card POS 
10% reducere</t>
  </si>
  <si>
    <t>Cristina Pintilie
0766257834</t>
  </si>
  <si>
    <t>Soseaua Oltenitei nr. 10, bloc 2C, scara 2, etaj 2, ap 46, sector 4, Bucureșt</t>
  </si>
  <si>
    <t xml:space="preserve">Pachet Paste
1 x cozonac nuca, cacao is rom
1 x cozonac fructe confiate
1 x pasca
</t>
  </si>
  <si>
    <t>Bd Gheorghe Sincai 6, bl 2, sc 1, etj 3, ap 7, sect 4, interfon 7C</t>
  </si>
  <si>
    <t xml:space="preserve">3 Kg tort triomousse glazurat cu ciocolata ALBA (care banuiesc ca e crem), apoi pe el sa puneti trandafiri mici albi COMESTIBILI, pe marginea tortului sa lipiti ceva fulgi ca in poza decor|| "La multi ani, Vlad Andrei!"  + cifra 14 </t>
  </si>
  <si>
    <t xml:space="preserve">
6 x platouri de 5  persoane minipraji</t>
  </si>
  <si>
    <t>barter masti</t>
  </si>
  <si>
    <t>Aviator Petre Cretu nr. 56</t>
  </si>
  <si>
    <t>Geanina Minca
0729820318</t>
  </si>
  <si>
    <t>Pachet Paste
2 x cozonac nuca, cacao is rom
2 x pasca</t>
  </si>
  <si>
    <t>Strada Vaselor.nr 14,sector 2
Bucuresti,</t>
  </si>
  <si>
    <t>Liliana Serbanoiu
0731151889</t>
  </si>
  <si>
    <t>Pachet Paste
1 x cozonac nuca, cacao is rom
1 x pasca</t>
  </si>
  <si>
    <t>Strada Fraului nr 28 A sector 2
Bucuresti ,</t>
  </si>
  <si>
    <t>Iulica Tudora
0722513218</t>
  </si>
  <si>
    <t xml:space="preserve">Str prevederii nr4 bl m29c apartament 61sect3
București, </t>
  </si>
  <si>
    <t>Ada Singereanu
0722440210</t>
  </si>
  <si>
    <t xml:space="preserve">str.Foisorului nr.9 bl. F6C sc.1 ap.26
Bucuresti, </t>
  </si>
  <si>
    <t>Radu Petrache
0744554625</t>
  </si>
  <si>
    <r>
      <t xml:space="preserve">Pachet Paste
3 x cozonac nuca, cacao is rom
3 x pasca
</t>
    </r>
    <r>
      <rPr>
        <b/>
        <u/>
        <sz val="11"/>
        <color rgb="FF000000"/>
        <rFont val="Calibri"/>
        <family val="2"/>
      </rPr>
      <t>2 x COZONAC FITNESS</t>
    </r>
  </si>
  <si>
    <t>Str Ioan Bianu nr 26 sect 1 Bucuresti</t>
  </si>
  <si>
    <t>Marieta Stoica
0724518967</t>
  </si>
  <si>
    <t>B-dul Pipera 114-118 Voluntari</t>
  </si>
  <si>
    <t>Nicoleta Petrof
0765681324</t>
  </si>
  <si>
    <t>Strada Fizicienilor, nr.1,bloc D2A, sc 1,etaj 6, aot.38, sector 3</t>
  </si>
  <si>
    <t>Strada Steaua Rosie 15B, corp B, et.1, ap.6 Otopeni</t>
  </si>
  <si>
    <t>Mihaela Orban
0721220931</t>
  </si>
  <si>
    <t xml:space="preserve">Cornetu, Str Salcamilor nr 26J ,Ilfov </t>
  </si>
  <si>
    <t>Roxana Bratan
0724228811</t>
  </si>
  <si>
    <t>Str.Lavandei nr 6 bl P 29 sc 5 de 2 ap 67</t>
  </si>
  <si>
    <t>Ioana Coruga
0767581377</t>
  </si>
  <si>
    <t>Pachet Paste
1 x cozonac nuca, cacao is rom
2 x pasca
1 x cozonac cu mac</t>
  </si>
  <si>
    <t>Str. Amurgului, Nr 77
Popesti Leordeni, Ilfov 700164, Romania</t>
  </si>
  <si>
    <t>carmen yilmaz
0723335183</t>
  </si>
  <si>
    <t>Tort Pavlova
Greutate: 0.8 kg
---
Tort Trio Mousse
Greutate: 4 kg
Mesaj Personalizat: La mulți ani, Bogdan!</t>
  </si>
  <si>
    <t>Voinicului 74
Magurele, Ilfov 077125, Romania</t>
  </si>
  <si>
    <t>cash cu bon. Sa luati si pos-ul cu voi in caz ca e nevoie</t>
  </si>
  <si>
    <t>Mihaela Ghete
0726152285</t>
  </si>
  <si>
    <t>Pachet Family
-
1 x cozonac cu nuca cacao si rom
1 x pasca
1 x platou minipajituri 5 persoane
1 x tort duo-mousse visine 1.6 kg</t>
  </si>
  <si>
    <t>Intrarea Ciulin nr.6c
Berceni, Ilfov</t>
  </si>
  <si>
    <t>Tort Citron
Greutate: 1 kg
Mesaj Personalizat: La multi ani Alexandra!</t>
  </si>
  <si>
    <t xml:space="preserve">Valea argesului nr 16 bloc m27 scara 1 etaj 10 apartament 61
</t>
  </si>
  <si>
    <t>Andreea Meraru
0755487039 
(persoana care da cadoul- cu ea vorbim)
----
Persoana careia I se da cadoul:
+40 (738) 954 746</t>
  </si>
  <si>
    <t>Irina Paunescu
0744883251</t>
  </si>
  <si>
    <t>Str liviu rebreanu 46-58, rasarit de soare, sc k, apt 53
Bucuresti,</t>
  </si>
  <si>
    <t>Balint Marian
0724568703</t>
  </si>
  <si>
    <t>Pachet Paste
1 x cozonac nuca, cacao is rom
3 x pasca
1 x cozonac cu mac</t>
  </si>
  <si>
    <t>Theodor Pallady, nr. 27, bl G3 BIS, scara B, ap 49, sector 3</t>
  </si>
  <si>
    <t>Sos. Oltenitei nr. 238, bl. 53, sc. 1, et. 2, ap. 12
Sector 4</t>
  </si>
  <si>
    <t>George Alexandru Toma
0746890571</t>
  </si>
  <si>
    <t>Pitei Suzana
0724120921</t>
  </si>
  <si>
    <t xml:space="preserve">Strada Barometrului 14. Bucuresti, sector 2.
</t>
  </si>
  <si>
    <t>Lucian Lupu
0744513060</t>
  </si>
  <si>
    <t xml:space="preserve">Str. Codrii Neamtului nr 5-7, bloc A, et. 5, ap. 54, sector 3 Bucuresti </t>
  </si>
  <si>
    <t>Andrei Thilia
0752444431</t>
  </si>
  <si>
    <t>Aleea Mizil 60, Al 3-lea bloc, et.2, ap. 22, interfon 22, sector 3</t>
  </si>
  <si>
    <t>Anca Godeanu
0732719121</t>
  </si>
  <si>
    <t>1 x platou raw-vegan
1 x cremsnit</t>
  </si>
  <si>
    <t>Strada Crisul Alb, nr 31
Bucuresti,</t>
  </si>
  <si>
    <t>Tort Chocolate Fiesta
Greutate: 1 kg
Mesaj Personalizat: La multi ani, Ele!
Te iubim!
30 ani
---
1 x platou minipraji 5 persoane"</t>
  </si>
  <si>
    <t>Pt informatii livrare sunam la:
0756517597
-
Dragos Ispas
0744924291</t>
  </si>
  <si>
    <t>str: Dorneasca Nr:16,bl.P-58;sc.1;et.7;ap.23</t>
  </si>
  <si>
    <t>Maria Cristache
0774094926</t>
  </si>
  <si>
    <t>Lacramioara Jucan
0721665586</t>
  </si>
  <si>
    <t>str Macelarului nr.6, sat Orasti comuna Frumusani</t>
  </si>
  <si>
    <t xml:space="preserve">Strada Oituz , Bl. P3 , Sc. 2 , Ap. 11 , sat Ghermanesti , Com. Snagov , Jud. Ilfov .
</t>
  </si>
  <si>
    <t>David Vidu
0755011073</t>
  </si>
  <si>
    <t>Lucia Ciulacu
0722559459</t>
  </si>
  <si>
    <t>Drumul Negru, 56F, Pipera, Voluntari</t>
  </si>
  <si>
    <t>1 x tort citron 2 kg cu mesajul "La multi ani, puiu!"
---
10 x mini-choux fistic
---
10 x cei mai deliciosi macarons pe care ii avem</t>
  </si>
  <si>
    <t>Gheorghiu Eugenia
0722779398</t>
  </si>
  <si>
    <t>100 gr x BOMBOANE ARTIZANALE
1 x pasca
1 x cozonac cu nuca</t>
  </si>
  <si>
    <t>Strada Faureni 5, Bl C9, Sc. A, Int 39</t>
  </si>
  <si>
    <t>Mohora Laura
0720. 030 396
--------
Este cadou de la mama ei
Mohora Cristina
0724) 865 247</t>
  </si>
  <si>
    <t>Calea Mosilor Nr219, Bl25A, Et7, Ap20, Sc1, Interfon 20 C</t>
  </si>
  <si>
    <t>Mohora Cristina
0724) 865 247</t>
  </si>
  <si>
    <t>strada Alexandru cel Bun, Nr. 22, Bl T18, Sc 1, Ap 40, Et8, interfon 40 C</t>
  </si>
  <si>
    <t>cash cu bon
-
Achita si un pachet extra pentru fiica ei</t>
  </si>
  <si>
    <t>Camelia
0722453193</t>
  </si>
  <si>
    <t>Strada Pinului nr 18, Voluntari</t>
  </si>
  <si>
    <t xml:space="preserve">7 x cozonac nuca, cacao is rom
2 x pasca
</t>
  </si>
  <si>
    <t>Cojora Elisabeta
--
021 630 38 25
sau
(0728) 929 200 (vecina)</t>
  </si>
  <si>
    <t>1 x cozonac nuca, cacao si rom
1 x chec
1 x pasca</t>
  </si>
  <si>
    <t>Bulevaedul 1 Decembrie 1918, Nr47, Bl j40, Sc 8, Ap 101. Interfon 101</t>
  </si>
  <si>
    <t>Client Laura
0 (757) 776 181</t>
  </si>
  <si>
    <t>strada Crizantemelor, Nr.2, BlZ11, sc2, ap25,Et1.</t>
  </si>
  <si>
    <t>un tort fistic si zmeura, 1,6 kg frumos decorat , 2 artificii mari si 2 lumanari cifrele 26
-
"Mesajul La multi ani Madalin"</t>
  </si>
  <si>
    <t>1 x cozonac cu nuca
1 x pasca
1 x cozonac cu rahat si fructe confiate</t>
  </si>
  <si>
    <t>Mari
0 737 366 553</t>
  </si>
  <si>
    <t>1 x tort harry potter ca in poze décor (raspberry vanilla - 2 kg)
cu mesajul "La multi ani David, 14 ani"</t>
  </si>
  <si>
    <t>1 x 1 kg tort raspberry vanilla pentru mari 07.04</t>
  </si>
  <si>
    <t>Comanda telefon
(0728) 726 194</t>
  </si>
  <si>
    <t>1 x pasca
1 x cozonac cu STAFIDE SI CACAO (FARA NUCA)
1 x tort duo-mousse visine 1 kg</t>
  </si>
  <si>
    <t>Soseaua Pantelimon, Nr 350, Bl 4, Sc 2, Et 6, Ap 69, Interfon 69</t>
  </si>
  <si>
    <t>1 x tort 1 kg pentru tort forma penis de pe 11.04</t>
  </si>
  <si>
    <t>Pachet Paste
-
1 x pasca
1 x cozonac nuca, cacao si rom
-----------------
De ambalat frumos ca le da cadou.Cu fundinte!</t>
  </si>
  <si>
    <t>Zaberca Cornelia
0730750678
-
 (de sunat cand se ajunge la adresa ca interfonul e pe silent - interfon 29)</t>
  </si>
  <si>
    <t>Lara carol</t>
  </si>
  <si>
    <t xml:space="preserve">transport prajituri </t>
  </si>
  <si>
    <t>Tudir</t>
  </si>
  <si>
    <t>Uber</t>
  </si>
  <si>
    <t>2 x cremsnit
3 x felie mango fistic
3 x felie citron
1 x cheese cake
1 x tarta ciocolata
1 x tarta zmeura</t>
  </si>
  <si>
    <t>Marina Dumitru
0723969375</t>
  </si>
  <si>
    <t>Daniel Toma
0724575822</t>
  </si>
  <si>
    <r>
      <t xml:space="preserve">1  x cozonac cu nuca, cacao si rom
</t>
    </r>
    <r>
      <rPr>
        <b/>
        <u/>
        <sz val="11"/>
        <color rgb="FF000000"/>
        <rFont val="Calibri"/>
        <family val="2"/>
      </rPr>
      <t>1 x PASCA FARA STAFIDE</t>
    </r>
  </si>
  <si>
    <t>Strada Caporal Grigore Marin, nr. 18, bloc 3, etaj parter superior, ap. 12, sector 4, Bucuresti, Apollo Residence Apararorii Patriei</t>
  </si>
  <si>
    <t>Cristian Ionut Popa
0724993991</t>
  </si>
  <si>
    <t>Pachet Paste
1 x pasca
1 x cozonac cacao,nuca si rom
1 x cozonac fructe confiate</t>
  </si>
  <si>
    <t xml:space="preserve">Bd. DINICU GOLESCU NR. 23-25, BL B, SC 3, AP10, SECTOR 1 ,BUCURESTI
</t>
  </si>
  <si>
    <t>Flori Enciu
0728000902</t>
  </si>
  <si>
    <t>Pachet Family
-
1 x pasca
1 x cozonac nuca, cacao si rom
1 x 
1 x tort raspberry vanilla 1.6 kg</t>
  </si>
  <si>
    <t>Soseaua Pantelimon nr. 237,bl.65,sc.3,ap.114</t>
  </si>
  <si>
    <t>Florentina Zerfas
0773865940</t>
  </si>
  <si>
    <t>1 x cozonac mac
1 x pasca</t>
  </si>
  <si>
    <t>Iuliu Maniu 99, bloc 1, scara 1, ap 15, interfon 15C, sectorul 6, Bucuresti</t>
  </si>
  <si>
    <t>Ruaxndra Stejeroiu
0746020059</t>
  </si>
  <si>
    <t>Strada Turda, nr 129, bloc 1, scara D, etaj 4, ap 161, Sector 1, Bucuresti.</t>
  </si>
  <si>
    <t>Carmen Bojoanca
0752106052</t>
  </si>
  <si>
    <t>1 x cozonac cu rahat si mac
1 x cozonac cu fructe confiate
1 X COZONAC RAW-VEGAN CAJU SI MAC</t>
  </si>
  <si>
    <t xml:space="preserve"> Str. Bratului nr 32, Sector 2, Bucuresti</t>
  </si>
  <si>
    <t>Str. Tohani, nr.2, bl.33, sc.2, ap.48, sect 4, Bucuresti</t>
  </si>
  <si>
    <t>Carmen Barbulescu
0727500272</t>
  </si>
  <si>
    <t>Alexandra Efrim
0772018653</t>
  </si>
  <si>
    <t>aleea barajul dunarii nr 2a bl 21c SC B et 6 ap 70</t>
  </si>
  <si>
    <t>Str. Aviatiei, nr. 72, Metropolitan Residence, sc. 2, et. 2, ap 34, sector 1, Bucuresti</t>
  </si>
  <si>
    <t>Iulia Costina
0751151080</t>
  </si>
  <si>
    <t>str Viitorului la Nr. 30 B , Chiajna (Atentie e la o vecina pe acceasi strada)</t>
  </si>
  <si>
    <t>Liviu Ungureanu
0726113803</t>
  </si>
  <si>
    <t>2 x cozonac cu nuca, cacao si rom
1 x cozonac cu rahat si mac
1 x platou 75 (2 savarine, 2 amandine, 2 cremsnit)</t>
  </si>
  <si>
    <t>Sf. Leonardo Murialdo 18, Popesti-Leordeni!!!!!</t>
  </si>
  <si>
    <t>bara brrr, bani incasati de dan</t>
  </si>
  <si>
    <t>Adrian Pometcu
0762739611</t>
  </si>
  <si>
    <r>
      <t xml:space="preserve">2 x </t>
    </r>
    <r>
      <rPr>
        <b/>
        <u/>
        <sz val="11"/>
        <color rgb="FF000000"/>
        <rFont val="Calibri"/>
        <family val="2"/>
      </rPr>
      <t>COZONAC FItNESS</t>
    </r>
  </si>
  <si>
    <t>Iulia Onose
0753506839</t>
  </si>
  <si>
    <t>Daniela Profir
0773982980</t>
  </si>
  <si>
    <t xml:space="preserve">Bulbuc Florina Andreea
0755487039
</t>
  </si>
  <si>
    <t>Oana Constantinescu
0724319953</t>
  </si>
  <si>
    <t>strada Agapiei nr 2 Popesti Leordeni Ilfov</t>
  </si>
  <si>
    <t>str Dezrobirii, nr 43, bl P19, sc C, ap 39</t>
  </si>
  <si>
    <t>Bucuresti, sector 4, Drumul binelui 12</t>
  </si>
  <si>
    <t xml:space="preserve"> Drumul taberei nr 30 bl OD3 sc 2 et 2 ap 47 sector 6 Bucuresti</t>
  </si>
  <si>
    <t>Str. Apusului 56, bl.69, sc.1, ap.16, sector 6, Bucuresti, interfon 16</t>
  </si>
  <si>
    <t>Aurelia Bobarnea
0745081198</t>
  </si>
  <si>
    <t xml:space="preserve"> Strada Sergent Apostol Constantin nr 16, bloc C2, etj 3, apt 306, sector 6 Bucuresti</t>
  </si>
  <si>
    <t>Constantin Beldie
0722244803</t>
  </si>
  <si>
    <t>Str. Doinei nr 80, Ap 11
DOBROESTI, Ilfov</t>
  </si>
  <si>
    <t xml:space="preserve">Strada uioara nr 11 bl A12 SC D etj 3 ap 56
București </t>
  </si>
  <si>
    <t>1 x cozonac fructe confiate
1 x pasca</t>
  </si>
  <si>
    <t>Ioana Duna
0769981266</t>
  </si>
  <si>
    <t>Cezar Rusovici Radu
0744997998</t>
  </si>
  <si>
    <t>Bdul Iuliu Maniu, Nr. 14, Bl. 13, Sc. A, Et. 9, Ap. 61, interfon 661c
Reper : vizavi Cora Lujerului, scara dintre Profi City si Banca Romaneasca</t>
  </si>
  <si>
    <t>Lidia Scantee
0730704912</t>
  </si>
  <si>
    <t>Str Reșița Nr 1 Bl 8 sc1 ap 19 sect 4</t>
  </si>
  <si>
    <t>Margareta Anca Grigorescu
0728201601</t>
  </si>
  <si>
    <t xml:space="preserve"> Str. Arh. Stefan Burcus nr 2 Sector 1</t>
  </si>
  <si>
    <t>Gabriela Racasan
0747287545</t>
  </si>
  <si>
    <t xml:space="preserve"> sos. Iancului nr.132, bl.121A, et 3, ap.8. interfon 08</t>
  </si>
  <si>
    <t>Marina Ion
0737935210</t>
  </si>
  <si>
    <t>Osiris nr 42 sector 5
București 
(e singura casa cu un gard frumos si un tub de fier la poarta)</t>
  </si>
  <si>
    <t>Camelia Ionescu
0740318145</t>
  </si>
  <si>
    <t>1 x platou RAW-VEGAN 80 RON
1 x cozonac nuca, caca si rom
1 x pasca</t>
  </si>
  <si>
    <t>Str.ION GHICA nr.3, et.4, ap.50, interfon 50 sector 3, langa CINEMA PRO</t>
  </si>
  <si>
    <t>1 x cozonac nuca,cacao FARA ROM
1 x pasca</t>
  </si>
  <si>
    <t>Camelia Dumitrescu
0722887380
--
De specificat ca i-am adus cozonac fara rom!</t>
  </si>
  <si>
    <t>Strada Anghel Moldoveanu 39-41 (dedeman giurgiului), Sc 3, Bl. A, Ap 110, Sector 4</t>
  </si>
  <si>
    <t>Tudorache Camelia
0745057981</t>
  </si>
  <si>
    <t>Strada Cara Anghel, Nr 17, Bl. C45, Sc 2, Et. 4, Ap 79, Int. 79</t>
  </si>
  <si>
    <t>Ivinita Florea
0722637110</t>
  </si>
  <si>
    <t>Pachet Family
-
1 x cozonac nuca, cacao si rom
1 x pasca
1 x platou minipraji 5 persoane
1 x tort pavlova 1.6 kg</t>
  </si>
  <si>
    <t>Strada Elev Popovici Nicolae 2, Bl. P49, Sc2, Et 7, ap 59, Int 59</t>
  </si>
  <si>
    <t>Bd.Constructorilor nr 15;bl H1,sc.B,et 1,apart.28,sect.6
(nu functioneaza interfonul. De sunat)</t>
  </si>
  <si>
    <t>Cristina Paun
0732087661</t>
  </si>
  <si>
    <t xml:space="preserve"> Aleea Lunca Cernei, Nr. 1, Bl. A 36, sc. B, et. 3, ap. 27, sector 6, Bucuresti, cod postal 062016</t>
  </si>
  <si>
    <t>Str. Luncsoara, nr 4-6, bl. 63, sc.a, et.6, ap.36, interfon 36, sector 2, București</t>
  </si>
  <si>
    <t>Iulia Dragomir
0722642392</t>
  </si>
  <si>
    <t>Soldat Croitoru nr 3c bloc 2scara2, etj 4
Sector 5, Bucharest 051977, Romania</t>
  </si>
  <si>
    <t>2 x cozonac nuca,cacao si rom
2 x pasca</t>
  </si>
  <si>
    <t>Andra Calin
0723564387</t>
  </si>
  <si>
    <t>Camelia Avram
0729752622</t>
  </si>
  <si>
    <t>Str.BRASOV 17, Bl P 12, sc 4,Ap 70, sector 6.</t>
  </si>
  <si>
    <t>1 x tort trio mousse 1 kg
1 x chec
2 x cremsnit
2 x amandina
2 x savarina
1 x cozonac nuca, cacao si rom
1 x pasca</t>
  </si>
  <si>
    <t>Pasca</t>
  </si>
  <si>
    <t>Nuca</t>
  </si>
  <si>
    <t>Fructe</t>
  </si>
  <si>
    <t>Mac</t>
  </si>
  <si>
    <t>RV Nuca</t>
  </si>
  <si>
    <t>RV Turmeric</t>
  </si>
  <si>
    <t>RV Mac</t>
  </si>
  <si>
    <t>x</t>
  </si>
  <si>
    <t>1 x cozonac cu nuca, cacao si rom
1 x pasca</t>
  </si>
  <si>
    <t>Str. Ceahlaul nr.8 bl.27 sc.1 ap.7</t>
  </si>
  <si>
    <t>Diana Harabor
0 751 513 046</t>
  </si>
  <si>
    <t>CU POS</t>
  </si>
  <si>
    <t>Sector</t>
  </si>
  <si>
    <t>Sector 2</t>
  </si>
  <si>
    <t>Tort Noisette
Greutate: 1 kg
Mesaj Personalizat: "18 ani!"</t>
  </si>
  <si>
    <t>1 xcozonac nuca, cacao si rom
1 x pasca
1 x platou minipraijturi 5 persoane</t>
  </si>
  <si>
    <t>Carp Maria Petrut
(0743) 024 831</t>
  </si>
  <si>
    <t>Toma Simona
0744434014</t>
  </si>
  <si>
    <t>Sava Doina
0733110548</t>
  </si>
  <si>
    <t>1 x tort honney 2 kg ff frumos decorat
1 x platou miniprajituri 5 persoane</t>
  </si>
  <si>
    <t>1 x cozonac nuca,cacao si rom
1 x cozonac cu mac
2 x pasca</t>
  </si>
  <si>
    <t>Garbi
0721) 141 996</t>
  </si>
  <si>
    <t>1 cozonac nuca,cacao si rom
1 pasca
2 cremsnit
2 amandine
2 savarine,</t>
  </si>
  <si>
    <t>Beatrice Ionescu
0765780662</t>
  </si>
  <si>
    <t xml:space="preserve">1 x cozonac cu mac
1 x pasca
1 x platou minipraji 5 persoane
-
1 x tort fistic mango omnia 1.6 kg </t>
  </si>
  <si>
    <t>Cristina Serban
0727170777</t>
  </si>
  <si>
    <t>Adela Petraru
0771108682</t>
  </si>
  <si>
    <t xml:space="preserve">1 x cozonac cu mac
1 x pasca
1 x platou minipraji 5 persoane
-
1 x tort citron 1.6 kg </t>
  </si>
  <si>
    <t>Delia Tuca
0752 544 820</t>
  </si>
  <si>
    <t>1 x cheese cake
2 x amandina
1 x cafina
1 x cremsnit
1 x mont blanc
1 x chec cu ciocolata
1 x pasca</t>
  </si>
  <si>
    <t>Razvan Toader
0 752 512 509</t>
  </si>
  <si>
    <t>4 x cozonac nuca,cacao si rom
4 x pasca</t>
  </si>
  <si>
    <t>Petru Lificiu
00 40 (0726) 200 527</t>
  </si>
  <si>
    <t>2 x cozonac nuca,cacao si rom
2 x cozonac fructe confiate
4 x pasca</t>
  </si>
  <si>
    <t>Client Telefon
(0742) 017 496</t>
  </si>
  <si>
    <t>Client Telefon
+40 (729) 497 128</t>
  </si>
  <si>
    <t>2 x cozonac nuca, cacao si rom
2 x pasca</t>
  </si>
  <si>
    <t>Comanda Telefon
(0724) 364 816</t>
  </si>
  <si>
    <t>1 x tort citron 1.6 kg cu mesajul "La multi ani David" cu print din departament décor cu red dead redeption</t>
  </si>
  <si>
    <t>1 x tort black jack 1.5 kg cu mesajul "La multi ani Medina si Alina"</t>
  </si>
  <si>
    <t>Comanda Telefon
0 (722) 155 654‬</t>
  </si>
  <si>
    <t>Aneta Topeanga
0722392530</t>
  </si>
  <si>
    <t>1 x cozonac nuca,cacao si rom
1 x platou miniprajituri
1 x pasca</t>
  </si>
  <si>
    <t>Anghel Simarinela
0721223409</t>
  </si>
  <si>
    <t xml:space="preserve">1 x cozonac cu mac
1 x pasca (FARA STAFIDE)
1 x platou minipraji 5 persoane
-
1 x tort framboisier 1.6 kg </t>
  </si>
  <si>
    <t>Client Telefon
(0755) 224 989</t>
  </si>
  <si>
    <t>Client Telefon
(0740) 184 402</t>
  </si>
  <si>
    <t>1 x cozonac nuca, cacao si rom
1 x cozonac mac
1 x cozonac fructe confiate
1 x pasca</t>
  </si>
  <si>
    <t>Client Telefon
(0744) 329 292</t>
  </si>
  <si>
    <t>Client Telefon
(021) 317 47 28</t>
  </si>
  <si>
    <t xml:space="preserve">1 x cozonac nuca,cacao (FARA ROM)
1 x cozonac nuca,cacao SI RAHAT
1 x pasca
1 x platou minipraji 5 persoane
-
1 x tort AMANDINA 1.6 kg </t>
  </si>
  <si>
    <t>Fenicia Stoic
0723698641
--
sa sunam inainte pentru a se deschide poarta in cartier</t>
  </si>
  <si>
    <t>1 x cozonac nuca (DOAR CU NUCA)
1 x pasca</t>
  </si>
  <si>
    <t>Cristina Filip
0744666862</t>
  </si>
  <si>
    <t>2 x platou miniprajituri 5 persoane</t>
  </si>
  <si>
    <t>Client Telefon
0727729939</t>
  </si>
  <si>
    <t xml:space="preserve">Este cadou din partea
Alexandra Pana
0721821910
------
Destinatarul final este
0757692119
(ATENTIE!!! AICI NU SUNAM CA SA COMUNICAM ORAA!!!!) </t>
  </si>
  <si>
    <t>1 x tort duo-mousse visine 1.2 kg cu mesajul "30!? How the fuck did that happen?"</t>
  </si>
  <si>
    <t>Dumitrescu
0740131041</t>
  </si>
  <si>
    <t>Ana Maria Iliescu
0722.552.992</t>
  </si>
  <si>
    <t>Diana Somnea
0216440589</t>
  </si>
  <si>
    <t>Client Telefon
0 724 549 121</t>
  </si>
  <si>
    <t>Ioana Nitescu
0744498670</t>
  </si>
  <si>
    <t>Laura Dogaru
0745122883</t>
  </si>
  <si>
    <t>Adriana Dumitrescu
0764471783</t>
  </si>
  <si>
    <t>Cristina Dinu
0723347190</t>
  </si>
  <si>
    <t>3 x cozonac nuca,cacao si rom
3 x pasca</t>
  </si>
  <si>
    <t>Ileana Olteanu
0726109998</t>
  </si>
  <si>
    <t>!!!! ATENTIEEE ALERGIEE!!!
----------------
1 x cozonac mac FARA URME DE NUCA. COPILUL ESTE ALERGIC
1 x pasca</t>
  </si>
  <si>
    <t>Simona Paraschiv
0733073863</t>
  </si>
  <si>
    <t>Stefan Vlad
0771099081</t>
  </si>
  <si>
    <t>Alexandra Pana
0721821910</t>
  </si>
  <si>
    <t>Ioana Musat
0723600896</t>
  </si>
  <si>
    <t xml:space="preserve">1 x cozonac nuca,cacao si rom
1 x pasca
1 x platou minipraji 5 persoane
-
1 x tort framboisier 1.6 kg </t>
  </si>
  <si>
    <t>Jarea Nicolae
0762680278</t>
  </si>
  <si>
    <t>Andreea Elena Fulga
0745040065</t>
  </si>
  <si>
    <t>Tort Oreo
Greutate: 1 kg
Mesaj Personalizat: La multi ani, iubitul si taticul nostru minunat!</t>
  </si>
  <si>
    <t>Botez Constantin
0749062289</t>
  </si>
  <si>
    <t>Andreea Stratila
0742755287</t>
  </si>
  <si>
    <t>Tort cu Mango si Zmeura
Greutate: 0.8 kg
Mesaj Personalizat: La Multi Ani Alexandru!
------------
Tort Raspberry Vanilla
Greutate: 1 kg
Mesaj Personalizat: La Multi Ani Catalin!</t>
  </si>
  <si>
    <t>Dana Constantin
0727825280</t>
  </si>
  <si>
    <t>Nicorici Cristiana
0741124400</t>
  </si>
  <si>
    <t>Gabriela Mihai
0745782340</t>
  </si>
  <si>
    <t xml:space="preserve">2 x cozonac nuca,cacao si rom
1 x pasca
1 x platou minipraji 5 persoane
-
1 x tort trio mouuse  1.6 kg </t>
  </si>
  <si>
    <t>Oana Oprea
0723306566</t>
  </si>
  <si>
    <t>2 x cheese cake
2 x tarta zmeura
2 x amandina
1 x tarta ciocolata
2 x tarta citron</t>
  </si>
  <si>
    <t>Dan Mircea
0744528970</t>
  </si>
  <si>
    <t>Adina Aprodu
0740907165</t>
  </si>
  <si>
    <t>Rocsana Eftenoiu
0724396416</t>
  </si>
  <si>
    <t>1 x cozonac nuca,cacao si rom
2 x pasca
1 x platou miniprajituri 10 persoane</t>
  </si>
  <si>
    <t>Comanda Telefon
(0722) 691 240</t>
  </si>
  <si>
    <t>Elena Iurascu
0724225671</t>
  </si>
  <si>
    <t>Tort Oreo
Greutate: 1 kg
Mesaj Personalizat: La multi ani, Irina!
----
20 macarons mix</t>
  </si>
  <si>
    <t>Larisa Ruseti
0745981079</t>
  </si>
  <si>
    <t>Draguta Hristea
0730439710</t>
  </si>
  <si>
    <t>Manta Ruxandra
0723638531</t>
  </si>
  <si>
    <t>Cristina Prioteasa
0724262828</t>
  </si>
  <si>
    <t>Romeda Ruxandra
0743128126</t>
  </si>
  <si>
    <r>
      <t xml:space="preserve">3 x cozonac nuca,cacao si rom
2 x </t>
    </r>
    <r>
      <rPr>
        <b/>
        <u/>
        <sz val="11"/>
        <color rgb="FF000000"/>
        <rFont val="Calibri"/>
        <family val="2"/>
      </rPr>
      <t>pasca FARA STAFIDE</t>
    </r>
  </si>
  <si>
    <t>Roxana Ciupariu
0745546195</t>
  </si>
  <si>
    <t>Mihnea Constantin
0765670650</t>
  </si>
  <si>
    <t>Alina Duta
0758815855</t>
  </si>
  <si>
    <t>Paul Diaconeasa
0723678657</t>
  </si>
  <si>
    <t>Ghitoc Liliana
0724501285</t>
  </si>
  <si>
    <t xml:space="preserve">1 x cozonac nuca,cacao si rom
1 x pasca
1 x platou minipraji 5 persoane
-
1 x tort berry chocolate 1.6 kg </t>
  </si>
  <si>
    <t>Catalina Velea
0799157553</t>
  </si>
  <si>
    <t>Simona Beldiman
0752225606</t>
  </si>
  <si>
    <t>1 x cozonac nuca,cacao si rom
1 x pasca
1 x platou minipraji 5 persoane
-
1 x tort framboisier 1.6 kg cu mesajul "La multi ani, Alex!"</t>
  </si>
  <si>
    <t>Alexandru Roman
0723700147</t>
  </si>
  <si>
    <t>Marian Saila
0720025669</t>
  </si>
  <si>
    <t>Dora
0744432429</t>
  </si>
  <si>
    <t>Mirela Gerasim
0728162950</t>
  </si>
  <si>
    <t>Georgiana Tudor
0723589383</t>
  </si>
  <si>
    <t>Viorica Stancu
0767595508</t>
  </si>
  <si>
    <t>Evelina Minculete
0747890543</t>
  </si>
  <si>
    <t>Dana Tarasila
0765086107</t>
  </si>
  <si>
    <t>Lorena Apostol
0724209288</t>
  </si>
  <si>
    <t>1 x cozonac nuca,cacao si rom
1 x pasca
1 x platou minipraji 5 persoane
1 x tort duo-mousse visine 1.6 kg</t>
  </si>
  <si>
    <t>1 x cozonac nuca,cacao si rom
1 x pasca
--
Tort Chocolate Fiesta
Greutate: 1.2 kg</t>
  </si>
  <si>
    <t>Ioana Puchea
0729280543</t>
  </si>
  <si>
    <t>1 x cozonac nuca,cacao si rom
1 x pasca
--
Tort Oreo
Greutate: 1.2 kg</t>
  </si>
  <si>
    <t>Alexandra Parau
0747136089</t>
  </si>
  <si>
    <t>Andra Irina Comanescu
0723999270</t>
  </si>
  <si>
    <t>Bulevardul Uverturii, 87, Bl. 014A, Sc. C, Ap 60, et 2, interfon 60
(Scara este pe dezrobirii)</t>
  </si>
  <si>
    <t>Sector 6</t>
  </si>
  <si>
    <t>Comuna cornetu, str livezi, 7, bl P16, sc. 2, jud Ilfov</t>
  </si>
  <si>
    <t>Aleea Baiut nr.13, Bloc 134,sc.c,et 4,Ap.43,Sector 6 Bucuresti</t>
  </si>
  <si>
    <t>A fost achitata pe website</t>
  </si>
  <si>
    <t>Magurele, jud. Ilfov, str. Pestilor 12 A</t>
  </si>
  <si>
    <t>Cheiul Dimboviței 26, Residence Trend Vila B 43, Popesti Leordeni</t>
  </si>
  <si>
    <t>Str Ion Nedeleanu,nr 12,bloc P76,scara 1,et 4,ap 13,sector 5</t>
  </si>
  <si>
    <t>Sector 5</t>
  </si>
  <si>
    <t>str. Oltului, nr. 8, localitatea Pantelimon, jud. Ilfov,</t>
  </si>
  <si>
    <t>str întrarea Horbotei 12 sector 3</t>
  </si>
  <si>
    <t>LUAM ULTERIOR BANii. TREBUIE VAZUT CAT E LA Fan curier</t>
  </si>
  <si>
    <t>Soseaua Mihai bravu 296, Bl7, Sc B, Ap 63</t>
  </si>
  <si>
    <t>Aleea Botorani, Nr.10, Bl V 57, sc A, Et 2, Ap 9</t>
  </si>
  <si>
    <t>pana la 12:00</t>
  </si>
  <si>
    <t>Strada Alexandru Vlahuta nr.6, Bl M46, Sc2, Et 4, Ap. 53</t>
  </si>
  <si>
    <t xml:space="preserve">strada Aurel Botea nr.4, Bl B8, Sc.1, Et6, Ap 35z </t>
  </si>
  <si>
    <t>plateste pe 11.04 cand mai are o comanda
--
Nu se ia nici un ban</t>
  </si>
  <si>
    <t>strada Sighisoara nr12</t>
  </si>
  <si>
    <t>Strada Dimitrie Cantemir 20, Voluntari Ilfov</t>
  </si>
  <si>
    <t>Strada Episcopul Chesarie, nr 15, Bl. B, Et 5, Apartent 29
(casa de casatorii sector 4)</t>
  </si>
  <si>
    <t>Sector 4</t>
  </si>
  <si>
    <t xml:space="preserve"> Strada Sibiu, nr.10, Bl OS 1, Sc D, Et4, AP 137</t>
  </si>
  <si>
    <t>Calea Rahovei 217, bl12, Sc3, Ap.88, Interfon 88</t>
  </si>
  <si>
    <t>strada Ionel Perlea Nr.7</t>
  </si>
  <si>
    <t>Sector 1</t>
  </si>
  <si>
    <t>Strada Vesparian, Nr.26</t>
  </si>
  <si>
    <t>Calea Grivitei Nr.224,Bl6, ScE, Ap19</t>
  </si>
  <si>
    <t>Bragadiru, Str. Maracineni, Nr 114-116, Ilfov, Cartierul Cubic 6, Vila 53
(intrarea din prelungirea ghencea in patelele cartierului latin prin strada toamnei).</t>
  </si>
  <si>
    <t>Extra V</t>
  </si>
  <si>
    <t>Camil Ressu 9, bl 58, sc 4, et 5, ap 154, s-3, Buc</t>
  </si>
  <si>
    <t>PLATA CARD LA LIVRARE</t>
  </si>
  <si>
    <t>Teiul Doamnei 5, Bl. 27, Sc. A, Ap 2, 02C</t>
  </si>
  <si>
    <t>PLATA CU CARDUL</t>
  </si>
  <si>
    <t>Soseaua Oltenitei 227-237
-
Sunam sa coboare. Spunem ca avem surpriza de ziua lui si ca nu stim din partea cu e</t>
  </si>
  <si>
    <t>a fost facuta factura pe 06.04 pe numele pana alexandra. Nu se da nimic la clientul final!!!!</t>
  </si>
  <si>
    <t>Bucuresti, Vatra Luminoasa, 70, Bl. W1, Scara 1, Et. 9, Ap 37, Int 37</t>
  </si>
  <si>
    <t>Str. Drumul Valea Furcii nr. 8a sector 6</t>
  </si>
  <si>
    <t>str, Burdujeni,nr 5, pe langa policlinica Titan</t>
  </si>
  <si>
    <t>Sector 3</t>
  </si>
  <si>
    <t>bucuresti sector 5
str. soldat croitoru vasile 73 et 1, ap 5</t>
  </si>
  <si>
    <t>Bulevardul libertatii 22, Bl. 102, Sc. 3, Etaj 1, Intefon 41, Ap 41, Sector 5</t>
  </si>
  <si>
    <t xml:space="preserve">București, Str. Plutaților nr. 9, sector 1
</t>
  </si>
  <si>
    <t>București, sector 5, strada Vigoniei nr 8, bl 10, Sc A, et 6, ap 26</t>
  </si>
  <si>
    <t xml:space="preserve"> Str Siriului nr 39 bl 19D sc2 et 1 ap 19 sector 1 Bucuresti</t>
  </si>
  <si>
    <t xml:space="preserve">Drumul timonierului, nr 6, bloc 111B, scara B, ap 83, etaj 9, sector 6, Bucuresti (interfon 83)
</t>
  </si>
  <si>
    <t>Bd. Chisinau, nr.13, Bl. A3, Sc. 2, Et. 3, Ap. 72, interfon 72, Bucuresti, Sector 2</t>
  </si>
  <si>
    <t>Aleea Buridava, nr 40</t>
  </si>
  <si>
    <t>Strada Lalelelor, 15, Chitila, Ilfov</t>
  </si>
  <si>
    <t>Extra N V</t>
  </si>
  <si>
    <t>Strada Vladessa 13, bl C32, scara A, et7, ap 44, sector 6, Bucuresti</t>
  </si>
  <si>
    <t>str Fabricii 8, bl 25/4, et 3, ap 16, Sector 6, Bucuresti, interfon 16C</t>
  </si>
  <si>
    <t>Strada Alexandru cel Bun, nr. 18, bl. T20, scara 1, et.10, ap.52, sector 2, Bucuresti</t>
  </si>
  <si>
    <t>Str. Virgil Madgearu nr.25A corp C Etaj.2 ap.321 Sector 1 Bucuresti</t>
  </si>
  <si>
    <t>Calea Mosilor Nr 312, Bloc 62, Sc 1 , Ap 08
Bucuresti</t>
  </si>
  <si>
    <t>Sos Dudesti Pantelimon, nr 42, tronson 3, et 2 ap 12, interfon call1212call, rams residence, bloc maro</t>
  </si>
  <si>
    <t>Strada Dumbrava Noua, 33, Bl. P3, Sc 5, Ap 126, Et 2, Sector 5</t>
  </si>
  <si>
    <t>Aleea Calinesti nr.6, Bl.12, Sc. 4, Ap.56 Sector 4</t>
  </si>
  <si>
    <t>Bucuresti, str Zapada Mieilor 17, sector 1</t>
  </si>
  <si>
    <t>Bulevardul Iuliu Maniu 52 - 72, Bloc 3, Scara A, Etaj 7, Apartament 29, interfon 29, Sector 6, Bucuresti</t>
  </si>
  <si>
    <t>Bucuresti, strada Plutasilor nr.20, Sector 2</t>
  </si>
  <si>
    <t>Calea Dorobanti nr 135-145, bloc 10, scara C, etaj 2, ap. 147, interfon 144</t>
  </si>
  <si>
    <t>strada Alexandru Obregia nr.35, Bl 35, Sc 3, Et 9, Ap 147, Interfon 147</t>
  </si>
  <si>
    <t>Bragadiru, str. Celofibrei nr.42 B</t>
  </si>
  <si>
    <t>Str. Maracineni, nr. 114-116, Cubic 6 Residence, vila 35, Bragadiru, Ilfov.</t>
  </si>
  <si>
    <t xml:space="preserve">str Soldat Ionescu Florea nr5, bloc 2, scara 2, etaj 4, ap. 32, interfon 32, sector 4
</t>
  </si>
  <si>
    <t>Str. AVRIG 26 BLOC P18 SC C ET 4 AP 102
Bucuresti,</t>
  </si>
  <si>
    <t>Str. Nicolae Filipescu 49, sect.2</t>
  </si>
  <si>
    <t>Strada Intrarea Luptatorilor Antifascisti, nr 28, Sector 5</t>
  </si>
  <si>
    <t xml:space="preserve"> Bucuresti, sector 5. Aleea Erou Cristian George Stanciu nr.3, bl. V90, sc.3, et.1, apt.68, CP 050761 (intf 068)</t>
  </si>
  <si>
    <t xml:space="preserve"> strada Lanului nr 7 sect 2 București</t>
  </si>
  <si>
    <t xml:space="preserve"> Str Arhitect D Harjeu, nr. 10, sect. 2, Bucuresti</t>
  </si>
  <si>
    <t>str. Tatulesti nr.5; bl 100B; sc H; ap 108; sector 4; interfon 08</t>
  </si>
  <si>
    <t>STR.Helesteului nr 11A Mogosoaia Ilfov</t>
  </si>
  <si>
    <t>Strada Parfumului 29
Bragadiru , Ilfov 077025</t>
  </si>
  <si>
    <t>Str Pridvorului nr 11, Bl 14, Sc 2, ap 20, Sector 4</t>
  </si>
  <si>
    <t>Str. Pravat nr 8, Bl P5, Sc 1 , Parter</t>
  </si>
  <si>
    <t>Strada Stoian Militaru 101A, Bl 3, Sc C, Apt 25, Interfon 25.</t>
  </si>
  <si>
    <t>Str Progresului 53, Bucuresti</t>
  </si>
  <si>
    <t>Aleea Fizicienilor nr 8 bloc 3D sc 3 et 1 ap 110 sector 3 București</t>
  </si>
  <si>
    <t xml:space="preserve"> Str. Mușetești, nr. 18, Et. 2, Ap. 9, Sect. 1 București</t>
  </si>
  <si>
    <t>Strada Aleea Cislau, Nr. 1, Bl 3B,  Sc. 1, Etaj 1, Ap 10, Sectpr 2</t>
  </si>
  <si>
    <t>Bvd. Metalurgiei, Nr. 29C, Bl. C1, Ap.2, Sector 4, Bucuresti</t>
  </si>
  <si>
    <t xml:space="preserve"> Strada Prometeu 22, bl 13F sc.1 ap. 5 et. 1, Sector 1, Bucuresti.</t>
  </si>
  <si>
    <t xml:space="preserve"> str. Secuilor nr2, bl. 21, scara 2, ap 24</t>
  </si>
  <si>
    <t>Strada Fizicienilor, nr.1, bloc D2A, scara 1, etaj 6, aot.28
BUCURESTI</t>
  </si>
  <si>
    <t>Strada Ariei nr 1 A ,sector 1 Bucuresti</t>
  </si>
  <si>
    <t>Soiree, Exclusive Venue, Bulevardul Pipera 2, Voluntari 077190</t>
  </si>
  <si>
    <t>bd tineretului, nr 55, bl 66, sc B, et 2, ap 47, sector 4, Bucuresti, interfon 47</t>
  </si>
  <si>
    <t>Client Telefon
(0744) 165 834</t>
  </si>
  <si>
    <t>Bulevardul Burebista, Nr3, Bl D16, Sc 4, et2, Ap 116, intrefin 116C</t>
  </si>
  <si>
    <t>1 x cozonac nuca,cacao si rom
1 x pasca
---
1 x platou miniprajituri 5 persoane</t>
  </si>
  <si>
    <t>Aleea barajul bistritei, 4, Bl. Z6, Sc. 1, Et 1, Ap 4, sectorul 3</t>
  </si>
  <si>
    <t>Andreea Cioanca
0726720438</t>
  </si>
  <si>
    <t xml:space="preserve">Elena Puf
0724201668 </t>
  </si>
  <si>
    <t>Baltita nr 9, bl B35, Sc 2, Et.2 Ap.28, Sect. 4 Bucuresti</t>
  </si>
  <si>
    <t>Grosu Nicoleta 
0724.202.465</t>
  </si>
  <si>
    <t>Popesti-Leordeni, str.Oituz, nr.87, bl.2,ap.24, et.4. Pe strada cu metrou Dimitrie Leonida fost IMGB</t>
  </si>
  <si>
    <t>1 x tort duo-mousse visine 1 kg</t>
  </si>
  <si>
    <t>Elena Bucur
0740051354</t>
  </si>
  <si>
    <t>Str. Serban Ghita Soldat nr. 55, Et. 1, Ap. 14, Sector 3</t>
  </si>
  <si>
    <t>Rosemarie 
00 40 (722) 669 992</t>
  </si>
  <si>
    <t>splaiul unirii 45, Bl M15, Sc 3</t>
  </si>
  <si>
    <t>2 x cozonac nuca,cacao si rom
3 x chec</t>
  </si>
  <si>
    <t>Ionut Lara
0 728 187 338</t>
  </si>
  <si>
    <t>2 x tarta ciocolata
2 x tarta citron
2 x tarta zmeura
2 x cheese cake
2 x amandina
1 x savarina
2 x cremsnit
2 x felie lamaie cu mac
3 x felie mango fistic
3 x felie mango ciocolata
3 x felie  honey</t>
  </si>
  <si>
    <t>sat Dudu, loc. Chiajna, Str. Rezervelor, nr. 58C, bl. 1, sc. 1, et. 6, ap. 55(DE VERIFICAT ADRESA)</t>
  </si>
  <si>
    <t>1 x pachet miniprajituri 75 RON (de sunat clienta si intrebat)
2 x opera</t>
  </si>
  <si>
    <t>str Ghetarilor 17 et 1 apt 4.</t>
  </si>
  <si>
    <t>Constantin Cojan
0723371937</t>
  </si>
  <si>
    <t>aleea arutela nr.1 BL.D1 SC.B ET.1 AP14
bucuresti SECTOR6,</t>
  </si>
  <si>
    <t>Ctin Brancoveanu 11 bl B 15 sc 2 et 3 ap 41 sect 5
Bucuresti,</t>
  </si>
  <si>
    <t xml:space="preserve">Doina Ionescu
0727768756
</t>
  </si>
  <si>
    <t>Strada inginerilor tei 2, Bl. T30A, Sc 1, Et 4, AP 54, Sector 2</t>
  </si>
  <si>
    <t>Stanescu Silvia
0774671852</t>
  </si>
  <si>
    <t>Andra Nita
0751552710</t>
  </si>
  <si>
    <t>Strada Brașov 16
București, Bucharest 061446, Romania</t>
  </si>
  <si>
    <t>a fost achitata prin website</t>
  </si>
  <si>
    <t>Mihaela Petcu
0733000818</t>
  </si>
  <si>
    <t>1 x cozonac cu nuca, cacao si rom
1 x cozonac cu fructe confiate
1 x pasca
-
6 x mini-tarta cioco
6 x mini-tarta citron
6 x mini-tarta fructe</t>
  </si>
  <si>
    <t>Str Sabarului nr 18, Clinceni, Ilfov</t>
  </si>
  <si>
    <t>Mirela Leica
0724840607</t>
  </si>
  <si>
    <t>1 x cozonac,nuca,cacao si rom
1 x pasca
1 x platou minipraji 5 persoane
1 x tort framboisier 1.6 kg</t>
  </si>
  <si>
    <t>Strada Gării nr 161, bl B3, et 1, Ap 11. Cimplex Gloria
Jilava, Ilfov 052838, Romania</t>
  </si>
  <si>
    <t>Drumul Gura Calitei 4-32 bl 1 sc A et 3 ap 46 Palladium Residence</t>
  </si>
  <si>
    <t xml:space="preserve">Roberta Sarbu
0732069389
</t>
  </si>
  <si>
    <t>Bulevardul Gheorghe Duca, Nr. 8, Ap 10, Etaj 4</t>
  </si>
  <si>
    <t>Mircea Ion
0743330675</t>
  </si>
  <si>
    <t>1 x cozonac cu nuca, cacao si rom
2 x pasca</t>
  </si>
  <si>
    <t>Bd. Nicolae Grigorescu Nr. 49, Bloc E1, sc. 2, apt. 59
Bucuresti,</t>
  </si>
  <si>
    <t>Victoria Pantazopol
0724378432</t>
  </si>
  <si>
    <t>!!!! ATENTIE SUNT DIABETICI!!!!!!
----------
1 x cozonac nuca,cacao si rom CU EXTRACT DE STEVIE IN LOC DE ZAHAR!
1 x pasca CU EXTRACT DE STEVIE IN LOC DE ZAHAR
-----------------------
25 x macarons mix</t>
  </si>
  <si>
    <t>Stefania Dicu
0767681316</t>
  </si>
  <si>
    <t xml:space="preserve">1 x cozonac nuca,cacao si rom
1 x pasca
1 x platou minipraji 5 persoane
-
1 x tort noisette  1.6 kg </t>
  </si>
  <si>
    <t>str Dumbrava Noua, nr 31, bloc P47, sc 2, ap 43
Sector 5, Bucharest 051146, Romania</t>
  </si>
  <si>
    <t>Oana Ovidenie
0723523534</t>
  </si>
  <si>
    <t xml:space="preserve">Prelungirea Ghencea, nr 264H, sector 6
Bucuresti, </t>
  </si>
  <si>
    <t>factura pe RO 13068482 facuta in 07.04 pt 2 comenzi</t>
  </si>
  <si>
    <t>6 x cremsnit
2 x opera</t>
  </si>
  <si>
    <t>Tort Noisette
Greutate: 1 kg
Mesaj Personalizat: La multi ani Beti!</t>
  </si>
  <si>
    <t>Costin Puntaru
0727662080</t>
  </si>
  <si>
    <t>Soseaua Orhideelor 14, bloc galben (choco museum), scara b, se face intrarea prin spate. Etaj 5</t>
  </si>
  <si>
    <t>2 x cozonac cu nuca, cacao si rom
1 x pasca</t>
  </si>
  <si>
    <t xml:space="preserve">Str. LOTUSULUI, Nr. 2 bis, Bl. B, Et. 3, Ap.20, Voluntari, ILFOV, </t>
  </si>
  <si>
    <t>Raluca Lunculescu
0723443517</t>
  </si>
  <si>
    <t>Berta Kaunitz
0744314136</t>
  </si>
  <si>
    <t>str. dr. Calin Ottoi 20-22
Bucuresti, sect.2</t>
  </si>
  <si>
    <t>Elena Pitulice
0768774625</t>
  </si>
  <si>
    <t>Strada Înfratirii, nr.24, sector 1, Bucurest</t>
  </si>
  <si>
    <t>Birleanu Radu
0722551098</t>
  </si>
  <si>
    <t>Bucuresti, str. Lucrețiu Pătrășcanu nr. 17, bl.MC 18, sc. 2, et. 3, ap.43, sector 3</t>
  </si>
  <si>
    <t>2 x cozonac cu nuca, cacao si rom
2 x pasca</t>
  </si>
  <si>
    <t>Ana costea
0767171080</t>
  </si>
  <si>
    <t xml:space="preserve">Str Boian ,nr 81 ,ap 56,etaj3 ,interfon 56 ,sect 4 Bucuresti
</t>
  </si>
  <si>
    <t>Diana Constantin
0767336517</t>
  </si>
  <si>
    <t>Mun. București,str. Dreptății,Nr 16,bl A6,sc. A,et. 2,ap. 31,interfon 31,sector 6</t>
  </si>
  <si>
    <t>Ana Ivanov
0723884936</t>
  </si>
  <si>
    <t>trada Stelea Spataru, nr.24, apartament 3, sector 3, BUCURESTI</t>
  </si>
  <si>
    <t>Maria Andreea Serban
0755141914</t>
  </si>
  <si>
    <t xml:space="preserve"> Str. LUNTREI, Nr 2-4, bl. 8, sc 1, et. 2, ap. 15, sector 2, Bucuresti</t>
  </si>
  <si>
    <t>Otilia Ghenici
0723290972</t>
  </si>
  <si>
    <t>Str. 23 August nr. 244-6
Otopeni, Ilfov 052838</t>
  </si>
  <si>
    <t>Silvia Mateescu
0774548339</t>
  </si>
  <si>
    <t>Prelungirea Ghencea Nr,30,bloc M 5,scaraB,etaj 4, apt,94, sector6,interfon,94</t>
  </si>
  <si>
    <t>Gabriela Neacsu
0771101028</t>
  </si>
  <si>
    <t>Sorin Adrian Toma
0727921105</t>
  </si>
  <si>
    <t>Aleea Podul Giurgiului nr 4, bloc 6, scara 1,ap 2,sector 5,Bucuresti</t>
  </si>
  <si>
    <t>Livia Bacioiu
0722372300</t>
  </si>
  <si>
    <t xml:space="preserve">Strada Semilunei nr 8, et 5, ap 6, sector 2, Bucuresti, interfon 06
</t>
  </si>
  <si>
    <t>Bragadiru, str. Safirului, nr 183-185, bloc 1, scara 1, etaj 4, ap 34, interfon 34.
blocul este vis a vis de Safirului Market</t>
  </si>
  <si>
    <t>Marian Viorel Voicu
0722535783</t>
  </si>
  <si>
    <t>Strada Frumușani,nr.9,Bl.67,Sc.1,Et.3,Ap.12,Sector 4
București, Bucharest 041962, Romania</t>
  </si>
  <si>
    <t>Ana Dieac
0745529346</t>
  </si>
  <si>
    <t>Bd. Tineretului 31, bl.37 sc.B, ap.77 et.8, sector 4
Bucuresti, Bucharest 040346, Romania</t>
  </si>
  <si>
    <t>1 x cozonac cu nuca, cacao si rom
1 x pasca
-
2 x Raw Vegan Pistachio Pillow</t>
  </si>
  <si>
    <t>Liliana Musat
0722318783</t>
  </si>
  <si>
    <t>Sos Mihai Bravu 184, Bl 213, sc A, ap 32, sect 2 Bucuresti.</t>
  </si>
  <si>
    <t>Cristiana Trifu
0768324624</t>
  </si>
  <si>
    <t xml:space="preserve"> Blvd Iuliu Maniu nr 6c,Bloc C5 scara A, et 7, apt 27, sector 6, București</t>
  </si>
  <si>
    <t xml:space="preserve">Bulevardul tineretului 31, bl. Bl. 37, Sc. B, et 9, ap 84, interfon 84C, </t>
  </si>
  <si>
    <t>Dna Georgescu
0747574415</t>
  </si>
  <si>
    <t>Vieru Leana
0734143422</t>
  </si>
  <si>
    <t>1 x cozonac cu nuca, cacao si rom
1 x pasca
1 x platou miniprajituri
-
1 x tort citron 1.6 kg</t>
  </si>
  <si>
    <t>Bulevardul Theodor Pallady, nr 23, bloc v10, scara 1, etaj 8, apartament 33, Bucuresti, 3</t>
  </si>
  <si>
    <t>Lili Craciun
0727549667</t>
  </si>
  <si>
    <t>com. Cernica, sat Balaceanca, strada Cismigiului nr 53, Ilfov</t>
  </si>
  <si>
    <t>Florentina Andreian
0740438610</t>
  </si>
  <si>
    <t>1 x cozonac cu nuca, cacao si rom
1 x pasca
1 x platou miniprajituri
-
1 x tort raspberry vanilla 1.6 kg</t>
  </si>
  <si>
    <t>Strada Astrelor nr 51
Domnești, Ilfov
Cod acces bariera: 2468#</t>
  </si>
  <si>
    <t>Aleaa Ninsorii, 30, Corp C2, Et 3, Ap 30, Sector</t>
  </si>
  <si>
    <t>Predean Madalina
0765351799</t>
  </si>
  <si>
    <t>Alexandra Zidaru
0734978690</t>
  </si>
  <si>
    <t>Bd. Iuliu Maniu 182, Bloc G1, Sc. A, Et. 3, Ap. 9, Bucuresti, Sector 6
061122</t>
  </si>
  <si>
    <t>calea victoriei 155,bl d1,sc3,et 3,ap 81
bucuresti,</t>
  </si>
  <si>
    <t>Constantin Bucur
0722149278</t>
  </si>
  <si>
    <t>CALEA RAHOVEI,NR 217,BL 12,SC 3,ETAJ 8,AP 89,SECTOR 5</t>
  </si>
  <si>
    <t>Madalinan Dumitru
0762023842</t>
  </si>
  <si>
    <r>
      <t xml:space="preserve">1 x cozonac cu nuca, cacao si rom
1 x </t>
    </r>
    <r>
      <rPr>
        <b/>
        <u/>
        <sz val="11"/>
        <color rgb="FF000000"/>
        <rFont val="Calibri"/>
        <family val="2"/>
      </rPr>
      <t>PASCA FARA STAFIDE</t>
    </r>
  </si>
  <si>
    <t>Cristina Militaru
0745636756</t>
  </si>
  <si>
    <t>Str Maior Alexandru Campeanu, nr 11, ap 4, sector 1, Bucuresti</t>
  </si>
  <si>
    <t>Madalina Dumitru
0773.336020</t>
  </si>
  <si>
    <t>ALEEA COSTINESTI,NR 4,BL 8,SC 1 AP 1
BUCURESTI</t>
  </si>
  <si>
    <t>Laura Stefan
0745215911</t>
  </si>
  <si>
    <t>Str Dealul Tugulea, nr. 54, bloc B9, ap. 26, sector 6
Bucuresti</t>
  </si>
  <si>
    <t>Calea Grivitei, nr. 63-65, sector 1,
Bucuresti, Bucharest 052838,</t>
  </si>
  <si>
    <t>Daniela Filip
0722617501</t>
  </si>
  <si>
    <t xml:space="preserve"> Bd Ion Mihalache nr 92 bl 44 A2 scara C apt 107 sector 1 Bucuresti</t>
  </si>
  <si>
    <t>3 x cozonac cu nuca, cacao si rom
1 x pasca</t>
  </si>
  <si>
    <t>Diana Maria Vlase
0722251478</t>
  </si>
  <si>
    <t>1 x cozonac cu nuca, cacao si rom
1 x pasca
1 x platou miniprajituri
-
1 x tort framboisier 1.6 kg</t>
  </si>
  <si>
    <t>Bucuresti Sector 3, Str Ramnicu Valcea nr 11 bloc S34 scara 1 etaj 6 ap 26 interfon 26</t>
  </si>
  <si>
    <t>Strada Dristorului, Nr. 96, Bl. 12B, Sc. B, Etaj 8, Ap 79, Int 79</t>
  </si>
  <si>
    <t>Stanescu Roxana
0760832416</t>
  </si>
  <si>
    <t>Str. Toma Caragiu 21 ap 13
Otopeni, Bucharest 075100,</t>
  </si>
  <si>
    <t xml:space="preserve">Doina Ionescu
0726428058
</t>
  </si>
  <si>
    <t>1 x cozonac cu nuca, cacao si rom
1 x pasca
1 x platou miniprajituri
-
1 x tort Tort cu Ciocolata si Portocale 1.6 kg</t>
  </si>
  <si>
    <t>Str. Răscoalei, nr. 195, Pantelimon, jud. Ilfov.</t>
  </si>
  <si>
    <t>Cristian Ionescu
0722406006</t>
  </si>
  <si>
    <t>Mine Maxim Ismail
0745478545</t>
  </si>
  <si>
    <t>Sector 2 : Sos Fabrica de Glucoza nr 9B , bl C , sc D ap 1202 int 112</t>
  </si>
  <si>
    <t>1 x cozonac cu nuca, cacao si rom
1 x pasca
---
Tort Framboisier
Greutate: 1.5 kg
Mesaj Personalizat: La multi ani !! ❤️❤️</t>
  </si>
  <si>
    <t>Un tort personalizat trio mousse cu ZMEURA INAUNTRU. PERSONALIZAT. (1.5 kg ). Sa fie decorat exact ca trio mousse de pe website (fara fructe saun macarons. Cu fulgi ciocolata)
--
Mesaj: "La Multi Anil, Margareta! Te iubim Nana!"</t>
  </si>
  <si>
    <t>Sector 6, Strada Romancierilor, nr 5, Bl. C14, Sc. B, Et 4, Ap 54, Interfon 354</t>
  </si>
  <si>
    <t>plata cu cardu</t>
  </si>
  <si>
    <t>Iulia Lesovici
0724880520</t>
  </si>
  <si>
    <t>3 x nuca cacao rom
3 x pasca</t>
  </si>
  <si>
    <t>Miruna Burcel
0767571423</t>
  </si>
  <si>
    <t>str Rosia Montana nr 2 A, bl O1A, sc A, ap 26, et 5, sector 6, Bucuresti</t>
  </si>
  <si>
    <t>Str. Drumul Jilavei, nr. 44, bl.1, sc. 1, ap. 30, et. 3, interfon 30, sector 4, Bucuresti</t>
  </si>
  <si>
    <t>Carmen Spiridon
0724024539</t>
  </si>
  <si>
    <t>Bucuresti, sector 3, Drumul Murgului, nr.4, bl. 2bis, sc. 1, et 7, ap. 31, interfon 31.</t>
  </si>
  <si>
    <t>Filip Ichim
0732674125
sau
0741191257</t>
  </si>
  <si>
    <t xml:space="preserve">Madalina Preda
0767450749
</t>
  </si>
  <si>
    <t>Tort Duo Mousse cu Visine
Greutate: 1.2</t>
  </si>
  <si>
    <t xml:space="preserve"> Sos Salaj, nr 367, bl 24, sc 1, ap 33, cartier Confort Urban, sector 5, Bucuresti</t>
  </si>
  <si>
    <t>website</t>
  </si>
  <si>
    <t>Ana Popa
0745062207</t>
  </si>
  <si>
    <t>Intrarea Barsei, nr. 4, bl. G8, sc. 1, et. 3, ap. 22 , sectorul 3</t>
  </si>
  <si>
    <t>str. Dr. Calin Ottoi 20-22 , Bucuresti, sect 2</t>
  </si>
  <si>
    <t>5 x cozonac cu nuca, cacao si rom
5 x pasca
--
5 pachete ambalate individual</t>
  </si>
  <si>
    <t>BERTA KAUNITZ
0744314136</t>
  </si>
  <si>
    <t>Mariana Diac
0722490056</t>
  </si>
  <si>
    <t xml:space="preserve">Comuna 1 Decembrie, Ilfov, Strada Liviu Rebreanu, Nr 27, Bl. A, Sc 2, Et 3, Ap 16, </t>
  </si>
  <si>
    <t>Sos Colentina nr 1 bl 34 sc 7 ap 278 et 9 sector2</t>
  </si>
  <si>
    <t>Extra NE</t>
  </si>
  <si>
    <t>Extra N</t>
  </si>
  <si>
    <t>Extra E</t>
  </si>
  <si>
    <t>Extra SV</t>
  </si>
  <si>
    <t>Extra S</t>
  </si>
  <si>
    <t>Extras SV</t>
  </si>
  <si>
    <t>Extra SE</t>
  </si>
  <si>
    <t>strada CrizantemelOr Nr2, Bl Z 11, Sc2, Ap25, Et1</t>
  </si>
  <si>
    <t>fara brrr plata direct la Dan (80 lei/ kg prom FB)</t>
  </si>
  <si>
    <t>ILFOV!!!, Copaceni, Str Principala 354</t>
  </si>
  <si>
    <t>1 x cozonac cu nuca, cacao si rom
1 x pasca 
4 x amandine
4 x cremsnit
2 x savarine</t>
  </si>
  <si>
    <t>Strada Pericle Papahagi 20, sector 3</t>
  </si>
  <si>
    <t>fara brrr, banii direct la Dan</t>
  </si>
  <si>
    <t>Grigorescu 
0724320712</t>
  </si>
  <si>
    <t>Sos Mihai Bravu 136, Bl D20, sc B, ap 43, sect 2 Bucuresti.</t>
  </si>
  <si>
    <t>Anca Marinescu 
0751111039
--
Cadou!!!! La livrare sunati la 0771371395 - familia Toma</t>
  </si>
  <si>
    <t>Constantin Brâncuși nr 7, bl D14, Sc A, Ap 28, etaj 6, interfon 28 C</t>
  </si>
  <si>
    <t>platit la DAN</t>
  </si>
  <si>
    <t>2 x cozona nuca, cacao si rom
2 x pasca</t>
  </si>
  <si>
    <t>Bulevardul Corneliu Coposu nr 3, (reper farmacia Dona)</t>
  </si>
  <si>
    <t>1 kg compozitie duomouse cu ZMEURA pentru tort vampirita din 9.04</t>
  </si>
  <si>
    <t>1 x tort decorat 1.5 kg in total|| FARA MESAJ (COMPOZITIE PERSONALIZATA DUO MOUSSE CU ZMEURA) - poza vamirita DECOR
ca in poza décor</t>
  </si>
  <si>
    <t>Client Telefon
0722624 033‬</t>
  </si>
  <si>
    <t>Pipera, strada Emil Racovita nr,31-33, cartier Azur 2, Vila J 34</t>
  </si>
  <si>
    <t xml:space="preserve">3x cozonac nuca,cacao si rom
1 x cozonac fructe confiate
3 x pasca
</t>
  </si>
  <si>
    <t>Anamaria Toma
0722416512</t>
  </si>
  <si>
    <t>1 x cozonac cu nuca, cacao si rom
1 x cozonac cu fructe  confiate
2 x pasca
1,6 kg tort Citron</t>
  </si>
  <si>
    <t>Str Sacele Nr 9 Sector 1</t>
  </si>
  <si>
    <t>Din partea Laurei</t>
  </si>
  <si>
    <t>Client Telefon
0722780850‬</t>
  </si>
  <si>
    <t>Strada Dorneasca Nr.16, Bl P 58, Sc 2, Ap 32</t>
  </si>
  <si>
    <t>1 x cozonac cu nuca, cacao si rom
1 x pasca
+ 
DE RETURNAT 180 lei (comanda de ieri)</t>
  </si>
  <si>
    <t>Adrian Pomescu
0762739611</t>
  </si>
  <si>
    <t>compensare comanda cozonaci fitness</t>
  </si>
  <si>
    <t>Comanda telefon
0721236020</t>
  </si>
  <si>
    <t>strada Gura Ialomitei nr12M, bl A, Et 4, Ap 23, Interfon 23</t>
  </si>
  <si>
    <t>Client Telefon
0722210225</t>
  </si>
  <si>
    <t>Strada Brasov nr.30, Bl D6, Sc B, Ap 13, et 1, interfon 13</t>
  </si>
  <si>
    <t>Pachet Paste
1 x cozonac mac
1 x pasca
------------
1 kg platou minipraji
(miniamandine, minieclere, minitarte, lamaita, si ce avem noi clasice)</t>
  </si>
  <si>
    <t>07443017721
-------
Atentie ca este cadou. Nu se suna inainte</t>
  </si>
  <si>
    <t>Drumul Taberei nr.2, bl I, Sc B , parter, Ap13, interfon 13</t>
  </si>
  <si>
    <t>a fost facuta factura pe 07.04</t>
  </si>
  <si>
    <t>1 x tort raw-vegan tiramisu cu mesajul " la multi ani tanti Florenta”</t>
  </si>
  <si>
    <t>Client Telefon
(0744) 570 429‬</t>
  </si>
  <si>
    <t>Voluntari, Bd Eroilor nr.118, Bl C, Sc1, et3, ap 18</t>
  </si>
  <si>
    <t>1 x cozonac nuca, cacao si rom
1 x pasca</t>
  </si>
  <si>
    <t>Client Telefon
0 (746) 209 953</t>
  </si>
  <si>
    <t>2 x cozonac nuca, cacao si rom
1 x cozonac cu mac
3 x pasca</t>
  </si>
  <si>
    <t>str. Calistrat Grozovici nr 1</t>
  </si>
  <si>
    <t>plata ramburs</t>
  </si>
  <si>
    <t>Claudia Bertea
0722178074</t>
  </si>
  <si>
    <t xml:space="preserve">1 x cozonac nuca,cacao si rom
1 x cozonac cu fructe confiate
1 x pasca </t>
  </si>
  <si>
    <t>Ioana Laria Muresean
0720602657</t>
  </si>
  <si>
    <t xml:space="preserve">1 x cozonac nuca,cacao si rom
1 x pasca </t>
  </si>
  <si>
    <t>Elena Simionescu
0746105337</t>
  </si>
  <si>
    <t xml:space="preserve">1 x cozonac mac
1 x pasca </t>
  </si>
  <si>
    <t>Andreea Licsandru
0722480744</t>
  </si>
  <si>
    <t>Lucian Lefter
0722212134</t>
  </si>
  <si>
    <t>Oprea Ioana
0752010504</t>
  </si>
  <si>
    <t>1 x cozonac nuca,cacao si rom
1 x pasca 
--
1 x platou miniprajituri 5 persoane</t>
  </si>
  <si>
    <t>Filip Bogdan Ichim
0732674125</t>
  </si>
  <si>
    <t xml:space="preserve">Claudia Nita
0725517490
--
 dupa ce suna la interfon, pachetul sa fie lasat in fata usii apartamentului, va rog.
</t>
  </si>
  <si>
    <t>Mariana Barbuntoiu
0743114325</t>
  </si>
  <si>
    <t>Alina Botezatu
0754392233</t>
  </si>
  <si>
    <t>Paulina Mihaescu
0744853134</t>
  </si>
  <si>
    <t>1 x cozonac nuca,cacao si rom
1 x pasca 
1 x platou miniprajituri 5 persoane
--
1 x tort ciocolata portocale 1.6 kg</t>
  </si>
  <si>
    <t>Florin Avram
0741105444</t>
  </si>
  <si>
    <t xml:space="preserve">2 x cozonac nuca,cacao si rom
2 x pasca </t>
  </si>
  <si>
    <t>Sandra Cocoroiu
0722686720</t>
  </si>
  <si>
    <t>Ioana Zottu
0217260237</t>
  </si>
  <si>
    <t>Mihai Martu
0723551527</t>
  </si>
  <si>
    <t xml:space="preserve">1 x cozonac nuca,cacao si rom
1 x cozonac mac
2 x pasca </t>
  </si>
  <si>
    <t>1 x cozonac nuca,cacao si rom
1 x pasca 
1 x platou miniprajituri 5 persoane
--
1 x tort framboisier 1.6 kg</t>
  </si>
  <si>
    <t>Marina Ionita
0722166882</t>
  </si>
  <si>
    <t>Mirela Soare
0722550555</t>
  </si>
  <si>
    <t>Gabriel Mitroi
0723155934</t>
  </si>
  <si>
    <t>Maria Toma
0729151010</t>
  </si>
  <si>
    <t>Tort Noisette
Greutate: 1.5 kg
Mesaj Personalizat: La mulți ani, Bibu!</t>
  </si>
  <si>
    <t>George Popescu
0723579730</t>
  </si>
  <si>
    <t>Constantin Anastasiu
0745036889</t>
  </si>
  <si>
    <t>Marian Deaconu
0728037815</t>
  </si>
  <si>
    <t>Ana Maria Chican
0727306945</t>
  </si>
  <si>
    <t>Max Dragoescu
0740000629</t>
  </si>
  <si>
    <t>Bucuresti, sector 2, șoseaua Colentina, nr 49, blOD 46, Sc 1, ap 6, etj 2.</t>
  </si>
  <si>
    <t>Achitat pe website</t>
  </si>
  <si>
    <t>Str. Almasu Mare nr. 4, bl. 11, sc. 3, ap. 42, parter
Bucuresti, Bucharest 052838, Romania</t>
  </si>
  <si>
    <t>București strada boisoara nr 3 sector 6.</t>
  </si>
  <si>
    <t>Aleea Vlăsiei nr.4,bl.M2,sc.B,etj.10,ap.86,cartier Drumul Taberei</t>
  </si>
  <si>
    <t>Str. George Mihail Zamfirescu, Nr. 53, Sector 6</t>
  </si>
  <si>
    <t>Bucuresti.str.Campineanca nr.6.bloc 2T sc.B et.III ap.26 sector 3 interfon 26</t>
  </si>
  <si>
    <t xml:space="preserve"> BD. DACIA NR. 75 A, sc.2, etj.2, ap.4, sector 2, langa Institutul Francez, viv a vis de parcul Ioanid</t>
  </si>
  <si>
    <t>"sky residence" || aleea codrii neamtului nr 5-7 bl 1 sc b et 2 ap 34 sector 3</t>
  </si>
  <si>
    <t>Blv Iuliu Maniu 116 126, bloc 21, scara C, etaj 2, ap 92, interfon 92 -</t>
  </si>
  <si>
    <t>Str. Dinu Vintila Nr 6B, Bl. 1, Sc A, et 3, Ap 10, sector 2, Bucuresti</t>
  </si>
  <si>
    <t>Str. Branduselor, nr.7, bloc G3, sc.1, ap.15, etaj 3, interfon 015, sector 3, Bucuresti</t>
  </si>
  <si>
    <t>Sos. Pantelimon, nr. 266, bloc D, et 10, ap 85, Bucuresti, sector 2</t>
  </si>
  <si>
    <t xml:space="preserve"> Str. Topolnița,nr.5, bl.M53,sc.2, et.5,ap.86,sector 5, București.</t>
  </si>
  <si>
    <t xml:space="preserve">Strada Masina de paine, nr 20 bloc Od37 scara 2 ap 63 etaj 4, Sector 2, Bucuresti
</t>
  </si>
  <si>
    <t>Strada Tirgul Neamț Nr 18, bloc D3, sc,C etaj 1,apt 23,Drumul taberei,sector 6, București</t>
  </si>
  <si>
    <t>sos N.Titulescu 10 Bl.20 sc.A et.8 ap.40 int.40</t>
  </si>
  <si>
    <t>Bucuresti, str. Drumul Malu Mierii 78-80, bl. 78-80, sc. 1, et. 3, ap. 57, sector 3</t>
  </si>
  <si>
    <t>București, sectorul 2, Șoseaua Vergului nr 13 bl h2, sc 2 ap 25 et 6 interfon 25.</t>
  </si>
  <si>
    <t>st Foisorului nr 145A,sector 3</t>
  </si>
  <si>
    <t xml:space="preserve">Camil Ressu 53, Bl H14, sc. 1, ap.15, sector 3, interfon 15
</t>
  </si>
  <si>
    <t>Mitropolitul Filarer 27A, Bucuresti, sector 4</t>
  </si>
  <si>
    <t>str principala nr 114, Clinceni, Ilfov</t>
  </si>
  <si>
    <t>Str. Matache Doobrescu nr.8, Et.3, Ap.55, Sector 3, Bucuresti</t>
  </si>
  <si>
    <t>Sos.Pantelimon 354, bl.2, sc.2, ap.53,et.4, sector 2, Bucuresti</t>
  </si>
  <si>
    <t xml:space="preserve">Strada Soldat ModoranEne nr. 5, bl. M93A, sc. 1, et. 2, ap. 11, sector 5
</t>
  </si>
  <si>
    <t>Strada Postavarul nr.9, bl E4, sc. 1, etaj 6, ap.28
Sector 3, Bucharest 032422, Romania</t>
  </si>
  <si>
    <t>Bd Tineretului 49 Bl 58 Sc 1 Et 8 Ap 33 interfon 33</t>
  </si>
  <si>
    <t>2 x tarta ciocolata
2 x tarta citron
2 x tarta zmeura
2 x cheese cake
2 x amandina
1 x savarina
2 x cremsnit
2 x felie lamaie cu mac
6 x felie mango fistic
6 x felie fistic zmeura
6 x felie honey</t>
  </si>
  <si>
    <t>10;45</t>
  </si>
  <si>
    <t>Alexandru Toma
0762656459</t>
  </si>
  <si>
    <t>1 x cozona nuca, cacao si rom
1 x pasca</t>
  </si>
  <si>
    <t>Nicoleta Anastasiu
0763660974</t>
  </si>
  <si>
    <t xml:space="preserve">Strada Malcoci nr 21 bloc 40 scara 2,et 3, ap 18,sector 5, București
</t>
  </si>
  <si>
    <t>achitat pe website</t>
  </si>
  <si>
    <t>Petronela Rosea
0744803502</t>
  </si>
  <si>
    <t xml:space="preserve">Str automatizării nr 2
București </t>
  </si>
  <si>
    <t>Despina Beer
0766417121</t>
  </si>
  <si>
    <t>1 x cozona mac
1 x pasca</t>
  </si>
  <si>
    <t>Anca Picioarea
0763717695</t>
  </si>
  <si>
    <t>ALEEA BARAJUL SADULUI NR 3-5 BLOB N12 -N13 SC B ET 12 AP 159 SECTOR 3 INTERFON 159</t>
  </si>
  <si>
    <t>2 x cozona mac
2 x pasca
--
1 x platou miniprajituri 5 persoane</t>
  </si>
  <si>
    <t>Mihai Lixandru
0742016592</t>
  </si>
  <si>
    <t>Aleea Trestiana nr 1, bl 16, sc 1, et 5, ap 22, sect 4, 040377</t>
  </si>
  <si>
    <t>str. Parincea nr 6, bl 4, Sc 2, et 1, ap 64, sect 4, 041922</t>
  </si>
  <si>
    <t>Ion Petrescu
0744348511</t>
  </si>
  <si>
    <t>București str.Firidei nr.1 bloc H15 Sc.4 ap.61 parterinterfon61.</t>
  </si>
  <si>
    <t>Ana Vastardis
0751202004</t>
  </si>
  <si>
    <t xml:space="preserve">Strada Intrarea Barsei, nr 6, bloc G7, scara A, eraj 8, ap. 48, sector 3, Bucuresti
</t>
  </si>
  <si>
    <t>Iliana Tepes Handaric
0765249943</t>
  </si>
  <si>
    <t>Str izvorul crisului, nr 12, bl d4, sc d, ap 38, sect 4</t>
  </si>
  <si>
    <t>1 x cozona nuca, cacao si rom
1 x pasca
-
Tort cu Mango si Zmeura
Greutate: 0.8 kg</t>
  </si>
  <si>
    <t>Simona Pricop
0753523623</t>
  </si>
  <si>
    <t>Bulevardul Constantin Brâncoveanu nr 118 bl M2/4 sc 4 et 4 ap 299 interfon 099.</t>
  </si>
  <si>
    <t>1 x cozona nuca, cacao si rom
1 x PASCA FARA STAFIDE
-
2 x cheese cake</t>
  </si>
  <si>
    <t>Delia Stanescu
0724590293</t>
  </si>
  <si>
    <t>strada cosoveni 2b, sector 5</t>
  </si>
  <si>
    <t>1 x cozonac nuca, cacao si rom
1 x cozonac mac</t>
  </si>
  <si>
    <t>1 x cozonac nuca, cacao si rom
1 x cozonac fructe confiate
1 x pasca</t>
  </si>
  <si>
    <t>Strada Leota, 23, Scara B, Ap 25 (un singur bloc), sector 6</t>
  </si>
  <si>
    <t>Mujdei Alexandrina
0744761016</t>
  </si>
  <si>
    <t>omplex Greenfield Residence, strada Drumul Padurea Neagra, nr. 35-42, cartier Salcamilor, bloc 15C, ap. 2, parter.</t>
  </si>
  <si>
    <t>Plata cu cardul</t>
  </si>
  <si>
    <t>1 x cozona nuca, cacao si rom
1 x pasca
--
1 x tort oreo 2 kg cu mesajul "30?! How the fuck did that happen?"</t>
  </si>
  <si>
    <t>Str. Drumul fermei nr. 99a bl. 2 ap. 13 popesti leordeni</t>
  </si>
  <si>
    <t>10 monoportii 150 gr (FISTIC CU ZMEURA CA TORTUL) glasate cu verde si zmeura in varf
-------
Mare atentie ca este pentru o nunta! Comanda pleaca dimineata</t>
  </si>
  <si>
    <t>a fost achitata anterior</t>
  </si>
  <si>
    <t>Constantin Ionescu
0724760867</t>
  </si>
  <si>
    <t>Strada Buciumasilor 4-6, Etaj 3, apt 14, Sector 4, Bucuresti</t>
  </si>
  <si>
    <t>2 x cozonac cu nuca,cacao si rom</t>
  </si>
  <si>
    <t>Cristina Blaga
0745369855</t>
  </si>
  <si>
    <t xml:space="preserve"> Otopeni, str. Matei Basarab nr.17D1</t>
  </si>
  <si>
    <t>Andra Ciubotaru
0741519995</t>
  </si>
  <si>
    <t>Strada Sirenelor nr 63, bl 63, sc -, et 7, ap 39, interfon 39, sector 5</t>
  </si>
  <si>
    <t>1 x cozonac nuca,cacao si rom
1 x chec
2 x cremsnit
2 x amandina
2 x savarin</t>
  </si>
  <si>
    <t>Flavia Cretan
0739643922</t>
  </si>
  <si>
    <t>Tort Duo Mousse cu Visine
Greutate: 1 kg
Mesaj Personalizat: La mulți an Flavia și Florentina!!!</t>
  </si>
  <si>
    <t xml:space="preserve"> Drum Cheile Turzii nr 70 bl 2 sc 2 ap 4 dm</t>
  </si>
  <si>
    <t>1 x cozona nuca, cacao si rom
1 x cozonac mac
1 x pasca</t>
  </si>
  <si>
    <t>str. Monumentului 16 A, Bragadiru, IF</t>
  </si>
  <si>
    <t>Aleea Calatis 12, Bl A12, Sc A, Ap 7, Etaj 2, Sector 6</t>
  </si>
  <si>
    <t>Gabriela
0767302103</t>
  </si>
  <si>
    <t>Aurelia Radu
0742463020</t>
  </si>
  <si>
    <t>sector 3 str.Mizil 2A bloc Petaluda,
scara 2,etaj 1,apt 5</t>
  </si>
  <si>
    <t>2 x cozonac nuca, cacao si rom
1 x cozonac fructe confiate
1 x pasca</t>
  </si>
  <si>
    <t>Stela Ionescu
0744894206</t>
  </si>
  <si>
    <t xml:space="preserve">STR. LEBEDEI, NR.11, SAT OSTRATU, COMUNA CORBEANCA, ILFOV
</t>
  </si>
  <si>
    <t>1 x cozonac nuca,cacao si rom
1 x pasca
1 x platou minipraji 5 persoane
-
1 x tort oreo 1.6 kg</t>
  </si>
  <si>
    <t>Danila Daniela
0722830801</t>
  </si>
  <si>
    <t>Str Vedea nr 5 Bl 91 et 7 ap 44 sector 5 București</t>
  </si>
  <si>
    <t>Valentina Vizireanu
0730170190</t>
  </si>
  <si>
    <t>Aleea Fetesti, nr 15, bloc F1, sc G, etaj 2, ap 87, sector 3, Bucuresti</t>
  </si>
  <si>
    <t>Client Telefon
0724) 435 766</t>
  </si>
  <si>
    <t>Soseaua Pantelimon330, Bl 31, ScB, Et7, Ap145</t>
  </si>
  <si>
    <t>Bulevardul Burebista Nr1, bl D 15, Sc 3, Et 1, Ap72, Interfon 72</t>
  </si>
  <si>
    <t>Client Telefeon
(0722) 306 337</t>
  </si>
  <si>
    <t>Strada Maior Coravu 17-23, Bl c6, ScB, et 4, Ap23, interfon 23</t>
  </si>
  <si>
    <t>Client Telefon
0723) 201 946</t>
  </si>
  <si>
    <t>Bd Libertatii Nr.2, Bl 118, Ap10, Et 4, Interfon 10</t>
  </si>
  <si>
    <t>1 x cozona nuca, cacao si rom
1 x pasca
-
1 x platou miniprajituri 5 persoane</t>
  </si>
  <si>
    <t>Client Telefon
0 (722) 640 493‬</t>
  </si>
  <si>
    <t>Str. Resita, nr 16, bl D17, sc 7, et 3, ap 67, interfon 67, sect 4  Bucuresti</t>
  </si>
  <si>
    <t>Evi Hacman
0 752 976 843</t>
  </si>
  <si>
    <t>1 x cozonac CU MAC FARA RAHAT
1 x pasca
2 x cremsnit
4 x amandine
1 x chec cioco
-
1 x tort pavlova 1.6 kg cu mesajul "La Multi Ani Evi"</t>
  </si>
  <si>
    <t>a primit factura pe 08.04.2020</t>
  </si>
  <si>
    <t>Aleea Avrig, 6, Bl P4, Sc. 3, Et 5, Ap 111, Interfon 111</t>
  </si>
  <si>
    <t>!!!! ATENTIE SUNT DIABETICI!!!!!!
----------
1 x cozonac nuca,cacao si rom CU EXTRACT DE STEVIE IN LOC DE ZAHAR!
1 x pasca CU EXTRACT DE STEVIE IN LOC DE ZAHAR</t>
  </si>
  <si>
    <t xml:space="preserve">Strada Margeanului, Nr 32, Bl M11A, Sc 1, Et 10, Ap 30, </t>
  </si>
  <si>
    <t>Nadolu Marian
0722430472</t>
  </si>
  <si>
    <t>Soseaua Nordului, 110, Et 3, Ap 34, Int 134
(liftul din Stanga)</t>
  </si>
  <si>
    <t>Irina Dugheanu
0726414585</t>
  </si>
  <si>
    <t>Strada Banul Udrea nr 2 bl G7 sc 2 et 8 ap 62 interfon 062 reper colt cu Zizin, sect 3</t>
  </si>
  <si>
    <t>1 x cozonac nuca,cacao si rom
1 x pasca FARA STAFIDE</t>
  </si>
  <si>
    <t>Strada Ion Minulescu, 49A, Sc1, Et 1, Ap 7, Int 7# (un singur bloc)</t>
  </si>
  <si>
    <t>Denise Matache
0721854130</t>
  </si>
  <si>
    <t>Ana Maria Galu
0773365662</t>
  </si>
  <si>
    <t>1 x cozonac nuca,cacao si rom
1 x pasca 
1 x platou miniprajituri 5 persoane
--
1 x tort mango si zmeura 1.6 kg</t>
  </si>
  <si>
    <t>Plata Cu cardul la livrare</t>
  </si>
  <si>
    <t>Strada Teiul Doamnei, nr 1, Bl 8, Sc A, Etj 7, Ap 31, Sector 2
(langa sectia 7 de politie)</t>
  </si>
  <si>
    <t>Prelungire Teslei nr.5, sector 2, Bucuresti
(atentie la adresa)</t>
  </si>
  <si>
    <t>Strada Sirenelor nr 11, Sector 1, Bucuresti</t>
  </si>
  <si>
    <t>Ianusi Mihaela
0722454141</t>
  </si>
  <si>
    <t>1 x tort trio-mousse 1.2 kg cu mesajul "La multi ani, Alina!"</t>
  </si>
  <si>
    <t>Platita anterior la cealalta comanda</t>
  </si>
  <si>
    <t>Anca Darabont
0729002635</t>
  </si>
  <si>
    <t xml:space="preserve"> Bucuresti, str. George Missail 114, sector 1,</t>
  </si>
  <si>
    <t>Florin Alexandru
0730712370</t>
  </si>
  <si>
    <t>Str. Coralului,Nr. 7,Bl. 4,Et. 3,Ap. 50,Int. 50
Bragadiru, Ilfov 077025, Romania</t>
  </si>
  <si>
    <t>Ana Popescu
0747118281</t>
  </si>
  <si>
    <t>Calea 13 Septembrie 59-61, bloc 59-61, et.7, ap.20, interfon 20, sector 5, Bucuresti.</t>
  </si>
  <si>
    <t>Catalin Mantu
0726130897</t>
  </si>
  <si>
    <t>Intrarea Stefan Furtuna nr. 5 sector 1 (Zona Calea Plevnei - Mircea Vulcanescu)</t>
  </si>
  <si>
    <t>1 x cozona fructe confiate
1 x pasca</t>
  </si>
  <si>
    <t>Nicoleta Morosanu
0730893894</t>
  </si>
  <si>
    <t>Bucuresti, strada Novaci, nr.11, Bl.P33, Sc.2, Ap.47, Sector 5</t>
  </si>
  <si>
    <t>Elena Maria Ionica
0748161484</t>
  </si>
  <si>
    <t>Bucuresti, str Chindiei nr. 12 sect. 4.</t>
  </si>
  <si>
    <t>Anca Axentioi
0747967712</t>
  </si>
  <si>
    <t>Strada Prelungirea Ghencei ,Nr 45 , bl D4 , Sc B , ap 138 , et 9
Cartierul Latin</t>
  </si>
  <si>
    <t>Eliza Ioanei
0745801333</t>
  </si>
  <si>
    <t>Strada Baba Novac 19, Bl G12, sc 2, et 9, ap 81
Bucuresti,</t>
  </si>
  <si>
    <t>1 x cozona nuca, cacao si rom
1 x cozonac cu fructe confiate
1 x pasca</t>
  </si>
  <si>
    <t>str Pictor Barbu Iscovescu 15, etj 2,</t>
  </si>
  <si>
    <t>Ecaterina Vaduva
0726185509</t>
  </si>
  <si>
    <t xml:space="preserve">!!!! ATENTIE ALERGIE !!!!
--
SA NU CUMVA SA CONTINA SOIA
--
1 x cozona nuca, cacao si rom
1 x pasca
</t>
  </si>
  <si>
    <t>Sos Mihai Bravu nr 192 bl 204 scA et 7 ap 25 sect 2 Buc</t>
  </si>
  <si>
    <t>Liliana Popescu
0723387625</t>
  </si>
  <si>
    <t>Bucuresti, B-dul Ion Mihalache nr. 315A, Sc. B, et.2, ap.21, sector 1</t>
  </si>
  <si>
    <t>Ioana Ivanus
0732952135</t>
  </si>
  <si>
    <t>Itrarea Parfumului, nr 9,sector 3, Bucuresti</t>
  </si>
  <si>
    <t>Sandra Petrescu
0723259837</t>
  </si>
  <si>
    <t>Bdul Lacul Tei 65, bloc 7, sc A, et 5, ap 19, sector 2
Bucuresti,</t>
  </si>
  <si>
    <t xml:space="preserve">Raul Doamnei, Nr 8A, Bl TS 2, Et 2, Ap 17, Sector 6, Drumul taberii, interfon 117 </t>
  </si>
  <si>
    <t>Cristea Felicia
0723468473</t>
  </si>
  <si>
    <t>1 x tort 1 kg framboisier cu mesajul "La multi ani! Echipa Tempo" scris pe o cartolina</t>
  </si>
  <si>
    <t>E cadou</t>
  </si>
  <si>
    <t>TORT 1  TEMPO
Raluca Nanu
0766455431
-
se suna dimineata clientul sa se dea adresa de livrare. Li se spune ca au un cadou dulce din  partea Tempo</t>
  </si>
  <si>
    <t>TORT 2 TEMPO
Adriana Epure
(0728) 881 550 
-
se suna dimineata clientul sa se dea adresa de livrare. Li se spune ca au un cadou dulce din  partea Tempo</t>
  </si>
  <si>
    <t>TORT 3 TEMPO
Mihaela Vasileascu
(0733) 501 551
-
se suna dimineata clientul sa se dea adresa de livrare. Li se spune ca au un cadou dulce din  partea Tempo</t>
  </si>
  <si>
    <t xml:space="preserve"> strada Ciucea nr.5, Bl L19, sc 4, Et 4, Ap 146, interfon 146</t>
  </si>
  <si>
    <t>Client Telefon
0724) 985 929</t>
  </si>
  <si>
    <t>Client Telefon
0724) 207 082</t>
  </si>
  <si>
    <t>plata a fost facuta pe website</t>
  </si>
  <si>
    <t>Vlad Gaboroi
0727719330</t>
  </si>
  <si>
    <t>Bd. Timisoara, Nr. 58J, Bl. B8-B9, Sc. A, Et. 10, Ap. A1008, Sector 6</t>
  </si>
  <si>
    <t>Ana Bulumacu
0767801001
--
Trebuia initial dus la 15:00. Daca nu il vrea asa devreme sa fie dus in a doua transa dar va rog sa insistati!</t>
  </si>
  <si>
    <t>Mariana Sadoveanu
0770366152</t>
  </si>
  <si>
    <t>Bucuresti
Str.Sibiel nr.2.Bloc C Ap.7
Sector 4</t>
  </si>
  <si>
    <t>Bldv 11Decembrie nr 27A bl PM73 sc 1 et 1 ap 12 sector 3 Bucuresti</t>
  </si>
  <si>
    <t>Alexandru Rudisteanu
0753110847</t>
  </si>
  <si>
    <t>Diana Dinu
0764471345</t>
  </si>
  <si>
    <t>Sfintii Voievozi 16D, Popesti Leordeni, Ilfov 077160</t>
  </si>
  <si>
    <t>Dragos Cherciu
0727843747</t>
  </si>
  <si>
    <t>Str. Tineretului, nr. 24, bl.4, ap. 18, interfon 18, com. Chiajna, jud. Ilfov (Militari Residence).</t>
  </si>
  <si>
    <t xml:space="preserve">Irina
0733104691 </t>
  </si>
  <si>
    <t>Magda
0728171632</t>
  </si>
  <si>
    <t>Camil Ressu nr.42 bl.A12 sc.1 et. 5 ap 21  sect 3</t>
  </si>
  <si>
    <t>Aleea Ilioara nr.2bis bl.PM 30 sc. 1 et.7 ap 30 sect 3</t>
  </si>
  <si>
    <t>1 x cozonac nuca,cacao si rom
1 x pasca
1 x platou minipraji 5 persoane</t>
  </si>
  <si>
    <t>factura platita Gabriel Cojocaru</t>
  </si>
  <si>
    <t>Comanda OK</t>
  </si>
  <si>
    <t>a fost facuta factura pt tempo pe 08.04. E cadou/ ACHITA OP</t>
  </si>
  <si>
    <t>OK</t>
  </si>
  <si>
    <t>Dan Zaharia
0722313548</t>
  </si>
  <si>
    <t>Str. Copilului, nr. 6-12, Sc. B, Et. 5, Apt. 25
Bucuresti, Bucharest 030605, Romania</t>
  </si>
  <si>
    <t>Maria Teodora Catana
0762611857</t>
  </si>
  <si>
    <t>Aleea Codrii Neamțului, nr 5-7, bl Sky Residence Titan, et 1, sc B, ap 29, Sector 3, București</t>
  </si>
  <si>
    <t>Claudia Teletin
0735009303</t>
  </si>
  <si>
    <t>3 x cozona nuca, cacao si rom
1 x pasca</t>
  </si>
  <si>
    <t>Str. Cara Anghel nr.1, Bl.C90, sc.A, Et. 1, Ap.4, Sector 6, Bucuresti</t>
  </si>
  <si>
    <t>Stefania Diaconu
0755696208</t>
  </si>
  <si>
    <t xml:space="preserve">Str. Masina de Paine nr. 4, bl. OD32B, scara A, ap 11, etaj 2, int. 11C
QTY: 1
</t>
  </si>
  <si>
    <t>Antoaneta Olteanu
0744358337</t>
  </si>
  <si>
    <t>1 x cozonac fructe confiate
1 x pasca 
1 x platou miniprajituri 5 persoane
--
1 x tort raspberry vanilla 1.6 kg</t>
  </si>
  <si>
    <t xml:space="preserve"> Bd. Constantin Brîncoveanu nr.113, bl. V6, sc.1, et.1, ap.5</t>
  </si>
  <si>
    <t>Strada Zambilelor nr 6 bloc 60 etaj 2 apt 5 interfon 3
Bucuresti</t>
  </si>
  <si>
    <t>Tort cu Mango si Zmeura
Greutate: 0.8 kg</t>
  </si>
  <si>
    <t>Sanda Velea
0726714740</t>
  </si>
  <si>
    <t>Webiste</t>
  </si>
  <si>
    <t>Miruna Stoica
0723570208</t>
  </si>
  <si>
    <t>1 x tort ca un poza décor (Unicorn 2) (3 kg - oreo - 1 etaj) cu mesajul "La Multi Ani, Clarisa"</t>
  </si>
  <si>
    <t>Strada Sabinelor, Nr. 93, Sector 5, București</t>
  </si>
  <si>
    <t>1 x décor 2.2 kg OREO pentru comanda cristina lasertag 18.04</t>
  </si>
  <si>
    <t>Vera Holmanu
0721292111</t>
  </si>
  <si>
    <t>1 x cozonac cacao,nuca si rom
1 x pasca 
1 x platou miniprajituri 5 persoane
--
1 x tort noisette 1.6 kg</t>
  </si>
  <si>
    <t>Strada Taiga nr.23 sector 5 Bucuresti</t>
  </si>
  <si>
    <t>Ana Maria Bunea
0768716833</t>
  </si>
  <si>
    <t>1 x cozonac cacao,nuca si rom
1 x pasca 
1 x platou miniprajituri 5 persoane
--
1 x tort fistic si zmeura 1.6 kg</t>
  </si>
  <si>
    <t>Bulevardul 1 Mai, nr.18,bl.17S14,sc.1,et.1,ap.24,sector 6 Bucuresti.</t>
  </si>
  <si>
    <t xml:space="preserve"> Strada Radu Boiangiu nr 1, scara A, etaj 1, ap.7, sector 1, Bucuresti.</t>
  </si>
  <si>
    <t>Georgiana Niculae
0767220929</t>
  </si>
  <si>
    <t>Valentina Melente
0726292140</t>
  </si>
  <si>
    <t>Strada Becatei, nr 4, bloc R4, scara C, et 8, ap 152, sector 3, Bucuresti</t>
  </si>
  <si>
    <t>George Simion
0744441751</t>
  </si>
  <si>
    <t>Bd Octavian Goga Nr 26 Bl V53C Sc.1 Et.7 Ap25</t>
  </si>
  <si>
    <t>Laura Mihaela Musat
0765448622</t>
  </si>
  <si>
    <t>Bulevardul Iuliu Maniu, 244E,Bloc 3,Scara A,Bloc 3,Ap 55,Interfon 55,etaj 5,Rotar Park Residence sector 6,</t>
  </si>
  <si>
    <t>Diana Baltac
0722504700</t>
  </si>
  <si>
    <t xml:space="preserve"> str ion Creangă nr 15 - 17,ap 1,sector 5 București</t>
  </si>
  <si>
    <t>Floriana Mateescu
0766509040</t>
  </si>
  <si>
    <t xml:space="preserve"> Str. Dreptății, nr11,bloc P12, SC. 3,ap37, sect 6, Bucuresti.</t>
  </si>
  <si>
    <t>Dana Bulai
0788490664</t>
  </si>
  <si>
    <t>Tort Duo Mousse cu Visine
Greutate: 1.5 kg
Mesaj Personalizat: LA MULTI ANI !!!❤❤❤</t>
  </si>
  <si>
    <t>Str. Cetatea Histria nr 10, bl A2, sc E , parter Ap 61, Interfon 61, sector 6, Bucuresti</t>
  </si>
  <si>
    <t>Strada Vitejiei 2, Bl 1, Sc 1, Ap 4, Interfon 144
(in spatele blocurilor de pe Mihai Bravu)</t>
  </si>
  <si>
    <t>Cristina Popa
0723248212</t>
  </si>
  <si>
    <t>Andreea Culina
0728291698</t>
  </si>
  <si>
    <t xml:space="preserve">strada Ion nedeleanu nr 10, bl p60, sc2, et6, ap 54, sector 5
</t>
  </si>
  <si>
    <t>Enache Cristian
0758930104</t>
  </si>
  <si>
    <t>str.Smaraldului12 bloc 7 ap1
Bragadiru-cartier Fortuna</t>
  </si>
  <si>
    <t>Nina Manole
0733630706</t>
  </si>
  <si>
    <t>Sector 5 , Strada Inginer Dumitru Teodoru, nr.2, bl. 1, Ap. 12</t>
  </si>
  <si>
    <t>Ana Maria Sandru
0733172774</t>
  </si>
  <si>
    <t>Splaiul Independentei 202K, Bloc 3 scara A etaj 8 apartament 52</t>
  </si>
  <si>
    <t>Carmen Stoian
0723398772</t>
  </si>
  <si>
    <t>Strada Centurii, nr. 7B, scara 1, etaj 2, Apart. 16, Interfon 16, Sector 6, Bucuresti</t>
  </si>
  <si>
    <t>Livia Prioteasa
0722 556 189</t>
  </si>
  <si>
    <t>Bucuresti, Sector 3, Str. Baba Novac, nr. 11A, Bl. 1, Sc. B, Et.5, Ap.50, interfon 550C</t>
  </si>
  <si>
    <t>Paula Marcu
0742598402</t>
  </si>
  <si>
    <r>
      <t xml:space="preserve">1 x cozonac nuca, cacao si rom
1 x </t>
    </r>
    <r>
      <rPr>
        <b/>
        <u/>
        <sz val="11"/>
        <color rgb="FF000000"/>
        <rFont val="Calibri"/>
        <family val="2"/>
      </rPr>
      <t>PASCA FARA STAFIDE</t>
    </r>
  </si>
  <si>
    <t xml:space="preserve">Splaiul Independentei 313b, corp c5, et1, ap 13
</t>
  </si>
  <si>
    <t>Maria Badan
0721046345</t>
  </si>
  <si>
    <t>Str, Drobeta nr. 1, et. 3, ap, 5 sector 2, Bucuresti</t>
  </si>
  <si>
    <t>Cristina Paun
0721978354</t>
  </si>
  <si>
    <t>Aleea Buhusi 7, bl 7, sc 3, et 3, ap 124, sector 3, Bucuresti</t>
  </si>
  <si>
    <t>Str.Smaraldului -Nr.8-Bl.4-Cartier Fortuna
Bragadiru, Ilfov 077025, Romania</t>
  </si>
  <si>
    <t>Alexandra Girba
0729746708</t>
  </si>
  <si>
    <t>Bucuresti, Sector 6, Bulevardul Iuliu Maniu, nr 15H, bloc C3, scara 2, etaj 10, ap 200.</t>
  </si>
  <si>
    <t>1 x cozonac cacao,nuca si rom
1 x pasca 
1 x platou miniprajituri 5 persoane
--
1 x tort duo-mousse visine 1.6 kg</t>
  </si>
  <si>
    <t>Lucia Mira
0723535685</t>
  </si>
  <si>
    <t xml:space="preserve">Str. Verii nr. 12, Bragadiru, Ilfov (in spatele Cartierului Latin)
</t>
  </si>
  <si>
    <t>1 x cozonac cacao,nuca si rom
1 x pasca 
1 x platou miniprajituri 5 persoane
--
1 x tort framboisier 1.6 kg</t>
  </si>
  <si>
    <t>Simona Claudia Dobre
0730216568</t>
  </si>
  <si>
    <t>strada Valea Lunga numarul 13, bloc 21, scara B, etaj 4, apartament 37, interfon 37, sector 6, Bucuresti</t>
  </si>
  <si>
    <t>Ioana Balota
0756324231</t>
  </si>
  <si>
    <t>DJ601A Casa 403 F
Joita, Giurgiu 087150, Romania</t>
  </si>
  <si>
    <t>Tort Chocolate Fiesta
Greutate: 1 kg
Mesaj Personalizat: La multi ani Ingerasu' !</t>
  </si>
  <si>
    <t>Gabriela Decu
0773709636</t>
  </si>
  <si>
    <t>Monica Ciobanu
0723608463</t>
  </si>
  <si>
    <t xml:space="preserve">str ienachita Vacarescu nr 19, ap 2, sector 4, Buucresti
</t>
  </si>
  <si>
    <t>Sediul MONDO PLAST Sos. Alexandriei 72-74, Loc. Bragadiru</t>
  </si>
  <si>
    <t>Ana Timis
0762847492</t>
  </si>
  <si>
    <t>Bld Constantin Brâncoveanu nr 2, bl 12 B, sc 1, et 6, ap 29, sect 4, București.</t>
  </si>
  <si>
    <t>Claudiua Dumitru
0745753798
-
0743168876
0766647601</t>
  </si>
  <si>
    <t xml:space="preserve">Bucuresti, Sector 3, Aleea Cindrel, Nr 14, Ap 1, Interfon 01
</t>
  </si>
  <si>
    <t>Emanuel Ceciu
0728058058</t>
  </si>
  <si>
    <t>3 x cozonac nuca, cacao si rom
3 x pasca</t>
  </si>
  <si>
    <t>Sos. Bucuresti-Targoviste, Nr. 22B, Bl. 3, Ap. 402
Bucuresti, Bucharest 013505, Romania</t>
  </si>
  <si>
    <t>Alina Dodoc
0760294882</t>
  </si>
  <si>
    <t>Strada Șoseaua București nr 286
Ciorogarla, Ilfov 077055, Romania</t>
  </si>
  <si>
    <t xml:space="preserve">1 x cozonac nuca, cacao si rom
1 x pasca
-
1 x chec ciocolata
3 x amandina
3 x cremsnit
1 x platou miniprajituri 5 persoane
2 x cheese cake
2 x cafina
2 x mont blanc
2 x ciocolatina
</t>
  </si>
  <si>
    <t>Tort Framboisier
Greutate: 1 kg
Mesaj Personalizat: "Vreti sa fiti nasii nostri?" NEAPARAT PE PLACUTA!</t>
  </si>
  <si>
    <t>strada Molidului nr.6 Tamasi Corbeanca
Corbeanca, Ilfov 077065, Romania</t>
  </si>
  <si>
    <t>Cel care a plasta comanda este Razvan
 0769969699
-
"destinatarii sa fie anuntati ca tortul este din partea Catalinei si a lui Razvan."</t>
  </si>
  <si>
    <t>Andrei Badila
0726878166</t>
  </si>
  <si>
    <t>Soseaua Oltenitei 134-136, Bl. M1, Sc. B, Etaj 3, Ap 11, Sector 4, Bucuresti.</t>
  </si>
  <si>
    <t>Mariana Stan
0724518019</t>
  </si>
  <si>
    <t>Bd. Maresal Averescu nr. 1, Bl. 1, Sc. A, Ap. 5, Interfon 05, Bucuresti, Sector 1</t>
  </si>
  <si>
    <t>Strada Azurului 1, Bloc 113B, Sc B, Ap 61, Et 1, interfon 07</t>
  </si>
  <si>
    <t>cash cu non</t>
  </si>
  <si>
    <t>Stoica Mihaela Alina
0761315230</t>
  </si>
  <si>
    <t>platou minipraji  5 persoane</t>
  </si>
  <si>
    <t>1 x cozonac fructe confiate
1 x pasca
1 x 1 kg CORNULETE cu rahat</t>
  </si>
  <si>
    <t>Adriana Samson
(0766) 712 293</t>
  </si>
  <si>
    <t>Client Telefon
0722) 887 190‬</t>
  </si>
  <si>
    <t>1 x tarta cu mere
1 x tort de post 1.5 kg</t>
  </si>
  <si>
    <t>Soseaua Bucuresti Targoviste, nr.22, Bl A, Sc 1, Et 4, Ap 1</t>
  </si>
  <si>
    <t>Client Telefon
(0722) 516 940</t>
  </si>
  <si>
    <t>1 x cozonac nuca, cacao si rom
1 x cozonac cu mac
1 x pasca</t>
  </si>
  <si>
    <t>Magarea Ioana
Magarea Ioana</t>
  </si>
  <si>
    <t>1 x tort chocolate delight cu mesajul "La Multi Ani!" 1.2 kg</t>
  </si>
  <si>
    <t>cash cu bon achitat 50 ron in avans</t>
  </si>
  <si>
    <t>Client telefon
+40 (784) 881 816</t>
  </si>
  <si>
    <t>complex scandinavia, str coralului, nr9, bl5 et5 ap 55, bragadiru</t>
  </si>
  <si>
    <t>1 x tort fistic 1.2 kg pentru comanda unicorn 2 client telefon 11.04</t>
  </si>
  <si>
    <t xml:space="preserve">Costin Eugen
0770286997
-
din partea Simonei Toma(0744434014) un cadou de Paste
</t>
  </si>
  <si>
    <t>a fost platita la alta comanda</t>
  </si>
  <si>
    <t>cash cu bon. Se achita si un alt pachet dat cadou</t>
  </si>
  <si>
    <t>Strada Camil Ressu, 8, Bl1, ScB, Et 5, Ap 58, Sector 3 Bucuresti, Interfon 58
(scara este in spatele blocului)</t>
  </si>
  <si>
    <t xml:space="preserve">1 x cozonac nuca,cacao si rom
1 x pasca
1 x platou minipraji 5 persoane
-
1 x tort ciocolata portocale omnia 1.6 kg 
-
3 x cozonac nuca,cacao si rom
3 x pasca
(AICI NEAPARAT TREBUIE SA AMBALAM IN 3 PACHETE DIFERITE)
</t>
  </si>
  <si>
    <t>1 x tort ca in departament décor unicorn 2 (fistic si zmeura 2 kg in total) cu mesajul "La multi ani, Ilinca!"
+
1 x lumanare cu cifra 6</t>
  </si>
  <si>
    <t>plata cu cardul
200 pt tort
15 pt lumanare</t>
  </si>
  <si>
    <t>Strada Cervisoara 21-25, Bl 60, Sc 2, Et 3, Ap 35, interfon 35C</t>
  </si>
  <si>
    <t>Client Telefon
(021) 760 37 08
sau
0730 862529</t>
  </si>
  <si>
    <t>Strada Mihai Bravu, 446, Bl V9, Sc 1, et 6, Ap 25</t>
  </si>
  <si>
    <t>Mioara Popescu
0722452044</t>
  </si>
  <si>
    <t>2 x cozonac,nuca,cacao si rom
2 x pasca
1 x platou minipraji 5 persoane
-
1 x tort mango si zmeura  1.6 kg</t>
  </si>
  <si>
    <t>Str Fantanica, nr. 1, bloc 204, scara A, etaj 2, ap. 9, sector 2</t>
  </si>
  <si>
    <t>Str. Braziliei, nr. 29, ap. 2, sector 1, Bucuresti,</t>
  </si>
  <si>
    <t>Familia Olteanu
0731.031.006
--
E cadou din partea Florinei Homeghiu</t>
  </si>
  <si>
    <t>Florina Homeghiu
0721.889.26</t>
  </si>
  <si>
    <t>a fost achitata prin factura de Florina Homeghiu facuta pe 09.04</t>
  </si>
  <si>
    <t>factura pt Florina Homeghiu facuta pe 09.04
(mai plateste pt un pachet)</t>
  </si>
  <si>
    <t>a fost achitata cu factura</t>
  </si>
  <si>
    <t>1 x pachet 300:
1,6 tort OREO
1 x platou minipraji 5 persoane (MACARONS CU ZMEURA SAU CAPSUNI)
3 x cozonac cu nuca
2 x pasca 
+
1 x pachet raw vegan:
1 x cozonac raw vegan nuca 500 g
1 x platou raw vegan (3 cheese cu zmeura, 3 peanut butter &amp; chocolate , 3 caramel cofee)</t>
  </si>
  <si>
    <t>Aura Coman
0723372900</t>
  </si>
  <si>
    <t>Strada Vaselor 16, Et 2, Ap 8, interfon 08, Sector 2, Bucuresti</t>
  </si>
  <si>
    <t>1 x trio-mousse 1.2 kg decorat cu MULTE FRUCTE DE PADURE 
--
"Happy 40!"</t>
  </si>
  <si>
    <t>Drumul Potcoavei 120, ScA, Et 4, Ap 19, Voluntari (gradina zoolocica)</t>
  </si>
  <si>
    <t>PLATA CU CARDUl</t>
  </si>
  <si>
    <r>
      <t xml:space="preserve">1 x cozonac cacao,nuca si rom
1 x pasca </t>
    </r>
    <r>
      <rPr>
        <b/>
        <u/>
        <sz val="11"/>
        <color rgb="FF000000"/>
        <rFont val="Calibri"/>
        <family val="2"/>
      </rPr>
      <t>FARA STAFIDE</t>
    </r>
    <r>
      <rPr>
        <b/>
        <sz val="11"/>
        <color rgb="FF000000"/>
        <rFont val="Calibri"/>
        <family val="2"/>
      </rPr>
      <t xml:space="preserve">
1 x platou miniprajituri 5 persoane
1 x chec cu ciocolata
--
1 x tort berry chocolate 1.6 kg</t>
    </r>
  </si>
  <si>
    <t>Strada Lujerului 2, Bl 22C, Sc C, Et 1, Ap 97, Interfon 97
(rond cora lujerului)</t>
  </si>
  <si>
    <t>Calinescu Liana
0752306118</t>
  </si>
  <si>
    <t>CAT MAI REPEDE</t>
  </si>
  <si>
    <t>2 kg tort fistic cu zmeura || "La multi ani , Florentina!"
+
1 cozonac cu nuca, cacao si rom</t>
  </si>
  <si>
    <t>1 cozonoac cu nuca, cacao si rom cald
1 cozonac fruncte confiate cald
1 cozonac mac cald
1 pasca cu branza combinata</t>
  </si>
  <si>
    <t>factura BRP</t>
  </si>
  <si>
    <t>Ecaterina Agafitei
0726018199</t>
  </si>
  <si>
    <t>str. Caporal Ilina nr.5, bl.3B, sc.1, et.4, ap.19, sect.5, Bucuresti</t>
  </si>
  <si>
    <t>Str.dna Ghica nr.20, bl.4,Sc.2,et.3,ap.42,Sect 2,Buc</t>
  </si>
  <si>
    <t>Str. Secuilor, nr. 13, bloc 19, scara 2, etaj 7, ap. 69, interfon 69, sector 4</t>
  </si>
  <si>
    <t>sos.Giurgiului, nr. 25 , Jilava, Ifov</t>
  </si>
  <si>
    <t>Str. Aleea Cetățuia, Nr 4, bl M22, Sc 6, Ap 346, București, sector 6</t>
  </si>
  <si>
    <t>Str. Cara Anghel nr1, bl C90, sc 2, et 2, ap 68, sector 6 Bucuresti , interfon 68</t>
  </si>
  <si>
    <t>Sos Vergului, nr. 11, Bl. H1, sc.1, et7, ap. 30, sector 2, interon 30C</t>
  </si>
  <si>
    <t>Str. Nasaud nr. 17, bl.31, sc. 1, et. 2, ap. 9, interfon 09, Sector 5, Bucuresti</t>
  </si>
  <si>
    <t>Str Prelungirea Ghencea nr 93d, sector 6, bucuresti</t>
  </si>
  <si>
    <t>Strada Verii nr 40 bl f4 ap 56 Bragadiru Ilfov   cartier latin</t>
  </si>
  <si>
    <t>Intrarea Pomârla nr. 11-13 bis, Sector 4, București</t>
  </si>
  <si>
    <t>Str. Bradetului, nr. 24A, sc.5, ap 123, interon 123, sectro 4 Bucuresti</t>
  </si>
  <si>
    <t>1 x cozonac nuca, cacao si rom
1 pasca
1 x platou minipraji 5 persoane</t>
  </si>
  <si>
    <t>Mitrea Monica
0723226433</t>
  </si>
  <si>
    <t>Dracila Alina
0727753128</t>
  </si>
  <si>
    <t>George Murariu
0764409905</t>
  </si>
  <si>
    <t>Mihai Dumitrescu
0755135210</t>
  </si>
  <si>
    <t>Alexandra Petrus
0721943628</t>
  </si>
  <si>
    <t>Mirela Demetrescu
0721366104</t>
  </si>
  <si>
    <t>Elena Apostol
0755135253</t>
  </si>
  <si>
    <t>Daniel Udriste
0722517236</t>
  </si>
  <si>
    <t>Ionut Blaj
0755135251</t>
  </si>
  <si>
    <t>George Budurea
0723261682</t>
  </si>
  <si>
    <t>Ramona Culea
0727801128</t>
  </si>
  <si>
    <t>Cristina Radulescu
0720530802</t>
  </si>
  <si>
    <t>Șoseaua Iancului, nr 9, bloc 109A, scara 1, et.10, ap.86, sector 2, București</t>
  </si>
  <si>
    <t>Alexandra Burtea
0770729836</t>
  </si>
  <si>
    <t>Dezrobirii 131, bl.1 Sc.1, ap 2 parter sector 6
Bucuresti,</t>
  </si>
  <si>
    <t>Constantin Platon
0745566535</t>
  </si>
  <si>
    <t>Tort Framboisier
Greutate: 1 kg
Mesaj Personalizat: LA MULTI ANI!!</t>
  </si>
  <si>
    <t>Eroilor, 31A, Bragadiru, Ilfov 030374</t>
  </si>
  <si>
    <t>Mariana Bucur
0741651519</t>
  </si>
  <si>
    <t>Bucuresti, Strada Dristorului 108-110, Bloc 16 ABC, Scara C, Etaj 1, Apartament 104. Interfon 104 C</t>
  </si>
  <si>
    <t>Diana Craciun
0726243681</t>
  </si>
  <si>
    <t>Stefan cel Mare 59Z
Otopeni, Ilfov 075100,</t>
  </si>
  <si>
    <r>
      <t xml:space="preserve">1 x </t>
    </r>
    <r>
      <rPr>
        <b/>
        <u/>
        <sz val="11"/>
        <color rgb="FF000000"/>
        <rFont val="Calibri"/>
        <family val="2"/>
      </rPr>
      <t>cozonac cacao,nuca si rom CU RAHAT</t>
    </r>
    <r>
      <rPr>
        <b/>
        <sz val="11"/>
        <color rgb="FF000000"/>
        <rFont val="Calibri"/>
        <family val="2"/>
      </rPr>
      <t xml:space="preserve">
1 x pasca 
1 x platou miniprajituri 5 persoane
--
1 x tort fistic cu zmeura 1.6 kg</t>
    </r>
  </si>
  <si>
    <t>Doinita Radulescu
0727723320</t>
  </si>
  <si>
    <t>Str.Sergent Major, Ion Nedeleanu, nr.12, Bloc P76, Sc.4, et.2, ap.102, sector 5, Bucuresti</t>
  </si>
  <si>
    <t>Andreea Negoiasa
0740006977</t>
  </si>
  <si>
    <t>Strada Bobului 23A Sector 5 București (Antiaetiană)</t>
  </si>
  <si>
    <t>Ileana Zamfir
0720339943</t>
  </si>
  <si>
    <t>Bucuresti, Soseaua Pantelimon nr 245 bl 51 sc A etaj 12 ap 85 - sector 2/interfon 85C</t>
  </si>
  <si>
    <t>Maria Stransky
0723195674</t>
  </si>
  <si>
    <t>1 x cozona nuca, cacao si rom
1 x cozonac cu mac</t>
  </si>
  <si>
    <t>Str. Fildesului nr. 12, Bl. C1, Sc. 1, Et. P, Ap. 2, Sector 3</t>
  </si>
  <si>
    <t>Delia Vasile 
0744.319.366</t>
  </si>
  <si>
    <t>Str. Putul lui Zamfir nr. 7, etaj 4, ap. 5B, sector 1, interfon 10</t>
  </si>
  <si>
    <t>2 x cozona nuca, cacao si rom
1 x pasca
-
1 x tarta cu zmeura; 
1 x tarta ciocolata caramel
1 x tarta citron
1 x ecler cafea
1 x indiana
4 x cremsnit</t>
  </si>
  <si>
    <t>cash cu bon
-
100 pachet
65 cozo
 90 (10 ron/praji discount)</t>
  </si>
  <si>
    <t>Mirela
0721) 720 675‬,</t>
  </si>
  <si>
    <t>soseaua vitan barzesti 7d-7e, bl Corp B, et 8, ap 83</t>
  </si>
  <si>
    <t>din partea laurei</t>
  </si>
  <si>
    <t>1 x tort citron 1.6 kg
--
"La multi ani, Bibica !"
+
LUMANARI ANIVERSARE cu cifrele "3" si "6"</t>
  </si>
  <si>
    <t>Calin Cavaleru
0723392681</t>
  </si>
  <si>
    <t>B-dul Iuliu Maniu 17, Bl 21 P, sc 1, et 3, ap 15, interfon 15</t>
  </si>
  <si>
    <t>1 x cozona nuca, cacao si rom
1 x cozonac mac
1 x cozonac fructe confiate
1 x pasca</t>
  </si>
  <si>
    <t>Ion Ochetan
0722830801</t>
  </si>
  <si>
    <t>1 x cozonac cacao,nuca si rom
1 x pasca 
1 x platou miniprajituri 5 persoane
--
1 x tort oreo 1.6 kg cu mesajul " "LA MULȚI ANI TATAIU!" 67 ani"</t>
  </si>
  <si>
    <t>Str Ciocârliei nr 26 Bl D27 et 7 ap 31 sect 2 București</t>
  </si>
  <si>
    <t>Mihaela Acatrine
0730254878</t>
  </si>
  <si>
    <t>str. Dobrogeanu Gherea 56, bl 1, sc 1, ap5</t>
  </si>
  <si>
    <t>Maria Mitica
0734030871</t>
  </si>
  <si>
    <t>aleea vergului nr 7, bloc 18, scara b, ap 124, etaj 9
București sector 2,</t>
  </si>
  <si>
    <t>1 x cozonac cacao,nuca si rom
1 x pasca 
1 x platou miniprajituri 5 persoane
--
1 x tort chocolate fieste 1.6 kg</t>
  </si>
  <si>
    <t>Strada Ghirlandei 1, Bl 13, Ap 1, Sector 6</t>
  </si>
  <si>
    <t>Nichita Razvan
0721406039</t>
  </si>
  <si>
    <t>Cat mai devreme posibil</t>
  </si>
  <si>
    <t>Z/A</t>
  </si>
  <si>
    <t>Viorel Tudose 
0744350020
(Getica 95)
0723424227
----
SUNATI-L PE DAN NEAPARAT. FACE EL LIVRAREA!</t>
  </si>
  <si>
    <t>Plateste op Plateste 2 torturi de 1.6 kg x 80 ron</t>
  </si>
  <si>
    <t>1 x tort ricotta si fructe confiate (1.6 kg) cu mesajul "La Multi Ani, Flor!"</t>
  </si>
  <si>
    <t>Soseaua Mihai Bravu 309, Bl R3, Sc 3, et2, Ap 100</t>
  </si>
  <si>
    <t>1 x cozonac nuca, cacao si rom
1 x mac
1 x pasca
1 x platou minipraji 5 persoane</t>
  </si>
  <si>
    <t>Client Telefon
(0722) 703 714</t>
  </si>
  <si>
    <t>Soseaua Pantelimon 249, Bl 48, Sc A, Et 5, Ap.20</t>
  </si>
  <si>
    <t>Client Telefon
(0756) 151 744‬
sau
0723 517 884</t>
  </si>
  <si>
    <t>1 x cozonac fructe confiate
1 x pasca
1 x platou minipraji 5 persoane</t>
  </si>
  <si>
    <t>3 x cozonac nuca, cacao si rom
3 x pasca
--
de ambalat separat</t>
  </si>
  <si>
    <t>cash cu bon. Unul e din partea noastra</t>
  </si>
  <si>
    <t>Sabin Elene
0721927606</t>
  </si>
  <si>
    <t>plata cu cardul</t>
  </si>
  <si>
    <t>Strada Petre Antonescu 5, Bl T3C , Sc1, Et 4, Ap 22,  Interfon 22, Sector 2</t>
  </si>
  <si>
    <r>
      <t xml:space="preserve">3 x cozonac nuca, cacao si rom </t>
    </r>
    <r>
      <rPr>
        <b/>
        <u/>
        <sz val="11"/>
        <color rgb="FF000000"/>
        <rFont val="Calibri"/>
        <family val="2"/>
      </rPr>
      <t>CU RAHAT</t>
    </r>
    <r>
      <rPr>
        <b/>
        <sz val="11"/>
        <color rgb="FF000000"/>
        <rFont val="Calibri"/>
        <family val="2"/>
      </rPr>
      <t xml:space="preserve">
3 x pasca
---
ATENTIE, De impachetat separat</t>
    </r>
  </si>
  <si>
    <t>cat mai devreme posibil</t>
  </si>
  <si>
    <t>Alexandra
0723734684</t>
  </si>
  <si>
    <t>a achitat pe 10.04</t>
  </si>
  <si>
    <t>Soseaua Nicolae Titulescu nr.14, Bl 21, Sc B, Ap 73, interfon 73</t>
  </si>
  <si>
    <t>Client Telefon
(0722) 694 986‬</t>
  </si>
  <si>
    <t>2 x cozonac nuca, cacao si rom
1 x pasca</t>
  </si>
  <si>
    <t>Ana Maria Scortaru
0744434400</t>
  </si>
  <si>
    <t>1 x cozonac cu nuca, cacao si rom
1 x pasca
1 x platou miniprajituri
-
1 x tort Tort Duo-Mousse Visine 1.6 kg</t>
  </si>
  <si>
    <t>Client Telefon
(0732) 921 181‬</t>
  </si>
  <si>
    <t>strada George Missail nr. 106</t>
  </si>
  <si>
    <t>FACTURA AMGRUP FACUTA PE 04.04/ A platit si pt alta comanda
------
NU SE IA NIMIC AICI</t>
  </si>
  <si>
    <t>Str. Ștefan cel Mare, nr. 59Z
Otopeni, Ilfov</t>
  </si>
  <si>
    <t>1 x tort framboisier 1.2 kg decorat ca pe website
1 x platou miniprajituri 5 persoane</t>
  </si>
  <si>
    <t>Client Telefon
0723265060</t>
  </si>
  <si>
    <t>1 x cozonac nuca, cacao si rom
1 x pasca
-
10 x choux
5 x minitarte ciocolata</t>
  </si>
  <si>
    <t>Aleea Barajul Sadului, nr. 2, bl. Z 11, Sc. 2, et. 1, ap. 21</t>
  </si>
  <si>
    <t>Bd Nicolae Grigorescu nr.63, Bl B12, Et 5, Ap 21</t>
  </si>
  <si>
    <t>Client Telefon
(0724) 126 764</t>
  </si>
  <si>
    <t>Mariana
0742350095</t>
  </si>
  <si>
    <t>3 x cozonac nuca, cacao si rom
2 x pasca
-
De ambalat in 2 pachete si un cozonac separat</t>
  </si>
  <si>
    <t>strada preciziei 
Nr.6M, bl. 3A, et. 4, ap. 21
Complex Tenblox sect 6</t>
  </si>
  <si>
    <t>Client Telefon
0723543233</t>
  </si>
  <si>
    <t>Eufrosina Popescu, nr. 54, bl. 37 A-B, Sc. D, et. 1, ap. 137</t>
  </si>
  <si>
    <t>2 x pasca 
1 cozonac cu fructe confiate 
1 cozonac cu nuca cacao și rom</t>
  </si>
  <si>
    <t xml:space="preserve">Freamătului, nr. 16, cartierul Independentei, Bragadiru </t>
  </si>
  <si>
    <t>Strada Barnova nr13, Bl M120A, sc 1, Et 4, Ap 23, Interfon 23</t>
  </si>
  <si>
    <t>Client Telefon
(0731) 722 367</t>
  </si>
  <si>
    <t>Client
0770317174
-
E cadou din Partea Simonei</t>
  </si>
  <si>
    <t>ACHITA SIMONA LARA
-
Nu se iau bani la livraer. E cadou</t>
  </si>
  <si>
    <t>Danilea Banica
0 (721) 321 439</t>
  </si>
  <si>
    <t>1 x cozonac nuca,cacao si rom
1 x pasca
1 x platou miniprajituri 5 persoane
--
1 x tort duo-mousse 1.6 kg</t>
  </si>
  <si>
    <t>Strada Dimitrie Grozdea nr211, Bl 64, Sc 2, Et 4, Ap 36</t>
  </si>
  <si>
    <t>Strada maica domnului, 47A, Ap 3, Sector 2
(vila)</t>
  </si>
  <si>
    <t>Anca Vartanov
0788240037</t>
  </si>
  <si>
    <t>1 x cozonac nuca,cacao si rom
1 x pasca
--
3 x prajitura opera
---------------------
De ambalat frumos se da mai departe. Toata comanda sa fie pusa in pungi.</t>
  </si>
  <si>
    <t>FACTURA FACUTA PE 10.04.2020</t>
  </si>
  <si>
    <t>1 x tiramisu RAW-VEGAN 1 kg
2 x felii tiramisu 
--
tortul si feliile in cutii separate</t>
  </si>
  <si>
    <t>Calea Giulesti 406J, Ap 1, Parter</t>
  </si>
  <si>
    <t>COMANDA TELEFON
0729683796
---
 de anuntat ora de livrare</t>
  </si>
  <si>
    <t>Strada foisorului 14, Bloc f8x, scara 2, etaj 2, ap 23, interfon 123</t>
  </si>
  <si>
    <t>A FOST FACUTA FACTURA pe 10.04.2020</t>
  </si>
  <si>
    <t>Client Telefon
0726147640</t>
  </si>
  <si>
    <t>Str. Brăilița, nr. 1, bl. V7, Sc. 3, et. 2, ap. 71, int. 71 C</t>
  </si>
  <si>
    <t>Dan Ovidiu
0722191316</t>
  </si>
  <si>
    <t>Achitat in cofetarie pe 10.04.2020</t>
  </si>
  <si>
    <t>Strada Profesor Doctor Victor Bares, 24, Sector 5
(Academia Militara Cotronceni)</t>
  </si>
  <si>
    <t>Negru Diana
0 (767) 410 905</t>
  </si>
  <si>
    <t xml:space="preserve">str. Baneasa, nr. 2-6, bl. 7/1, sc. 3, et. 3, ap. 43, sector 1. </t>
  </si>
  <si>
    <t>2 x cozonac nuca,caco si rom
2 x pasca
---
de ambalat separat in 2 pachete</t>
  </si>
  <si>
    <t>Bulevardul 1864, 12, Satul Rosu, Comuna Chiajna, Ilfov</t>
  </si>
  <si>
    <t>cash cu bon
--
se achta si 2 pachete in avans</t>
  </si>
  <si>
    <t>Calin Andreea
0724293316</t>
  </si>
  <si>
    <t>1 x tort 1.6 kg duo-mousse visine cu décor de macarons si fructe cu mesajul " Va iubesc!"
--
1 x tort 1.6 duo-mousse visine cu décor macarons si fructe</t>
  </si>
  <si>
    <t>Mamant Anca
0767898008
--
Cadou din partea R&amp;M Audit</t>
  </si>
  <si>
    <t>Samoila Alina
0720466403
--
Cadou din partea R&amp;M Audit</t>
  </si>
  <si>
    <t>Chelcan Elena
0753474047
--
Cadou din partea R&amp;M Audit</t>
  </si>
  <si>
    <t>Fatu Daniela
0721145142
--
Cadou din partea R&amp;M Audit</t>
  </si>
  <si>
    <t>Floroiu Cristina
0720549007
--
Cadou din partea R&amp;M Audit</t>
  </si>
  <si>
    <t>Paraschiv Maria
0722431941
--
Cadou din partea R&amp;M Audit</t>
  </si>
  <si>
    <t>Cranga Alexandra
0754708114
--
Cadou din partea R&amp;M Audit</t>
  </si>
  <si>
    <t>Serban Mirela
0726327230
--
Cadou din partea R&amp;M Audit</t>
  </si>
  <si>
    <t>Visan Irina
0729290657
--
Cadou din partea R&amp;M Audit</t>
  </si>
  <si>
    <t>Manciu Irina
0725353973
--
Cadou din partea R&amp;M Audit</t>
  </si>
  <si>
    <t>Pantazi Maria
0740241610
--
Cadou din partea R&amp;M Audit</t>
  </si>
  <si>
    <t>Sandu Niculina
0735154837
--
Cadou din partea R&amp;M Audit</t>
  </si>
  <si>
    <t>Mugurel Stan
0721423345
--
Cadou din partea R&amp;M Audit</t>
  </si>
  <si>
    <t>Caraene Paula
0723258538
--
Cadou din partea R&amp;M Audit</t>
  </si>
  <si>
    <t>Serban Florea
0722322946
--
Cadou din partea R&amp;M Audit</t>
  </si>
  <si>
    <t>1 x cozonac nuca, cacao si rom
1 x pasca
(sa fie calzi)</t>
  </si>
  <si>
    <t>Str. Constantin Brâncoveanu nr. 21, com. Plătărești, jud. Călărași</t>
  </si>
  <si>
    <t>Str. Unirii nr. 4A, Balotesti, Ilfov</t>
  </si>
  <si>
    <t>Sos Salaj nr.134, bl 50, sc.4 et.3 ap.61 sector 5 interfon 61</t>
  </si>
  <si>
    <t xml:space="preserve">Campul Pipera 71 Bis </t>
  </si>
  <si>
    <t>Str. Luncsoara nr. 6C.ap.5 et.1, sector 2 Bucuresti</t>
  </si>
  <si>
    <t>Drumul satenilor 14-18, Sector 3 Bucuresti</t>
  </si>
  <si>
    <t>Aleea Negru Voda nr.4, bl. C3a, sc. 2, et. 2, ap.22, Bucuresti, sector 3</t>
  </si>
  <si>
    <t>Str. Pucheni, nr. 139-149, bl. 1, sc. 1, et. 4, ap. 36, int.36, Bucuresti sector 5</t>
  </si>
  <si>
    <t>Str Soarelui, nr. 46A,  ap 12, et 2, int 12 Chiajna-Dudu, Ilfov</t>
  </si>
  <si>
    <t>str Jimbolia, nr.63, sector 1 , Bucuresti</t>
  </si>
  <si>
    <t>Sos. Berceni, Nr. 41,bloc 108, sc. 2, et. 10, ap. 70, Bucuresti, sector 4</t>
  </si>
  <si>
    <t>Bdul Timisoara, nr 69, bl C13, sc E, et 8, ap 191, Bucuresti sector 6</t>
  </si>
  <si>
    <t>Str. Valea Lunga nr 49, Tronson 3, parter, ap 89, interfon 211, Bucuresti, sector 6</t>
  </si>
  <si>
    <t>Bd.Pipera 198/4 Ibiza Sol Valencia 10 Parter, Voluntari, Ilfov</t>
  </si>
  <si>
    <t>Str. Morii nr 55A,  Com. Clinceni, Ilfov</t>
  </si>
  <si>
    <t>factura de 15 pachete pentru R&amp;M Audit</t>
  </si>
  <si>
    <t>a fost inclus in factura facuta la  comanda mamant anca (15 pachete * 80 RON)</t>
  </si>
  <si>
    <t>0735538762</t>
  </si>
  <si>
    <t>Ana Bobanga
0735538762</t>
  </si>
  <si>
    <t>Str. Aviator Petre Cretu, nr. 38, sect. 1, Bucuresti</t>
  </si>
  <si>
    <t>0740944420</t>
  </si>
  <si>
    <t>Florina Mateiu
0740944420</t>
  </si>
  <si>
    <t>Str. Băile Herculane nr. 30 i
Pantelimon, Ilfov</t>
  </si>
  <si>
    <t>0722397295</t>
  </si>
  <si>
    <t>Alexandru Nadolsky
0722397295</t>
  </si>
  <si>
    <t>Str Sperantei 14 Popesti Leordeni</t>
  </si>
  <si>
    <t>0745795307</t>
  </si>
  <si>
    <t>Nadia Gavriluta
0745795307</t>
  </si>
  <si>
    <t>Sergent Alexandru Cutieru, nr. 25B, bloc 1, scara 2, apr.133, sector 6</t>
  </si>
  <si>
    <t>0766482526</t>
  </si>
  <si>
    <t>Ionescu Tiberiu
0766482526</t>
  </si>
  <si>
    <t>1 x cozonac nuca, cacao si rom
1 x pasca
1 x platou miniprajituri 5 persoane
-
1 x tort black jack 1.5 kg</t>
  </si>
  <si>
    <t xml:space="preserve"> Str N. D Cocea nr 28 sect 5 bucuresti</t>
  </si>
  <si>
    <t>0748620407</t>
  </si>
  <si>
    <t>Katarzyna Jawor
0748620407</t>
  </si>
  <si>
    <t>Soseaua Iancului nr 35,
bl. 104, sc. 2, et. 2, ap. 51, Bucuresti 021717</t>
  </si>
  <si>
    <t>Carmen Elena Stanescu
0735232205</t>
  </si>
  <si>
    <t>Bd Iancu de Hunedosra nr 25 bl 2 sc B etaj 3.ap 119 sector 1 Bucuresti</t>
  </si>
  <si>
    <t>0735232205</t>
  </si>
  <si>
    <t>0765501714</t>
  </si>
  <si>
    <t>Gabriela Badea
0765501714</t>
  </si>
  <si>
    <t>Str Tineretului nr 6, bl S1, sc 2, et 1, apt 10, sat Dudu, com Chiajna, jud Ilfov</t>
  </si>
  <si>
    <t>0720546585</t>
  </si>
  <si>
    <t>Andreea Cirnaru
0720546585</t>
  </si>
  <si>
    <t xml:space="preserve"> strada masina de paine nr 18 bl R28 sc B ap 85 sector 2Bucuresti
</t>
  </si>
  <si>
    <t>1 x cozonac fructe confiate
1 x pasca
-
1 x tort black jack 1 kg</t>
  </si>
  <si>
    <t xml:space="preserve">0744305809
</t>
  </si>
  <si>
    <t>Anca Niculescu
0744305809</t>
  </si>
  <si>
    <t>Bucuresti, str Drumul Agatului 114, sector 1</t>
  </si>
  <si>
    <t>1 x tort mango si zmeura 1 kg
1 x cheese cake</t>
  </si>
  <si>
    <t xml:space="preserve">strada Aleea Parva nr 8 bl A35 sc B et 2 ap 22 sector 6 Bucuresti
</t>
  </si>
  <si>
    <t>0740095033</t>
  </si>
  <si>
    <t>0766732023</t>
  </si>
  <si>
    <t>Madalina Iordache
0766732023</t>
  </si>
  <si>
    <t>Strada Coralului nr 2 bl 1 sc 1 et 7 ap 56</t>
  </si>
  <si>
    <t>Tort Chocolate Fiesta
Greutate: 1 kg
Mesaj Personalizat: La Multi ani Tati
Te iubim</t>
  </si>
  <si>
    <t>Str Izvorului # 2, vila V14C1-004
Stefanestii de jos, Ilfov
Complexul rezidential Cosmopolis</t>
  </si>
  <si>
    <t>0754977134</t>
  </si>
  <si>
    <t>Georgeta Vasper
0754977134</t>
  </si>
  <si>
    <t>0722299428</t>
  </si>
  <si>
    <t>Laurentiu Pintilie
0722299428</t>
  </si>
  <si>
    <t>2 x cozonac nuca, cacao si rom
2 x pasca
1 x platou miniprajituri 5 persoane
-
1 x tort black jack 1.5 kg
-----------
sa fie ambalat pachetul separat de cel familu</t>
  </si>
  <si>
    <t>strada Grigore Tocilescu nr 2, sector 5</t>
  </si>
  <si>
    <t>0724254922</t>
  </si>
  <si>
    <t>Cristina Popescu
0724254922</t>
  </si>
  <si>
    <t>Sector 4, aleea Donea Diana Alexandra Nr 1 bl 19, ap 17</t>
  </si>
  <si>
    <t>0729197879</t>
  </si>
  <si>
    <t>Monica Ungurianu
0729197879</t>
  </si>
  <si>
    <t>1 x cozonac nuca, cacao si rom
1 x pasca
1 x platou miniprajituri 5 persoane
-
1 x tort bailey's 1.6 kg</t>
  </si>
  <si>
    <t>strada Gheorghe Doja, nr 7, sector 3, Bucuresti</t>
  </si>
  <si>
    <t>0740112329</t>
  </si>
  <si>
    <t>Pamfil
0722429826
--
din partea Andreei Cirnaru</t>
  </si>
  <si>
    <t>Aura Toma
0740112329</t>
  </si>
  <si>
    <t>Str. Mitropolit Varlaam 11, sector 1, București</t>
  </si>
  <si>
    <t>Georgiana Sava
0773827007</t>
  </si>
  <si>
    <t>Strada Intrarea Vladimiri nr.20 sector5 bucuresti</t>
  </si>
  <si>
    <t>0773827007</t>
  </si>
  <si>
    <t>0732121218</t>
  </si>
  <si>
    <t>Marius Calin
0732121218</t>
  </si>
  <si>
    <t>str. Sfantul Spiridon nr.12, ap.13, sector 2
Bucuresti,</t>
  </si>
  <si>
    <t>0760301368</t>
  </si>
  <si>
    <t>Daniel Gheorghiu
0760301368</t>
  </si>
  <si>
    <t>București Sector 3 Bd Mircea Vodă Nr 39 bl M30 scara 1 etaj 1 ap 06</t>
  </si>
  <si>
    <t>0727286267</t>
  </si>
  <si>
    <t>Elvira Ousor
0727286267</t>
  </si>
  <si>
    <t>Reconstructiei 1 bloc 24 scara 2 etaj 7 ap 76 interfon 76c</t>
  </si>
  <si>
    <t>Bragadiru, Strada Iederei 62-66, Family Vilas, Vila 23</t>
  </si>
  <si>
    <t>Militaru Raluca
0724577758</t>
  </si>
  <si>
    <t>0722892844</t>
  </si>
  <si>
    <t>Luisa Gorongia
0722892844</t>
  </si>
  <si>
    <t>Bd. Unirii nr. 2, Bl. 8A, Sc. 1, Et. 2, Ap. 9, Sector 4, Bucuresti</t>
  </si>
  <si>
    <t>0761267299</t>
  </si>
  <si>
    <t>Corina Truta
0761267299</t>
  </si>
  <si>
    <t>Tort Berry Chocolate
Greutate: 1 kg
Mesaj Personalizat: La multi ani iubire!!
Si lumanari cifrele 29</t>
  </si>
  <si>
    <t>Str Barnova nr 7, bl M118,sc 1,etj 10,ap 51,interfon 51, sector 5</t>
  </si>
  <si>
    <t>0741460902</t>
  </si>
  <si>
    <t>Delia Diaconu
0741460902</t>
  </si>
  <si>
    <t>Str Mohorului Nr 7 Bl 138 Sc B et 7 ap 74 interfon 74C Bucuresti sector 6</t>
  </si>
  <si>
    <t>0723234948</t>
  </si>
  <si>
    <t>Catalina Constantin
0723234948</t>
  </si>
  <si>
    <t>Aleea Valea Boteni nr.4, Bl.M51, Sc.2, Et.10, Ap.130, Sector 6, Bucuresti</t>
  </si>
  <si>
    <t>1 x tort trio-mousse 1.6 kg cu o placuta cu mesajul "La Multi Ani, Florina"</t>
  </si>
  <si>
    <t>Liviu
0722674398</t>
  </si>
  <si>
    <t>0722974984</t>
  </si>
  <si>
    <t>Andreea Dragulet
0722974984</t>
  </si>
  <si>
    <t>Calea Griviței nr.216, bl.I, sc.A, etc.10, ap.40, sect.1, București
interfon40</t>
  </si>
  <si>
    <t>Tort Framboisier
Greutate: 1 kg</t>
  </si>
  <si>
    <t>cash cu bon
--
I s-a facut discount de florii de la 120 ron</t>
  </si>
  <si>
    <t>0721700185</t>
  </si>
  <si>
    <t>Alina Ligia Dumitrescu
0721700185</t>
  </si>
  <si>
    <t>Sos.Panduri Nr.27, Bloc P3, Ap.25, Bucuresti, Sector 5</t>
  </si>
  <si>
    <t>0744609807</t>
  </si>
  <si>
    <t>Alin Stefan
0744609807</t>
  </si>
  <si>
    <t>Tort cu Fistic si Zmeura
Greutate: 1 kg
-
Mesaj Personalizat: Sa fie într-un ceas cu cuc!</t>
  </si>
  <si>
    <t>ean Louis Calderon 1-5, sc. B, et. 7, ap. 44, sector 2, București. Primul interfon - 44, al doilea interfon- 1945.</t>
  </si>
  <si>
    <t>0762667449</t>
  </si>
  <si>
    <t>Valentin Roman
0762667449</t>
  </si>
  <si>
    <t>Sector 4, Bd.Gh.Sincai 12, bl.12, scara A, et.3, ap.16, interfon 16 c</t>
  </si>
  <si>
    <t>Voronet 18, bl A22, sc 3, et 2, apt 36, sector 3
Sector 3, Bucharest 031554, Romania</t>
  </si>
  <si>
    <t>0770435602</t>
  </si>
  <si>
    <t>Ileana Onica
0770435602</t>
  </si>
  <si>
    <t>Bogdan Dinu
0740246837</t>
  </si>
  <si>
    <t>Bucuresti, sector 3, str. Vlad Dracul, nr.2, bl. B1, sc. 1, ap 19</t>
  </si>
  <si>
    <t>0740246837</t>
  </si>
  <si>
    <t>0722602020</t>
  </si>
  <si>
    <t>Scarlett Onica
0722602020</t>
  </si>
  <si>
    <t>Labirint 104,apt 5,sector 3,Bucuresti, 0722602020</t>
  </si>
  <si>
    <t>0767910564</t>
  </si>
  <si>
    <t>Valentina Teodorescu
0767910564</t>
  </si>
  <si>
    <t>Tort Duo Mousse cu Visine
Greutate: 1 kg
Mesaj Personalizat: La multi ani Floriilor!</t>
  </si>
  <si>
    <t>Strada Preot Sebe Costin Nr 19 , Chiajna, Ilfov</t>
  </si>
  <si>
    <t>0731512847</t>
  </si>
  <si>
    <t>Larina Calin
0731512847</t>
  </si>
  <si>
    <t>Str. Serg. Maj. Cara Anghel, Nr. 13, Bl. C50, Sc. B, Et. 7, Ap. 98, Sector 6, București
Interfon: 98C</t>
  </si>
  <si>
    <t>Irina Visan
0729290657</t>
  </si>
  <si>
    <t>0729290657</t>
  </si>
  <si>
    <t>Daniela Panita
0773.843.829</t>
  </si>
  <si>
    <t>com Clinceni str. Morii nr 55A, jud Ilfov, persoana de contact</t>
  </si>
  <si>
    <t>1 x cozonac nuca, cacao si rom
1 x pasca
1 x platou miniprajituri 5 persoane
-
1 x tort duo-mousse visine 1.6 kg</t>
  </si>
  <si>
    <t>1 x cozonac nuca, cacao si rom
1 x pasca
1 x platou miniprajituri 5 persoane
-
1 x tort chocolate delight 1.6 kg</t>
  </si>
  <si>
    <t xml:space="preserve"> str. Baterie, nr. 83A, ap. 2, Popesti Leordeni, Ilfov</t>
  </si>
  <si>
    <t>0733509702</t>
  </si>
  <si>
    <t>Constantinescu Olguta Irinel
0733509702</t>
  </si>
  <si>
    <t>Soseaua Banatului nr 14, bl. 20, et 3, ap 228, Chitila, jud. Ilfov</t>
  </si>
  <si>
    <t>0722744726</t>
  </si>
  <si>
    <t>Ruxandra Munteanu
0722744726</t>
  </si>
  <si>
    <t>str Cap Petre Costescu nr 23 sector 4 Bucuresti</t>
  </si>
  <si>
    <t>0765689002</t>
  </si>
  <si>
    <t>Raluca Radulescu
0765689002</t>
  </si>
  <si>
    <t>Str.Targu Neamt, Nr.2, Bl.R7, Sc.B, Et.6, Ap.69,Sect.6, Bucuresti. Interfon 069C</t>
  </si>
  <si>
    <t>0745813954</t>
  </si>
  <si>
    <t>Georgiana Manea
0745813954</t>
  </si>
  <si>
    <t>Tort Oreo
Greutate: 1.5 kg
Mesaj Personalizat: La multi ani!</t>
  </si>
  <si>
    <t>Strada Ciucea, nr.8, Bl.L18, scara 3,Etaj 7 Apart.148
interfon 148, Sector 3, Bucuresti</t>
  </si>
  <si>
    <t>0736981601</t>
  </si>
  <si>
    <t>Nadina Pana
0736981601</t>
  </si>
  <si>
    <t>Strada Fabricii nr 2, Bloc 15CBis, ScA, ap,64 etaj 10, sector 6, Bucuresti ( punct de reper Cora Lujerului)</t>
  </si>
  <si>
    <t>0722532439</t>
  </si>
  <si>
    <t>Eugen Tudor
0722532439</t>
  </si>
  <si>
    <t>Intrarea Vointei nr. 4, Domnesti, Ilfov</t>
  </si>
  <si>
    <t>splaiul unirii nr9, confort city, popesti leordeni ,bl 6 , sc a, ap 21, etaj 3.</t>
  </si>
  <si>
    <t>0762667305</t>
  </si>
  <si>
    <t>Loredana Manta
0762667305</t>
  </si>
  <si>
    <t>Black Jack
Greutate: 1.5 kg
Mesaj Personalizat: La multi ani, Florin</t>
  </si>
  <si>
    <t>0721557804</t>
  </si>
  <si>
    <t>Mihaela Despa
0721557804</t>
  </si>
  <si>
    <t xml:space="preserve"> strada renasterii 116 sector 1 Bucuresti
</t>
  </si>
  <si>
    <t>1 x cozonac nuca, cacao si rom
1 x cozonac mac
2 x pasca</t>
  </si>
  <si>
    <t>0727680294</t>
  </si>
  <si>
    <t>Larisa Stoian
0727680294</t>
  </si>
  <si>
    <t>Aleea Pricopan, nr 12, bloc 20, scara 1, ap. 4, Parter - Sector 5</t>
  </si>
  <si>
    <t>0726500686</t>
  </si>
  <si>
    <t>Mihaela Bruma
0726500686</t>
  </si>
  <si>
    <t>1 x cozonac nuca, cacao si rom
1 x pasca FARA STAFIDE
1 x platou miniprajituri 5 persoane
-
1 x tort chocolate delight 1.6 kg</t>
  </si>
  <si>
    <t>Str. Serg. Maj. Nedeleanu Ion, nr 5, Bl P34, sc.1, et.6, ap.26, int.26, sect 5 , Bucuresti</t>
  </si>
  <si>
    <t>0764391635</t>
  </si>
  <si>
    <t>Claudiua Dumitru
0764391635</t>
  </si>
  <si>
    <t xml:space="preserve">Alexandru Vlahuta, nr.3, bl.M48,Sc.A,Ap.98, Etaj8, Sector 3
</t>
  </si>
  <si>
    <t>0742359681</t>
  </si>
  <si>
    <t>Gabriela Velicu
0742359681</t>
  </si>
  <si>
    <t xml:space="preserve">Str. Valea lui Mihai, nr. 2, bl.A3, sc.A, ap.11, int.11, sector 6, Bucuresti
</t>
  </si>
  <si>
    <t>1 x cozonac nuca, cacao si rom
1 x pasca
-
1 x PLATOU MINI ECLERE CA PE WEBSITE</t>
  </si>
  <si>
    <t>0744686044</t>
  </si>
  <si>
    <t>Catalin Lupescu
0744686044</t>
  </si>
  <si>
    <t>Aleea Lunguletu,nr.6,bl.D14,sc.1,et.8,ap.34</t>
  </si>
  <si>
    <t>0724601720</t>
  </si>
  <si>
    <t>Carmen Perpelea
0724601720</t>
  </si>
  <si>
    <t>1 x cozonac mac
1 x cozonac fructe confiate
2 x pasca</t>
  </si>
  <si>
    <t>STR.IZV.TROTUSULUI NR.2,BL.D 8,SC.F,ET.1,AP.53
BUCURESTI SECTOR 4</t>
  </si>
  <si>
    <t>0724081673</t>
  </si>
  <si>
    <t>Bogdan Olaru
0724081673</t>
  </si>
  <si>
    <t>str Dorneasca, nr 18, bl P78A, sc 3, et 6, ap 75, sector 5, Bucurest</t>
  </si>
  <si>
    <t>0766281732</t>
  </si>
  <si>
    <t>Georgiana Solomon
0766281732</t>
  </si>
  <si>
    <t>Strada Crișu Repede, 24 A, casa 5, Bragadiru, Ilfov</t>
  </si>
  <si>
    <t>0768189035</t>
  </si>
  <si>
    <t>Sergiu Maximov
0768189035</t>
  </si>
  <si>
    <t>Strada George Valsan, nr.96, bl.2, sc.1, et.7, ap. 31, interfon 31</t>
  </si>
  <si>
    <t>3 x cozonac nuca, cacao si rom
3 x pasca
1 x platou miniprajituri 5 persoane
-
1 x tort duo-mousse cu visine 1.6 kg
---
2 pachete clasice sa fie ambalate separat</t>
  </si>
  <si>
    <t>0735220632</t>
  </si>
  <si>
    <t>Apetrei Ioana
0735220632</t>
  </si>
  <si>
    <t>2 x cozonac nuca, cacao si rom
1 x pasca
1 x platou miniprajituri 5 persoane
-
1 x tort honney 1.6 kg</t>
  </si>
  <si>
    <t>str. Filip Grigore Lupu nr.4
Moara Vlasiei, Ilfov 077130, Romania</t>
  </si>
  <si>
    <t>3 Kg tort triomousse glazurat cu ciocolata ALBA (care banuiesc ca e crem), cu trandafiri si macarons in genul ultimului tort, pe marginea tortului sa lipiti aschii cioco || "La multi ani, Viorel!" 
+
2 x cozonaci nuca, cacao si rom</t>
  </si>
  <si>
    <t xml:space="preserve">4 x platouri minipraji 5 persoane </t>
  </si>
  <si>
    <t>Michele Emma
+39 320 114 8086</t>
  </si>
  <si>
    <t>General Berthelot 88b, apartament 3</t>
  </si>
  <si>
    <t>fara brrr, incasati direct de Dan</t>
  </si>
  <si>
    <t>1 x cozonac cu nuca, cacao si rom
1 x cozonac cu fructe confiate
2 x pasca
1 x platou minipraji 5 persoane
1,6 tort duomouse cu visine</t>
  </si>
  <si>
    <t>Strada Doctor Robert K. Koch 2</t>
  </si>
  <si>
    <t xml:space="preserve">cash </t>
  </si>
  <si>
    <t>0733673095</t>
  </si>
  <si>
    <t>0744350020</t>
  </si>
  <si>
    <t>Georgiana POPA
0767657997</t>
  </si>
  <si>
    <t xml:space="preserve">Calea Grivitei Nr 224 Bloc 6 Scara F Ap 1 </t>
  </si>
  <si>
    <t>0767657997</t>
  </si>
  <si>
    <t xml:space="preserve">
27 x cozonac cu nuca, caco si rom
+
3 x cozonac cu mac
+
30 x pasca</t>
  </si>
  <si>
    <t>Ana Maria Chelba
0 785 636 817</t>
  </si>
  <si>
    <t>1 x tort ciocolata portocale 0.8 kg</t>
  </si>
  <si>
    <t>Str Resita Nr 1 Bl 8 Sc 2 Et 7 Ap 111 Sector 4</t>
  </si>
  <si>
    <t>0722438817</t>
  </si>
  <si>
    <t>Str Sold Nicolae Sebe nr 12 bl L37 sc 2 et 4 ap 20 interfon 238C</t>
  </si>
  <si>
    <t>Geta Andrei
0722438817</t>
  </si>
  <si>
    <t>1 x cozonac nuca, cacao si rom
1 x cozonac mac
1 x pasca</t>
  </si>
  <si>
    <t>0733966622</t>
  </si>
  <si>
    <t>Mariana Vasilescu
0733966622</t>
  </si>
  <si>
    <t>sos.Oltenitei nr.20,bl.3E,sc.1,ap 2
Sector 4,Bucuresti, Ilfov 41313, Romania</t>
  </si>
  <si>
    <t>0757671703</t>
  </si>
  <si>
    <t>Camelia Sandor
0757671703</t>
  </si>
  <si>
    <t xml:space="preserve">DORNEII 121, ap 3 Bucuresti,sector 1
</t>
  </si>
  <si>
    <t>0748367642</t>
  </si>
  <si>
    <t>Corina Sincu
0748367642</t>
  </si>
  <si>
    <t>Constantin Brancusi 21.Bl M14 Sc A etj 1 Ap 20</t>
  </si>
  <si>
    <t>1 x cozonac fructe confiate
1 x pasca
1 x platou miniprajituri 5 persoane
-
1 x tort mango cu zmeura e 1.6 kg</t>
  </si>
  <si>
    <t>0726219120</t>
  </si>
  <si>
    <t>Mihaela Vulpescu
0726219120</t>
  </si>
  <si>
    <t>1 x cozonac nuca, cacao si rom
1 x cozonac fructe confiate
2 x pasca</t>
  </si>
  <si>
    <t>Clinceni, Ilfov, str Principala 105D</t>
  </si>
  <si>
    <t>0722681312</t>
  </si>
  <si>
    <t>Ioana Sararu
0722681312</t>
  </si>
  <si>
    <t>Str. Campia Libertatii, nr.64, bl.34A, sc.2, ap.49, sector 3</t>
  </si>
  <si>
    <t>0726227412</t>
  </si>
  <si>
    <t>Luciana Florea
0726227412</t>
  </si>
  <si>
    <t>1 x cozonac nuca, cacao si rom
1 x pasca
1 x platou miniprajituri 5 persoane
-
1 x tort mango si zmeura 1.6 kg</t>
  </si>
  <si>
    <t>Str. Smaraldului nr.12, Bl.7, sc.1, et.3, apt.34
Bragadiru, Ilfov 077025, Romania</t>
  </si>
  <si>
    <t>0744683135</t>
  </si>
  <si>
    <t>Mikaela Kets
0744683135</t>
  </si>
  <si>
    <t>1 x cozonac nuca, cacao si rom
1 x chec ciocolata
2 x cremsnit
2 x amandina
2 x savarina</t>
  </si>
  <si>
    <t xml:space="preserve"> Strada Tache Ionescu nr 3 te 5, ap 10, interfon 10, Secror 1, Bucuresti. Zona Piata Amzei</t>
  </si>
  <si>
    <t>0722552497</t>
  </si>
  <si>
    <t>Nicolae Doca
0722552497</t>
  </si>
  <si>
    <t xml:space="preserve"> Strada Șerban Cantacuzino nr 53 E1-4B, Voluntari, Ilfov,</t>
  </si>
  <si>
    <t>0724308707</t>
  </si>
  <si>
    <t>Robert Ioan
0724.308.707</t>
  </si>
  <si>
    <t>Str Mărului nr 9, Dobroești , Ilfov 030102, Romania</t>
  </si>
  <si>
    <t>0755125590</t>
  </si>
  <si>
    <t>Elena Braicau
0755125590</t>
  </si>
  <si>
    <t>1 x cozonac nuca, cacao si rom
1 x pasca
1 x platou miniprajituri 5 persoane
-
1 x tort framboisier 1.6 kg</t>
  </si>
  <si>
    <t>Strada Nicolae Nicoleanu, nr. 16, Casa B2A6, sector 1, Bucuresti</t>
  </si>
  <si>
    <t>0746522717</t>
  </si>
  <si>
    <t>Fatu Oana Raluca
0746522717</t>
  </si>
  <si>
    <t xml:space="preserve">Strada Oborul Nou,nr 13,Bl P10 ,et 3 ,ap 83
</t>
  </si>
  <si>
    <t>0744785287</t>
  </si>
  <si>
    <t>Andreea Gherghel
0744785287</t>
  </si>
  <si>
    <t>Strada Clucerului 18
Bucharest, Bucharest 011365, Romania</t>
  </si>
  <si>
    <t>0745029005</t>
  </si>
  <si>
    <t>Ana Cristina Pascu
0745029005</t>
  </si>
  <si>
    <t>Str Drumul Taberei nr 39,bl OS4, sc 3, et 3,ap 94,sector 6 ,Bucuresti</t>
  </si>
  <si>
    <t>1.2 berry chocolate pentru comanda tort decorat ana cristina pascu 25.04</t>
  </si>
  <si>
    <t>1 x tort decorat ca in departament décor (2 kg - berry chocolate) cu mesajul "9 ANI
LA MULTI ANI DAVID!"</t>
  </si>
  <si>
    <t>0722235679</t>
  </si>
  <si>
    <t>Ioana Balan
0722235679</t>
  </si>
  <si>
    <t>Bucuresti, str. Mamulari, nr. 2, sc.1, ap.13, zona pta Sf. Vineri</t>
  </si>
  <si>
    <t>0740522685</t>
  </si>
  <si>
    <t>Alina Vasile
0740522685</t>
  </si>
  <si>
    <t>1 x cozonac nuca, cacao si rom
1 x cheese cake
1 x tarta citron
2 x mont blanc</t>
  </si>
  <si>
    <t>Str Costache Stamate nr2, bl 3C, Sc A, et 3, ap 16, interfon 16, Sector 4, București.</t>
  </si>
  <si>
    <t>Tort cu Fistic si Zmeura
Greutate: 1 kg
Mesaj Personalizat: "La mulți ani, Vio(rica) nostru drag! Te iubim mult!"
-
Mesajul exact asa</t>
  </si>
  <si>
    <t>0766103839</t>
  </si>
  <si>
    <t>Marilena Dumitrescu
0766103839</t>
  </si>
  <si>
    <t>1 x cozonac nuca, cacao si rom
1 x pasca
-
Tort Berry Chocolate
Greutate: 1 kg</t>
  </si>
  <si>
    <t>str.CLUJ 11, pantelimon, Ilfov 077145, Romania</t>
  </si>
  <si>
    <t>0767614605</t>
  </si>
  <si>
    <t>Catalina Mateescu
0767614605</t>
  </si>
  <si>
    <t>0721278110</t>
  </si>
  <si>
    <t>Ramona Volciuc Ionescu
0721278110</t>
  </si>
  <si>
    <t>Blvd Unirii nr 70, bloc J4, sc 4, et 8, ap 133
Bucuresti, Bucharest 030836, Romania</t>
  </si>
  <si>
    <t>1 x cozonac nuca, cacao si rom
1 x mac
2 x pasca</t>
  </si>
  <si>
    <t>Str. Drumul Fermei, nr. 92, bloc 8, ap. 6, interfon 6, Popesti- Leordeni, jud. Ilfov.</t>
  </si>
  <si>
    <t>Drumul Murgului 2, bloc C3, ap 24</t>
  </si>
  <si>
    <t xml:space="preserve">Mihai Bercu
0733203185 </t>
  </si>
  <si>
    <t>Aleea Fagului 6, Corbeanca, Paradisul Verde</t>
  </si>
  <si>
    <t>2 x cozonac nuca, cacao si rom
1 x pasca
1 x platou miniprajituri 5 persoane</t>
  </si>
  <si>
    <t xml:space="preserve">Olivia Secaresti
0721356189
</t>
  </si>
  <si>
    <t>Client Telefon
0744839924</t>
  </si>
  <si>
    <t>calea Călărași, nr 309, bl 70, Sc 1, et. 7, ap. 31, int 31C</t>
  </si>
  <si>
    <t>2 x cozonac nuca, cacao si rom
1 x pasca
6 x prajitura opera</t>
  </si>
  <si>
    <t>1 x platou 5 persoane miniprajitur
1 x pasca</t>
  </si>
  <si>
    <t>Client
(0749) 537 635</t>
  </si>
  <si>
    <t>Aleea Calnau, nr10-16, Bl 1, Sc 1, Et 3, Ap 31</t>
  </si>
  <si>
    <t>Georgiana Balaceanu
0739978105</t>
  </si>
  <si>
    <t>1 x tort raw vegan turmeric
1 x platou minipraji raw vegane (9 buc)</t>
  </si>
  <si>
    <t>Calea Rahovei 344, Bl 31, Ap 20</t>
  </si>
  <si>
    <t>a fost achitat cash in cofetarie pe 10.04</t>
  </si>
  <si>
    <t>Simina
0726) 697 785</t>
  </si>
  <si>
    <t>Bulevardul Corneliu Coposu Nr.3, Bl 101z</t>
  </si>
  <si>
    <t>Din partea Laurei Ciuhu. A fost achitat</t>
  </si>
  <si>
    <t>1 x tort inima tonka
1 x citron 1 kg</t>
  </si>
  <si>
    <t>Protocol</t>
  </si>
  <si>
    <t>strada Fluierului nr25, Sc B, Et 2, Ap 22, Interfon 22</t>
  </si>
  <si>
    <t>Client Telefon
(0722) 886 078</t>
  </si>
  <si>
    <t>1 x tort raw-vegan fistic (orice cantitate)
1 x tort duo-mousse visine (orice cantitate)
3 x tarte mari lamaie
3 x tarte mari caramel</t>
  </si>
  <si>
    <t>Rosmarie Olanescu
0 722 669 992
--
Cadou din partea Laurei ciuhu</t>
  </si>
  <si>
    <t>Ana Maria Ducuta
0724) 036 199
---
Cadou din partea LAUREI</t>
  </si>
  <si>
    <t xml:space="preserve"> 1 x cozonac mac
1 x cozonac fructe confiate
 1 x cozonac nuca, cacao si rom
2 x pasca
3 x amandine
3 x savarine
3 x cremsnit
3 x tarte lamaie</t>
  </si>
  <si>
    <t>Ioana Andronescu
+40 (733) 726 693</t>
  </si>
  <si>
    <t>Bd aerogarii 2-8, bl 2/1 sc B ap 14 sect 1</t>
  </si>
  <si>
    <t>Mogosoaia, Strada Rozelor Nr.7</t>
  </si>
  <si>
    <t>Client Telefon
+40 (769) 320 925‬</t>
  </si>
  <si>
    <t>Client Telefon
+40 (731) 697 044</t>
  </si>
  <si>
    <t xml:space="preserve">1 x cozonac nuca,cacao si rom
1 x mac
1 x PASCA FARA STAFIDE
4 x minitarte fructe
1 x chec
2 x savarine
4 x mini-pavlova
</t>
  </si>
  <si>
    <t>Str Calea Victoriei nr.25, Et 7, ap.31</t>
  </si>
  <si>
    <t>Alexandra Parau
0 (747) 136 089</t>
  </si>
  <si>
    <t xml:space="preserve">1 x cozonac,nuca,cacao si rom
1 x cremsnit
1 x platou miniprajituri
1 x savarina
1 x indiana
</t>
  </si>
  <si>
    <t>Erou Chivu dumitru nr 27, voluntari</t>
  </si>
  <si>
    <t>Strada Piatra Soimului nr 7A</t>
  </si>
  <si>
    <t>Client Telefon
(0742) 809 519</t>
  </si>
  <si>
    <t>1 x coznoac cu fructe confiate
1 x pasca
1 x framboisier 1.6 kg cu mesajul "La Multi Ani"</t>
  </si>
  <si>
    <t>0744288139</t>
  </si>
  <si>
    <t>Magdalena Lascae
0744288139</t>
  </si>
  <si>
    <t>Strada Spatarul Preda nr.19 bl.19 sc. 2 et.4 ap.35 sector 5</t>
  </si>
  <si>
    <t>0724543921</t>
  </si>
  <si>
    <t>Ramona State
0724543921</t>
  </si>
  <si>
    <t>bucuresti str Istriei nr 21 bl b3 sc 1 et 3 ap 21
Bucuresti,</t>
  </si>
  <si>
    <t>0744677062</t>
  </si>
  <si>
    <t>Cristina Matei
0744677062</t>
  </si>
  <si>
    <t>București, sector 2, str. Lăptari Tei nr.1, bl. 26, Sc. A, et.2, ap.11.</t>
  </si>
  <si>
    <t>0721356189</t>
  </si>
  <si>
    <t>Maria Moga
0721356189</t>
  </si>
  <si>
    <t>Bucuresti, Str. Nucsoara nr.13, bl 32, sc 2, etaj 1, apartament 19, interfon 19</t>
  </si>
  <si>
    <t>0748885639</t>
  </si>
  <si>
    <t>Mihaela Prundurel
0748885639</t>
  </si>
  <si>
    <t>Str. Drumul Murgului nr 42, bloc 52B, et 1, ap 5, interfon 05</t>
  </si>
  <si>
    <t>0722387398</t>
  </si>
  <si>
    <t>Catalin Constantin
0722387398</t>
  </si>
  <si>
    <t>Str. Dealul Tugulea 1, Bl. M18, Sc.1, Et. 2, Ap. 27, Sector 6, Bucuresti, cod postal 060861</t>
  </si>
  <si>
    <t>0744351540</t>
  </si>
  <si>
    <t>Alexandra Macaneata
0744351540</t>
  </si>
  <si>
    <t>1 x cozonac nuca, cacao si rom
2 x pasca</t>
  </si>
  <si>
    <t>Aleea Padurea Craiului nr.2, bl. H2, sc.4,ap.64
Bucuresti</t>
  </si>
  <si>
    <t>0730660499</t>
  </si>
  <si>
    <t>Alexandra Dragu
0730660499</t>
  </si>
  <si>
    <t>bulevardul Alexandru Obregia nr 1, bl M1, scara 1, ap 34, sect 4. Bucuresti</t>
  </si>
  <si>
    <t>0743259425</t>
  </si>
  <si>
    <t>Adriana Prunean
0743259425</t>
  </si>
  <si>
    <t>Strada bega 39,sector 5
Bucuresti</t>
  </si>
  <si>
    <t>0721166309</t>
  </si>
  <si>
    <t>Adriana Daniela Vasile
0721166309</t>
  </si>
  <si>
    <t>1 x cozonac nuca, cacao si rom SI RAHAT
1 x pasca
1 x platou miniprajituri 5 persoane
-
1 x tort fistic cu zmeura 1.6 kg</t>
  </si>
  <si>
    <t>str. Drumul Garii nr. 51, Ilfov</t>
  </si>
  <si>
    <t>0723526067</t>
  </si>
  <si>
    <t>Emilia Stefana
0723526067</t>
  </si>
  <si>
    <t>Sos.Stefan cel Mare Nr.35 Bl.31 Sc.2 Ap.51 Sector 2 Bucuresti</t>
  </si>
  <si>
    <t>Strada Cetatea Histria 10, Bucuresti</t>
  </si>
  <si>
    <t>Aviator Petre Cretu 65, Bucuresti</t>
  </si>
  <si>
    <t>Strada Celofibrei 42, Bragadiru</t>
  </si>
  <si>
    <t>Soseaua Nicolae Titulescu 10</t>
  </si>
  <si>
    <t>Strada Alexandru Vlahuta 6</t>
  </si>
  <si>
    <t>Bulevardul Tineretului 5</t>
  </si>
  <si>
    <t>Strada Crizantemelor 2</t>
  </si>
  <si>
    <t>Strada Zapada mieilor 17</t>
  </si>
  <si>
    <t>Strada Coralului 9, Bragadiru</t>
  </si>
  <si>
    <t>Bulevardul Iuliu Maniu 59</t>
  </si>
  <si>
    <t>Strada echinoctiului 26, Popesti Leordeni</t>
  </si>
  <si>
    <t>Strada General Berthelot</t>
  </si>
  <si>
    <t>Splaiul Unirii 9, Popesti Leordeni</t>
  </si>
  <si>
    <t>Strada Preot Sebe Costin 19, Chiajna</t>
  </si>
  <si>
    <t>Strada Jean Louis Calderon 5</t>
  </si>
  <si>
    <t>Calea Grivitei 216</t>
  </si>
  <si>
    <t>Soseaua Iancului 35, Bucuresti</t>
  </si>
  <si>
    <t>Aleea Baiut 13, Bucuresti</t>
  </si>
  <si>
    <t>Strada Soldat Croitoru Vasile 73, Bucuresti</t>
  </si>
  <si>
    <t>Strada Cozla 3, Bucuresti</t>
  </si>
  <si>
    <t>Strada Motilor 12, Bucuresti</t>
  </si>
  <si>
    <t>Strada Pravat 8</t>
  </si>
  <si>
    <t>Strada Barometrului 14</t>
  </si>
  <si>
    <t>Strada Fizicieanilor 1</t>
  </si>
  <si>
    <t>Strada Teiul Doamnei 1</t>
  </si>
  <si>
    <t>Strada Stefan Cel Mare 59, Otopeni</t>
  </si>
  <si>
    <t>Erou Chivu Dumitru 27, Voluntari</t>
  </si>
  <si>
    <t>Soseaua Mihai Bravu 136</t>
  </si>
  <si>
    <t>Strada Viitorului 30 B, Chiajna</t>
  </si>
  <si>
    <t>Adresa Soft</t>
  </si>
  <si>
    <t>1 x cozonac cu nuca,cacao si rom
bucatele raw-vegan tiramisu (150 gr)</t>
  </si>
  <si>
    <t>2 x cozonac nuca, cacao si rom
1 x cozonac fructe confiate
2 x pasca
--
ambalate ca 2 pachete + 1 cozo</t>
  </si>
  <si>
    <t>Praji sau Torturi</t>
  </si>
  <si>
    <t>Petruta Chiritoiu</t>
  </si>
  <si>
    <t>0724775256</t>
  </si>
  <si>
    <t>Tort Berry Chocolate
Greutate: 1 kg
Mesaj Personalizat: La mulți ani, Alexia</t>
  </si>
  <si>
    <t>Str.Nada Florilor nr.50, Bl.B6, sc.1, et.2, ap.12</t>
  </si>
  <si>
    <t>Mirela Maxim</t>
  </si>
  <si>
    <t>0729844063</t>
  </si>
  <si>
    <t>Str. Stiubei nr. 50, etaj 1, ap. 10, sector 3
Bucuresti,</t>
  </si>
  <si>
    <t>Violeta Dumitrascu</t>
  </si>
  <si>
    <t>0741082330</t>
  </si>
  <si>
    <t>Sector 4, Sos Oltenitei 251 C-D, sc 4, apt 137.</t>
  </si>
  <si>
    <t>Roxana Schwab</t>
  </si>
  <si>
    <t>0766450229</t>
  </si>
  <si>
    <t>Diamantului 111A bl2 et3 ap16</t>
  </si>
  <si>
    <t>1 x cozonac Mac
1 x pasca</t>
  </si>
  <si>
    <t>Anca-Maria Manea</t>
  </si>
  <si>
    <t>0747101032</t>
  </si>
  <si>
    <t>1 x cozonac nuca, cacao si rom
1 x pasca
1 x platou miniprajituri 5 persoane
-
1 x tort fistic cu zmeura 1.6 kg</t>
  </si>
  <si>
    <t>Str. Prel. Ghencea, Nr. 45, Bl. D5, Sc. A, Etaj 6, Ap. 52
Bragadiru, Ilfov 077025
(Cartierul Latin)</t>
  </si>
  <si>
    <t>Andrada Tanase</t>
  </si>
  <si>
    <t>0740046008</t>
  </si>
  <si>
    <t>str. Fetesti nr. 54-56, bloc 2, etaj 9, ap. 73, interfon 73, Sector 3, Bucuresti</t>
  </si>
  <si>
    <t>Anna Ionica</t>
  </si>
  <si>
    <t>0731591875</t>
  </si>
  <si>
    <t>Lucia Chivu</t>
  </si>
  <si>
    <t>0773848725</t>
  </si>
  <si>
    <t xml:space="preserve"> ȘOS. Colentina 1, bloc 34, sc 2, et 1, ap 44, interfon 44C</t>
  </si>
  <si>
    <t>1 x cozonac fructe confiate
1 x pasca
2 x tarta zmeura
1 x mont blanc</t>
  </si>
  <si>
    <t>Tort Duo Mousse cu Visine
Greutate: 1 kg
Mesaj Personalizat: La mulți ani, R!</t>
  </si>
  <si>
    <t>POPESTI-LEORDENI, Str Drumul Fermei nr 112,bl 3, ap 8, Ilfov</t>
  </si>
  <si>
    <t>Luiza Dumitru</t>
  </si>
  <si>
    <t>0724249484</t>
  </si>
  <si>
    <t>Str Ing Tacu Dumitru 28, serena residence, bl 2, sc C, ap 56 - sector 5, panga monetaria statului</t>
  </si>
  <si>
    <t>Alex Docze</t>
  </si>
  <si>
    <t>0721376186</t>
  </si>
  <si>
    <t>Sector 4, str dumitru samoila nr 9,bl 96,sc3 apt 34, Bucuresti</t>
  </si>
  <si>
    <t>0727551537</t>
  </si>
  <si>
    <t>Catalina Lefter</t>
  </si>
  <si>
    <t>Bulevardul Metalurgiei, nr 132, bloc C3 etaj 3, ap 36, sector 4</t>
  </si>
  <si>
    <t>Andreea Opran</t>
  </si>
  <si>
    <t>0764547111</t>
  </si>
  <si>
    <t>Bucuresti, sector 4, Str. Covasna nr. 6, Bl. E11, Sc. 2, et. 3, ap. 33, interfon 33</t>
  </si>
  <si>
    <t>Gheorghita Zaharia</t>
  </si>
  <si>
    <t>0722734127</t>
  </si>
  <si>
    <t>Basarabia Nr 84 bl B2 sc A Ap 3 sect 2</t>
  </si>
  <si>
    <t>Cristina Duma</t>
  </si>
  <si>
    <t>0733249734</t>
  </si>
  <si>
    <t>Str Erou Iancu Nicolae nr37D
Voluntari, Ilfov 077190</t>
  </si>
  <si>
    <t>Ruxandra Busu</t>
  </si>
  <si>
    <t>0766683982</t>
  </si>
  <si>
    <t>Prelungirea Ghencea nr 45,bl D3, sc A, et 9,ap 101
Bragadiru , Ilfov 060279, Romania</t>
  </si>
  <si>
    <t>Alina Curaliuc</t>
  </si>
  <si>
    <t>0724836565</t>
  </si>
  <si>
    <t>Intr. Horbotei, nr 1, bl M1, sc 2, ap 34, et 3, int 34c
BUCURESTI,</t>
  </si>
  <si>
    <t>Mihaela Smarandoiu</t>
  </si>
  <si>
    <t>0728143268</t>
  </si>
  <si>
    <t>Str.Petre Ispirescu , Nr.41, Tunari, Ilfov</t>
  </si>
  <si>
    <t>Daniela Vasile</t>
  </si>
  <si>
    <t>0728109141</t>
  </si>
  <si>
    <t>Tort Framboisier
Greutate: 1 kg
Mesaj Personalizat: La Multi Ani!</t>
  </si>
  <si>
    <t>Str. Crisul Negru, Nr 3C1
Bragadiru, Ilfov 050524, Romania</t>
  </si>
  <si>
    <t>Ruxandra Despa</t>
  </si>
  <si>
    <t>0785222123</t>
  </si>
  <si>
    <t>Tort Framboisier
Greutate: 1 kg
-
1 x pasca</t>
  </si>
  <si>
    <t xml:space="preserve"> strada Serban cantacuzino, 73, oras voluntari, ilfov</t>
  </si>
  <si>
    <t>Mihaela Otel</t>
  </si>
  <si>
    <t>0726137646</t>
  </si>
  <si>
    <t>1 x cozonac nuca,cacao si rom
1 x mont blanc
6 x minitarta ciocolata
6 x pavlova
6 x minitarta fructe</t>
  </si>
  <si>
    <t>Str Vlad Judetul 8, bl v11, sc 2, apt 48
Bucurest</t>
  </si>
  <si>
    <t>Domnita Iancu</t>
  </si>
  <si>
    <t>0723319539</t>
  </si>
  <si>
    <t>Bucuresti, str. Spatarului, nr. 14, sector 2. Zona Armeneasca.</t>
  </si>
  <si>
    <t>Ana Maria Mite</t>
  </si>
  <si>
    <t>0722253448</t>
  </si>
  <si>
    <t>Str. Ciucea nr. 8, bl. L18, sc. 2,et. 7, ap. 91, sector 3, interfon 36</t>
  </si>
  <si>
    <t>Lidia Stoian</t>
  </si>
  <si>
    <t>0724078326</t>
  </si>
  <si>
    <t>Tort Duo Mousse cu Visine
Greutate: 1 kg
Mesaj Personalizat: Paste fericit!
-
Tort Chocolate Fiesta
Greutate: 1 kg
Mesaj Personalizat: Paste fericit!
-
Tort Framboisier
Greutate: 1 kg
Mesaj Personalizat: Paste fericit!</t>
  </si>
  <si>
    <t xml:space="preserve"> Aleea Mizil nr. 1, bloc 1, scara 1, etaj 1, ap 26, sector 3, Bucuresti</t>
  </si>
  <si>
    <t>Rin Grand Residence Sos. VITAN BARZESTI NR. 7D-7E, Corp C', APT. 122, ET. 8 Bucuresti, sector 4</t>
  </si>
  <si>
    <t>Odoeme Elen</t>
  </si>
  <si>
    <t>0771536562</t>
  </si>
  <si>
    <t>Tort Framboisier
Greutate: 1 kg
Mesaj Personalizat: La Multi ani Mama! Te iubesc!</t>
  </si>
  <si>
    <t>Irina Constantinescu</t>
  </si>
  <si>
    <t>0721679832</t>
  </si>
  <si>
    <t>str.troitei nr.34 bis
Adunatii copaceni, Giurgiu 040433, Romania</t>
  </si>
  <si>
    <t>2 x cozonac nuca, cacao si rom
2 x pasca
1 x platou miniprajituri 5 persoane
-
1 x tort duo-mousse visinea 1.6 kg</t>
  </si>
  <si>
    <t>Ilie Dragan</t>
  </si>
  <si>
    <t>0727364218</t>
  </si>
  <si>
    <t xml:space="preserve"> Bd 1 Mai nr 30, Bloc OD15, Scara E, Etaj 6, Apart 188, Interfon 188C, Sector 6, BUCURESTI</t>
  </si>
  <si>
    <t>Ion Dumitru</t>
  </si>
  <si>
    <t>0726339947</t>
  </si>
  <si>
    <t>STR.TURNU MAGURELE NR.31 BL.10 AP.16 SECTOR 4 BUCURESTI</t>
  </si>
  <si>
    <t>Iulia Nicholschi</t>
  </si>
  <si>
    <t>0722554939</t>
  </si>
  <si>
    <t>Str. Emil Racovita nr. 31, bl. EM2, sc.C, et.3, apt.56
Bucurest</t>
  </si>
  <si>
    <t>Andra Tomescu</t>
  </si>
  <si>
    <t>0741169574</t>
  </si>
  <si>
    <t>Sos Fundeni nr 163
Bucureşti</t>
  </si>
  <si>
    <t>Mariam HMD</t>
  </si>
  <si>
    <t>0799854310</t>
  </si>
  <si>
    <t>Bulevardul Basarabia 79 bloc A20 scara A ap 13 etaj 3 interfon13c</t>
  </si>
  <si>
    <t>1 x cozonac nuca, cacao si rom
1 x pasca
1 x platou miniprajituri 5 persoane
-
1 x tort noisette 1.6 kg cu mesajul "La Multi Ani, Mariam"</t>
  </si>
  <si>
    <t>Mihaela Mihai</t>
  </si>
  <si>
    <t>0730810484</t>
  </si>
  <si>
    <t>1 x cozonac nuca, cacao si rom
1 x pasca
1 x platou miniprajituri 5 persoane
-
1 x tort mango si zmeur 1.6 kg</t>
  </si>
  <si>
    <t>: Strada Foișorului nr 11 , Bl F7C, Sc 2, Et 7,Ap 59, Secor 3, Bucuresti</t>
  </si>
  <si>
    <t>Adrian Nicolae Lisnic</t>
  </si>
  <si>
    <t>0747444446</t>
  </si>
  <si>
    <t>Str. Baia Mare, Nr. 8, Bl. 7A1, Sc. 1, Et. 4, Ap. 19, Bucuresti, Sector 3</t>
  </si>
  <si>
    <t>Cristina Chirita</t>
  </si>
  <si>
    <t>0722729476</t>
  </si>
  <si>
    <t>Prelungirea Ghencea nr 279C ap 2, Bucuresti</t>
  </si>
  <si>
    <t>Radu Cristian Circiu</t>
  </si>
  <si>
    <t>0757044627</t>
  </si>
  <si>
    <t>1 x cozonac nuca, cacao si rom
1 x pasca
1 x platou miniprajituri 5 persoane
-
1 x tort chocolate fiesta 1.6 kg</t>
  </si>
  <si>
    <t>Monica Aprozeanu</t>
  </si>
  <si>
    <t>0784719735</t>
  </si>
  <si>
    <t>Bucuresti sector 6, str.zboina neagra nr.6 bl.88, sc.1</t>
  </si>
  <si>
    <t>Catalina Tofan</t>
  </si>
  <si>
    <t>0728999214</t>
  </si>
  <si>
    <t>1 x cozonac mac
1 x pasca
1 x chec</t>
  </si>
  <si>
    <t>Str. Coralilor 105 A, Parter, Ap. 1, interfon 01, București, Sector 1</t>
  </si>
  <si>
    <t>Andreea Bostina</t>
  </si>
  <si>
    <t>0742285181</t>
  </si>
  <si>
    <t>Str Drumul Ghindari nr 69-71, sector 5, Bucuresti, casa 1, interfon 1</t>
  </si>
  <si>
    <t>Sorana Oana Filip</t>
  </si>
  <si>
    <t>0728750312</t>
  </si>
  <si>
    <t>Aleea Somesul Rece, nr. 27, ap. 04, interfon 04, partner, bloc 1, sector 1, Bucuresti, Romania</t>
  </si>
  <si>
    <t>Madalina Talpau</t>
  </si>
  <si>
    <t>0743017518</t>
  </si>
  <si>
    <t>Bucuresti, sector 3, strada complexului nr 3, bl 61, sc 3, et 3, ap 104</t>
  </si>
  <si>
    <t>Bitca Mariana</t>
  </si>
  <si>
    <t>0757101216</t>
  </si>
  <si>
    <t>Soseaua Fundeni nr 4 Bloc 11 C scara B interf.053
Bucuresti</t>
  </si>
  <si>
    <t>Natalia Manea</t>
  </si>
  <si>
    <t>0723087095</t>
  </si>
  <si>
    <t>Calea Grivitei, Nr 152, Sc 1, Etaj 6, Ap 29, Cod postal 010743, Sector 1</t>
  </si>
  <si>
    <t>1 x tort trio mousse 1 kg
1 x pasca</t>
  </si>
  <si>
    <t>Cristina Dumitrescu</t>
  </si>
  <si>
    <t>0724092978</t>
  </si>
  <si>
    <t>Aleea Somesul Mare nr 2, bl E5, sc 2, ap 32, et 2, sect 4, Bucuresti</t>
  </si>
  <si>
    <t>Mariana Ghelbere</t>
  </si>
  <si>
    <t>0721933333</t>
  </si>
  <si>
    <t xml:space="preserve"> str.Drumul Dealu Bistrii 25A vila2 ap.5 sector 4 Bucuresti</t>
  </si>
  <si>
    <t>Marian Pirvu</t>
  </si>
  <si>
    <t>0727223277</t>
  </si>
  <si>
    <t>str. Dezrobirii 42, Bl. O8A, Sc. C, Ap.143, Sect. 6</t>
  </si>
  <si>
    <t>Andrei Stancioiu</t>
  </si>
  <si>
    <t>0723037060</t>
  </si>
  <si>
    <t>bd. Camil Ressu nr.57 bl.H13 sc.B et.4 ap.40 interfon 040</t>
  </si>
  <si>
    <t>Calin Istratescu</t>
  </si>
  <si>
    <t>0727341729</t>
  </si>
  <si>
    <t>Șoseaua Olteniței 227 - 237, bl 1,sc 2, et5, ap.525, sect 4 București</t>
  </si>
  <si>
    <t>Ionut Gheorghita</t>
  </si>
  <si>
    <t>0763437270</t>
  </si>
  <si>
    <t>Strada Constantin Brâncuși Nr.19,bloc M13,scara 1, Ap.6,etaj parter.,Sector 3, București</t>
  </si>
  <si>
    <t>Tort Ricotta &amp; Fructe Confiate
Greutate: 1 kg
-
1 x cozonac nuca, cacao si rom
1 x pasca</t>
  </si>
  <si>
    <t>Calea Mosilor nr.300 bl.58 sc.2. et.6 ap.49 interfon 49</t>
  </si>
  <si>
    <t>Mihai Onel</t>
  </si>
  <si>
    <t>0727891857</t>
  </si>
  <si>
    <t>21 Residence
Bd. Iuliu Maniu Nr. 15H Bl. 2 Sc. 1 Et. 6 Ap. 37 Interfon 037 Sect. 6</t>
  </si>
  <si>
    <t>Ilinca Dascalu</t>
  </si>
  <si>
    <t>0753862990</t>
  </si>
  <si>
    <t>Tort Citron
Greutate: 1 kg
Mesaj Personalizat: La Multi Ani Mama! 79</t>
  </si>
  <si>
    <t>Complex Novum Splaiul Independentei 313B Bl. C3 Sc. 1 Et. 7 Ap. 61 Interfon 61OK Sect. 6 Bucuresti</t>
  </si>
  <si>
    <t>Elena Petcu</t>
  </si>
  <si>
    <t>0722561800</t>
  </si>
  <si>
    <t>Jud. Ilfov, Comuna Clinceni, Strada Principala, Nr. 166</t>
  </si>
  <si>
    <t>2 x cozonac nuca, cacao si rom</t>
  </si>
  <si>
    <t xml:space="preserve">1 x tort manga zmeura 1.2 kg cu Plăcută 
“La mulți ani, florentina” </t>
  </si>
  <si>
    <t>Vasilica (Lara Cake)</t>
  </si>
  <si>
    <t>0765951130</t>
  </si>
  <si>
    <t>Strada Ilie oprea nr 10 A, Bl L1 Sc 1, ap 31 et. 4</t>
  </si>
  <si>
    <t>Client Telefon</t>
  </si>
  <si>
    <t>1 x cozonac fructe
1 x pasca</t>
  </si>
  <si>
    <t>0745133512</t>
  </si>
  <si>
    <t>Bd Chisinau nr.7, Bl A1, Sc1, Ap 37, Et 9</t>
  </si>
  <si>
    <t>0766421288</t>
  </si>
  <si>
    <t>Mogosoaia Strada Fuiorului Nr.10</t>
  </si>
  <si>
    <t>0755121568</t>
  </si>
  <si>
    <t xml:space="preserve"> Strada Ion Manolescu nr4, Bl 131, Sc 1, Ap 31, Et 6</t>
  </si>
  <si>
    <t>Gaby</t>
  </si>
  <si>
    <t>Drum Padurea neagra, nr 52 A, RU42B, ap 3</t>
  </si>
  <si>
    <t>0725918110</t>
  </si>
  <si>
    <t>1 x tort oreo 1.5 kg ca pe website cu mesajul "La multi ani Eric"</t>
  </si>
  <si>
    <t>aleea Suraia nr.6, bl.50, sc.4, et.4, ap.59, sector 3, Bucuresti</t>
  </si>
  <si>
    <t>Iulia Enache</t>
  </si>
  <si>
    <t>0730060107</t>
  </si>
  <si>
    <t>Calea Serban Voda nr270, Bl 14, Sc B, Et 9, Ap 75</t>
  </si>
  <si>
    <t>1 x cozonac nuca, cacao si rom
1 x pasca
1 x platou miniprajituri 5 persoane
-
1 x tort raspberry vanilla 1.6 kg</t>
  </si>
  <si>
    <t>0723956914</t>
  </si>
  <si>
    <t>Bulevardul Iuliu Maniu 186 A, Bl E1, Sc B, Et 8, Ap 60, interfon 60</t>
  </si>
  <si>
    <t>1 x cozonac nuca, cacao si rom
1 x mac
1 x pasca</t>
  </si>
  <si>
    <t>0741791245</t>
  </si>
  <si>
    <t>Calea Plevnei nr145 B, Complex Orhideea, Bl3, Sc 1. , ap 3072</t>
  </si>
  <si>
    <t>1 x cozonac nuca, cacao si rom
1 x pasca
1 x platou miniprajituri 5 persoane
-
1 x tortduo-mousse visine 1.6 kg</t>
  </si>
  <si>
    <t>0758368551</t>
  </si>
  <si>
    <t>Strada Izvorul Oltului nr4, Bl 33, Ap 39, Sc 1, et 6</t>
  </si>
  <si>
    <t>0769643411</t>
  </si>
  <si>
    <t>0787718477</t>
  </si>
  <si>
    <t>Strada Nicolae Licaret nr 10, Bl PM 41, Sc A, Et 6, ap 27</t>
  </si>
  <si>
    <t xml:space="preserve">Client Telefon
</t>
  </si>
  <si>
    <t>Client
--
Cand ajungem la locatie I se spune ca este cadou din partea doamnei andreea
(0721551662)</t>
  </si>
  <si>
    <t>a achitat prin op pe 11.04</t>
  </si>
  <si>
    <t>Coliban Sofia</t>
  </si>
  <si>
    <t>0723158584</t>
  </si>
  <si>
    <t>Bd Alexandru Ioan Cuza nr.9, Et 2, Ap 3 interfon Coliban</t>
  </si>
  <si>
    <t>1 x tort duo-mousse visine 1 kg cu mesajul 
"la multi ani ,  bunica"</t>
  </si>
  <si>
    <t>0724248524</t>
  </si>
  <si>
    <t>Strada Abatajului nr.33</t>
  </si>
  <si>
    <t>Gheorghe Andreea</t>
  </si>
  <si>
    <t>0721400454</t>
  </si>
  <si>
    <t>Str. Drumul la Rosu nr. 9A
Sector 6, Bucuresti</t>
  </si>
  <si>
    <t>FACTURA RALCOM 11.04</t>
  </si>
  <si>
    <t>Cabinet Doctor Tudor Rodica</t>
  </si>
  <si>
    <t>0721585005</t>
  </si>
  <si>
    <t>Ionas Maria</t>
  </si>
  <si>
    <t>0727627760</t>
  </si>
  <si>
    <t>cat mai dimi</t>
  </si>
  <si>
    <t>Str Siret 65 sector 1</t>
  </si>
  <si>
    <t xml:space="preserve">Asistenta Stroe Doina
-
Cabinet medic de familie Lazar Iulian </t>
  </si>
  <si>
    <t>0730362910</t>
  </si>
  <si>
    <t>Str Polona Nr 30, sector 1</t>
  </si>
  <si>
    <t>Sabina Trandafir</t>
  </si>
  <si>
    <t>0730050741</t>
  </si>
  <si>
    <t>Antoaneta Stiop</t>
  </si>
  <si>
    <t>0741090015</t>
  </si>
  <si>
    <t>Str. Turda nr. 129, bl. 1, scara B, et.7, ap. 71
Bucuresti,</t>
  </si>
  <si>
    <t>Raluca Popoviciu</t>
  </si>
  <si>
    <t>0770100559</t>
  </si>
  <si>
    <t xml:space="preserve"> Str.Drumul Valea Cricovului, nr.60A, sector 6, Bucuresti</t>
  </si>
  <si>
    <t>1 x platou miniprajituri 5 persoane
2 x Raw Vegan Pistachio Pillow
2 x Raw Vegan Blueberry Finger</t>
  </si>
  <si>
    <t>Virginia Petrea</t>
  </si>
  <si>
    <t>0728222225</t>
  </si>
  <si>
    <t xml:space="preserve"> str Anghel Nutu nr 5, sector 5</t>
  </si>
  <si>
    <t>Denisa Zaharia</t>
  </si>
  <si>
    <t>0729403604</t>
  </si>
  <si>
    <t>+40 (738) 954 746</t>
  </si>
  <si>
    <t xml:space="preserve">(ATENTIE!!! AICI NU SUNAM CA SA COMUNICAM ORAA!!!!) </t>
  </si>
  <si>
    <t>SUNATI-L PE DAN NEAPARAT. FACE EL LIVRAREA!</t>
  </si>
  <si>
    <t>(0727) 218 830</t>
  </si>
  <si>
    <t>0724) 865 247</t>
  </si>
  <si>
    <t>0722780850‬</t>
  </si>
  <si>
    <t>0 756 116 009</t>
  </si>
  <si>
    <t>0736168780</t>
  </si>
  <si>
    <t>0723424227</t>
  </si>
  <si>
    <t>0728195564</t>
  </si>
  <si>
    <t>0744924291</t>
  </si>
  <si>
    <t>0747221465</t>
  </si>
  <si>
    <t>0723212726</t>
  </si>
  <si>
    <t>0773783731</t>
  </si>
  <si>
    <t>0746288764</t>
  </si>
  <si>
    <t>0732719121</t>
  </si>
  <si>
    <t>0745999778</t>
  </si>
  <si>
    <t>0744314136</t>
  </si>
  <si>
    <t>0726243681</t>
  </si>
  <si>
    <t>0763030232</t>
  </si>
  <si>
    <t>0765681324</t>
  </si>
  <si>
    <t>0740438610</t>
  </si>
  <si>
    <t>0724293316</t>
  </si>
  <si>
    <t>0767898008</t>
  </si>
  <si>
    <t>0720466403</t>
  </si>
  <si>
    <t>0753474047</t>
  </si>
  <si>
    <t>0721145142</t>
  </si>
  <si>
    <t>0720549007</t>
  </si>
  <si>
    <t>0722431941</t>
  </si>
  <si>
    <t>0754708114</t>
  </si>
  <si>
    <t>0726327230</t>
  </si>
  <si>
    <t>0725353973</t>
  </si>
  <si>
    <t>0740241610</t>
  </si>
  <si>
    <t>0735154837</t>
  </si>
  <si>
    <t>0721423345</t>
  </si>
  <si>
    <t>0723258538</t>
  </si>
  <si>
    <t>0722322946</t>
  </si>
  <si>
    <t>0730254878</t>
  </si>
  <si>
    <t>0723195674</t>
  </si>
  <si>
    <t>0728201601</t>
  </si>
  <si>
    <t>0765216760</t>
  </si>
  <si>
    <t>0743330675</t>
  </si>
  <si>
    <t>0773982980</t>
  </si>
  <si>
    <t>0726112843</t>
  </si>
  <si>
    <t>0726130897</t>
  </si>
  <si>
    <t>0762656459</t>
  </si>
  <si>
    <t>0722517236</t>
  </si>
  <si>
    <t>0730704912</t>
  </si>
  <si>
    <t>0726018199</t>
  </si>
  <si>
    <t>0727753128</t>
  </si>
  <si>
    <t>0767713076</t>
  </si>
  <si>
    <t>0744434400</t>
  </si>
  <si>
    <t>0722453193</t>
  </si>
  <si>
    <t>0745581748</t>
  </si>
  <si>
    <t>0744348511</t>
  </si>
  <si>
    <t>0748161484</t>
  </si>
  <si>
    <t>0748531714</t>
  </si>
  <si>
    <t>0762266303</t>
  </si>
  <si>
    <t>0771347143</t>
  </si>
  <si>
    <t>0722559459</t>
  </si>
  <si>
    <t>0742463020</t>
  </si>
  <si>
    <t>0766257834</t>
  </si>
  <si>
    <t>0727662080</t>
  </si>
  <si>
    <t>0744803502</t>
  </si>
  <si>
    <t>0744554625</t>
  </si>
  <si>
    <t>0745057981</t>
  </si>
  <si>
    <t>0730216568</t>
  </si>
  <si>
    <t>0729820318</t>
  </si>
  <si>
    <t>0722392530</t>
  </si>
  <si>
    <t>0721223409</t>
  </si>
  <si>
    <t>0744109358</t>
  </si>
  <si>
    <t>0721225075</t>
  </si>
  <si>
    <t>0744839924</t>
  </si>
  <si>
    <t>0788240037</t>
  </si>
  <si>
    <t>0722191316</t>
  </si>
  <si>
    <t>0745753798</t>
  </si>
  <si>
    <t>0723392681</t>
  </si>
  <si>
    <t>0770729836</t>
  </si>
  <si>
    <t>0729746708</t>
  </si>
  <si>
    <t>0721366104</t>
  </si>
  <si>
    <t>0764409905</t>
  </si>
  <si>
    <t>0755135210</t>
  </si>
  <si>
    <t>0732087661</t>
  </si>
  <si>
    <t>0722550555</t>
  </si>
  <si>
    <t>0768324624</t>
  </si>
  <si>
    <t>0729002635</t>
  </si>
  <si>
    <t>0755487039</t>
  </si>
  <si>
    <t>0758815855</t>
  </si>
  <si>
    <t>0723347190</t>
  </si>
  <si>
    <t>0752106052</t>
  </si>
  <si>
    <t>0755141914</t>
  </si>
  <si>
    <t>0727801128</t>
  </si>
  <si>
    <t>0741105444</t>
  </si>
  <si>
    <t>0721943628</t>
  </si>
  <si>
    <t>0765086107</t>
  </si>
  <si>
    <t>0767220929</t>
  </si>
  <si>
    <t>0745081198</t>
  </si>
  <si>
    <t>0732674125</t>
  </si>
  <si>
    <t>0746066611</t>
  </si>
  <si>
    <t>0772018653</t>
  </si>
  <si>
    <t>0771099081</t>
  </si>
  <si>
    <t>0723743613</t>
  </si>
  <si>
    <t>0728162950</t>
  </si>
  <si>
    <t>0755135253</t>
  </si>
  <si>
    <t>0744687203</t>
  </si>
  <si>
    <t>0727921105</t>
  </si>
  <si>
    <t>0721378635</t>
  </si>
  <si>
    <t>0726784493</t>
  </si>
  <si>
    <t>0746105337</t>
  </si>
  <si>
    <t>0744661511</t>
  </si>
  <si>
    <t>0723372552</t>
  </si>
  <si>
    <t>0723226433</t>
  </si>
  <si>
    <t>0742866534</t>
  </si>
  <si>
    <t>0740000629</t>
  </si>
  <si>
    <t>0721337129</t>
  </si>
  <si>
    <t>0723999270</t>
  </si>
  <si>
    <t>0724993991</t>
  </si>
  <si>
    <t>0727719330</t>
  </si>
  <si>
    <t>0769469195</t>
  </si>
  <si>
    <t>0722887380</t>
  </si>
  <si>
    <t>0723259837</t>
  </si>
  <si>
    <t>0724518967</t>
  </si>
  <si>
    <t>0762847492</t>
  </si>
  <si>
    <t>0736833922</t>
  </si>
  <si>
    <t>0723698641</t>
  </si>
  <si>
    <t>0771101028</t>
  </si>
  <si>
    <t>0752306118</t>
  </si>
  <si>
    <t>0766417121</t>
  </si>
  <si>
    <t>0722251478</t>
  </si>
  <si>
    <t>0720602657</t>
  </si>
  <si>
    <t>0770366152</t>
  </si>
  <si>
    <t>0723387625</t>
  </si>
  <si>
    <t>0722178074</t>
  </si>
  <si>
    <t>0755135251</t>
  </si>
  <si>
    <t>0721406039</t>
  </si>
  <si>
    <t>0722551098</t>
  </si>
  <si>
    <t>0745122883</t>
  </si>
  <si>
    <t>0740907165</t>
  </si>
  <si>
    <t>0722212134</t>
  </si>
  <si>
    <t>0753523623</t>
  </si>
  <si>
    <t>0724378432</t>
  </si>
  <si>
    <t>0744528970</t>
  </si>
  <si>
    <t>0744434014</t>
  </si>
  <si>
    <t>0747118281</t>
  </si>
  <si>
    <t>0734115660</t>
  </si>
  <si>
    <t>0722617501</t>
  </si>
  <si>
    <t>0723631467</t>
  </si>
  <si>
    <t>0722149278</t>
  </si>
  <si>
    <t>0723155934</t>
  </si>
  <si>
    <t>0727170777</t>
  </si>
  <si>
    <t>0744780184</t>
  </si>
  <si>
    <t>0751111039</t>
  </si>
  <si>
    <t>0727768756</t>
  </si>
  <si>
    <t>0756324231</t>
  </si>
  <si>
    <t>0721348574</t>
  </si>
  <si>
    <t>0742498074</t>
  </si>
  <si>
    <t>0729151066</t>
  </si>
  <si>
    <t>0723261682</t>
  </si>
  <si>
    <t>0732952135</t>
  </si>
  <si>
    <t>0773865940</t>
  </si>
  <si>
    <t>0774548339</t>
  </si>
  <si>
    <t>0723468473</t>
  </si>
  <si>
    <t>0733630706</t>
  </si>
  <si>
    <t>0764471345</t>
  </si>
  <si>
    <t>0747136089</t>
  </si>
  <si>
    <t>0722318783</t>
  </si>
  <si>
    <t>0726185509</t>
  </si>
  <si>
    <t>0728058058</t>
  </si>
  <si>
    <t>0743706109</t>
  </si>
  <si>
    <t>0746890571</t>
  </si>
  <si>
    <t>0728171632</t>
  </si>
  <si>
    <t>0765249943</t>
  </si>
  <si>
    <t>0745036889</t>
  </si>
  <si>
    <t>0743953484</t>
  </si>
  <si>
    <t>0742436111</t>
  </si>
  <si>
    <t>0726878166</t>
  </si>
  <si>
    <t>0720344042</t>
  </si>
  <si>
    <t>0767171080</t>
  </si>
  <si>
    <t>0766713215</t>
  </si>
  <si>
    <t>0745215911</t>
  </si>
  <si>
    <t>0753506839</t>
  </si>
  <si>
    <t>0728086261</t>
  </si>
  <si>
    <t>0747967712</t>
  </si>
  <si>
    <t>0744883251</t>
  </si>
  <si>
    <t>0745636756</t>
  </si>
  <si>
    <t>0723305495</t>
  </si>
  <si>
    <t>0722513218</t>
  </si>
  <si>
    <t>0767571423</t>
  </si>
  <si>
    <t>0733000818</t>
  </si>
  <si>
    <t>0730439710</t>
  </si>
  <si>
    <t>0731492560</t>
  </si>
  <si>
    <t>0723290972</t>
  </si>
  <si>
    <t>0744853134</t>
  </si>
  <si>
    <t>0751151080</t>
  </si>
  <si>
    <t>0735009303</t>
  </si>
  <si>
    <t>0744513060</t>
  </si>
  <si>
    <t>0743114325</t>
  </si>
  <si>
    <t>0722244803</t>
  </si>
  <si>
    <t>0726137438</t>
  </si>
  <si>
    <t>0723408816</t>
  </si>
  <si>
    <t>0722480744</t>
  </si>
  <si>
    <t>0721783333</t>
  </si>
  <si>
    <t>0723579730</t>
  </si>
  <si>
    <t>0724262828</t>
  </si>
  <si>
    <t>0757570589</t>
  </si>
  <si>
    <t>0722406006</t>
  </si>
  <si>
    <t>0740051354</t>
  </si>
  <si>
    <t>0723678657</t>
  </si>
  <si>
    <t>0726428058</t>
  </si>
  <si>
    <t>0787967086</t>
  </si>
  <si>
    <t>0741019292</t>
  </si>
  <si>
    <t>0749062289</t>
  </si>
  <si>
    <t>0753637596</t>
  </si>
  <si>
    <t>0770998110</t>
  </si>
  <si>
    <t>0722440210</t>
  </si>
  <si>
    <t>0745788484</t>
  </si>
  <si>
    <t>0758930104</t>
  </si>
  <si>
    <t>0774094926</t>
  </si>
  <si>
    <t>0767595508</t>
  </si>
  <si>
    <t>0767162671</t>
  </si>
  <si>
    <t>0724396416</t>
  </si>
  <si>
    <t>0744488902</t>
  </si>
  <si>
    <t>0745801333</t>
  </si>
  <si>
    <t>0726414585</t>
  </si>
  <si>
    <t>0722210225</t>
  </si>
  <si>
    <t>0724760867</t>
  </si>
  <si>
    <t>0770286997</t>
  </si>
  <si>
    <t>0721600078</t>
  </si>
  <si>
    <t>0724575822</t>
  </si>
  <si>
    <t>0765780662</t>
  </si>
  <si>
    <t>0724590293</t>
  </si>
  <si>
    <t>0752225606</t>
  </si>
  <si>
    <t>0729280543</t>
  </si>
  <si>
    <t>0731151889</t>
  </si>
  <si>
    <t>0722535783</t>
  </si>
  <si>
    <t>0724840607</t>
  </si>
  <si>
    <t>0721236020</t>
  </si>
  <si>
    <t>0774671852</t>
  </si>
  <si>
    <t>0721854130</t>
  </si>
  <si>
    <t>0763660974</t>
  </si>
  <si>
    <t>0722686720</t>
  </si>
  <si>
    <t>0722452044</t>
  </si>
  <si>
    <t>0799157553</t>
  </si>
  <si>
    <t>0727306945</t>
  </si>
  <si>
    <t>0723138058</t>
  </si>
  <si>
    <t>0722797808</t>
  </si>
  <si>
    <t>0740137709</t>
  </si>
  <si>
    <t>0722935605</t>
  </si>
  <si>
    <t>0723969375</t>
  </si>
  <si>
    <t>0217260237</t>
  </si>
  <si>
    <t>0769981266</t>
  </si>
  <si>
    <t>0723372900</t>
  </si>
  <si>
    <t>0745114245</t>
  </si>
  <si>
    <t>0725592212</t>
  </si>
  <si>
    <t>0722672016</t>
  </si>
  <si>
    <t>0722202672</t>
  </si>
  <si>
    <t>0724568703</t>
  </si>
  <si>
    <t>0723884936</t>
  </si>
  <si>
    <t>0766524850</t>
  </si>
  <si>
    <t>0737935210</t>
  </si>
  <si>
    <t>0726113803</t>
  </si>
  <si>
    <t>0740318145</t>
  </si>
  <si>
    <t>0744251082</t>
  </si>
  <si>
    <t>0729746148</t>
  </si>
  <si>
    <t>0745091092</t>
  </si>
  <si>
    <t>0734836155</t>
  </si>
  <si>
    <t>0725351505</t>
  </si>
  <si>
    <t>0744432429</t>
  </si>
  <si>
    <t>0724577758</t>
  </si>
  <si>
    <t>0722429826</t>
  </si>
  <si>
    <t>0723734684</t>
  </si>
  <si>
    <t>0770317174</t>
  </si>
  <si>
    <t>0739978105</t>
  </si>
  <si>
    <t>0723543233</t>
  </si>
  <si>
    <t>0742350095</t>
  </si>
  <si>
    <t>0726147640</t>
  </si>
  <si>
    <t>0723265060</t>
  </si>
  <si>
    <t>0734030871</t>
  </si>
  <si>
    <t>0720339943</t>
  </si>
  <si>
    <t>0740006977</t>
  </si>
  <si>
    <t>0727723320</t>
  </si>
  <si>
    <t>0741651519</t>
  </si>
  <si>
    <t>0720530802</t>
  </si>
  <si>
    <t>0722830801</t>
  </si>
  <si>
    <t>0744358337</t>
  </si>
  <si>
    <t>0764471783</t>
  </si>
  <si>
    <t>0768716833</t>
  </si>
  <si>
    <t>0723535685</t>
  </si>
  <si>
    <t>0760294882</t>
  </si>
  <si>
    <t>0721292111</t>
  </si>
  <si>
    <t>0726157827</t>
  </si>
  <si>
    <t>0745529346</t>
  </si>
  <si>
    <t>0745478545</t>
  </si>
  <si>
    <t>0767681316</t>
  </si>
  <si>
    <t>0724209288</t>
  </si>
  <si>
    <t>0726720438</t>
  </si>
  <si>
    <t>0745782340</t>
  </si>
  <si>
    <t>0766520453</t>
  </si>
  <si>
    <t>0752010504</t>
  </si>
  <si>
    <t>0726727143</t>
  </si>
  <si>
    <t>0745369855</t>
  </si>
  <si>
    <t>0767450749</t>
  </si>
  <si>
    <t>0747287545</t>
  </si>
  <si>
    <t>0722504700</t>
  </si>
  <si>
    <t>0745059853</t>
  </si>
  <si>
    <t>0766509040</t>
  </si>
  <si>
    <t>0723589383</t>
  </si>
  <si>
    <t>0727825280</t>
  </si>
  <si>
    <t>0765670650</t>
  </si>
  <si>
    <t>0771108682</t>
  </si>
  <si>
    <t>0765351799</t>
  </si>
  <si>
    <t>0723371937</t>
  </si>
  <si>
    <t>0726902797</t>
  </si>
  <si>
    <t>0763717695</t>
  </si>
  <si>
    <t>0721978354</t>
  </si>
  <si>
    <t>0767302103</t>
  </si>
  <si>
    <t>0724501285</t>
  </si>
  <si>
    <t>0762611857</t>
  </si>
  <si>
    <t>0730170190</t>
  </si>
  <si>
    <t>0726915176</t>
  </si>
  <si>
    <t>0752444431</t>
  </si>
  <si>
    <t>0742016592</t>
  </si>
  <si>
    <t>0723600896</t>
  </si>
  <si>
    <t>0733073863</t>
  </si>
  <si>
    <t>0734978690</t>
  </si>
  <si>
    <t>0724518019</t>
  </si>
  <si>
    <t>0744997998</t>
  </si>
  <si>
    <t>0722732996</t>
  </si>
  <si>
    <t>0753110847</t>
  </si>
  <si>
    <t>0725517490</t>
  </si>
  <si>
    <t>0728109370</t>
  </si>
  <si>
    <t>0722166882</t>
  </si>
  <si>
    <t>0728899271</t>
  </si>
  <si>
    <t>0730893894</t>
  </si>
  <si>
    <t>0749098429</t>
  </si>
  <si>
    <t>0765448622</t>
  </si>
  <si>
    <t>0744498670</t>
  </si>
  <si>
    <t>0728000902</t>
  </si>
  <si>
    <t>0734143422</t>
  </si>
  <si>
    <t>0747574415</t>
  </si>
  <si>
    <t>0766463050</t>
  </si>
  <si>
    <t>0747890543</t>
  </si>
  <si>
    <t>0766732694</t>
  </si>
  <si>
    <t>0762023842</t>
  </si>
  <si>
    <t>0722637110</t>
  </si>
  <si>
    <t>0726152285</t>
  </si>
  <si>
    <t>0727549667</t>
  </si>
  <si>
    <t>0721220931</t>
  </si>
  <si>
    <t>0732069389</t>
  </si>
  <si>
    <t>0726109998</t>
  </si>
  <si>
    <t>0745062207</t>
  </si>
  <si>
    <t>0729151010</t>
  </si>
  <si>
    <t>0767336517</t>
  </si>
  <si>
    <t>0728787778</t>
  </si>
  <si>
    <t>0761250474</t>
  </si>
  <si>
    <t>0723523534</t>
  </si>
  <si>
    <t>0784883188</t>
  </si>
  <si>
    <t>0723638590</t>
  </si>
  <si>
    <t>0747447655</t>
  </si>
  <si>
    <t>0723564387</t>
  </si>
  <si>
    <t>0743904706</t>
  </si>
  <si>
    <t>0766236344</t>
  </si>
  <si>
    <t>0740066972</t>
  </si>
  <si>
    <t>0733172774</t>
  </si>
  <si>
    <t>0722250559</t>
  </si>
  <si>
    <t>0763659573</t>
  </si>
  <si>
    <t>0762680278</t>
  </si>
  <si>
    <t>0729051119</t>
  </si>
  <si>
    <t>0723608463</t>
  </si>
  <si>
    <t>0722484776</t>
  </si>
  <si>
    <t>0760712663</t>
  </si>
  <si>
    <t>0721665586</t>
  </si>
  <si>
    <t>0755372737</t>
  </si>
  <si>
    <t>0726344138</t>
  </si>
  <si>
    <t>0216440589</t>
  </si>
  <si>
    <t>0721046345</t>
  </si>
  <si>
    <t>0767581377</t>
  </si>
  <si>
    <t>0724319953</t>
  </si>
  <si>
    <t>0723638531</t>
  </si>
  <si>
    <t>0754392233</t>
  </si>
  <si>
    <t>0722313548</t>
  </si>
  <si>
    <t>0730712370</t>
  </si>
  <si>
    <t>0724024539</t>
  </si>
  <si>
    <t>0744440589</t>
  </si>
  <si>
    <t>0745240750</t>
  </si>
  <si>
    <t>0745696382</t>
  </si>
  <si>
    <t>0723443517</t>
  </si>
  <si>
    <t>0722642392</t>
  </si>
  <si>
    <t>0745981079</t>
  </si>
  <si>
    <t>0755696208</t>
  </si>
  <si>
    <t>0745026768</t>
  </si>
  <si>
    <t>0727568559</t>
  </si>
  <si>
    <t>0727843747</t>
  </si>
  <si>
    <t>0727500272</t>
  </si>
  <si>
    <t>0729933175</t>
  </si>
  <si>
    <t>0726273570</t>
  </si>
  <si>
    <t>0729752622</t>
  </si>
  <si>
    <t>0721815782</t>
  </si>
  <si>
    <t>0724228811</t>
  </si>
  <si>
    <t>0726292140</t>
  </si>
  <si>
    <t>0724538395</t>
  </si>
  <si>
    <t>0751552710</t>
  </si>
  <si>
    <t>0740090770</t>
  </si>
  <si>
    <t>0723398772</t>
  </si>
  <si>
    <t>0723120404</t>
  </si>
  <si>
    <t>0760832416</t>
  </si>
  <si>
    <t>0741124400</t>
  </si>
  <si>
    <t>0749199898</t>
  </si>
  <si>
    <t>0768774625</t>
  </si>
  <si>
    <t>0751202004</t>
  </si>
  <si>
    <t>0743128126</t>
  </si>
  <si>
    <t>0728291698</t>
  </si>
  <si>
    <t>0721821910</t>
  </si>
  <si>
    <t>0744761016</t>
  </si>
  <si>
    <t>0722430472</t>
  </si>
  <si>
    <t>0755011073</t>
  </si>
  <si>
    <t>0747035354</t>
  </si>
  <si>
    <t>0723570208</t>
  </si>
  <si>
    <t>0722372300</t>
  </si>
  <si>
    <t>0745250037</t>
  </si>
  <si>
    <t>0722454141</t>
  </si>
  <si>
    <t>0741519995</t>
  </si>
  <si>
    <t>0728037815</t>
  </si>
  <si>
    <t>0720025669</t>
  </si>
  <si>
    <t>0727297615</t>
  </si>
  <si>
    <t>0746020059</t>
  </si>
  <si>
    <t>0723248212</t>
  </si>
  <si>
    <t>0766262769</t>
  </si>
  <si>
    <t>0727729939</t>
  </si>
  <si>
    <t>Dl. ISTRATOIU FLORIN - 0721221496
---
Istratoiu Mihaela
0744847505</t>
  </si>
  <si>
    <t>0721221496</t>
  </si>
  <si>
    <t>0721929181</t>
  </si>
  <si>
    <t>0752512509</t>
  </si>
  <si>
    <t>0748754983</t>
  </si>
  <si>
    <t>0752976843</t>
  </si>
  <si>
    <t>0722222201</t>
  </si>
  <si>
    <t>0733203185</t>
  </si>
  <si>
    <t>0724201668</t>
  </si>
  <si>
    <t>0744662050</t>
  </si>
  <si>
    <t>0730554787</t>
  </si>
  <si>
    <t>0733104691</t>
  </si>
  <si>
    <t>0723643340</t>
  </si>
  <si>
    <t>0727852766</t>
  </si>
  <si>
    <t>0752544820</t>
  </si>
  <si>
    <t>0745121201</t>
  </si>
  <si>
    <t>0740580399</t>
  </si>
  <si>
    <t>0724566994</t>
  </si>
  <si>
    <t>0729207979</t>
  </si>
  <si>
    <t>0722556189</t>
  </si>
  <si>
    <t>0785636817</t>
  </si>
  <si>
    <t>0730263511</t>
  </si>
  <si>
    <t>0753377777</t>
  </si>
  <si>
    <t>0722624033‬</t>
  </si>
  <si>
    <t>0787445996</t>
  </si>
  <si>
    <t>0741147056</t>
  </si>
  <si>
    <t>0766758754</t>
  </si>
  <si>
    <t>0747639380</t>
  </si>
  <si>
    <t>0769308271</t>
  </si>
  <si>
    <t>0726793582</t>
  </si>
  <si>
    <t>0724126764</t>
  </si>
  <si>
    <t>0742200209</t>
  </si>
  <si>
    <t>0755224989</t>
  </si>
  <si>
    <t>0746209953</t>
  </si>
  <si>
    <t>0729107053</t>
  </si>
  <si>
    <t>0722694986‬</t>
  </si>
  <si>
    <t>0756151744‬</t>
  </si>
  <si>
    <t>0722703714</t>
  </si>
  <si>
    <t>0721321439</t>
  </si>
  <si>
    <t>0731722367</t>
  </si>
  <si>
    <t>0721720675‬,</t>
  </si>
  <si>
    <t>0724985929</t>
  </si>
  <si>
    <t>0722640493‬</t>
  </si>
  <si>
    <t>0728929200</t>
  </si>
  <si>
    <t>0722306337</t>
  </si>
  <si>
    <t>0744165834</t>
  </si>
  <si>
    <t>0766712293</t>
  </si>
  <si>
    <t>0740184402</t>
  </si>
  <si>
    <t>0742017496</t>
  </si>
  <si>
    <t>0724435766</t>
  </si>
  <si>
    <t>0724865247</t>
  </si>
  <si>
    <t>0722691240</t>
  </si>
  <si>
    <t>0721141996</t>
  </si>
  <si>
    <t>0217603708</t>
  </si>
  <si>
    <t>0757776181</t>
  </si>
  <si>
    <t>0744329292</t>
  </si>
  <si>
    <t>0723201946</t>
  </si>
  <si>
    <t>0213174728</t>
  </si>
  <si>
    <t>0722155654‬</t>
  </si>
  <si>
    <t>0720093610</t>
  </si>
  <si>
    <t>0744570429‬</t>
  </si>
  <si>
    <t>0743024831</t>
  </si>
  <si>
    <t>0724036199</t>
  </si>
  <si>
    <t>0722886078</t>
  </si>
  <si>
    <t>0749537635</t>
  </si>
  <si>
    <t>0742809519</t>
  </si>
  <si>
    <t>0767410905</t>
  </si>
  <si>
    <t>0732921181‬</t>
  </si>
  <si>
    <t>0728726194</t>
  </si>
  <si>
    <t>0722516940</t>
  </si>
  <si>
    <t>0727081011</t>
  </si>
  <si>
    <t>0724207082</t>
  </si>
  <si>
    <t>0744319366</t>
  </si>
  <si>
    <t>0720030396</t>
  </si>
  <si>
    <t>0724202465</t>
  </si>
  <si>
    <t>0773336020</t>
  </si>
  <si>
    <t>072188926</t>
  </si>
  <si>
    <t>0731031006</t>
  </si>
  <si>
    <t>0769320925‬</t>
  </si>
  <si>
    <t>0731697044</t>
  </si>
  <si>
    <t>0733726693</t>
  </si>
  <si>
    <t>0729497128</t>
  </si>
  <si>
    <t>0726710540</t>
  </si>
  <si>
    <t>Roxana Mirica</t>
  </si>
  <si>
    <t>0722772462</t>
  </si>
  <si>
    <t>Str.Tulnici nr 3 , bloc 71 ,scara 2 , apartament 26,interfon 26 ,etaj 3</t>
  </si>
  <si>
    <t>Cristina Chitu</t>
  </si>
  <si>
    <t>0726396825</t>
  </si>
  <si>
    <t>Str. Apusului nr. 58, bl. 70,  sc. B, etaj 2, ap. 29, sector 6</t>
  </si>
  <si>
    <t>Drumul Cooperativei 104, casa 8, sect 5, Bucuresti</t>
  </si>
  <si>
    <t>Mihai Baciu</t>
  </si>
  <si>
    <t>0720057192</t>
  </si>
  <si>
    <t>str. Baia de aramă nr 1, bl A, sc. 3, et. 5, ap. 113, sector 2, București</t>
  </si>
  <si>
    <t>Flori Lixandru</t>
  </si>
  <si>
    <t>0734023787</t>
  </si>
  <si>
    <t>Str. Calea Șerban Vodă, nr.159
Bucuresti,</t>
  </si>
  <si>
    <t>Gabriela Stadiu</t>
  </si>
  <si>
    <t>0742844912</t>
  </si>
  <si>
    <t>strada Pascani nr 7, bl D8, sc D, et 4, ap 40, interfon 40, sector 6, Bucuresti</t>
  </si>
  <si>
    <t>0 724 616 610</t>
  </si>
  <si>
    <t>Adresa calea rahovei 303 bl 66 sc 4 et 7 ap 162,Interfon 62 ora 14,15</t>
  </si>
  <si>
    <t>1 x cozonac fructe confiate
1 x pasca
1 x platou minipraji 5 persoane
-
1 x tort framboisier 1.6 kg</t>
  </si>
  <si>
    <t>0723623966</t>
  </si>
  <si>
    <t>Teodora Diaconu</t>
  </si>
  <si>
    <t>1 x cozonac fructe confiate
1 x pasca
1 x platou minipraji 5 persoane
-
1 x tort fistic si zmeura 1.6 kg
-
ATENTIE TORTUL TREBUIE TAIAT PE JUMATATE</t>
  </si>
  <si>
    <t>Otopeni, Jud Ilfov, calea Bucureștilor, nr. 64, bl. C1-3, Sc. 3, ap. 8, int 18</t>
  </si>
  <si>
    <t>0740055802</t>
  </si>
  <si>
    <t>str. IERBEI, nr. 2, bl. 158, Sc.B, et. Ap. 87</t>
  </si>
  <si>
    <t>Strada Codrii Neamtului 11, Blc 2, Sc 1, Et 2, Ap 16, Interfon 16,  Sector</t>
  </si>
  <si>
    <t>Carmen Focsancshi</t>
  </si>
  <si>
    <t>0727401246</t>
  </si>
  <si>
    <t>Cristi
0731977981</t>
  </si>
  <si>
    <t>0731977981</t>
  </si>
  <si>
    <t xml:space="preserve">15 x cozonac cu nuca, cacao si rom
15 x pasca </t>
  </si>
  <si>
    <t>Johannes Kepler, nr. 58-60, sector 2</t>
  </si>
  <si>
    <t>factura Next Energy</t>
  </si>
  <si>
    <t>0726449968</t>
  </si>
  <si>
    <t>Agenția Națională pentru Achiziții Publice - Strada Foișorului 2A, București, sector 2</t>
  </si>
  <si>
    <t>bulevardul iuliu maniu, rotar park residence, bl 3, sc B,etaj-demisol , ap 1, interfon 0</t>
  </si>
  <si>
    <t>Andrei Briciu
-
De mentionat ca este cadou din partea finilor</t>
  </si>
  <si>
    <t>0725232253</t>
  </si>
  <si>
    <t>Rabonia Avram</t>
  </si>
  <si>
    <t>0735580300</t>
  </si>
  <si>
    <t xml:space="preserve"> Str Lucretiu Patrascanu nr 13 , Bl G 1,sc B ,et 5 , ap 156. Sect 3 BUCURESTI</t>
  </si>
  <si>
    <t>Andrei Cenja</t>
  </si>
  <si>
    <t>0745634968</t>
  </si>
  <si>
    <t>Sanziana Moise</t>
  </si>
  <si>
    <t>0762634874</t>
  </si>
  <si>
    <t xml:space="preserve">Strada Târgu Neamț, nr 10, bl TD23, ap33, et 5, sect 6, Bucuresti
</t>
  </si>
  <si>
    <t>Vlad Cojocaru</t>
  </si>
  <si>
    <t>0737946561</t>
  </si>
  <si>
    <t>Intrarea Drumul Taberei 4, bloc F, scara 1, etaj 3, apartament 12, sector 6, Bucuresti</t>
  </si>
  <si>
    <t>Alexandra Galeriu</t>
  </si>
  <si>
    <t>0784020202</t>
  </si>
  <si>
    <t>Valea argesului nr 3, bl d11, sc c, ap 25
Bucuresti</t>
  </si>
  <si>
    <t>Valentina Teodorescu</t>
  </si>
  <si>
    <t>Bd Timisoara Nr 35 Bl OD6 Scara 5 Et 5 Ap 167 Interfon 167</t>
  </si>
  <si>
    <t>1 x cozonac nuca, cacao si rom
1 x pasca
--
1 x tort tort ciocolata si portocale 1.2 kg</t>
  </si>
  <si>
    <t>Ungureanu Crina</t>
  </si>
  <si>
    <t>0751677430</t>
  </si>
  <si>
    <t>Strada Brașoveni 3, bloc 7, scara B, etaj 5, apt 72, sector 2, Bucuresti.</t>
  </si>
  <si>
    <t>Cornelia Campean</t>
  </si>
  <si>
    <t>0721577341</t>
  </si>
  <si>
    <t>Aleea Ariesul Mare nr 2 bl i 11 sc 1 et 4
Bucuresti sector 6</t>
  </si>
  <si>
    <t>Carmen Lupu</t>
  </si>
  <si>
    <t>0724523356</t>
  </si>
  <si>
    <t>Intrarea Barsei nr. 5, Bl. G3, sc. 1, etj. 2, apt. 25, sect. 3
Bucurest</t>
  </si>
  <si>
    <t>Marilena Moldoveanu</t>
  </si>
  <si>
    <t>0773348162</t>
  </si>
  <si>
    <t>Str. Chiscani, nr. 3, bl.18A, sc. 1, et. 6, ap. 27, sector 1, Bucuresti, Interfon 9033142C</t>
  </si>
  <si>
    <t>0739661132</t>
  </si>
  <si>
    <t>Str. Bucovina, nr. 1bis, bl. L10A, sc. A, et. 3, ap. 43, București, sector 3</t>
  </si>
  <si>
    <t>Vera Urlateanu</t>
  </si>
  <si>
    <t>0740159660</t>
  </si>
  <si>
    <t>Bd Ion Mihalache nr 127, bl 6, sc A, et 3, ap 12, sector 1</t>
  </si>
  <si>
    <t>Marilena Sulai</t>
  </si>
  <si>
    <t>0762885350</t>
  </si>
  <si>
    <t>Sos Mihai Bravu nr. 286, Bl. 2, sc. 2, etj. 1, apt. 42 (interfon 42c), sector 3, Bucuresti</t>
  </si>
  <si>
    <t>Adina Oprisanu</t>
  </si>
  <si>
    <t>0757670662</t>
  </si>
  <si>
    <t>Strada Voronet nr. 10, bl. D3, sc. 1, ap, 19, et 4, int 019
Bucharest</t>
  </si>
  <si>
    <t>Florence Bedreaga</t>
  </si>
  <si>
    <t>0746585561</t>
  </si>
  <si>
    <t>strada brașovului 20 ,bloc 11,scara b,apt 19,sector 1,bucuresti,cod postal 013162</t>
  </si>
  <si>
    <t>Monica Matei</t>
  </si>
  <si>
    <t>0723111044</t>
  </si>
  <si>
    <t>Sos Vitan Barzesti 7D bl 4 sc B ap 544 et 9 sector 4 Bucuresti</t>
  </si>
  <si>
    <t>Drumul Binelui, 19-21, bl. 5, sc 1, et 4, ap 38, interfon 38</t>
  </si>
  <si>
    <t>Nichita Zloteanu</t>
  </si>
  <si>
    <t>0745909335</t>
  </si>
  <si>
    <t>1 x cozonac NUCA,CACAO, ROM SI RAHAT</t>
  </si>
  <si>
    <t>Dornei 14, sector 1, Bucuresti</t>
  </si>
  <si>
    <t>Dna Negru Marusia</t>
  </si>
  <si>
    <t>Str. Făurei nr.1 bl.P11 sc.B et.9 ap.265 sect.1 zona Pajurei</t>
  </si>
  <si>
    <t>0729811310</t>
  </si>
  <si>
    <t>Factura facuta pe 12.04.2020</t>
  </si>
  <si>
    <t>factura facuta pe 12.04.2020</t>
  </si>
  <si>
    <t>Paula Marcu</t>
  </si>
  <si>
    <t>0742598402</t>
  </si>
  <si>
    <t>1 x cozonac fructe confiate</t>
  </si>
  <si>
    <t>Splaiul Independentei 313b, corp c5, et1, ap 13</t>
  </si>
  <si>
    <t xml:space="preserve">Calin Andreea
</t>
  </si>
  <si>
    <t>Teodor Badea</t>
  </si>
  <si>
    <t>0729596527</t>
  </si>
  <si>
    <t>1 x cozonac nuca, cacao si rom
1 x pasca
-
4 x cremsnit
2 x amandina
2 x tarta citron
1 x chec cu ciocolata</t>
  </si>
  <si>
    <t>Strada Valea lui Mihai, nr. 3, bl. TD14, et. 8, ap. 51, int. 51</t>
  </si>
  <si>
    <t>Mirela Ciobanu</t>
  </si>
  <si>
    <t>0748060001</t>
  </si>
  <si>
    <t xml:space="preserve"> Str Calcarului Nr 2, et 1, Ap 2, Sector 1, Bucuresti (interfon 2, bloc pe colț cu intrarea din Str Natatiei)</t>
  </si>
  <si>
    <t>Ionela Lesenciuc</t>
  </si>
  <si>
    <t>0723810652</t>
  </si>
  <si>
    <t>Str.Marasesti , Nr. 14, Ap. 28, Etaj 2, Bragadiru, Jud. Ilfov ( Cartierul Verde )</t>
  </si>
  <si>
    <t>Nicoleta Vitelariu</t>
  </si>
  <si>
    <t>0723131574</t>
  </si>
  <si>
    <t>+447730354779</t>
  </si>
  <si>
    <t>Adriana Sola</t>
  </si>
  <si>
    <t>Strada Ogorului 16
Corbeanca Ilfov, Ilfov 077065, Romania</t>
  </si>
  <si>
    <t xml:space="preserve">Strada Turda 121, bloc 5, scara B, eraj 6, ap. 83, interfon 33, sector 1, Bucuresti
</t>
  </si>
  <si>
    <t>Elena Ruxandra Chiurtu</t>
  </si>
  <si>
    <t>0723870539</t>
  </si>
  <si>
    <t>Drumul Taberei, str. Obcina Mica 3, bl Z29, et 2, ap 17, interfon 17</t>
  </si>
  <si>
    <t>Florina Negura
0723328584
--
Din partea Marei</t>
  </si>
  <si>
    <t>1 x cozonac cu nuca</t>
  </si>
  <si>
    <t>Strada Turda 119, Blc C6, Scara B, Ap 30, etaj 4</t>
  </si>
  <si>
    <t>Strada Tipografilor 31, București
--
Se lasa la bucatarie pentru Ana Caranovic</t>
  </si>
  <si>
    <t>Ana C.</t>
  </si>
  <si>
    <t>0727300402</t>
  </si>
  <si>
    <t>Ionut Lara</t>
  </si>
  <si>
    <t>0728187338</t>
  </si>
  <si>
    <t>2 tarte citron 
2 tarte zmeura 
2 cremsnit 
3 felii tort fistic 
3 felii tort lămâie și mac
1 savarina 
2  x cheescake 
2 x Amandină
2 x Tarta ciocolata 
1 x ciocolatina 
15 x cutie 4 prajituri
15 x cutie 8 prajituri
10 x punga mare
10 x punga mica</t>
  </si>
  <si>
    <t>Colonel Gheorghe Costescu 3</t>
  </si>
  <si>
    <t>uber</t>
  </si>
  <si>
    <t>0722756760</t>
  </si>
  <si>
    <t>Str horia macelariu nr 83 sc b et 6 ap 95</t>
  </si>
  <si>
    <t>Alexandru</t>
  </si>
  <si>
    <t>0 721 235 084</t>
  </si>
  <si>
    <t>1 x cozonac fitness
2 x pasca
2 x tarta ciocolata si caramel
1 x amandina
1 x cafinan</t>
  </si>
  <si>
    <t>Steaua Rosie.nr 31k, bl.k, et.1, ap.8, Otopeni, Ilfov</t>
  </si>
  <si>
    <t xml:space="preserve">0 753 377 777 </t>
  </si>
  <si>
    <t>1 x 1.6 kg tort bailey's</t>
  </si>
  <si>
    <t>Bulevardul Ferdinand I, Bucuresti nr 122, Ol O12, Sc 1, Et 5, Ap 27</t>
  </si>
  <si>
    <t>strada Stefan Mihaileanu 38, Bucuresti</t>
  </si>
  <si>
    <t>Strada Nerva Traian nr 6 bl M39 ap51, Bucuresti</t>
  </si>
  <si>
    <t>Strada Izvorul Muresului 10, Bucuresti bloc 10, sc F, et 1,ap 54, interfon 54, sector 4</t>
  </si>
  <si>
    <t>Strada Targul Neamt, Bucuresti, nr.14A,, bl B37, sc.4, ap.59, interfon 059, etajul 4</t>
  </si>
  <si>
    <t>Strada Borsa 33, Bucuresti, Bl. 7G, Sc 1, Ap 15</t>
  </si>
  <si>
    <t>cash cu bon/ a achitat card</t>
  </si>
  <si>
    <t>Strada Valea Rosie 1, Bucuresti, Bloc Z9, Sc 1, Etaj 9,  Ap 57C</t>
  </si>
  <si>
    <t>Modrea Tanie</t>
  </si>
  <si>
    <t>0766785120</t>
  </si>
  <si>
    <t>Strada Ametistului 1, Bragadiru 1</t>
  </si>
  <si>
    <t>0772204001</t>
  </si>
  <si>
    <t>Tort Raw-Vegan Tiramisu 1. 4 kg cu mesajul " La Multi Ani!"</t>
  </si>
  <si>
    <t>Bulevardul Tineretului 3, Bucuresti, Bl. Z1, Sc1, Ap 34. Interfon 34, Etaj 5</t>
  </si>
  <si>
    <t>Andronic Raluca</t>
  </si>
  <si>
    <t>0758318256</t>
  </si>
  <si>
    <t>Cristina Luca</t>
  </si>
  <si>
    <t>Calea Crangasi 5, Bucuresti, Bl 3, Sc I, Etaj 1, Ap 3, Interfon 03</t>
  </si>
  <si>
    <t>0768105740</t>
  </si>
  <si>
    <t>Iulian Vasile</t>
  </si>
  <si>
    <t>0724208849</t>
  </si>
  <si>
    <t>1 x cozonac nuca cacao si rom
1 x pasca</t>
  </si>
  <si>
    <t>Aleea Covasna 6, Bucuresti, bl. f16, Sc. 2, et. 1, ap 18, int 18</t>
  </si>
  <si>
    <t>0770189334</t>
  </si>
  <si>
    <t>Strada Eufrosina Popescu 54, bl. 37A, Sc. C, et. 5, ap. 112, int 112, Bucuresti</t>
  </si>
  <si>
    <t>Juganaru Gheorghe</t>
  </si>
  <si>
    <t xml:space="preserve">Strada Secerișului nr 20, curte 
Sect 4 </t>
  </si>
  <si>
    <t>0723326822</t>
  </si>
  <si>
    <t>Strada Ion Negulici 25, Bucuresti,  et 2 ap 3 int 3</t>
  </si>
  <si>
    <t>0722286912</t>
  </si>
  <si>
    <t>1 x cozonac nuca,cacao si rom
1 x paca
1 x platou miniprajituri
-
1 x tort pavlova 1.6 kg</t>
  </si>
  <si>
    <t>Uretu Diana</t>
  </si>
  <si>
    <t>0726054368</t>
  </si>
  <si>
    <t>Alexandru Moruzzi Voievod nr 5, bl.A13, sc2, ap.46, et.4, sector 3 Bucuresti</t>
  </si>
  <si>
    <t>Prislopan Monica</t>
  </si>
  <si>
    <t>0731028866</t>
  </si>
  <si>
    <t>Nicoletta Ionescu
0744488902</t>
  </si>
  <si>
    <t>Michaela Pasc</t>
  </si>
  <si>
    <t>0722517639</t>
  </si>
  <si>
    <t>Tort Chocolate Fiesta
Greutate: 1 kg
Mesaj Personalizat: La multi ani!
31 ani</t>
  </si>
  <si>
    <t>Strada DRUMUL BINELUI,NR.39,BLOC 6,SC.1,AP.84,COMPLEX VIVA
SECTOR 4,BUCURESTI</t>
  </si>
  <si>
    <t>Sanda Velea</t>
  </si>
  <si>
    <t>0726714740</t>
  </si>
  <si>
    <t>Strada Zambilelor 6 bloc 60 Scara A Etaj 2 apartament 5. Interfon 3
cod 023783</t>
  </si>
  <si>
    <t>1 x cozonac raw vegan cu mac
1 x platou mic raw-vegan
4 x raw-vegan cashew stone
1 x tort mango zmeura 1 kg</t>
  </si>
  <si>
    <t>Letitia Taloi</t>
  </si>
  <si>
    <t>0740223356</t>
  </si>
  <si>
    <t>Soseaua Colentina nr26, bl 64,Sc B1, et 5, ap110</t>
  </si>
  <si>
    <t>Aleea Zanelor, nr 12, sector 4
Bucuresti, Bucharest 040438, Romania</t>
  </si>
  <si>
    <t>Adriana Chirtu</t>
  </si>
  <si>
    <t>0726356480</t>
  </si>
  <si>
    <t>Andreea Tudor</t>
  </si>
  <si>
    <t>0722353981</t>
  </si>
  <si>
    <t>1 x cozonac mac
1 x paca
1 x platou miniprajituri
-
1 x tort noisette 1.6 kg</t>
  </si>
  <si>
    <t>Strada baltita 2, bloc b18, scara 1, etaj2, ap 9 , interfon 9
Bucuresti</t>
  </si>
  <si>
    <t>Olaru Magdalena</t>
  </si>
  <si>
    <t>Strada Borsa 39, BucurestiBl 7B, Scara 1, Etaj 1, Ap 4, Interfon 04, Sector 1 Aviatiei</t>
  </si>
  <si>
    <t>0726399995</t>
  </si>
  <si>
    <t>Strada Jean Louis Calderon 1-5, sc. B, et. 7, ap. 44, sector 2, București, primul interfon 44 și al doilea interfon 1945.</t>
  </si>
  <si>
    <t xml:space="preserve">Alin Stefan
</t>
  </si>
  <si>
    <t xml:space="preserve"> Strada Panselelor, nr 11, bl 165, sc 3, et 1, ap 43, sector 4, Bucuresti</t>
  </si>
  <si>
    <t>Madalina Teodora
---
0723448692
Cadou din partea Laviniei Bran</t>
  </si>
  <si>
    <t>0724864363</t>
  </si>
  <si>
    <t>Nicoleta Pintilie</t>
  </si>
  <si>
    <t>0726188955</t>
  </si>
  <si>
    <t>Lavinia Bran</t>
  </si>
  <si>
    <t>Soseaua Viilor 55, et 1, ap 7, interfon 7
Pantelimon, Ilfov 077145</t>
  </si>
  <si>
    <t>1 x cozonac raw-vegan cu nuca
1 x platou raw-vegan 9 buc</t>
  </si>
  <si>
    <t>strada sergent major florea blejan 4, Bl 15, Sc. 1, Et. 4, Ap. 52, Sect. 5
Bucuresti</t>
  </si>
  <si>
    <t>Elena Raluca Tranca</t>
  </si>
  <si>
    <t>0721289646</t>
  </si>
  <si>
    <t>Roxana Logofatu</t>
  </si>
  <si>
    <t>0723213412</t>
  </si>
  <si>
    <t>Tort Berry Chocolate
Greutate: 1 kg
Mesaj Personalizat: La mulți ani Iris</t>
  </si>
  <si>
    <t>ulevardul Metalurgie 57 59, sector 4, bloc 1 ,scara 1, etaj , 4 , ap 41. Bucuresti</t>
  </si>
  <si>
    <t>Strada Gladitei, nr. 42, bl. T7, et. 7,apt.702,sector 4, București</t>
  </si>
  <si>
    <t>1 x cozonac nuca,cacao si rom
Tort Oreo
Greutate: 1 kg</t>
  </si>
  <si>
    <t>Str. Ion C. Baicoianu, nr. 82A, Tancabesti, Ilfov
Tancabesti, Ilfov 077167, Romania</t>
  </si>
  <si>
    <t>Aurelia Badea</t>
  </si>
  <si>
    <t>0745956028</t>
  </si>
  <si>
    <t>Grivita nr 27C, drum servitute pe langa 27A
Otopeni, Ilfov 075100, Romania</t>
  </si>
  <si>
    <t>Splaiul independentei 267 bl.1, sc.1, et.4, ap.6, sector 6, bucuresti</t>
  </si>
  <si>
    <t>Marius Popa</t>
  </si>
  <si>
    <t>0736339230</t>
  </si>
  <si>
    <t>Ramona Dumitru</t>
  </si>
  <si>
    <t xml:space="preserve">Intrarea Odobesti nr 12, bloc V7A
Bucuresti </t>
  </si>
  <si>
    <t>Irina Carnariu</t>
  </si>
  <si>
    <t>0761063104</t>
  </si>
  <si>
    <t>Strada Argeselu, nr 11-13, bloc 35, scara 3, ap 41, interfon 41</t>
  </si>
  <si>
    <t>1 x tort decorat ca in poze Décor (Batman) cu mesajul "La multi ani, Cristi!" (3 kg chocolate fiesta)</t>
  </si>
  <si>
    <t>1 x 2 kg chocolate fiesta pentru tort decorat irina carnariu 04.05</t>
  </si>
  <si>
    <t>Maria Spaloghe</t>
  </si>
  <si>
    <t>0744541427</t>
  </si>
  <si>
    <t>Strada Petuniei, nr16, parter, interfon 03
Bucuresti</t>
  </si>
  <si>
    <t>Bianca Pintilie</t>
  </si>
  <si>
    <t>0769315339</t>
  </si>
  <si>
    <t>Piaţa Romană, Nr. 9, Scara C, Etaj 5, Ap. 23
Bucureşti, Sector 1</t>
  </si>
  <si>
    <t>Alex Toma</t>
  </si>
  <si>
    <t>0724870217</t>
  </si>
  <si>
    <t>Piata Revolutiei nr 1 A
Bucuresti</t>
  </si>
  <si>
    <t>Bianca Michi Nema</t>
  </si>
  <si>
    <t>0758815880</t>
  </si>
  <si>
    <t>Strada Eftimie Murgu nr 4, sector 3, Bucuresti</t>
  </si>
  <si>
    <t>Ana Maria Thilia</t>
  </si>
  <si>
    <t>0744535175</t>
  </si>
  <si>
    <t>strada soldat iosif ion nr.12,bloc 6c2, scara 1, parter, ap. 3, interfon 03, sector 3, Bucuresti</t>
  </si>
  <si>
    <t>Irina Ilie</t>
  </si>
  <si>
    <t>0744344644</t>
  </si>
  <si>
    <t xml:space="preserve"> BulevardulTheodor Pallady, nr. 30C, ap. 28, et.2
Bucuresti, sector 3</t>
  </si>
  <si>
    <t>Strada Pridvorului nr 13, bl 13, sc 1, et 3, apt 12
Bucuresti</t>
  </si>
  <si>
    <t>Livia Ailincutei</t>
  </si>
  <si>
    <t>0744951799</t>
  </si>
  <si>
    <t>Clara Paslaru</t>
  </si>
  <si>
    <t>0735440673</t>
  </si>
  <si>
    <t>Calea Bucureștilor 76
Otopeni , Ilfov</t>
  </si>
  <si>
    <t>Andreea Chiurtu</t>
  </si>
  <si>
    <t>0767229277</t>
  </si>
  <si>
    <t>Strada Veteranilor, Nr. 1-5, Bl.7, Sc.1, Etaj 6, Ap. 75, Sector 6, Bucuresti</t>
  </si>
  <si>
    <t>0744577230</t>
  </si>
  <si>
    <t>Strada Caisului 12F, Dobroesti</t>
  </si>
  <si>
    <t>1 x cozonac cu nuca,cacao si rom
1 x pasca
4 x tarta mare ciocolata
1 x 1.6 kg tort duo-mousse visine
20 macarons</t>
  </si>
  <si>
    <t>Achitat anterior. Din partea laurei</t>
  </si>
  <si>
    <t>Florin</t>
  </si>
  <si>
    <t>0740259787</t>
  </si>
  <si>
    <t>0769213273</t>
  </si>
  <si>
    <t>Lucaci Cristian
-
Se suna sa iasa in fata.</t>
  </si>
  <si>
    <t>Strada Dumbrava Noua nr 37 Bl S16 Sc 1 Et 5 Ap 24 interfon 24</t>
  </si>
  <si>
    <t>Splaiul Independentei 290, Bl. 3</t>
  </si>
  <si>
    <t>Anca Tataru</t>
  </si>
  <si>
    <t>0741271932</t>
  </si>
  <si>
    <t>1 x cozonac cu nuca, cacao si rom
1 x cozonac mac
1 x pasca</t>
  </si>
  <si>
    <t>Strada Stirbei Voda 125-127, Et. 7, Ap 40, int. 042, Sector 1, Bucuresti</t>
  </si>
  <si>
    <t>Lidia Udrea</t>
  </si>
  <si>
    <t>Strada Drumul Fermei, nr 69 F, Ap 3,Popești Leordeni</t>
  </si>
  <si>
    <t>0767094973</t>
  </si>
  <si>
    <t>1 x cozonac nuca,cacao si rom
1 x pasca
1 x tort framboisier 1 kg</t>
  </si>
  <si>
    <t>Familia Simion</t>
  </si>
  <si>
    <t>Strada Luica 27, Bucuresti bl M 4 et9 ap. 59 interfon 59 sect. 4</t>
  </si>
  <si>
    <t>Alexe Anne Marie</t>
  </si>
  <si>
    <t>1 x cozonac nuca, cacao si rom
1 x platou miniprajituri 5 persoane</t>
  </si>
  <si>
    <t>Strada  9 mai, nr 7, bloc 24, scara 2, ap 59, sector 6
( strada dintre podul grant si stadionul giulesti)</t>
  </si>
  <si>
    <t>0746473451</t>
  </si>
  <si>
    <t>!!!! ATENTIE, ARE DIABET!!!
1 x cozonac nuca, cacao si rom CU EXCTRACT DE STEVIE IN LOC DE ZAHAR
1 x pasca</t>
  </si>
  <si>
    <t>0723642153</t>
  </si>
  <si>
    <t>cash cu bon/ a achita cu cardul</t>
  </si>
  <si>
    <t>Lacul Tei 17, Bucuresti
(Casa de Pensii)</t>
  </si>
  <si>
    <t xml:space="preserve"> Strada Ion Conea 54 sector 5 București villa 2 Aparament 4 0729403604</t>
  </si>
  <si>
    <t>Stefania</t>
  </si>
  <si>
    <t>0318036566</t>
  </si>
  <si>
    <t>Strada Luntrei nr.6, Bl 7, Sc 2, Et 5, Ap 133, interfon 133</t>
  </si>
  <si>
    <t>2 opera
2 amandine
1 savarina
1 cremsnit</t>
  </si>
  <si>
    <t>Delia</t>
  </si>
  <si>
    <t>0723292233</t>
  </si>
  <si>
    <t>Soseaua Oltenitei 225</t>
  </si>
  <si>
    <t>1 x pasca
1 x tort 1.6 kg mango zmeura</t>
  </si>
  <si>
    <t>(0767) 022 131</t>
  </si>
  <si>
    <t>1 x COZONAC DOAR CU RAHAT
1 X PASCA FARA STAFIDE</t>
  </si>
  <si>
    <t>Intrarea Ciresului 11, Bl A2, Et 4, Ap 31</t>
  </si>
  <si>
    <t>Isabelle Elena Tița</t>
  </si>
  <si>
    <t xml:space="preserve"> Strada Valea Mare, nr 14, sector 6, Bucuresti</t>
  </si>
  <si>
    <t>1 x tort inima tonka cu o placuta pe el pe care sa scrie "Cea mai bună mama si bunica!"
--
1 x platou miniprajituri 5 persoane</t>
  </si>
  <si>
    <t>Anda G. Dinulescu</t>
  </si>
  <si>
    <t>0765202016</t>
  </si>
  <si>
    <t>Strada Dorneasca nr 4, bloc P64, sc 3 et 5 ap 90</t>
  </si>
  <si>
    <t>1 x cozonac nuca,caca si rom
1 x platou miniprajituri 5 persoane</t>
  </si>
  <si>
    <t>Madalina Merisan</t>
  </si>
  <si>
    <t>Strada smaraldului 10, bl. 6 ap. 3 inferfon 3</t>
  </si>
  <si>
    <t>1 x cozonac nuca, cacao si rom
1 x pasca
-
2 x amandina</t>
  </si>
  <si>
    <t>0743 048 582</t>
  </si>
  <si>
    <t>Tudor M. (Lara)</t>
  </si>
  <si>
    <t>3 x cozonac cu nuca, cacao si rom
1 x pasca
-
1 x tort pere 1.2 kg 
(reteta noua cu cafea)</t>
  </si>
  <si>
    <t>Soseaua Gheorghe Ionescu Sisesti, nr. 30, et. 3, ap. 13, Bucuresti</t>
  </si>
  <si>
    <t>cash fara brr
(a luat Tudor R.)</t>
  </si>
  <si>
    <t>Roxana Bratucu</t>
  </si>
  <si>
    <t>0747451389</t>
  </si>
  <si>
    <t>Calea Plevnei, nr. 11 Bis, bl. Corp B, Et 2, Ap. 16</t>
  </si>
  <si>
    <t>Mariana Rosner</t>
  </si>
  <si>
    <t>0744557223</t>
  </si>
  <si>
    <t xml:space="preserve"> strada Potcoavei nr 5
Peris, Ilfov</t>
  </si>
  <si>
    <t>Geanina Mustache</t>
  </si>
  <si>
    <t>0747198805</t>
  </si>
  <si>
    <t>Bulevardul Iuliu Maniu nr. 79, bl. 1, sc. 2, et. 7, ap. 51, Bucuresti, sector 6</t>
  </si>
  <si>
    <t>Razvan Zanfir</t>
  </si>
  <si>
    <t>0723624610</t>
  </si>
  <si>
    <t>Soseaua  Colentina 68 bl.107 et.7, ap.46</t>
  </si>
  <si>
    <t>Rodica Sandor</t>
  </si>
  <si>
    <t>0740094741</t>
  </si>
  <si>
    <t>Strada Rodul Pământului nr. 4, bl. P2, Sc. C, Et. 1, ap. 37, sector 3, interfon 37</t>
  </si>
  <si>
    <t>Strada spiralei nr 2 sector 5 bucuresti</t>
  </si>
  <si>
    <t xml:space="preserve">2 x tarta zmeura
2 x ecler ciocolata
2 x ecler cafea
1 x cremsnit
1 x opera
</t>
  </si>
  <si>
    <t>Cristina Ionica</t>
  </si>
  <si>
    <t>0760142277</t>
  </si>
  <si>
    <t>Alina Panait</t>
  </si>
  <si>
    <t>0752180988</t>
  </si>
  <si>
    <t>Tort Bailey's
Greutate: 1 kg
Mesaj Personalizat: La mulți ani, Valentin!</t>
  </si>
  <si>
    <t xml:space="preserve"> Strada Arefu, 57, lot 2/3, et.2, AP. 16, sector 5, Bucuresti
QTY: 1
</t>
  </si>
  <si>
    <t>Adina Trandaf</t>
  </si>
  <si>
    <t>0726044042</t>
  </si>
  <si>
    <t>Strada Dinu Vintila, nr. 6B, scara F, etaj 2, ap 43, interfon 203, Central Park Residence</t>
  </si>
  <si>
    <t>3 x cozonac nuca,cacao si rom</t>
  </si>
  <si>
    <t>Intrarea Canalului 48, sc B ap 10 et 1
Rosu, Ilfov 077042, Romania</t>
  </si>
  <si>
    <t>0767061500</t>
  </si>
  <si>
    <t>Emma Ene</t>
  </si>
  <si>
    <t>Larisa Ruseti</t>
  </si>
  <si>
    <t>str. Maracineni, nr 114-116, Cubic 6 Residence, Bragadiru, vila 35.</t>
  </si>
  <si>
    <t>Strada General Petre Popovat 68, Sector 6, Bucuresti</t>
  </si>
  <si>
    <t>Cristina Comsa</t>
  </si>
  <si>
    <t>0726779372</t>
  </si>
  <si>
    <t>1 x tort decorat ca in departament deocr (1.5 kg oreo) cu mesajul "La multi ani, Irina!"</t>
  </si>
  <si>
    <t>1 x tort 0.7 gr pentru Larisa Ruseti 24.04</t>
  </si>
  <si>
    <t xml:space="preserve">COMANDA ASTA SA AJUNGA CAT DE ERMETIC SE POATE. SE TRIMITE  DIN CAROL PRIN POSTA IN ORADEA! PLATOUL DE CAFEA SA AIBE FOLIE PESTE EL. COZONACII LA FEL
--
2 x cozonac mac
2 x cozonac nuca, cacao si rom
1 x platou miniprajituri 10 persoane CAFEA
</t>
  </si>
  <si>
    <t>Drum Claudiu</t>
  </si>
  <si>
    <t>Ridicat untul si folia acetat de la electromagnetica la ora 10:00</t>
  </si>
  <si>
    <t>Electromagnetica
(stie reta)</t>
  </si>
  <si>
    <t>Colonel Georghe Costescu 3, Bucuresti</t>
  </si>
  <si>
    <t>Strada Fortunei nr 25 ap 12 sector 1
Bucuresti, Bucharest 011017, Romania</t>
  </si>
  <si>
    <t>Strada Sergent Ion Iriceanu, Nr.10, Bl.156, Sc.2, Et.6, Ap.90, Sector 4</t>
  </si>
  <si>
    <t>Strada. Lotrioara nr.15 bc.V37 sc.2, et.3 ap.57 interfon 57C
sector 3</t>
  </si>
  <si>
    <t>Bulevardul Chisinau 19 vl.a5, sc.a, ap.4, interfon 04</t>
  </si>
  <si>
    <t>0733212153</t>
  </si>
  <si>
    <t>Daniela Alivej</t>
  </si>
  <si>
    <t>2 x cozonac nuca,cacao si rom
1 x mac
3 x pasca</t>
  </si>
  <si>
    <t>Adela Culea</t>
  </si>
  <si>
    <t>0723515528</t>
  </si>
  <si>
    <t>Aleea zorelelor nr 6a, bl.M10, sc1, et 9,ap 60, Sector 6,BUCURESTI</t>
  </si>
  <si>
    <t>platit la Dan</t>
  </si>
  <si>
    <t>Protocol Catalin</t>
  </si>
  <si>
    <t>1 x cozonac nuca si cacao
1 x pasca
1 x platou munipraji clasice 1
1 x tort 2,5 kg cu iepuras || compozitie 1 kg chocolate fiesta</t>
  </si>
  <si>
    <t>Smardioseanu Alina</t>
  </si>
  <si>
    <t>0767390767</t>
  </si>
  <si>
    <t xml:space="preserve">Strada Zamfir Olaru nr 4 bl 78 sc 2 ap 61 et 4 int 61 Sector 5, Bucurest </t>
  </si>
  <si>
    <t>Ancuta Grecu</t>
  </si>
  <si>
    <t>0721225481</t>
  </si>
  <si>
    <t>Strada Drumul Padurea Neagra, nr.35, bloc 15C, ap. 32, etaj 3, interfon 32, sector 1, Bucuresti</t>
  </si>
  <si>
    <t>Camelia Spiera</t>
  </si>
  <si>
    <t>0722244076</t>
  </si>
  <si>
    <t>Strada Pavlov nr 72-74 sector 1
Bucuresti,</t>
  </si>
  <si>
    <t>1 x cozonac cu mac
1 x cozonac cu fructe confiate
2 x pasca</t>
  </si>
  <si>
    <t>0722622155</t>
  </si>
  <si>
    <t>1 x cozonac cu nuca, cacao si rom
1 x pasca
1 x platou miniprajituri 5 persoane
-
1 x tort noisette 1.6 kg</t>
  </si>
  <si>
    <t>Strada Jean Steriadi 54, bl. M19, sc.2, et.3, ap.18, sector 3</t>
  </si>
  <si>
    <t>Gabriela Fratila</t>
  </si>
  <si>
    <t>0784556817</t>
  </si>
  <si>
    <t>1 x cozonac cu nuca, cacao si rom
1 x pasca
1 x platou miniprajituri 5 persoane
-
1 x tort citron 1.6 kg</t>
  </si>
  <si>
    <t>Intrarea Nufarul Alb, Nufarul Alb nr 13
Domnesti, Ilfov</t>
  </si>
  <si>
    <t>Andreea Dimisiano</t>
  </si>
  <si>
    <t>0765515332</t>
  </si>
  <si>
    <t>Strada iacobeni 29 sector 5 Bucuresti</t>
  </si>
  <si>
    <t>Andreea Staicu</t>
  </si>
  <si>
    <t>0722238202</t>
  </si>
  <si>
    <t>Strada Vlaicu Vodă nr 14 bl V66 sc 1 et 1 ap 5 interfon 05</t>
  </si>
  <si>
    <t>Roxana Floria</t>
  </si>
  <si>
    <t>0735154231</t>
  </si>
  <si>
    <t>Intrarea Lunca Barzesti 7, etaj 3, ap. 33, interfon 033
Bucuresti</t>
  </si>
  <si>
    <t>Alina Smardioseanu</t>
  </si>
  <si>
    <t>Strada Zamfiru Olaru nr 4 bl 78 sc 2 et 4 ap 61 int 61 Sector 5</t>
  </si>
  <si>
    <t>0790166288</t>
  </si>
  <si>
    <t>0745522310</t>
  </si>
  <si>
    <t xml:space="preserve">1 x cremsnit
1 x cafina
1 x ciocolatina
4 x cheesecake
3 x tarta zmeura
2 x cozonac nuca,cacao si rom
</t>
  </si>
  <si>
    <t>Strada Nichita Stanescu 18A
Mogosoaia , Ilfov</t>
  </si>
  <si>
    <t>Irina Mache</t>
  </si>
  <si>
    <t>Raluca Bajora</t>
  </si>
  <si>
    <t>0748201588</t>
  </si>
  <si>
    <t xml:space="preserve"> Constantin Radulescu Motru nr 21 bl. 36, sc. 1, apt. 2
Bucuresti</t>
  </si>
  <si>
    <t>Miruna Cismas</t>
  </si>
  <si>
    <t>0757020502</t>
  </si>
  <si>
    <t>Strada Vlaicu Vodă nr 7 bl c8 sc a et 6 ap 27 interfon 27 sector 3 București</t>
  </si>
  <si>
    <t>Laura Burda</t>
  </si>
  <si>
    <t>0741230014</t>
  </si>
  <si>
    <t>Strada Bisericii nr 20A casa2
Otopeni, Ilfov</t>
  </si>
  <si>
    <t>Elena Iurascu</t>
  </si>
  <si>
    <t>0724225671</t>
  </si>
  <si>
    <t>Tort Framboisier
Greutate: 1 kg
Mesaj Personalizat: La multi ani, Vio!</t>
  </si>
  <si>
    <t>celofibrei 42B, Bragadiru, Ilfov 077025, Romania</t>
  </si>
  <si>
    <t>1 x cozonac nuca, cacao si rom
1 x pasca
-
Tort Chocolate Delight
Greutate: 1.5 kg
Mesaj Personalizat: La mulți ani tati!</t>
  </si>
  <si>
    <t>1 x cozonac nuca, cacao si rom
1 x pasca
-
1.2 kg mix
Biscuti Ciocolata
Negresa
Cornulete
Fursecuri</t>
  </si>
  <si>
    <t>0 723 581 099</t>
  </si>
  <si>
    <t>1 x platou miniprajituri 5 persoane
1 x plaout 30 macarons mix</t>
  </si>
  <si>
    <t>0770415431</t>
  </si>
  <si>
    <t>1 x cozonac cu mac rahat
1 x cozonac nuca,cacao si rom
1 x pasca</t>
  </si>
  <si>
    <t>Radut Matilda</t>
  </si>
  <si>
    <t>Olivia Lara</t>
  </si>
  <si>
    <t>0 726 219 695</t>
  </si>
  <si>
    <t>Strada General Andrei Popovici</t>
  </si>
  <si>
    <t>Va plati direct cash cu brrr</t>
  </si>
  <si>
    <t>I-a fost facuta factura pe 14.04.20-20</t>
  </si>
  <si>
    <t>Bulevardul Burebista, nr. 4, bl. D13, sc. 1, et. 5 ap. 21 sau 22 (au 2 apartamente si pot fi in oricare dintre ele)</t>
  </si>
  <si>
    <t>0726174100</t>
  </si>
  <si>
    <t>Tereza Nenetu
0722376069</t>
  </si>
  <si>
    <t>1 x cozonac nuca,cacao si rom
1 x conzonac fructe confiate
3 x pasca
----
NEAPARAT SA FIE AMBALATE CA 2 Pachete separate + 1 pasca</t>
  </si>
  <si>
    <t>4 x cozonac nuca, cacao si rom
4 x pasca
---
sa fie ambalate separat 2 pachete</t>
  </si>
  <si>
    <t>Client Facebook</t>
  </si>
  <si>
    <t>Strada David Ilie nr.38, sect. 4, Bucuresti</t>
  </si>
  <si>
    <t>0721368352</t>
  </si>
  <si>
    <t>3 x cozonac nuca,cacao si rom
3 x pasca
1 x platou miniprajituri
-
1 x tort framboisier 1.6 kg</t>
  </si>
  <si>
    <t>0761508101</t>
  </si>
  <si>
    <t>Dana Dobrica</t>
  </si>
  <si>
    <t>0730168426</t>
  </si>
  <si>
    <t>Christian Tell G-ral, nr 27, et 8, ap 53
Bucuresti,</t>
  </si>
  <si>
    <t>Georgeta Stefan</t>
  </si>
  <si>
    <t>0720415928</t>
  </si>
  <si>
    <t>Bulevardul Alexandru Obregia nr. 19,Bl M6, SC. 1,et.6,ap.50,sector 4,BUCUREȘTI</t>
  </si>
  <si>
    <t>0762647175</t>
  </si>
  <si>
    <t>Anastasia</t>
  </si>
  <si>
    <t>1 x tort oreo 1.6 kg decorat ca pe website cu multe bomboane</t>
  </si>
  <si>
    <t>Soseaua Nicolae Titulescu 157 Bucuresti
(e o biserica acolo. Ies ei)</t>
  </si>
  <si>
    <t>Strada Aleea Valea Prahovei 2 bloc 7 s 14  ap.119 et.9, Bucuresti</t>
  </si>
  <si>
    <t>1 x tort duo-mousse visine 1.6 kg</t>
  </si>
  <si>
    <t>1 x cozonac cu nuca,cacao si rom
1 x pasca</t>
  </si>
  <si>
    <t>Comanda Telefon</t>
  </si>
  <si>
    <t>0744539124</t>
  </si>
  <si>
    <t>Strada Nastase Pamfil, nr.53, bloc 32, Sc.a, et. 6, ap 33</t>
  </si>
  <si>
    <t>0723335373</t>
  </si>
  <si>
    <t>Ileana Stoian</t>
  </si>
  <si>
    <t>Mihai Gelu Marian</t>
  </si>
  <si>
    <t>0745985205</t>
  </si>
  <si>
    <t xml:space="preserve">
1 x tort bailey's 1 kg</t>
  </si>
  <si>
    <t>Bulevardul voluntari 74, primaria voluntari</t>
  </si>
  <si>
    <t>5 x cozonac cu nuca, cacao si rom
1 x cozonac cu RAHAT simplu
2 x pasca</t>
  </si>
  <si>
    <t>NEAPARAT PANA LA 14:00</t>
  </si>
  <si>
    <t>0729) 990 663</t>
  </si>
  <si>
    <t>1 x pavlova mare in recipient de sticla</t>
  </si>
  <si>
    <t>Strada Uruguay nr 12, et 3, ap 7</t>
  </si>
  <si>
    <t>0765802232</t>
  </si>
  <si>
    <t>1 x cozonac nuca,cacao si rom
1 x pasca
1 x platou miniprajituri 5 persoane
--
1 x tort fistic zmeura 1.6 kg</t>
  </si>
  <si>
    <t>Nicolae Havrilet</t>
  </si>
  <si>
    <t>0723546331</t>
  </si>
  <si>
    <t>1 x cozonac nuca,cacao si rom
1 x pasca
1 x platou miniprajituri 5 persoane
--
1 x tort duo-mousse visine 1.6 kg</t>
  </si>
  <si>
    <t>Strada Trapezului 1, Bl R 12, Scara B, Etajul 8, Ap 69, int. 69 Bucuresti</t>
  </si>
  <si>
    <t xml:space="preserve">3 x cozonac nuca,cacao si rom
2 x pasca
1 x platou miniprajituri 5 persoane
--
1 x tort fistic zmeura 1.6 kg
1 x duo-mousse visine 1.6 kg
</t>
  </si>
  <si>
    <t>oricand 2.0</t>
  </si>
  <si>
    <t>0724215183</t>
  </si>
  <si>
    <t>Strada Brasov 25 L,Bl A, Sc. A2, Et 11, Ap 62</t>
  </si>
  <si>
    <t>Madalina Iordache</t>
  </si>
  <si>
    <t>1 x cozonac nuca,cacao si rom
1 x pasca
1 x platou miniprajituri 5 persoane
--
1 x tort framboisier 1.6 kg cu mesajul " Un Paste Ferici, Nasici! Va iubim!"
----------
De ambalat cu FUNDITE ROSII. SUNT CADOU</t>
  </si>
  <si>
    <t>Strada Vicina 8, Bucuresti, Bl. 37, Sc1, Et 1, Ap 3</t>
  </si>
  <si>
    <t>Comanda a fost platit online</t>
  </si>
  <si>
    <t>1 x tort chocolate fiesta 1 kg "La Multi Ani Buni, Te iubim!
----------
De ambalat cu FUNDITE ROSII. SUNT CADOU</t>
  </si>
  <si>
    <t>0720803468</t>
  </si>
  <si>
    <t>1 x cozonac cu mac
1 x pasca
1 x chec cu ciocolata</t>
  </si>
  <si>
    <t>3 x cozonac nuca, cacao si rom
1 x pasca
1 x chec
1 x platou 6 praji (2 savarine, 2 amandine, 2 cremsnit)</t>
  </si>
  <si>
    <t>Delia Tomescu
(0742) 200 209</t>
  </si>
  <si>
    <t>Nicolae Constantiescu</t>
  </si>
  <si>
    <t>Strada Baia de Aries, Nr 9, Blc 13, Etaj 4, Ap 18, Sector 6, 18</t>
  </si>
  <si>
    <t>0744343886</t>
  </si>
  <si>
    <t>Pachet
Paste</t>
  </si>
  <si>
    <t>Strada Mamulari 4, Bl. C2, Sc B, Ap 54, Interfon 54, Sector 3, Bucure</t>
  </si>
  <si>
    <t>1 x cozonac nuca,cacao si rom
1 x pasca
--
1 x kg fursecuri</t>
  </si>
  <si>
    <t>Factura Getica 1/2</t>
  </si>
  <si>
    <t>factura Getica 95 2/2
3000 TVA inclus</t>
  </si>
  <si>
    <t>0728 838 193</t>
  </si>
  <si>
    <t>1 x Cozonac nuca, cacao si rom
1 x pasca
1 x platou minipraji 
1 x tort framboisier 1,6 kg || "La multi ani, Nășicul Andrei! Te iubim!</t>
  </si>
  <si>
    <t>Chiajna, str. Viitorului la 24 E</t>
  </si>
  <si>
    <t>1x Cozonac PERSONALIZAT (nuca, cacao si RAHAT)
1 x pasca
1 x platou minipraji 5 persoane
1 x amanadina 
1 x cremsnit
1 x savarina
1 x monoprotie mont blank (duo mousse cu zmerura)</t>
  </si>
  <si>
    <t>Mihaela Balan</t>
  </si>
  <si>
    <t>0724281973</t>
  </si>
  <si>
    <t>1 x cozonac nuca,cacao si rom
1 x pasca
-
platou 10 macarons mix</t>
  </si>
  <si>
    <t>Strada Garnitei 4, Bl 56, Sc A, Ap 6, Interfon 06, Bucuresti</t>
  </si>
  <si>
    <t>0770438797</t>
  </si>
  <si>
    <t>1 x framboisier 2 kg</t>
  </si>
  <si>
    <t>COMANDA ASTA SA AJUNGA CAT DE ERMETIC SE POATE. SE TRIMITE  DIN CAROL PRIN POSTA
-
2 x cozonac nuca, cacao si rom
2 x pasca</t>
  </si>
  <si>
    <t>COMANDA ASTA SA AJUNGA CAT DE ERMETIC SE POATE. SE TRIMITE  DIN CAROL PRIN POSTA
-
1 x cozonac nuca, cacao si rom
1 x cozonac fructe confiate
1 x cozonac mac
1 x pasca</t>
  </si>
  <si>
    <t>(nu se suna nimeni. Preia Tudor)
Florin Balint
0771213649
-
ORADEA, Gheorghe Doja, Nr. 165, B, Fan Curier
-
Ne ducem la fan curier sii ii trimitem. Se ambaleaza bine bine de tot ca vor sta pe drum. Se ruleaza in pungi</t>
  </si>
  <si>
    <t>(nu se suna nimeni. Preia Tudor)
Cristian Popescu
0726112843
-
DE TRIMIS CU FAN CURIER SA AJUNGA PE 17 la str. Triumfului 27 Brasov</t>
  </si>
  <si>
    <t>((nu se suna nimeni. Preia Tudor))
Tutunaru Maria
(0727) 218 830
-
TRANSPORT CU FAN CURIERUL:
Judetul Dambovita, Comuna Poiana, Strada Piersinaresti nr. 947, Tutunaru Maria.</t>
  </si>
  <si>
    <t>0744759815</t>
  </si>
  <si>
    <t>ZDécor</t>
  </si>
  <si>
    <t>3 x cozonac nuca, cacao si rom
2 x pasca</t>
  </si>
  <si>
    <t>Policlinica Batistei - Str, Tudor Arghezi nr. 28, Etaj 4
(oncologie)</t>
  </si>
  <si>
    <t>Pachet Paste
2 x cozonac nuca, cacao is rom
2 x pasca
-
1 x tort bailey's 1.6 kg (Impartit in trei bucati egale)</t>
  </si>
  <si>
    <t>Claudia Castro</t>
  </si>
  <si>
    <t>0730883598</t>
  </si>
  <si>
    <t>Boulevard Pipera 141, Compound Oxford Gardens Villa No 179, Voluntari Ilfov , 077190, Bucharest Rumania</t>
  </si>
  <si>
    <t>1 x cozonac mac
1 x pasca
1 x platou miniprajituri 5 persoane
1 x tort oreo 1.6 kg  cu mesajul "La Multi Ani, Claudia"</t>
  </si>
  <si>
    <t>Cristina Mihalcea</t>
  </si>
  <si>
    <t>0731784178</t>
  </si>
  <si>
    <t>Bulevard Corneliu Coposu 4, bl. 105A, sc. 2, ap. 37, sector 3, Bucuresti</t>
  </si>
  <si>
    <t>1 x cozonac nuca,cacao si rom
2 x cremsnit
4 x ecler ciocolata</t>
  </si>
  <si>
    <t>0722849090</t>
  </si>
  <si>
    <t>1 x cozonac mac
1 x pasca
1 x platou minipraji 5 persoane
-
1 x tort oreo 1.6 kg</t>
  </si>
  <si>
    <t>cash cu bon
-
PLALTESTE PT DOUA PACHETE!</t>
  </si>
  <si>
    <t xml:space="preserve">1 x cozonac nuca,cacao si rom
1 x pasca
1 x platou minipraji 5 persoane
-
1 x tort duo-mousse visine  1.6 kg </t>
  </si>
  <si>
    <t>fara brrr, banii direct la Dan. De cantarit tortul si adaugat pret. NEAPARAT TRIMIS LUI DAN MESAJ</t>
  </si>
  <si>
    <t>Aleea Teisani nr. 274-288 bloc A 39A, Greenfield</t>
  </si>
  <si>
    <t>1 x tort 1.2 kg fistic cu zmeura cu EXTRAORDINAR DE MULT DÉCOR DIN FRUCTE mesajul "La multi ani frumosi su curajosi ca tine, Rux!"
----
+
1 x lumanare cifta "6"</t>
  </si>
  <si>
    <t>Strada Borsa 19-21, Bucuresti,  bl.8E, sc1, etj.2, ap.11, Bucuresti,</t>
  </si>
  <si>
    <t xml:space="preserve"> Strada Louis Pasteur nr.19A, Bucuresti</t>
  </si>
  <si>
    <t>a fost facuta factura pe amgrup pe 06.04 2020
-
nu se incaseaza</t>
  </si>
  <si>
    <t>Constantinescu Marius
-
0741097012</t>
  </si>
  <si>
    <t>3 x cozonac nuca, cacao si rom
1 x psaca</t>
  </si>
  <si>
    <t>Radu Onofrei</t>
  </si>
  <si>
    <t>Bulevardul Unirii, Nr 63, Bloc F4, Sc 3, Et 7, Ap 76, Interfon 76
Bucuresti</t>
  </si>
  <si>
    <t>0722612314</t>
  </si>
  <si>
    <t>Sorin Bulagea</t>
  </si>
  <si>
    <t>0752255255</t>
  </si>
  <si>
    <t>1 x nuca cacao si rom
1 x fructe confiate
2 x pasca
10 x mini-tarta citron
10 x mini-tarta ciocolata
10 x mini-tarta fructe
4 x indiana
3 x savarina</t>
  </si>
  <si>
    <t>Fabrica de chibrituri 13-15, tronson 4, etaj 7, ap 23, sector 5</t>
  </si>
  <si>
    <t>1 x cozonac nuca,cacao si rom
1 x chocolate delight 1.6 kg</t>
  </si>
  <si>
    <t>4 x nuca, cacao si rom
3 x pasca
2 x fructe confiate</t>
  </si>
  <si>
    <t>A fost platita prin factura</t>
  </si>
  <si>
    <t xml:space="preserve"> Str. Sibiu, nr.4, Bucuresti bloc OD2, scara 4, et.6, ap.136, Interfon 136, sector 6, Bucuresti</t>
  </si>
  <si>
    <t>Arrival</t>
  </si>
  <si>
    <t>a achitat cu factura pe 15.04.2020</t>
  </si>
  <si>
    <t>Trebuia sa plateasca cu cardul. Se informeaza ca se plateste cash cu bon</t>
  </si>
  <si>
    <t>Bifa</t>
  </si>
  <si>
    <t>Observatii</t>
  </si>
  <si>
    <t>Nr Comanda</t>
  </si>
  <si>
    <t>Paste - Cozonac cu Nuca</t>
  </si>
  <si>
    <t>Paste - Cozonac Mac</t>
  </si>
  <si>
    <t>Paste Cozonac Fructe Confiate</t>
  </si>
  <si>
    <t>Cozonac Special</t>
  </si>
  <si>
    <t>Pentru orice problema se suna la Tudor Radacineanu (0724255551) sau Laura Ciuhu (0722543650)</t>
  </si>
  <si>
    <t>2 x cozonac nuca,cacao si rom
1 x pasca</t>
  </si>
  <si>
    <r>
      <rPr>
        <b/>
        <u/>
        <sz val="11"/>
        <color rgb="FF000000"/>
        <rFont val="Calibri"/>
        <family val="2"/>
      </rPr>
      <t>4 x cozonac nuca,cacao si rom SI STAFIDE</t>
    </r>
    <r>
      <rPr>
        <b/>
        <sz val="11"/>
        <color rgb="FF000000"/>
        <rFont val="Calibri"/>
        <family val="2"/>
      </rPr>
      <t xml:space="preserve">
4 x pasca</t>
    </r>
  </si>
  <si>
    <t>Nr</t>
  </si>
  <si>
    <t>zCatalin Cavaleru</t>
  </si>
  <si>
    <t>zAdonis Geamanu</t>
  </si>
  <si>
    <t xml:space="preserve"> 0724320712</t>
  </si>
  <si>
    <t xml:space="preserve">1 x cozonac nuca,cacao si rom
4 x pasca
</t>
  </si>
  <si>
    <t>Soseaua Mihai Bravu 136, Bl. D20, Sc B, ap 43, Sector 2, Bucuresti</t>
  </si>
  <si>
    <t>Borsa 19-21, Bucuresti bl.8E, sc1, etj.2, ap.11, Bucuresti,</t>
  </si>
  <si>
    <t>Extra Tudor</t>
  </si>
  <si>
    <t>0730750678</t>
  </si>
  <si>
    <t>plata direct la Dan</t>
  </si>
  <si>
    <t>Coz Special</t>
  </si>
  <si>
    <t>Pasca Speciala</t>
  </si>
  <si>
    <t>Strada Florilor 24, Sat Catelu, Judet Ilfov</t>
  </si>
  <si>
    <t>Pachet Paste
-
2 x cozonac cu nuca si cacao
2 x pasca
-
sa fie ambalate separat</t>
  </si>
  <si>
    <t>cash cu bon
-
Diferenta se recupereaza de la am grup</t>
  </si>
  <si>
    <t>48+B299:B306</t>
  </si>
  <si>
    <t>cash cu bon
-
plateste extra 230 de lei pt o alta comanda</t>
  </si>
  <si>
    <t>we</t>
  </si>
  <si>
    <t>3 x pasca
3 x cozonac nuca,caca si rom</t>
  </si>
  <si>
    <t>zCristi
(stie dan)</t>
  </si>
  <si>
    <t>cash cu cbon</t>
  </si>
  <si>
    <t>Dna Adamovici</t>
  </si>
  <si>
    <t>0 (759) 582 681</t>
  </si>
  <si>
    <t>Strada Nuferilor 40-48 bloc B2 scara H ap 13 sect 1 București</t>
  </si>
  <si>
    <t>2 x cozonac nuca,cacao si rom</t>
  </si>
  <si>
    <t>Marin Ciprian</t>
  </si>
  <si>
    <t xml:space="preserve">1 x cozonac fructe confiate
2 x cozonac nuca,cacao si rom
3 x pasca
1 x tort fistic mango zmeura 1.6 kg
--
Sa fie pachetele ambalate separat
</t>
  </si>
  <si>
    <t>Trebuie achitat 200.</t>
  </si>
  <si>
    <t>Rosemarie  Olanescu</t>
  </si>
  <si>
    <t>4 x cozonac cu nuca
2 x pasca
14 x cremsnit IN  CUTII INDIVIDUALE</t>
  </si>
  <si>
    <t xml:space="preserve">2 x pasca
2 x cozonac nuca,cacao si rom
1 x cozonac raw-vegan cu nuca
1 x cozonac raw-vegan cu mac
2 x amandine
2 x savarine
2 x cremsnit
2 x tarta ciocolata
</t>
  </si>
  <si>
    <t>0759582681</t>
  </si>
  <si>
    <t>Soseaua Pipera Tunari 131</t>
  </si>
  <si>
    <t>1 x nuca cacao si rom
1 x pasca
1 x platou miniprajituri 5 persoane</t>
  </si>
  <si>
    <t>Aleea Modrogan</t>
  </si>
  <si>
    <t>2 x cozonac cu nuca</t>
  </si>
  <si>
    <t>Aleea Modrogan 4A, apt 18, et 2</t>
  </si>
  <si>
    <t>NEAPARAT CU BON</t>
  </si>
  <si>
    <t>0747115010</t>
  </si>
  <si>
    <t>240 de trecut la datorie. NU se ia nici un ban</t>
  </si>
  <si>
    <t>Octavian</t>
  </si>
  <si>
    <t>Cezar</t>
  </si>
  <si>
    <t>zzAlexandra Leica
0740095033</t>
  </si>
  <si>
    <t>zzdan mihaela
0723638590</t>
  </si>
  <si>
    <t>zzDaraccev Adriana</t>
  </si>
  <si>
    <t>zzElena Visan
0 745 121 201</t>
  </si>
  <si>
    <t>zzLuminita Marinel</t>
  </si>
  <si>
    <t>zzLupu Ioana</t>
  </si>
  <si>
    <t>zzManuela</t>
  </si>
  <si>
    <t>zzRoxana Badea</t>
  </si>
  <si>
    <t>zzDan (Lara)</t>
  </si>
  <si>
    <t>Strada Ramnicul Sarat nr.9, Bucuresti Bl 19B, Sc 2, Et4, Ap 65</t>
  </si>
  <si>
    <t>Aleea Ramnicu Valcea 5-7, Bucuresti
bl.S15, sc.A , et.5, ap.23</t>
  </si>
  <si>
    <t>Strada Eminescu 82-88 sc 2 ap 21</t>
  </si>
  <si>
    <t>ZZZaberca Cornelia
0730750678</t>
  </si>
  <si>
    <t>Curier Torturi 2</t>
  </si>
  <si>
    <t>Curier Torturi 8</t>
  </si>
  <si>
    <t>Curier Torturi 3</t>
  </si>
  <si>
    <t>Curier Torturi 9</t>
  </si>
  <si>
    <t>Curier Torturi 4</t>
  </si>
  <si>
    <t>Curier Torturi 1</t>
  </si>
  <si>
    <t>Curier Torturi 6</t>
  </si>
  <si>
    <t>Curier Torturi 7</t>
  </si>
  <si>
    <t>Curier Torturi 5</t>
  </si>
  <si>
    <t>Curier Torturi 10</t>
  </si>
  <si>
    <t>ACHITA SIMONA LARA 140
-
Nu se iau bani la livraer. E cadou</t>
  </si>
  <si>
    <r>
      <t xml:space="preserve">3 x cozonaci cu nuca, cacao si rom
1 x pasca FARA STAFIDE!!!
6 x amandine
6 x cremsnit
+
Tort morcov 1kg||compozitie inima Tonca cu </t>
    </r>
    <r>
      <rPr>
        <b/>
        <u/>
        <sz val="11"/>
        <color rgb="FF000000"/>
        <rFont val="Calibri"/>
        <family val="2"/>
      </rPr>
      <t>placuta similara celor pe care le pastrez, cu textul “My 1st Easter” si cu un morcov mic ca si detaliu</t>
    </r>
    <r>
      <rPr>
        <b/>
        <sz val="11"/>
        <color rgb="FF000000"/>
        <rFont val="Calibri"/>
        <family val="2"/>
      </rPr>
      <t xml:space="preserve">
+
cifra 3 de la tortul cu floricele de refacut</t>
    </r>
  </si>
  <si>
    <r>
      <t xml:space="preserve">Pachet Paste
</t>
    </r>
    <r>
      <rPr>
        <b/>
        <u/>
        <sz val="11"/>
        <color rgb="FF000000"/>
        <rFont val="Calibri"/>
        <family val="2"/>
      </rPr>
      <t>-
1 x cozonac cacao,nuca si rahat</t>
    </r>
    <r>
      <rPr>
        <b/>
        <sz val="11"/>
        <color rgb="FF000000"/>
        <rFont val="Calibri"/>
        <family val="2"/>
      </rPr>
      <t xml:space="preserve">
1 x pasca
1 x platou 5 persoane minipraji
-
1 x tort chocolate fiesta 1.6 kg cu mesajul "La mulți ani, Maia! 1 An" pe o placuta</t>
    </r>
  </si>
  <si>
    <r>
      <t xml:space="preserve">4 x cafina
4 x amandina
2 tarte cu lamaie
2 savarine
3 eclere cafea
--
</t>
    </r>
    <r>
      <rPr>
        <b/>
        <u/>
        <sz val="11"/>
        <color rgb="FF000000"/>
        <rFont val="Calibri"/>
        <family val="2"/>
      </rPr>
      <t>2 x tarta lamaie
1 x cafina
3 x mont blanc</t>
    </r>
  </si>
  <si>
    <t>cash/ a achitat 150 calculatie gresita</t>
  </si>
  <si>
    <t>cash cu bon/ spune ca a achitat card</t>
  </si>
  <si>
    <t>cash cu bon/spune ca a achitare card</t>
  </si>
  <si>
    <t>cash cu bon/spune ca a achitat card</t>
  </si>
  <si>
    <t>0723279795</t>
  </si>
  <si>
    <t>1 x pasca</t>
  </si>
  <si>
    <t>a fost achitata</t>
  </si>
  <si>
    <t>0745546195</t>
  </si>
  <si>
    <t>0733068885</t>
  </si>
  <si>
    <t>adresa Aleea Callatis 12, Bl. A12, Sc. B, Ap. 21</t>
  </si>
  <si>
    <t>achitat prin factura pe Florina Gologan</t>
  </si>
  <si>
    <t>Cristina Marin
-
'pentru dna. Cristina Marin din partea lui Gândi</t>
  </si>
  <si>
    <t>0722438781</t>
  </si>
  <si>
    <t>Bd. Ion MIhalache 19A</t>
  </si>
  <si>
    <t>Cristina Marin</t>
  </si>
  <si>
    <t>1 x tort duo-mousse visine 1 kg cu mesajul ""La multi ani frumosi si sanatosi!"</t>
  </si>
  <si>
    <t>Mihaela Prisecaru</t>
  </si>
  <si>
    <t>0769612349</t>
  </si>
  <si>
    <t>Sos. Mihai Bravu 27A, et.9, ap.54, sector 2</t>
  </si>
  <si>
    <t>Strada Olimpului, nr. 80, curte</t>
  </si>
  <si>
    <t>Taverna Sarbului</t>
  </si>
  <si>
    <t>0728144966</t>
  </si>
  <si>
    <t xml:space="preserve">Strada Tipografilor 31, București
</t>
  </si>
  <si>
    <t>se vaface factura ulterior</t>
  </si>
  <si>
    <t>0720140686</t>
  </si>
  <si>
    <t>Strada 1 maai 51C, ap 9, otopeni, Lara condominium</t>
  </si>
  <si>
    <r>
      <rPr>
        <b/>
        <u/>
        <sz val="11"/>
        <color rgb="FF000000"/>
        <rFont val="Calibri"/>
        <family val="2"/>
      </rPr>
      <t>1 x cozonac nuca, cacao si rom SI RAHAT</t>
    </r>
    <r>
      <rPr>
        <b/>
        <sz val="11"/>
        <color rgb="FF000000"/>
        <rFont val="Calibri"/>
        <family val="2"/>
      </rPr>
      <t xml:space="preserve">
1 x pasca</t>
    </r>
  </si>
  <si>
    <t>NU SE LIVREAZA. E SCOASA</t>
  </si>
  <si>
    <r>
      <rPr>
        <b/>
        <u/>
        <sz val="11"/>
        <color rgb="FF000000"/>
        <rFont val="Calibri"/>
        <family val="2"/>
      </rPr>
      <t>1 x cozonac nuca, cacao FARA ROM</t>
    </r>
    <r>
      <rPr>
        <b/>
        <sz val="11"/>
        <color rgb="FF000000"/>
        <rFont val="Calibri"/>
        <family val="2"/>
      </rPr>
      <t xml:space="preserve">
1 x pasca</t>
    </r>
  </si>
  <si>
    <t>3 x cozonac nuca,cacao si rom
2 x pasca</t>
  </si>
  <si>
    <r>
      <t xml:space="preserve">ATENTIE CA E DEIABETICA!
ATENTIE ATENTIE ATENTIE
---
</t>
    </r>
    <r>
      <rPr>
        <b/>
        <u/>
        <sz val="11"/>
        <color rgb="FF000000"/>
        <rFont val="Calibri"/>
        <family val="2"/>
      </rPr>
      <t>1 x cozonac nuca,cacao si rom CU EXTRACT DE STEVIE</t>
    </r>
    <r>
      <rPr>
        <b/>
        <sz val="11"/>
        <color rgb="FF000000"/>
        <rFont val="Calibri"/>
        <family val="2"/>
      </rPr>
      <t xml:space="preserve">
-
</t>
    </r>
    <r>
      <rPr>
        <b/>
        <u/>
        <sz val="11"/>
        <color rgb="FF000000"/>
        <rFont val="Calibri"/>
        <family val="2"/>
      </rPr>
      <t>1 x pasca CU EXTRACT DE STEVIE</t>
    </r>
  </si>
  <si>
    <t>1 x cozonac nuca,cacao si rom
1 x pasca
1 x chec!!</t>
  </si>
  <si>
    <r>
      <rPr>
        <b/>
        <u/>
        <sz val="11"/>
        <color rgb="FF000000"/>
        <rFont val="Calibri"/>
        <family val="2"/>
      </rPr>
      <t>1 x cozonac cu nuca,cacao,rom SI RAHAT</t>
    </r>
    <r>
      <rPr>
        <b/>
        <sz val="11"/>
        <color rgb="FF000000"/>
        <rFont val="Calibri"/>
        <family val="2"/>
      </rPr>
      <t xml:space="preserve">
1 x pasca
1 x platou miniprajituri!!!</t>
    </r>
  </si>
  <si>
    <r>
      <t xml:space="preserve">2 x cozonac cu nuca, cacao si rom
1 x pasca 
</t>
    </r>
    <r>
      <rPr>
        <b/>
        <u/>
        <sz val="11"/>
        <color rgb="FF000000"/>
        <rFont val="Calibri"/>
        <family val="2"/>
      </rPr>
      <t>1 x pasca FARA STAFIDE</t>
    </r>
    <r>
      <rPr>
        <b/>
        <sz val="11"/>
        <color rgb="FF000000"/>
        <rFont val="Calibri"/>
        <family val="2"/>
      </rPr>
      <t xml:space="preserve">
</t>
    </r>
  </si>
  <si>
    <r>
      <t xml:space="preserve">1 x cozonac nuca, cacao si rom
1 x pasca
</t>
    </r>
    <r>
      <rPr>
        <b/>
        <u/>
        <sz val="11"/>
        <color rgb="FF000000"/>
        <rFont val="Calibri"/>
        <family val="2"/>
      </rPr>
      <t>2 x ECLER CIOCOLATA</t>
    </r>
  </si>
  <si>
    <t>Pachet Paste
1 x cozonac mac
1 x pasca</t>
  </si>
  <si>
    <r>
      <t xml:space="preserve">1 x cozonac nuca,cacao si rom
</t>
    </r>
    <r>
      <rPr>
        <b/>
        <u/>
        <sz val="11"/>
        <color rgb="FF000000"/>
        <rFont val="Calibri"/>
        <family val="2"/>
      </rPr>
      <t>1 x pasca FARA STAFIDE</t>
    </r>
  </si>
  <si>
    <r>
      <t>!!!! ATENTIE E DIABETIC !!!
00
1</t>
    </r>
    <r>
      <rPr>
        <b/>
        <u/>
        <sz val="11"/>
        <color rgb="FF000000"/>
        <rFont val="Calibri"/>
        <family val="2"/>
      </rPr>
      <t xml:space="preserve"> x cozonac CU EXTRA NUCA ,cacao si rom CU EXTRACT DE STEVIE
1 x pasca CU EXTRACT DE STEVIE</t>
    </r>
  </si>
  <si>
    <r>
      <t xml:space="preserve">pachet paste
-
1 x cozonac nuca, cacao
1 x pasca
+
</t>
    </r>
    <r>
      <rPr>
        <b/>
        <u/>
        <sz val="11"/>
        <color rgb="FF000000"/>
        <rFont val="Calibri"/>
        <family val="2"/>
      </rPr>
      <t>1 x platou miniprajituri 5 persoane</t>
    </r>
  </si>
  <si>
    <t>PENTRU ANA CARANOVIC:
2 x cozonac cu mac
1 x cozonac cu nuca, cacao si rom
1 x COZONAC CU RAHAT (SIMPLU)
1 x platou minitarte
4 x amadine
-------
PENTRU TAVERNA SARBULUI
2 x pasca
1 x cozonac</t>
  </si>
  <si>
    <t>1 x cozonac mac
1 x paca
1 x platou miniprajituri 5 persoane
-
1 x tort mango si zmeura 1.6 kg</t>
  </si>
  <si>
    <t>TOTAL DE INCASAT - 225</t>
  </si>
  <si>
    <t>fara brr incasat Dan direct</t>
  </si>
  <si>
    <t>NEDUSE</t>
  </si>
  <si>
    <t>gata</t>
  </si>
  <si>
    <t>2 x cozonac cu nuca, cacao si rom22 x 
1 x pasca
1 x chec</t>
  </si>
  <si>
    <t>0727689756</t>
  </si>
  <si>
    <t xml:space="preserve">1 x tort berry chocolate 2 kg </t>
  </si>
  <si>
    <t>Strada Principala 186, Comuna Clinceni, Ilfov</t>
  </si>
  <si>
    <t>1 x tort ca in poze décor cu "A E" in loc de "M" (2 .4 kg - berry chocolat). Al doilea etaj putem sa-l facem ca o butaforie</t>
  </si>
  <si>
    <t>1 x 1.2 kg berry chocolate pentru Anastasia 24.04</t>
  </si>
  <si>
    <t>1 x bon de 150 RON. Nu o-am dat de paste</t>
  </si>
  <si>
    <t>Denisa Zaharia
(neaparat de sunat de dimi sa vedem daca e acasa)</t>
  </si>
  <si>
    <t>1 x tort pavlova 1.6 kg cu mesajul "La Multi Ani Tati Gheorghe"!</t>
  </si>
  <si>
    <t>casb cu bon</t>
  </si>
  <si>
    <t>Regal Balroom, Salon Diamond (Cort), Bulevardul Poligrafiei 1B, București
--
Evenimentul incepe la ???. Amenajarea se face intre  ??? si  ???</t>
  </si>
  <si>
    <t xml:space="preserve"> ???</t>
  </si>
  <si>
    <t>Anulat</t>
  </si>
  <si>
    <t>CA IN POZA WEBSITE
1 x cozonac nuca,cacao si rom
1 x pasca</t>
  </si>
  <si>
    <t>e gratis ca i-am gresit comanda</t>
  </si>
  <si>
    <t>achita pe website</t>
  </si>
  <si>
    <t>Client Telefon
(sa o sunati sa o rugati sa va sune pe voi cand ajunge la laborator)</t>
  </si>
  <si>
    <t>1 x tort inima tonka 700 gr cu o placuta cu mesajul "?"</t>
  </si>
  <si>
    <t>Strada Câmpia Libertatii nr 42 bl B2 Sc E et9 apt 198 sector 3</t>
  </si>
  <si>
    <t>1 x tort 1.2 kg cu mesajul "La Multi Ani, Monica!" duo-mousse visine
--
10 x mini-tarta citron
10 x mini-tarta ciocolata
10 x mini-tarta lamaie</t>
  </si>
  <si>
    <t>FACTURA ESTETIQUE SOLUTIONS</t>
  </si>
  <si>
    <t>0766525008</t>
  </si>
  <si>
    <t>Strada Magura vulturului nr.42</t>
  </si>
  <si>
    <t>Borcea Diana</t>
  </si>
  <si>
    <t>0765189155</t>
  </si>
  <si>
    <t>Strada Victor Brauner, nr 34 38, etj 4 ap32 complex metropolitan</t>
  </si>
  <si>
    <t>1 x tort 1.2 kg fistic cu zmeura cu mesajul "La Multi Ani!"</t>
  </si>
  <si>
    <t>Whatsapp</t>
  </si>
  <si>
    <t>Kati Burla</t>
  </si>
  <si>
    <t>0727774506</t>
  </si>
  <si>
    <t>Strada VULTURILOR, nr.25, etaj 6, ap.20, Int.20C</t>
  </si>
  <si>
    <t>Diana Dragulin</t>
  </si>
  <si>
    <t>0731844844</t>
  </si>
  <si>
    <t>1 x tort framboisier 1.6 kg decorat ca pe website cu mesajul "La Multi Ani Puiule!"
-
1 x platou miniprajituri 5 persoane</t>
  </si>
  <si>
    <t>Strada Miraslau 45
Popesti Leordeni , Ilfov 076160, Romania</t>
  </si>
  <si>
    <t>1 x tort ciocolata portocale (1.6 kg) cu mesajul "La mulți ani, Gigi!"</t>
  </si>
  <si>
    <t>Alina Horubet</t>
  </si>
  <si>
    <t>0744671479</t>
  </si>
  <si>
    <t>1 x tort spiderman decorat  (berry chocolate 1.6 kg)</t>
  </si>
  <si>
    <t>1 x tort 700 gr berry chocolate pentru alina horubet 24.04</t>
  </si>
  <si>
    <t>6 x raw-vegan pistachio pillow
10 x choux fistic
1 x tort noisette 1 kg cu mesajul ""La multi ani fericiti, Georgia!"</t>
  </si>
  <si>
    <t>Ana Maria Toma</t>
  </si>
  <si>
    <t>Voluntari, Str Tuberozelor nr 3, complex Avangarde Forest 1</t>
  </si>
  <si>
    <t>Corina Tudorache</t>
  </si>
  <si>
    <t>0726314194</t>
  </si>
  <si>
    <r>
      <t xml:space="preserve">1 x tort citron 2 kg cu mesajul urmator trecut pe o placuta:
</t>
    </r>
    <r>
      <rPr>
        <b/>
        <u/>
        <sz val="11"/>
        <color rgb="FF000000"/>
        <rFont val="Calibri"/>
        <family val="2"/>
      </rPr>
      <t>Draga noastra Georgeta,</t>
    </r>
    <r>
      <rPr>
        <b/>
        <sz val="11"/>
        <color rgb="FF000000"/>
        <rFont val="Calibri"/>
        <family val="2"/>
      </rPr>
      <t xml:space="preserve">
</t>
    </r>
    <r>
      <rPr>
        <b/>
        <u/>
        <sz val="11"/>
        <color rgb="FF000000"/>
        <rFont val="Calibri"/>
        <family val="2"/>
      </rPr>
      <t xml:space="preserve">
Iti dorim sa ai o zi dulce alaturi de cei 
dragi!
Fie ca Sfantul Gheorghe sa te ocroteasca in fiecare zi.
La multi ani!
Cu drag,
Echipa de Resurse Umane Help Net &amp; Farmexim</t>
    </r>
  </si>
  <si>
    <t>Strada Miraslau, Bloc P14, Scara 2, Etaj 2, Apartament 17, Ghermanesti, Judetul Ilfov</t>
  </si>
  <si>
    <t>Strada SACELE 9, Bucuresti</t>
  </si>
  <si>
    <t>1 x tort 1.2 kg citron
1 x carrot cake 1.2 kg
1 x snickers 1.2 kg
---
toate pentru comanda ana maria toma 25.04</t>
  </si>
  <si>
    <r>
      <rPr>
        <b/>
        <u/>
        <sz val="11"/>
        <color rgb="FF000000"/>
        <rFont val="Calibri"/>
        <family val="2"/>
      </rPr>
      <t>Tort #1</t>
    </r>
    <r>
      <rPr>
        <b/>
        <sz val="11"/>
        <color rgb="FF000000"/>
        <rFont val="Calibri"/>
        <family val="2"/>
      </rPr>
      <t xml:space="preserve">
1 x tort citron 1.2 kg cu poza din print (URSI) + décor fructe si macarons pt estetic
</t>
    </r>
    <r>
      <rPr>
        <b/>
        <u/>
        <sz val="11"/>
        <color rgb="FF000000"/>
        <rFont val="Calibri"/>
        <family val="2"/>
      </rPr>
      <t>Tort #2</t>
    </r>
    <r>
      <rPr>
        <b/>
        <sz val="11"/>
        <color rgb="FF000000"/>
        <rFont val="Calibri"/>
        <family val="2"/>
      </rPr>
      <t xml:space="preserve">
1 x tort snickers 1.2 kg cu 3 figurine din poza rechin si mesajul  (greutate 2 kg max)
</t>
    </r>
    <r>
      <rPr>
        <b/>
        <u/>
        <sz val="11"/>
        <color rgb="FF000000"/>
        <rFont val="Calibri"/>
        <family val="2"/>
      </rPr>
      <t>Tort #3</t>
    </r>
    <r>
      <rPr>
        <b/>
        <sz val="11"/>
        <color rgb="FF000000"/>
        <rFont val="Calibri"/>
        <family val="2"/>
      </rPr>
      <t xml:space="preserve">
1 x tort carrot cake  1.2 kg cu figurina dinozaur cu "Andrei" si cifra "5"  (greutate 2 kg max)
----------------
+
15 macarons mix</t>
    </r>
  </si>
  <si>
    <t>achita revolut la tudor</t>
  </si>
  <si>
    <t>Corina</t>
  </si>
  <si>
    <t>0769308105</t>
  </si>
  <si>
    <t>Drumul opalului,nr 1-43,bloc cocor,ap 3b,scb,sect 1,complex Felicity</t>
  </si>
  <si>
    <t>1 x tort 1.6 kg fistic cu zmeura</t>
  </si>
  <si>
    <t>din partea noastra</t>
  </si>
  <si>
    <t>1 x tort framboisier 1.6 kg decorat ca pe website
-
1 x platou mini-prajituri 5 persoane</t>
  </si>
  <si>
    <t>cash/PLATA ONLINE</t>
  </si>
  <si>
    <t>cash cu bon/LIVRAT PE 17</t>
  </si>
  <si>
    <t>achitat pe website/ACHITARE CASH</t>
  </si>
  <si>
    <t>cash cu bon/ANULAT</t>
  </si>
  <si>
    <t>cash/PLATIT AM GRUP</t>
  </si>
  <si>
    <t>cash cu bon/ACHITAT 100</t>
  </si>
  <si>
    <t>cash cu bon/A ACHITAT ONLINE</t>
  </si>
  <si>
    <t>cash cu bon/100+80+100</t>
  </si>
  <si>
    <t>cash/NU A RASP</t>
  </si>
  <si>
    <t>FARA BRRRR/ANULAT</t>
  </si>
  <si>
    <t>Ana Maria Chelba</t>
  </si>
  <si>
    <t>Strada Resita 1, Bucuresti, Bl 8 Sc 2 Et 7 Ap 111 Sector 4</t>
  </si>
  <si>
    <t>Madalina Ionescu
(Reina)</t>
  </si>
  <si>
    <t>0724415433</t>
  </si>
  <si>
    <r>
      <t>1 x tort fistic 1 kg cu mesajul "</t>
    </r>
    <r>
      <rPr>
        <b/>
        <u/>
        <sz val="11"/>
        <color rgb="FF000000"/>
        <rFont val="Calibri"/>
        <family val="2"/>
      </rPr>
      <t>34 on going!</t>
    </r>
    <r>
      <rPr>
        <b/>
        <sz val="11"/>
        <color rgb="FF000000"/>
        <rFont val="Calibri"/>
        <family val="2"/>
      </rPr>
      <t>"
2 x indiene
2 x amandina</t>
    </r>
  </si>
  <si>
    <t>1 x tort ca in departament décor (4.5 kg total - framboisier) cu "Levin Mihail" si "2" ca mesaj.</t>
  </si>
  <si>
    <t>???
(trebuie vbit mai aproape de eveniment)</t>
  </si>
  <si>
    <t>1 x tort framboisier 3 kg (inalt) pentru tort Madalina Ionescu 10.05</t>
  </si>
  <si>
    <t>????
(3 kg compozitia + 1.5 martipan din model)</t>
  </si>
  <si>
    <t>0744996269</t>
  </si>
  <si>
    <t>Strada Izvorul Crișului 1, Bucuresti, bl a 1 SC 1 et 2 ap 9 sector 4 București</t>
  </si>
  <si>
    <t>POS PLATA CU CARDUL</t>
  </si>
  <si>
    <t>Stoian Carmen</t>
  </si>
  <si>
    <r>
      <t xml:space="preserve">1 x tort ca in poze décor cu print (1.2 kg) raspberry vanilla. Mesajul este "Dany" si cifra "6".
!!! ATENTIE CA TERBUIE GASITA POZA!!!
---
Atentie #1:
In loc de chestiile alea rosii sa punem de jur imprejur bomboane </t>
    </r>
    <r>
      <rPr>
        <b/>
        <u/>
        <sz val="11"/>
        <color rgb="FF000000"/>
        <rFont val="Calibri"/>
        <family val="2"/>
      </rPr>
      <t xml:space="preserve">M&amp;M's.
---
Atentie #2:
Pe marginea tortului sa fie curcubee desenate
</t>
    </r>
  </si>
  <si>
    <t>1 x tortraspberry vanilla 1 kg pentru Client telefon 08.05 (tort power rangers)</t>
  </si>
  <si>
    <t>0724356578</t>
  </si>
  <si>
    <t xml:space="preserve">Tudor Mircea </t>
  </si>
  <si>
    <t>Soseaua gheorghe ionescu sisesti 30, Bucuresti</t>
  </si>
  <si>
    <t>1 cheesecake
2 indiene
6 x cremsnit (platou)</t>
  </si>
  <si>
    <t>Strada Grigore Moisil nr.6 bl.10 sc.1 et.4 ap.25 sect. 2, Bucuresti</t>
  </si>
  <si>
    <t>Iulia</t>
  </si>
  <si>
    <t>0733089469</t>
  </si>
  <si>
    <t>3 cremsnit
1 cafina
1 cheese cake
1 savarina</t>
  </si>
  <si>
    <t>achitat la Tudor Mircea</t>
  </si>
  <si>
    <t>Strada spiralei nr 2</t>
  </si>
  <si>
    <t>Vanda Nicu</t>
  </si>
  <si>
    <t>Plateste cu CARDUL</t>
  </si>
  <si>
    <t>Marian Deaconu</t>
  </si>
  <si>
    <t>1 x tort trio mousse visine 1.2 kg</t>
  </si>
  <si>
    <t>1 x chec ciocolata
1 x cozonac nuca,cacao si rom
2 x ecler ciocolata
2 x indiana</t>
  </si>
  <si>
    <t>Strada Soldat Modoran Ene nr. 5, bl. M93A, sc. 1, et. 2, ap. 11, sector 5, Bucuresti</t>
  </si>
  <si>
    <t>Strada Troitei, nr. 34 bis.
Adunatii Copaceni, Giurgiu</t>
  </si>
  <si>
    <t>Strada Dimitrie Draghiescu 10, sector 5, Bucuresti</t>
  </si>
  <si>
    <t>dr. Lucia Fitarau
0723391158 
0720005473
---
Din partea lui Scarlett Onica
0722602020</t>
  </si>
  <si>
    <t>1 x platou miniprajituri 5 persoane cu o placuta pe care sa scrie
"Multumim! LSDL"</t>
  </si>
  <si>
    <t>1 x trio-mousse 1.3 kg decorat cu macarons si fructe (pt fetite) cu mesajul "La Multi Ani, Maria"
---
1 x platou miniprajituri 5 persoane</t>
  </si>
  <si>
    <t>Prelungirea Ghencea 45, Bl. D4, Sc B, Ap 138, Et 9</t>
  </si>
  <si>
    <t>1 x tort decorat 1.5 kg in total - oreo ca in poze décor
--
"La Multi Ani, Julie!"</t>
  </si>
  <si>
    <t>Strada Garoafei 21, Bucuresti</t>
  </si>
  <si>
    <t>FACTURA CU PLATA CASH
-
TOP JET SERVICE SRL</t>
  </si>
  <si>
    <t>1 x tort oreo 1 kg</t>
  </si>
  <si>
    <t>zN/A</t>
  </si>
  <si>
    <t>10;00</t>
  </si>
  <si>
    <t>Anca Marinescu</t>
  </si>
  <si>
    <t>1 x chec ciocolata
1x platou cremsnit (6 buc)
1 x platou 5 persoane minipraji
1 x platou raw vegan + pavlova</t>
  </si>
  <si>
    <t>fara brr, banii direct la Dan (15% reducere)</t>
  </si>
  <si>
    <t>1 x tort trio mousse 1.6 kg cu mesajul "LA MULTI ANI, ANDREEA! 14 ANI"</t>
  </si>
  <si>
    <t>ALEEA POSADA NR. 4, BLOC 33, SCARA A, ETAJ 3, AP 10, INTERFON 10, SECTOR 5, BUCURESTI</t>
  </si>
  <si>
    <t>Mihaela Benta</t>
  </si>
  <si>
    <t>Fabyan Floryan</t>
  </si>
  <si>
    <t>0763888277</t>
  </si>
  <si>
    <t>1 x trio mousse 1.3 kg decorat ca OREO de pe website</t>
  </si>
  <si>
    <t>Intrarea Smardan Nr.2
Bragadiru, Ilfov</t>
  </si>
  <si>
    <t>1 x tarta zmeura
1 x tarta capsuni
2 x savarine
--
1 x tort combinat 1.3 kg:
jumatate - framboisier
jumatate - trio-mousse
cu cate un mesaj pe fiecare jumate de tort
Mesaj 1: "La Multi Ani, Monica si Andrei!"
Mesaj 2: "La Multi Ani, Vanda si Mihai"</t>
  </si>
  <si>
    <t>Strada Londrei, nr 6, bl 7, Sc 2, et 5, ap 133, int 133</t>
  </si>
  <si>
    <t xml:space="preserve">3 x opera 
2 x Amandină 
1 x cremsnit </t>
  </si>
  <si>
    <t>Aurelia</t>
  </si>
  <si>
    <t>1 x tort baileys' 1 kg cu mesajul "La Multi Ani Ilinca, 16 Ani!"</t>
  </si>
  <si>
    <t>Strada Ion Conea 40B, Bucuresti</t>
  </si>
  <si>
    <t>Mitrache Dana</t>
  </si>
  <si>
    <t>0743099977</t>
  </si>
  <si>
    <t>1 x framboisier 1.6 kg cu mesajul "La Multi Ani"
1 x platou miniprajituri
+
1 x platou miniprajituri
in loc de choux fistic punem pavlova</t>
  </si>
  <si>
    <t>cash cu bon
--
pachet la 120 + platou 75</t>
  </si>
  <si>
    <t>0786929308</t>
  </si>
  <si>
    <t>Soseaua Mihai Bravu 295, Bl. 15, Sc. B, Et 1, Ap 42</t>
  </si>
  <si>
    <t>Razvan Toader</t>
  </si>
  <si>
    <t>1 x tort trio mousse 1.6 kg cu mesajul "LA MULȚI ANI Sebastian!" si "8 ani"</t>
  </si>
  <si>
    <t>Strada Vasile Lascar 148</t>
  </si>
  <si>
    <t>Adriana Sene</t>
  </si>
  <si>
    <t>0774582379</t>
  </si>
  <si>
    <t>1 x tort fistic si zmeura 1.6 kg cu mesajul "La Multi Ani!"</t>
  </si>
  <si>
    <t>cash cu bon
-
1.6 * 90</t>
  </si>
  <si>
    <t>Ana</t>
  </si>
  <si>
    <t>Strada Washington nr 40-42</t>
  </si>
  <si>
    <t>0743971896</t>
  </si>
  <si>
    <t>Roxana Nastase</t>
  </si>
  <si>
    <t>0765036265</t>
  </si>
  <si>
    <t>Strada Astrelor, nr 49, Hera Residence 2, Domnesti, Ilfov.</t>
  </si>
  <si>
    <t>1 x tort oreo 1.6 kg decorat ca pe website cu multe bomboane cu mesajul "La mulți ani Sorina!"</t>
  </si>
  <si>
    <t>cash cu factura Avangarde German Group
(de luat de la ionut)
-
1.6 x 120 Ron</t>
  </si>
  <si>
    <t>Ana Maria Vasile</t>
  </si>
  <si>
    <t xml:space="preserve"> ILFOV!!!!!!, Strada Principala nr 354, Copaceni</t>
  </si>
  <si>
    <t>fara brrr, banii la Dan, total 240 dar ii scadem 150 ca i-am gesit comanda de paste</t>
  </si>
  <si>
    <t>2 kg tort cirese|| compozitie tonka ca la inimioare|| tortul sa fie alb imbracat cu crema ca in poza 1|| apoi desupra sa fie modelate 2 cirese ca in poza 2 si asezate in piciore pe o placuta din pasta de zahar sa nu se scufunde|| placuta cu cifra 9 si 2-3 cirese mici desenate (placuta in stilul celor facute pana acum pentru ea) sa fie pe suport, sprijinita de tort</t>
  </si>
  <si>
    <t>Martinas Claudia</t>
  </si>
  <si>
    <t>0767199545</t>
  </si>
  <si>
    <t>1 kg triomousse|| "LA MULTI ANI,DARIUS" + cifra 5</t>
  </si>
  <si>
    <t>Strada Ceahlaul nr.24 Bl.106 sc.2 et.2 ap 64 sector 6 București</t>
  </si>
  <si>
    <t>pana in 15:00</t>
  </si>
  <si>
    <t xml:space="preserve">Teodora </t>
  </si>
  <si>
    <t>0752292337</t>
  </si>
  <si>
    <t>Chiajna!!!!, Strada Italia 1-7, firma Cefin Trucks</t>
  </si>
  <si>
    <t>pana in 10:00</t>
  </si>
  <si>
    <t>pana in 16:00</t>
  </si>
  <si>
    <t>1 x platou 30 macarons
4 x platouri minipraji 5 persoane
1 x platou cafea 10 pers(12 negrese, 8 cookies cioco, 8 cookies afine)</t>
  </si>
  <si>
    <t>Buftea!!!!!! Strada Garii nr 17, Ilfov</t>
  </si>
  <si>
    <t>1 x platou 30 macarons
2 x platouri minipraji de 5 persoane 
5 x tarte citron mari
5 x tarte fistic mari
1 x tort honey de 1,6 kg</t>
  </si>
  <si>
    <t>fara brrr, banii la Dan (20 % reducere fata de lista)</t>
  </si>
  <si>
    <t>Marta Ecaterina</t>
  </si>
  <si>
    <t>0724559435</t>
  </si>
  <si>
    <t xml:space="preserve">8 x tarta ciocolata
16 x mini-tarta ciocolata
16 x mini-tarta citron
16 x mini-tarta fructe
--
de ambalat in 2 pachete separate in mod egal
</t>
  </si>
  <si>
    <t>Strada Valea Lunga 3, Bl. 142, Sc A, Et 6, Ap 25, Bucuresti</t>
  </si>
  <si>
    <t>pachet tarte</t>
  </si>
  <si>
    <t>Strada Tampa 5, Bucuresti, bloc 3C, sc.1, etaj 2, ap.12- sector 2</t>
  </si>
  <si>
    <t>1 x tort duo-mousse visine 1.6 kg
-
8 x mini-tarta ciocolata
8 x mini-tarta citron
8 x mini-tarta fructe</t>
  </si>
  <si>
    <t>180 ron cu 50% discount pentru greseala comanda anterioara (fir de par)</t>
  </si>
  <si>
    <t>Adina Georgescu
(facebook)</t>
  </si>
  <si>
    <t>1 x tort black jack 1.2 kg</t>
  </si>
  <si>
    <t xml:space="preserve"> Strada Doctor Constantin Istrati, nr.40, corpA, ap.1</t>
  </si>
  <si>
    <t>Grosu Nicoleta
(facebook)</t>
  </si>
  <si>
    <t>Strada Herta 9, Bucuresti, bl B 17,Sc A,ap 34,etj 5,sect 2</t>
  </si>
  <si>
    <t>0773991990</t>
  </si>
  <si>
    <t>1 x tort decorat ca in model décor (2 kg - carrot cake)
--
Atentie 1: In loc de unicorn vrea o figurina care sa arate cat de mult se poate la fel cu cea din poza "Figurina.jpg"
--
Atentie 2: Langa figurina sa facem o cifra "1" din pasta de zahar.
--
Sa scriem pe o placuta rezemata de tort"Ingrid Diana"</t>
  </si>
  <si>
    <t>cat mai pe seara</t>
  </si>
  <si>
    <t>Raluca Serban
(facebook)</t>
  </si>
  <si>
    <t>cash cu bon
-
2 x 120</t>
  </si>
  <si>
    <t>1 x tort carrot cake 1 kg pentru raluca serban 01.05</t>
  </si>
  <si>
    <r>
      <t xml:space="preserve">1 x platou miniprajituri 5 persoane
-
1 x tort ciocolata portocale omnia 1.6 kg cu poza print circulara din departament décor
Atentie 1: </t>
    </r>
    <r>
      <rPr>
        <b/>
        <u/>
        <sz val="11"/>
        <color rgb="FF000000"/>
        <rFont val="Calibri"/>
        <family val="2"/>
      </rPr>
      <t>Decorul sa fie cu fructe de padure si capsuni</t>
    </r>
    <r>
      <rPr>
        <b/>
        <sz val="11"/>
        <color rgb="FF000000"/>
        <rFont val="Calibri"/>
        <family val="2"/>
      </rPr>
      <t xml:space="preserve">
Atentie 2: Mesajul este "La multi ani, MAE!"</t>
    </r>
  </si>
  <si>
    <t>Splaiul Unirii 313 corp M ICPE</t>
  </si>
  <si>
    <t>Mihai Hanek</t>
  </si>
  <si>
    <t>0723022097</t>
  </si>
  <si>
    <t>Inainte de 16:00!!</t>
  </si>
  <si>
    <t>achitat prin factura facuta pe numele oana hanek pe 27.04
-
1 x pachet cu 187 ron.</t>
  </si>
  <si>
    <r>
      <t xml:space="preserve">Valeriu Timus
0751151152
--
Sa I se comunice ca pachetul este un cadou din partea </t>
    </r>
    <r>
      <rPr>
        <b/>
        <u/>
        <sz val="11"/>
        <color rgb="FF000000"/>
        <rFont val="Calibri"/>
        <family val="2"/>
      </rPr>
      <t>Oanei Chitoi</t>
    </r>
  </si>
  <si>
    <t>Strada drumul fermei nr 73 casa 24
Popesti leordeni, Ilfov</t>
  </si>
  <si>
    <t>Claudia Nita</t>
  </si>
  <si>
    <t>Bulevardul  Iuliu Maniu 116 126 bloc 21 scara C etaj 2 ap 92 interfon 92</t>
  </si>
  <si>
    <t>Tort Chocolate Fiesta
Greutate: 1 kg
Mesaj Personalizat: Love on the weekend</t>
  </si>
  <si>
    <t>Irina Visan</t>
  </si>
  <si>
    <t xml:space="preserve">
Tort Noisette
Greutate: 2 kg
Mesaj Personalizat: Happy Birthday, Bella and Happy Sweet 17!
--
1 x platou miniprajituri 5 persoane
</t>
  </si>
  <si>
    <t>Pipera 198/4 Ibiza Sol Valencia 10 Parter, Tunari, Ilfov</t>
  </si>
  <si>
    <t xml:space="preserve">pana </t>
  </si>
  <si>
    <t>Madalina Preda</t>
  </si>
  <si>
    <t>Bulevardul  Camil Ressu, nr 37, Bl Z4 sc 1, ap 1, sector 3 Bucuresti</t>
  </si>
  <si>
    <t>Tort Duo Mousse cu Visine
Greutate: 1 kg
Mesaj Personalizat: La multi ani!</t>
  </si>
  <si>
    <t>Workings</t>
  </si>
  <si>
    <t>Alte Prajituri</t>
  </si>
  <si>
    <t>Cozonac cu nuca</t>
  </si>
  <si>
    <t>Cozonac Fructe Confiate</t>
  </si>
  <si>
    <t>Cozonac Mac</t>
  </si>
  <si>
    <t>Mini Pavlova - buc</t>
  </si>
  <si>
    <t>Mini Tarta Citron - buc</t>
  </si>
  <si>
    <t>Mini Tarta cu Ciocolata - buc</t>
  </si>
  <si>
    <t>Mini Tarta cu Fructe - buc</t>
  </si>
  <si>
    <t>Pasca fara Stafide</t>
  </si>
  <si>
    <t>Paste Cozonac Special</t>
  </si>
  <si>
    <t>Platou Mini Eclere</t>
  </si>
  <si>
    <t>Platou Mini Tarte</t>
  </si>
  <si>
    <t>Platou Minipraji 5 Persoane</t>
  </si>
  <si>
    <t>Platou Minipraji Cafea 10 Persoane</t>
  </si>
  <si>
    <t>Platou Minipraji Clasice 1
(5 x Rumba ||5 x  lamaita ||5 x foi miere||5 x mini eclere||5  x miniexcelent)</t>
  </si>
  <si>
    <t>Platou Minipraji Torturi Patrate 
Clasice II (framboisier/carrot cake/cheesecake/ straciatella)</t>
  </si>
  <si>
    <t>Platou Raw-Vegan Mare</t>
  </si>
  <si>
    <t>Platou Raw-Vegan Mic - 9 prajituri</t>
  </si>
  <si>
    <t>Prajitura Amandina</t>
  </si>
  <si>
    <t>Prajitura Cafina</t>
  </si>
  <si>
    <t>Prajitura Chec</t>
  </si>
  <si>
    <t>Prajitura Cheese Cake</t>
  </si>
  <si>
    <t>Prajitura Ciocolatina</t>
  </si>
  <si>
    <t>Prajitura Cornulete 100 gr</t>
  </si>
  <si>
    <t>Prajitura Cozonac Raw-Veg Caju si Mac</t>
  </si>
  <si>
    <t>Prajitura Cozonac Raw-veg Nuca</t>
  </si>
  <si>
    <t>Prajitura Cozonac Raw-Veg Turmeric</t>
  </si>
  <si>
    <t>Prajitura Cremsnit</t>
  </si>
  <si>
    <t>Prajitura Ecler Cafea</t>
  </si>
  <si>
    <t xml:space="preserve">Prajitura Ecler Ciocolata </t>
  </si>
  <si>
    <t>Prajitura Fursecuri 100 gr</t>
  </si>
  <si>
    <t>Prajitura Indiana</t>
  </si>
  <si>
    <t>Prajitura Macarons Mix</t>
  </si>
  <si>
    <t>Prajitura Mont Blanc</t>
  </si>
  <si>
    <t>Prajitura Opera</t>
  </si>
  <si>
    <t>Prajitura Raw Vegan Pistachio Pillow</t>
  </si>
  <si>
    <t>Prajitura Savarina</t>
  </si>
  <si>
    <t>Prajitura Tarta Capsuni</t>
  </si>
  <si>
    <t>Prajitura Tarta Ciocolata</t>
  </si>
  <si>
    <t>Prajitura Tarta Citron</t>
  </si>
  <si>
    <t>Prajitura Tarta Fistic</t>
  </si>
  <si>
    <t>Prajitura Tarta Fructe de Padure</t>
  </si>
  <si>
    <t>Prajitura Tarta Fructe Exotice</t>
  </si>
  <si>
    <t>Prajitura Tarta Zmeura</t>
  </si>
  <si>
    <t>Raw-Vegan Cashew Stone</t>
  </si>
  <si>
    <t>Tort Amandina 1.6 kg</t>
  </si>
  <si>
    <t>Tort Bailey's 1.2 kg</t>
  </si>
  <si>
    <t>Tort Bailey's 1.6 kg</t>
  </si>
  <si>
    <t xml:space="preserve">Tort Berry Chocolate 1.2 kg </t>
  </si>
  <si>
    <t xml:space="preserve">Tort Berry Chocolate 1.6 kg </t>
  </si>
  <si>
    <t>Tort Black Forest 1.2 kg</t>
  </si>
  <si>
    <t>Tort Black Forest 1.6 kg</t>
  </si>
  <si>
    <t>Tort Black Jack 1.2 kg</t>
  </si>
  <si>
    <t>Tort Black Jack 1.6 kg</t>
  </si>
  <si>
    <t>Tort Chocolate Delight 1.2 kg</t>
  </si>
  <si>
    <t>Tort Chocolate Delight 1.6 kg</t>
  </si>
  <si>
    <t>Tort Chocolate Fiesta 1.2 kg</t>
  </si>
  <si>
    <t>Tort Chocolate Fiesta 1.6 kg</t>
  </si>
  <si>
    <t>Tort Ciocolata si Portocale 1.2 kg</t>
  </si>
  <si>
    <t>Tort Ciocolata si Portocale Omnia 1.6 kg</t>
  </si>
  <si>
    <t>Tort Citron 1.2 kg</t>
  </si>
  <si>
    <t>Tort Citron 1.6 kg</t>
  </si>
  <si>
    <t>Tort Compozitie speciala Georgiana 1.2 kg</t>
  </si>
  <si>
    <t>Tort Compozitie speciala Georgiana 2 kg</t>
  </si>
  <si>
    <t>Tort Duo Mousse Visine 1.2 kg</t>
  </si>
  <si>
    <t>Tort Duo Mousse Visine 1.6 kg</t>
  </si>
  <si>
    <t>Tort Fistic si Zmeura 1.2 kg</t>
  </si>
  <si>
    <t>Tort Fistic si Zmeura 1.6 kg</t>
  </si>
  <si>
    <t>Tort Framboisier 1.2 kg</t>
  </si>
  <si>
    <t>Tort Framboisier 1.6 kg</t>
  </si>
  <si>
    <t>Tort Honney 1.2 kg</t>
  </si>
  <si>
    <t>Tort Honney 1.6 kg</t>
  </si>
  <si>
    <t>Tort Inima Tonka 700 gr</t>
  </si>
  <si>
    <t>Tort Noisette 1.2 kg</t>
  </si>
  <si>
    <t>Tort Noisette 1.6 kg</t>
  </si>
  <si>
    <t>Tort Omnia Fistic/Mango/Zmeura 1 kg</t>
  </si>
  <si>
    <t>Tort Omnia Fistic/Mango/Zmeura 1.6 kg</t>
  </si>
  <si>
    <t>Tort Oreo 1.2 kg</t>
  </si>
  <si>
    <t>Tort Oreo 1.6 kg</t>
  </si>
  <si>
    <t>Tort Pavlova 1.2 kg</t>
  </si>
  <si>
    <t>Tort Pavlova 1.6 kg</t>
  </si>
  <si>
    <t>Tort Pavlova Mare in Recipient Sticla</t>
  </si>
  <si>
    <t>Tort Pere (reteta noua stil tiramisu) 1.2 kg</t>
  </si>
  <si>
    <t>Tort Raspberry Vanilla 1.2 kg</t>
  </si>
  <si>
    <t>Tort Raspberry Vanilla 1.6 kg</t>
  </si>
  <si>
    <t>Tort Ricota si Fructe Confiate 1.2 kg</t>
  </si>
  <si>
    <t>Tort Ricota si Fructe Confiate 1.6 kg</t>
  </si>
  <si>
    <t>Tort Trio Mousse 1.2 kg</t>
  </si>
  <si>
    <t>Tort Trio Mousse 1.6 kg</t>
  </si>
  <si>
    <t>Torturi Pentru Decor</t>
  </si>
  <si>
    <t>Nume</t>
  </si>
  <si>
    <t>Praji Diabetici</t>
  </si>
  <si>
    <t>Tort Omnia Fistic/Mango/Zmeura 1.2 kg</t>
  </si>
  <si>
    <t>DATA:</t>
  </si>
  <si>
    <t>Tort Decorat</t>
  </si>
  <si>
    <t>Felie Tarta Mere</t>
  </si>
  <si>
    <t>Maxi Tarta Caspuni</t>
  </si>
  <si>
    <t>Maxi Tarta Citron</t>
  </si>
  <si>
    <t>Tort Carrot Cake 1.2 kg</t>
  </si>
  <si>
    <t>whatsapp</t>
  </si>
  <si>
    <t>Platou Mini Tarte (15 buc)</t>
  </si>
  <si>
    <t>Prajitura Tarta Nuca si Caramel</t>
  </si>
  <si>
    <t>pana in 12:00</t>
  </si>
  <si>
    <t>Magic Ballroom and Events, Drumul Taberei 115, București 061378
--
Evenimentul incepe la ??? Amenajarea se face de la ??? la ???</t>
  </si>
  <si>
    <t xml:space="preserve">84 x Choux a la Crème Fistic
84 x Macarons Culori Tematice
84 x Mini Tarta Ciocolata si Caramel
84 x Mini Tarta Lamaie si Bezea Flambata
84 x Mini Pavlova
84 x Mini Tarta Fructe
54 x Pahar Tiramisu
54 x Ecler Artizanal
54 x Cake Pops Tematice
27 x Briose Tematice
</t>
  </si>
  <si>
    <t>Conacul din Livada, Șoseaua Olteniței nr. 11, Popești-Leordeni 077160
--
Evenimentul incepe la ??? Amenajarea se face de la ??? la ???</t>
  </si>
  <si>
    <t>American Ballroom, Faur, Poarta 1, Bulevardul Basarabia 256
--
Amenajarea se face de la ??? la ???. Evenimentul incepe la ora ???</t>
  </si>
  <si>
    <t>Marinela Tudor</t>
  </si>
  <si>
    <t>Belvedere Grand Ballroom, Strada Carierei 58, Clinceni 077060
---
Amenajarea se face intr e ??? - ???</t>
  </si>
  <si>
    <t>Madalina Iorga
0 728 971 666
( a fost amant din 2020)
---
Este platit si un avans in feb 2020 dar nu stiu care (Tudor)</t>
  </si>
  <si>
    <t>Imperial Ballroom, Sala Ludovic, Șoseaua Pipera, Strada Avionului 9
---
Se amenajeaza intre 17:45 si 18:45. Evenimentul incepe la 19:00</t>
  </si>
  <si>
    <t>0745131254</t>
  </si>
  <si>
    <t>Prajitura Macarons Fistic &amp; Zmeura</t>
  </si>
  <si>
    <t>Prajitura Choux Fistic</t>
  </si>
  <si>
    <t>Prajitura Choux Vanilie</t>
  </si>
  <si>
    <t>Prajitura Choux Ciocolata</t>
  </si>
  <si>
    <t>Prajitura Choux Ness</t>
  </si>
  <si>
    <t>Tort Raw-Vegan Fistic 1 kg</t>
  </si>
  <si>
    <t>Felie Tort Raw-Vegan Fistic (100_</t>
  </si>
  <si>
    <t>Tort Amandina 1.8 kg</t>
  </si>
  <si>
    <t>Tort Bailey's 1.8 kg</t>
  </si>
  <si>
    <t xml:space="preserve">Tort Berry Chocolate 1.8 kg </t>
  </si>
  <si>
    <t>Tort Black Forest 1.8 kg</t>
  </si>
  <si>
    <t>Tort Black Jack 1.8 kg</t>
  </si>
  <si>
    <t>Tort Chocolate Delight 1.8 kg</t>
  </si>
  <si>
    <t>Tort Chocolate Fiesta 1.8 kg</t>
  </si>
  <si>
    <t>Tort Ciocolata si Portocale Omnia 1.8 kg</t>
  </si>
  <si>
    <t>Tort Citron 1.8 kg</t>
  </si>
  <si>
    <t>Tort Duo Mousse Visine 1.8 kg</t>
  </si>
  <si>
    <t>Tort Fistic si Zmeura 1.8 kg</t>
  </si>
  <si>
    <t>Tort Framboisier 1.8 kg</t>
  </si>
  <si>
    <t>Tort Honney 1.8 kg</t>
  </si>
  <si>
    <t>Tort Noisette 1.8 kg</t>
  </si>
  <si>
    <t>Tort Omnia Fistic/Mango/Zmeura 1.8 kg</t>
  </si>
  <si>
    <t>Tort Oreo 1.8 kg</t>
  </si>
  <si>
    <t>Tort Pavlova 1.8 kg</t>
  </si>
  <si>
    <t>Tort Raspberry Vanilla 1.8 kg</t>
  </si>
  <si>
    <t>Tort Ricota si Fructe Confiate 1.8 kg</t>
  </si>
  <si>
    <t>Tort Trio Mousse 1.8 kg</t>
  </si>
  <si>
    <t>Diana Soloman</t>
  </si>
  <si>
    <t>1 x tort fistic 1.2 kg cu "Matei" scris mare pe o placuta
---
Sa apara pe el sub forma de décor ca in departament decor
15.02.2020 (data nasterii)
13:18 (ora nasterii)
3720 gr (greutate copilas)
54 cm (intalnimea copilului)
Sa apara jucaus informatiile astea legate de copil</t>
  </si>
  <si>
    <t>0736626086</t>
  </si>
  <si>
    <t>achita la cofetarie pe 17.05.2020</t>
  </si>
  <si>
    <t>Vanilie</t>
  </si>
  <si>
    <t>0760888433</t>
  </si>
  <si>
    <t>Prajitura Macarons Vanilie &amp; Capsuni</t>
  </si>
  <si>
    <t>0760913730</t>
  </si>
  <si>
    <t>Oana</t>
  </si>
  <si>
    <t>Olimpia Secareci</t>
  </si>
  <si>
    <t>1 x framboisier 1.8 kg
4 x cremsnit</t>
  </si>
  <si>
    <t>Aleea Fagului
Ostratu, Ilfov</t>
  </si>
  <si>
    <t>Tort Oreo 2.5 kg</t>
  </si>
  <si>
    <t>Tort Chocolate Fiesta 2.5</t>
  </si>
  <si>
    <t>Tort Bailey's 2.5 kg</t>
  </si>
  <si>
    <t>Tort Cheese Cake 1.2 kg</t>
  </si>
  <si>
    <t>Tort Cheese Cake 1.8 kg</t>
  </si>
  <si>
    <t>Tort Cheese Cake 2.5</t>
  </si>
  <si>
    <t>Alina Vasile</t>
  </si>
  <si>
    <t>Tort Duo Mousse Visine 2.5 kg</t>
  </si>
  <si>
    <t>Alecu Ionut
0767210535
(s-a schimbat de pe 30.05.2020)</t>
  </si>
  <si>
    <t>telefon</t>
  </si>
  <si>
    <t>Cristian</t>
  </si>
  <si>
    <t>2 x cafina
2 x mont blanc
2 x tarta capsuni
2 x cremsnit
2 x amandina</t>
  </si>
  <si>
    <t>Tort Ciocolata si Rom 1.2 kg</t>
  </si>
  <si>
    <t>Tort Ciocolata si Rom 1.8 kg</t>
  </si>
  <si>
    <t>Tort Ciocolata si Rom 2.5 kg</t>
  </si>
  <si>
    <t>Client Laura</t>
  </si>
  <si>
    <t>Tort Krantz 1.2 kg</t>
  </si>
  <si>
    <t>Tort Krantz 1.8 kg</t>
  </si>
  <si>
    <t>Tort Krantz 2.5 kg</t>
  </si>
  <si>
    <t>Hagivreta Dafina
0 769 211 282
(s-a amanat din 26 iulie 2020)</t>
  </si>
  <si>
    <t>Conacul din Livada, Șoseaua Olteniței nr. 11, Popești-Leordeni 077160
---
Evenimentul incepe la ????. Amenajarea se face de la ??? la ???</t>
  </si>
  <si>
    <t>(Corina Gramada)Mogosoaia Lake View</t>
  </si>
  <si>
    <t xml:space="preserve">0.8 kg compozitie duo mouse pe inalt|| imbracat pasta de zahar roz pal ca in poza 1, pe tort sa fie o coroana de aceasi culoare ca in poza 2, de jur imprejur sa aiba crestaturi si bilute(argintii sau albe) ca in poza 3, si pe fata tortului la mijloc sa fie o placuta cu “La multi ani, Oana!” ca in poza 1  </t>
  </si>
  <si>
    <t>pana la 18:00</t>
  </si>
  <si>
    <t>140 lei / kg  (fara brrr banii direct la Dan)
- de cantarit la final-</t>
  </si>
  <si>
    <t>amanat</t>
  </si>
  <si>
    <t>Tort clasic 1.2 kg</t>
  </si>
  <si>
    <t>Tort clasic 1.8 kg</t>
  </si>
  <si>
    <t>Tort clasic 2.5 kg</t>
  </si>
  <si>
    <t>3 etaje tort berry chocolate pt tort real ana ciuperca 22.05 (5.5 kg in total)</t>
  </si>
  <si>
    <t>Ana Ciuperca
0 720 052 042
(AM SCHIMBAT DIN AUGUST 200)</t>
  </si>
  <si>
    <t>Madalina Graur
0 735 111 212
(mutat de pe 25 07.2020)</t>
  </si>
  <si>
    <t>Gradina Floreasca, Salonul 2, Bulevardul Mircea Eliade 16, București 014192
---
Evenimentul incepe laXXX . Amenajarea se face de la XXX la XXX</t>
  </si>
  <si>
    <t>0722606787</t>
  </si>
  <si>
    <t>0734850806</t>
  </si>
  <si>
    <t>Club Colonial, Cernica
--
Evenimentul incepe la XXX. Amenajarea se face de la XXXX la XXXX</t>
  </si>
  <si>
    <t>Steliana Irimia
0 785 707 598
(a fost mutata de pe 14 iunie 2020)</t>
  </si>
  <si>
    <t>Mogosoaia Lake View 
Corina</t>
  </si>
  <si>
    <t>Adriana</t>
  </si>
  <si>
    <t>0724518183</t>
  </si>
  <si>
    <t>Daniel Anghelina
0 732 776 433
(era pe 12.09.2020)</t>
  </si>
  <si>
    <t>1 x tort fistic mango,omnia pentru macheta eveniment oppescu gabriel adrian</t>
  </si>
  <si>
    <t>Tort Raspberry Vanilla
Greutate: 1.8 kg (12 persoane)
Mesaj Personalizat: "LA MULTI ANI, COSTI!"
-
1 x platou miniprajituri 10 persoane</t>
  </si>
  <si>
    <t>0723617351</t>
  </si>
  <si>
    <t>strada albastrelelor nr 32
stefanesti de sus, Ilfov</t>
  </si>
  <si>
    <r>
      <t xml:space="preserve">IGNORATI VA ROG MOMENTAN
-----
1 x macheta ca in poza décor cu etaj real KRANTZ. In loc de roz pal neaparat sa fie ALB. Noi luam florile
---
140 x felie 150 gr krantz decorat frumos
---
</t>
    </r>
    <r>
      <rPr>
        <b/>
        <u/>
        <sz val="11"/>
        <color rgb="FF000000"/>
        <rFont val="Calibri"/>
        <family val="2"/>
      </rPr>
      <t xml:space="preserve">MASA SWEETS CANDY-BAR
</t>
    </r>
    <r>
      <rPr>
        <b/>
        <sz val="11"/>
        <color rgb="FF000000"/>
        <rFont val="Calibri"/>
        <family val="2"/>
      </rPr>
      <t>---
Amenajare Candy-Bar 120 Pax:
61 x Choux a la Crème
120 x Macarons Culori Tematice
61 x Mini Tarta Ciocolata si Caramel
61 x Mini Tarta Lamaie si Bezea Flambata
61 x Mini Pavlova 
61 x Mini Tarta Fructe
44 x Pahar Tiramisu
44 x Pahar Duo-Mousse
44 x Pahar Mousse Vanilie si Zmeura 
44 x Cake Pops Tematice
22 x Briose Tematice
-
!!!!! Atentie, vrea neaparat sa aiba o piramida foarte mare de macarons</t>
    </r>
  </si>
  <si>
    <t>Madalina
0741980965
(mutat de pe 05.07.2020)</t>
  </si>
  <si>
    <t>ridicare din cofetarie</t>
  </si>
  <si>
    <t>Irina Iordache
0767005516
evenimetul s a mutat de pe 04.06</t>
  </si>
  <si>
    <t>zzzDécor</t>
  </si>
  <si>
    <t>card</t>
  </si>
  <si>
    <t>zzzdecor</t>
  </si>
  <si>
    <t>Reina Events Ballroom Salon Sofia.Bucuresti sect 3, str locotenent Nicolae Pascu nr 81</t>
  </si>
  <si>
    <t>0732904525</t>
  </si>
  <si>
    <t>1 x etaj macheta real fistic cu zmeura pentru Popica Gabriel 18.09.
-
Sa va uitati la poza din departament décor pentru a aproxima greutatea</t>
  </si>
  <si>
    <t>Enache Georgiana/ David Iuta
0784619373
data a fost schimbata de pe 26.07 pe 5.09</t>
  </si>
  <si>
    <t xml:space="preserve">Beatrice Tutelca
0 733 793 452
</t>
  </si>
  <si>
    <t>3 etaje carrot cake. Tortul final are 12 kg si va fi acoperit in crema de branza. Uitati va in departament décor pentru a aproxima greutatea</t>
  </si>
  <si>
    <t>bogdan</t>
  </si>
  <si>
    <t>Ana Seremet</t>
  </si>
  <si>
    <t>0799555244</t>
  </si>
  <si>
    <t>Nu a platit nimic. S-a amanat evenimentul.</t>
  </si>
  <si>
    <t>A achitat deja 1140 RON. Mai are de achitat 2660 RON.</t>
  </si>
  <si>
    <t>S-a achitat avans de 516 RON. Mai trebuie facturat restul
--
Madalina Iorga</t>
  </si>
  <si>
    <t>au platit factura avans 1770 Ron.  Se mai face o factura pentru restul sumei.</t>
  </si>
  <si>
    <t>80 x portie tort fistic 125 gr/felie)
-
1 x macheta ca in departament décor (4 etaje cu ultimul etaj real - fistic cu zmeura)</t>
  </si>
  <si>
    <t>Factura 700 RON Reina Events (Fal Co SRL 80 x 125 x 70/1000)
---
650 persoana fizica macheta Gabriel Poica</t>
  </si>
  <si>
    <t>0724558800</t>
  </si>
  <si>
    <r>
      <t xml:space="preserve">1 x tort real ca in departament décor (20 kg TORT KRANTZ - 4 etaje)  (atentie, e tot real)
!!! Crema sa fie cu nuante de verde pal in loc de roz pal
!!! Dripul Sa fie Verde pal
!!! Florile sa fie din pasta de zahar (albe/verde Pal)
--
Amenajare Candy-Bar 130 Pax
</t>
    </r>
    <r>
      <rPr>
        <b/>
        <u/>
        <sz val="11"/>
        <color rgb="FF000000"/>
        <rFont val="Calibri"/>
        <family val="2"/>
      </rPr>
      <t>CU MOBILIER CA LA TARG (Alb/verde pal)</t>
    </r>
    <r>
      <rPr>
        <b/>
        <sz val="11"/>
        <color rgb="FF000000"/>
        <rFont val="Calibri"/>
        <family val="2"/>
      </rPr>
      <t xml:space="preserve">
25 x Choux Ness
25 x Choux Vanilie
25 x Choux Ciocolata
73 x Macarons Culori Tematice
73 x Mini Tarta Ciocolata si Caramel
73 x Mini Tarta Lamaie si Bezea Flambata
73 x Mini Pavlova
73 x Mini Tarta Fructe
47 x Pahar Tiramisu
47 x Ecler Artizanal
47 x Cake Pops Tematice
24 x Briose Tematice</t>
    </r>
  </si>
  <si>
    <t>Andreea Carstea</t>
  </si>
  <si>
    <t>0732339900</t>
  </si>
  <si>
    <t>Cherlestii Mosteni, strada oltului Nr 16
Cherlestii Mosteni , Olt</t>
  </si>
  <si>
    <t>1 x Tort Tonka cu Stevie
Greutate: 1.2 kg (8 persoane)
COMANDA ANULATA</t>
  </si>
  <si>
    <t>Claudius Soare</t>
  </si>
  <si>
    <t>0722587589</t>
  </si>
  <si>
    <t>0744659822</t>
  </si>
  <si>
    <t xml:space="preserve">achitat pe website </t>
  </si>
  <si>
    <t>Luminita Niculae</t>
  </si>
  <si>
    <t>anulat</t>
  </si>
  <si>
    <t>Maria Sofian</t>
  </si>
  <si>
    <t>0721477677</t>
  </si>
  <si>
    <t>World Trade Center Bucuresti
Bucuresti ,</t>
  </si>
  <si>
    <t>Lizi Dobre</t>
  </si>
  <si>
    <t>0721516065</t>
  </si>
  <si>
    <t>1 x Tort cu Ciocolata si Portocale
Greutate: 1.4 kg (9 persoane)</t>
  </si>
  <si>
    <t>1 x Tort cu Fistic si Zmeura
Greutate: 1.4 kg (9 persoane)</t>
  </si>
  <si>
    <t>30 x cake pops FARA cacao cu glazura alba si decor multicolor</t>
  </si>
  <si>
    <t>Str Caramidarii de jos 3,  bl 75 sc 1, ap 4, Sector 4</t>
  </si>
  <si>
    <t>Iulia M.</t>
  </si>
  <si>
    <t>0727371641</t>
  </si>
  <si>
    <t>Bulevardul Bucurestii NOi, 93-97, Bl. B3, Sc B, Ap 73, Etaj 7</t>
  </si>
  <si>
    <t>cash cu bon, 75 RON figurina
135RON tort
10 Ron livrare</t>
  </si>
  <si>
    <t xml:space="preserve">website </t>
  </si>
  <si>
    <t>zzz Marilena Cojocaru</t>
  </si>
  <si>
    <t>zzz Adina Badica</t>
  </si>
  <si>
    <t>0740609400</t>
  </si>
  <si>
    <t>1 x tort decorat ca in poza 1 ( berry chocolate | 3 kg greutate finala | 1 etaj) si mesajul “LA Multi Ani, Alex” ca in poza 2
ANULATA</t>
  </si>
  <si>
    <t>1 x tort framboisier 1.5 kg (cu cantitate foarte mica de zahar. Este pentru bebe &lt; 3 ani) cu mesajul "La Multi Ani, Sonia! 2 Ani". Tortul sa fie asezat pe un platou mai mare iar pe platou o figurina mare ca in Poza 1
COMANDA ANULATA</t>
  </si>
  <si>
    <t>0770584365</t>
  </si>
  <si>
    <t xml:space="preserve">Cristian Alin Vaduva
0726549823
(amanat de pe 06.09.2020)
</t>
  </si>
  <si>
    <t xml:space="preserve">Ionut </t>
  </si>
  <si>
    <t>0766696068</t>
  </si>
  <si>
    <t>Popas Nostalgia, Strada Tuzla 50, Bucuresti</t>
  </si>
  <si>
    <t>17:00-19:00 (mai devreme nu)</t>
  </si>
  <si>
    <t>(Plata cu card la livrare</t>
  </si>
  <si>
    <t>1 x tort framboisier 1.8 kg cu mesajul "La Multi Ani, Adela"
1 x chec cu ciocolata (FARA LACTATE)
ANULATA</t>
  </si>
  <si>
    <t>0723191366</t>
  </si>
  <si>
    <t>Cecilia
0 740 975 299
(a fost mutat de pe 12 sep 2020)</t>
  </si>
  <si>
    <t>DANA TE ROG IGNORA COMANDA ASTA!
-
Gabriela
0 767 315 684</t>
  </si>
  <si>
    <t>Popica Gabriel
(s-a mutat de pe 18.09.2020)</t>
  </si>
  <si>
    <t>Madalina Uta
0 765 522 164
(era pe 19.09.) s-a anulat</t>
  </si>
  <si>
    <t>Laurentiu C.</t>
  </si>
  <si>
    <t>Cristina Cioraneanu</t>
  </si>
  <si>
    <t>0769240414</t>
  </si>
  <si>
    <t>Soseaua Berceni 23, bl 35, sc 1, et 5, ap 23, sector 4, Bucuresti</t>
  </si>
  <si>
    <t>cash cu bon
-
270 pachet modificat cu stevia
10 transport</t>
  </si>
  <si>
    <t>1 x tort clasic 3 kg dreptunghiular pentru comanda voinea cristina 25.09</t>
  </si>
  <si>
    <t>Ruxandra Despa
0 785 222 123
(s-a amanat de pe 27.09)</t>
  </si>
  <si>
    <t xml:space="preserve">1 x tort framboisier STEVIA 1.2 kg
Mesaj Personalizat: La multi ani, tataie Vali!
-
1 x platou miniprajituri 5 persoane
COMANDA ANULATA </t>
  </si>
  <si>
    <t>1 x macheta tort (3 etaje - 1 real + 2 macheta). Etajul real va fi fistic cu zmeura si blat de biscuiti 
Detalii: Aranjamentul machetei va fi identic ca in Poza 1. In loc de crema, va fi acoperita in alb imaculat iar pe marginile etajelor va fi un efect de foita de aur ca in Poza 2
--
100 x felie fistic cu zmeura si blat de biscuiti ornate individual (150 gr /portie)
--
1 x amenajare candy-bar
Prajituri Candy-Bar 100 persoane (alb/verde/culori pastelate)
56 x Choux a la Crème Fistic
56 x Macarons (Alb/Verde/Roz Pal/Verde Pal)
56 x Mini Tarta Ciocolata si Caramel
56 x Mini Tarta Lamaie si Bezea Flambata
56 x Mini Pavlova
56 x Mini Tarta Fructe
36 x Pahar Tiramisu
36 x Ecler Artizanal (Alb/Verde/Roz Pal/Verde Pal)
36 x Cake Pops Tematice (Alb/Verde/Roz Pal/Verde Pal)
18 x Briose Tematice (Alb/Verde/Roz Pal/Verde Pal)
Pe candy-bar vor exista motive florale din pasta de zahar asemanatoare florilor din Poza 1</t>
  </si>
  <si>
    <t>Gradina cu Licurici (Strada Gospodari 16, Roșu, Ilfov)
Evenimentul  incepe la 15:00. Candy-bar'ul se va amenaja intre 13:45 si 14:45</t>
  </si>
  <si>
    <t xml:space="preserve"> (contract + factura. Se ocupa Tudor)
- 1760 candy-bar (20% discount inclus)
- 1740 tort + macheta (15% discount inclus)</t>
  </si>
  <si>
    <t>Mihaela Dimache</t>
  </si>
  <si>
    <t>drumul gura putnei ne 32, et parter, ap 7 , bucuresti sect 3
--
pana in 15:00</t>
  </si>
  <si>
    <t>0762900175</t>
  </si>
  <si>
    <t>0763938634</t>
  </si>
  <si>
    <t>0 733 793 452</t>
  </si>
  <si>
    <t>0 721 951 363</t>
  </si>
  <si>
    <t>0767210535</t>
  </si>
  <si>
    <t>0741980965</t>
  </si>
  <si>
    <t>0 769 211 282</t>
  </si>
  <si>
    <t>0 740 975 299</t>
  </si>
  <si>
    <t>0 732 776 433</t>
  </si>
  <si>
    <t>0 769 308 271</t>
  </si>
  <si>
    <t>0 785 222 123</t>
  </si>
  <si>
    <t>0 726 793 582</t>
  </si>
  <si>
    <t>0 720 369 860</t>
  </si>
  <si>
    <t>0752425125</t>
  </si>
  <si>
    <t>Dragomir Georgiana</t>
  </si>
  <si>
    <t>0746113600</t>
  </si>
  <si>
    <t>Tort Baby Angel
Sortiment:: Raspberry Vanilla
Gramaj Tort:: 3 kg greutate finala
Mesaj Personalizat: DAMIAN ISAIA
--
ATENTIE: 
"NU DORIM BOMBOANELE AURII DELOC PE TORT. IN LOCUL ACESTORA VA ROG SA PUNETI FRUCTE."</t>
  </si>
  <si>
    <t>Strada Drum Campeni nr 17 sector 4 Bucuresti
--
RAMANE SA VORBIM SA STABILIM ADRESA SI ORA</t>
  </si>
  <si>
    <t>CULORI: AURIU/ROZ
16 x mini-briose ( AURIU/ROZ)
17 x cake pops ( AURIU/ROZ)
16 x mini-raspberry vanilla
17 x mini-carrot cake
16 x choux fistic
17 x choux vanilie</t>
  </si>
  <si>
    <t>Green Court Events (Gara Herastrau Nr. 4)
10.10.2020
---
AMENAJAREA SE FACE intre 11:45 si 12:45 . VESELA este a locatiei</t>
  </si>
  <si>
    <t>factura pe "Corporate Management Events"</t>
  </si>
  <si>
    <t>Mogosoaia Lake View|| Strada PADURE NR 2 BIS, Strada Chitila Pădure, Mogoșoaia
(oricand pana in 19:00)</t>
  </si>
  <si>
    <t xml:space="preserve"> Whatsapp</t>
  </si>
  <si>
    <t>Strada Ogorului 16
Corbeanca, Ilfov</t>
  </si>
  <si>
    <t>Strada Sfantul Ilie 5, Gradinita Prikindel
-
10:30-11:00</t>
  </si>
  <si>
    <t>10:30-11:00</t>
  </si>
  <si>
    <t>cash cu bon
+
certificat de conformitate</t>
  </si>
  <si>
    <t>Poteras Mihaela</t>
  </si>
  <si>
    <t>0762660685</t>
  </si>
  <si>
    <t>1 x tort fistic RAW-VEGAN 2.5 kg cu cu mesajul "La Multi Ani, Vlad!" Langa tort vom pune o figurina testoasa ninja ca in poza departament décor
-
A ANULAT pe 06.10 seara  pe whatsapp</t>
  </si>
  <si>
    <t>Contor</t>
  </si>
  <si>
    <t>Baza de Date</t>
  </si>
  <si>
    <t>Cozonac cu nuca si Cacao</t>
  </si>
  <si>
    <t>Tort Bailey's 1.4 kg</t>
  </si>
  <si>
    <t xml:space="preserve">Tort Berry Chocolate 1.4 kg </t>
  </si>
  <si>
    <t>Tort Black Forest 1.4 kg</t>
  </si>
  <si>
    <t>Tort Black Jack 1.4 kg</t>
  </si>
  <si>
    <t>Tort Carrot Cake 1.4 kg</t>
  </si>
  <si>
    <t>Tort Cheese Cake 1.4 kg</t>
  </si>
  <si>
    <t>Tort Chocolate Delight 1.4 kg</t>
  </si>
  <si>
    <t>Tort Chocolate Fiesta 1.4 kg</t>
  </si>
  <si>
    <t>Tort Ciocolata si Portocale 1.4 kg</t>
  </si>
  <si>
    <t>Tort Ciocolata si Rom 1.4 kg</t>
  </si>
  <si>
    <t>Tort clasic 1.4 kg</t>
  </si>
  <si>
    <t>Tort Krantz 1.4 kg</t>
  </si>
  <si>
    <t>Tort Citron 1.4 kg</t>
  </si>
  <si>
    <t>Tort Compozitie speciala Georgiana 1.4 kg</t>
  </si>
  <si>
    <t>Tort Duo Mousse Visine 1.4 kg</t>
  </si>
  <si>
    <t>Tort Fistic si Zmeura 1.4 kg</t>
  </si>
  <si>
    <t>Tort Framboisier 1.4 kg</t>
  </si>
  <si>
    <t>Tort Honney 1.4 kg</t>
  </si>
  <si>
    <t>Tort Noisette 1.4 kg</t>
  </si>
  <si>
    <t>Tort Omnia Fistic/Mango/Zmeura 1.4 kg</t>
  </si>
  <si>
    <t>Tort Oreo 1.4 kg</t>
  </si>
  <si>
    <t>Tort Pavlova 1.4 kg</t>
  </si>
  <si>
    <t>Tort Pere (reteta noua stil tiramisu) 1.4 kg</t>
  </si>
  <si>
    <t>Tort Raspberry Vanilla 1.4 kg</t>
  </si>
  <si>
    <t>Tort Ricota si Fructe Confiate 1.4 kg</t>
  </si>
  <si>
    <t>Tort Trio Mousse 1.4 kg</t>
  </si>
  <si>
    <t>Tort Red Velvet 1.4 kg</t>
  </si>
  <si>
    <t>Tort Red Velvet 1.8 kg</t>
  </si>
  <si>
    <t xml:space="preserve">Tort Framboisier 1.4 kg_x000D_
</t>
  </si>
  <si>
    <t>Monoportie Fistic si Zmeura</t>
  </si>
  <si>
    <t xml:space="preserve">Tort Pavlova 1.4 kg_x000D_
</t>
  </si>
  <si>
    <t xml:space="preserve">Platou Minipraji 5 Persoane_x000D_
</t>
  </si>
  <si>
    <t>Prajitura Ecler Mango</t>
  </si>
  <si>
    <t>Prajitura Ecler Cocos</t>
  </si>
  <si>
    <t xml:space="preserve">Cozonac cu nuca si Cacao_x000D_
Cozonac cu nuca si Cacao_x000D_
</t>
  </si>
  <si>
    <t xml:space="preserve">Tort Framboisier 1.4 kg_x000D_
Platou Minipraji 5 Persoane_x000D_
</t>
  </si>
  <si>
    <t>Tort Duo Mousse Visine 1.8 kg cu Stevie</t>
  </si>
  <si>
    <t>Tort Duo Mousse Visine 1.4 kg cu Stevie</t>
  </si>
  <si>
    <t>Tarta Mere (2.5 kg)</t>
  </si>
  <si>
    <t>Prajitura Cremsnit cu Stevie</t>
  </si>
  <si>
    <t xml:space="preserve">Tort Decorat_x000D_
</t>
  </si>
  <si>
    <t>Tort Tonka 1.4 kg</t>
  </si>
  <si>
    <t>Tort Tonka 1.8 kg</t>
  </si>
  <si>
    <t>Monoportie Fistic si Zmeura cu Stevie</t>
  </si>
  <si>
    <t>Monoportie Tonka</t>
  </si>
  <si>
    <t>Monoportie Tonka cu Stevie</t>
  </si>
  <si>
    <t>Prajitura Tarta Mure</t>
  </si>
  <si>
    <t xml:space="preserve">Tort Duo Mousse Visine 1.4 kg_x000D_
</t>
  </si>
  <si>
    <t xml:space="preserve">Tort Fistic si Zmeura 1.4 kg_x000D_
</t>
  </si>
  <si>
    <t xml:space="preserve">Tort Framboisier 1.8 kg_x000D_
</t>
  </si>
  <si>
    <t xml:space="preserve">Tort Citron 1.4 kg_x000D_
</t>
  </si>
  <si>
    <t>CroquenBouche (70 choux-uri)</t>
  </si>
  <si>
    <t xml:space="preserve">Tort Fistic si Zmeura 1.8 kg_x000D_
</t>
  </si>
  <si>
    <t xml:space="preserve">Tort Chocolate Fiesta 1.8 kg_x000D_
</t>
  </si>
  <si>
    <t xml:space="preserve">Torturi Pentru Decor_x000D_
</t>
  </si>
  <si>
    <t>0736042215</t>
  </si>
  <si>
    <t xml:space="preserve">Walter Maracineanu
Pantelimon, Ilfov </t>
  </si>
  <si>
    <t>0766818246</t>
  </si>
  <si>
    <t>Cristina badea
(daca nu raspunde se poate suna si pe  0784366766 Mihaela )</t>
  </si>
  <si>
    <t>1 x Tort Framboisier cu Stevie
Greutate: 1.8 kg (12 persoane)
Mesaj Personalizat: La mulți ani Florentina
ANULATA</t>
  </si>
  <si>
    <t>zzzCalinescu Ticu</t>
  </si>
  <si>
    <t>Acandy-bar</t>
  </si>
  <si>
    <t>Prajitura Ecler Fistic</t>
  </si>
  <si>
    <t>Prajitura Ecler Zmeura</t>
  </si>
  <si>
    <t xml:space="preserve">Tort Decorat
Acandy-bar
Tort Fistic si Zmeura 1.4 kg_x000D_
Tort Fistic si Zmeura 1.4 kg_x000D_
Tort Fistic si Zmeura 1.4 kg_x000D_
Tort Fistic si Zmeura 1.4 kg_x000D_
Tort Fistic si Zmeura 1.4 kg_x000D_
Tort Fistic si Zmeura 1.4 kg_x000D_
Tort Fistic si Zmeura 1.4 kg_x000D_
Tort Fistic si Zmeura 1.4 kg_x000D_
Tort Fistic si Zmeura 1.4 kg_x000D_
Tort Fistic si Zmeura 1.4 kg_x000D_
Tort Fistic si Zmeura 1.4 kg_x000D_
</t>
  </si>
  <si>
    <t>/</t>
  </si>
  <si>
    <t>/2</t>
  </si>
  <si>
    <t>/3</t>
  </si>
  <si>
    <t>/4</t>
  </si>
  <si>
    <t>/5</t>
  </si>
  <si>
    <t>/6</t>
  </si>
  <si>
    <t>/7</t>
  </si>
  <si>
    <t>Felie Tort Raw-Vegan Fistic (100 gr)</t>
  </si>
  <si>
    <t xml:space="preserve">Tort Ciocolata si Portocale 1.4 kg_x000D_
</t>
  </si>
  <si>
    <t xml:space="preserve">Tort clasic 1.4 kg_x000D_
</t>
  </si>
  <si>
    <t>Ionut Killion</t>
  </si>
  <si>
    <t>0727358526</t>
  </si>
  <si>
    <t>Strada Principala Nr 265
Copaceni, Ilfov</t>
  </si>
  <si>
    <t xml:space="preserve">Tort Ciocolata si Portocale Omnia 1.8 kg_x000D_
</t>
  </si>
  <si>
    <t>Tort Fistic si Zmeura 1.4 kg cu Stevia</t>
  </si>
  <si>
    <t>Tort Framboisier 1.4 kg cu Stevia</t>
  </si>
  <si>
    <t>Tort Carrot Cake 1.8 kg</t>
  </si>
  <si>
    <t>pana la 19:00</t>
  </si>
  <si>
    <t>6.5 kg x 75 RON+ tva pe IT QUEST &amp; MANAGEMENT
--
LUNI pe 19.10.2020 se face factura</t>
  </si>
  <si>
    <t>Tort Citron
Greutate: 1.8 kg (12 persoane)
Mesaj Personalizat: 
"Happy Birthday, Kenny &amp; Ionut!"</t>
  </si>
  <si>
    <t xml:space="preserve">Tort Decorat
Tort Fistic si Zmeura 1.8 kg
Tort Fistic si Zmeura 1.8 kg
Tort Fistic si Zmeura 1.8 kg
Tort Fistic si Zmeura 1.8 kg
</t>
  </si>
  <si>
    <t xml:space="preserve">Acandy-bar_x000D_
</t>
  </si>
  <si>
    <t>Marina Juncu</t>
  </si>
  <si>
    <t>0726863657</t>
  </si>
  <si>
    <t xml:space="preserve">Tort Chocolate Fiesta 2.5_x000D_
</t>
  </si>
  <si>
    <t>Strada Padurii,nr 16
Saftica, Ilfov</t>
  </si>
  <si>
    <t>oricad</t>
  </si>
  <si>
    <t xml:space="preserve">1.5 kg TOTAL tort fistic cu zmeura (diam 16 inaltimea 10) etajul real (imbracat in pasta alba) pentru macheta mica ce o dam la Mogosoaia
-
65 x portii fistic cu zmeura de 100g !!!!!! Fiecare felie sa fie decorata cu triunghiuri cum a facut RETA
ANULATA </t>
  </si>
  <si>
    <t>Achita Cash la livrare rest plata: 30
Avans 10.10.2020: 200 lei</t>
  </si>
  <si>
    <t>dupa 17:00</t>
  </si>
  <si>
    <t>strada Radu Chiritescu nr 28, sector 5, Bucuresti
dupa 17:00</t>
  </si>
  <si>
    <t xml:space="preserve">Tort Red Velvet 1.8 kg_x000D_
Prajitura Indiana_x000D_
Prajitura Mont Blanc_x000D_
</t>
  </si>
  <si>
    <t>Maria Claudia Dumitru
s-a amanat pentru 01.06.2021</t>
  </si>
  <si>
    <t>Roxana Tecu</t>
  </si>
  <si>
    <t>AMENAJEARA MIRELA INDEPENDENT!
Prajituri candy-bar 20 persoane:
20 x Choux a la Crème Fistic
20 x Turte Tematice (POZA 1)
20 x Mini Tarta Ciocolata si Caramel
20 x Mini Tarta Lamaie si Bezea Flambata
20 x Mini Pavlova
20 x Mini Tarta Fructe
8 x Ecler Tematic (POZA 1)
10 x Cake Pops Tematic  (POZA 1)
20 x Briose Tematice  (POZA 1)</t>
  </si>
  <si>
    <t>0765509004</t>
  </si>
  <si>
    <t>Curtea cu Pici (Strada Drumul Fermei 86)
Livrare la 15:30 FIX. Amenajarea se face de la 15:30-16:30</t>
  </si>
  <si>
    <t xml:space="preserve">Prajitura Choux Fistic_x000D_
Prajitura Choux Fistic_x000D_
Prajitura Choux Fistic_x000D_
Prajitura Choux Fistic_x000D_
Prajitura Choux Fistic_x000D_
Prajitura Choux Fistic_x000D_
Prajitura Choux Fistic_x000D_
Prajitura Choux Fistic_x000D_
Prajitura Choux Fistic_x000D_
Prajitura Choux Fistic_x000D_
Prajitura Choux Fistic_x000D_
Prajitura Choux Fistic_x000D_
Prajitura Choux Fistic_x000D_
Prajitura Choux Fistic_x000D_
Prajitura Choux Fistic_x000D_
Prajitura Choux Fistic_x000D_
Prajitura Choux Fistic_x000D_
Prajitura Choux Fistic_x000D_
Prajitura Choux Fistic_x000D_
Prajitura Choux Fistic_x000D_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cu Ciocolata - buc_x000D_
Mini Tarta Citron - buc_x000D_
Mini Tarta Citron - buc_x000D_
Mini Tarta Citron - buc_x000D_
Mini Tarta Citron - buc_x000D_
Mini Tarta Citron - buc_x000D_
Mini Tarta Citron - buc_x000D_
Mini Tarta Citron - buc_x000D_
Mini Tarta Citron - buc_x000D_
Mini Tarta Citron - buc_x000D_
Mini Tarta Citron - buc_x000D_
Mini Tarta Citron - buc_x000D_
Mini Tarta Citron - buc_x000D_
Mini Tarta Citron - buc_x000D_
Mini Tarta Citron - buc_x000D_
Mini Tarta Citron - buc_x000D_
Mini Tarta Citron - buc_x000D_
Mini Tarta Citron - buc_x000D_
Mini Tarta Citron - buc_x000D_
Mini Tarta Citron - buc_x000D_
Mini Tarta Citron - buc_x000D_
Mini Pavlova - buc_x000D_
Mini Pavlova - buc_x000D_
Mini Pavlova - buc_x000D_
Mini Pavlova - buc_x000D_
Mini Pavlova - buc_x000D_
Mini Pavlova - buc_x000D_
Mini Pavlova - buc_x000D_
Mini Pavlova - buc_x000D_
Mini Pavlova - buc_x000D_
Mini Pavlova - buc_x000D_
Mini Pavlova - buc_x000D_
Mini Pavlova - buc_x000D_
Mini Pavlova - buc_x000D_
Mini Pavlova - buc_x000D_
Mini Pavlova - buc_x000D_
Mini Pavlova - buc_x000D_
Mini Pavlova - buc_x000D_
Mini Pavlova - buc_x000D_
Mini Pavlova - buc_x000D_
Mini Pavlova - buc_x000D_
Mini Tarta cu Fructe - buc_x000D_
Mini Tarta cu Fructe - buc_x000D_
Mini Tarta cu Fructe - buc_x000D_
Mini Tarta cu Fructe - buc_x000D_
Mini Tarta cu Fructe - buc_x000D_
Mini Tarta cu Fructe - buc_x000D_
Mini Tarta cu Fructe - buc_x000D_
Mini Tarta cu Fructe - buc_x000D_
Mini Tarta cu Fructe - buc_x000D_
Mini Tarta cu Fructe - buc_x000D_
Mini Tarta cu Fructe - buc_x000D_
Mini Tarta cu Fructe - buc_x000D_
Mini Tarta cu Fructe - buc_x000D_
Mini Tarta cu Fructe - buc_x000D_
Mini Tarta cu Fructe - buc_x000D_
Mini Tarta cu Fructe - buc_x000D_
Mini Tarta cu Fructe - buc_x000D_
Mini Tarta cu Fructe - buc_x000D_
Mini Tarta cu Fructe - buc_x000D_
Mini Tarta cu Fructe - buc_x000D_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Alte Prajituri_x000D_
</t>
  </si>
  <si>
    <t>Tort Chocolate Fiesta
Greutate: 2.5 kg (16 persoane)
Mesaj Personalizat: La multi ani Sorin -Gabriel
ANULATA</t>
  </si>
  <si>
    <t>1 x tort red velvet  2 kg ROTUND
1 x indiana
1 x montblanc
SUSPENDATA, DE RETURNAT AVANSUL de 200 ron, VA SUNA CLIENTUL CAND SE INTOARCE IN LOCALITATE</t>
  </si>
  <si>
    <t xml:space="preserve">webiste </t>
  </si>
  <si>
    <t xml:space="preserve">anulat </t>
  </si>
  <si>
    <t xml:space="preserve">Tort Krantz 1.4 kg_x000D_
</t>
  </si>
  <si>
    <t xml:space="preserve">Tort Berry Chocolate 1.4 kg _x000D_
</t>
  </si>
  <si>
    <t>1 x Tort Berry Chocolate
Greutate: 1.4 kg (9 persoane)
Mesaj Personalizat: La multi ani ,Matei!</t>
  </si>
  <si>
    <t>0766340999</t>
  </si>
  <si>
    <t>zzz Marinela Berari</t>
  </si>
  <si>
    <t>1 x Tort Duo Mousse cu Visine
Greutate: 1.4 kg (9 persoane)
Mesaj Personalizat: La multi ani!</t>
  </si>
  <si>
    <t xml:space="preserve">B-dul Metalurgiei, nr 468-472, bloc C7, parter, sector 4
Bucuresti, </t>
  </si>
  <si>
    <t>Vatra dornei, nr 4, bl F 2, sc 1, etj 3, ap 12,  interfon 12, sector 4
--</t>
  </si>
  <si>
    <t xml:space="preserve">Cozonac cu nuca si Cacao_x000D_
</t>
  </si>
  <si>
    <t>0740142922</t>
  </si>
  <si>
    <t>Amanat</t>
  </si>
  <si>
    <t>0766491608</t>
  </si>
  <si>
    <t>Mille Feuille</t>
  </si>
  <si>
    <t>1 x Tort Trio Mousse
Greutate: 1.4 kg (9 persoane)</t>
  </si>
  <si>
    <t>1 x Tort de Bezea cu Ciocolata
Greutate: 1.4 kg (9 persoane)</t>
  </si>
  <si>
    <t xml:space="preserve">Tort Tonka 1.8 kg_x000D_
</t>
  </si>
  <si>
    <t>Tort Framboisier
Greutate: 1.4 kg (9 persoane)</t>
  </si>
  <si>
    <t>Tort Cifra</t>
  </si>
  <si>
    <t xml:space="preserve">Tort Cifra_x000D_
</t>
  </si>
  <si>
    <t>Felie Tarta Dovleac</t>
  </si>
  <si>
    <t>Felie Tarta Dovleac cu Stevie</t>
  </si>
  <si>
    <t>Tort Tonka 2.5 kg</t>
  </si>
  <si>
    <t>factura pe sole</t>
  </si>
  <si>
    <t>Tarta Mere 2.5 kg</t>
  </si>
  <si>
    <t>Tarta Dovleac 2.5 kg</t>
  </si>
  <si>
    <t>Tort Carrot Cake 2.5 kg</t>
  </si>
  <si>
    <t>Tort Bezea cu Ciocolata 1.4 kg</t>
  </si>
  <si>
    <t>Tort Bezea cu Ciocolata 1.8 kg</t>
  </si>
  <si>
    <t>ANULAT</t>
  </si>
  <si>
    <t>1 x Tort Tonka
Greutate: 1.8 kg (12 persoane)</t>
  </si>
  <si>
    <t>0739011004</t>
  </si>
  <si>
    <t>1 tort Framboisier de 1,4 kg 
1 x  platoul de 5 pers miniprăjituri.</t>
  </si>
  <si>
    <t xml:space="preserve"> Aleea Platanilor nr.9 Jilava.</t>
  </si>
  <si>
    <t>Boureanu Georgiana</t>
  </si>
  <si>
    <t>0722897014</t>
  </si>
  <si>
    <t>1 x tort ca in Poza 1 (Berry Chocolate || 2 etaje || 12 kg final). Se vor pastra doar cele doua etaje de jos. Deasupra tortului va fi o figurina ca in Poza 2</t>
  </si>
  <si>
    <t>Strada Maica Tereza nr 37,Popesti Leordeni
(PANA IN 10:30)</t>
  </si>
  <si>
    <t>paan in 10:30</t>
  </si>
  <si>
    <t>(am facut factura si am trimis direct la client)
- 1800 RON
- 10 transport
+ 20% discount</t>
  </si>
  <si>
    <t>0741265726</t>
  </si>
  <si>
    <t xml:space="preserve">Tort Bezea cu Ciocolata 1.4 kg_x000D_
</t>
  </si>
  <si>
    <t>Berbec Elena Alina</t>
  </si>
  <si>
    <t>0752990012</t>
  </si>
  <si>
    <t>Strada Salcamilor nr 35-37,bl 9,sc1,ap6,Dudu,Chiajna
Com Chiajna, Ilfov</t>
  </si>
  <si>
    <t>1 x Tort de Bezea cu Ciocolata
Greutate: 1.4 kg (9 persoane)
ANULATA</t>
  </si>
  <si>
    <t>0722766577</t>
  </si>
  <si>
    <t>1 x Tort Framboisier
Greutate: 1.4 kg (9 persoane)</t>
  </si>
  <si>
    <t>07730354779</t>
  </si>
  <si>
    <t xml:space="preserve">1 x Tort Black Forest
Greutate: 1.4 kg (9 persoane)
Mesaj Personalizat: La multi ani Papu! Te iubim
anulata </t>
  </si>
  <si>
    <t>Cristina Mohora</t>
  </si>
  <si>
    <t>1 x tort ciocolata si portocala 1.5 kg cu mesajul "60 ani
Bucura-te mereu de frumusetea vietii!"</t>
  </si>
  <si>
    <t>NEAPARAT PANA IN 12:00. De trimis cu Bee Fast daca nu se poate</t>
  </si>
  <si>
    <t>factura persoana fizica trimisa pe 09.11</t>
  </si>
  <si>
    <t>Intrarea Rascoalei nr.21G, Pantelimon, Ilfov 
(0731044024 de sunat la livrare)
-
NEAPARAT PANA IN 12:00. De trimis cu Bee Fast daca nu se poate</t>
  </si>
  <si>
    <t>Beefast</t>
  </si>
  <si>
    <t>0755152074</t>
  </si>
  <si>
    <t>VLAICU VODA 15, bl. V64, scara 1
(Se suna ca vor cobori). Vizavi mall vitan
(Pana in 12:00)</t>
  </si>
  <si>
    <t>1 x tort 2.5 kg dmv cu mesajul “La Multi Ani, Andreea! 30 Ani” cu auriu pe marginea placutei. (In still great gatsby)
1 x platou 5 persoane</t>
  </si>
  <si>
    <t>0788676433</t>
  </si>
  <si>
    <t>zzz Mihai Chirica</t>
  </si>
  <si>
    <t>0734377697</t>
  </si>
  <si>
    <t>1 x tort duo mousse cu visine de 1.4 kg
La multi ani, Adriana!</t>
  </si>
  <si>
    <t>Ecaterina Dumitrescu</t>
  </si>
  <si>
    <t>1 x tort tonka stevia 1.2 kg
2 x cremsnit stevia
2 x prajitura tonka stevia</t>
  </si>
  <si>
    <t>zzz Francesca Dragne</t>
  </si>
  <si>
    <t>0726270973</t>
  </si>
  <si>
    <t>1 x Tort Clasic
Greutate: 1.4 kg (9 persoane)
Mesaj Personalizat: La mulți ani, mamaie !
Te iubim !❤️</t>
  </si>
  <si>
    <t>Valentina Leonte</t>
  </si>
  <si>
    <t>0723486836</t>
  </si>
  <si>
    <t>1 x tort 1.8 kg (Duo-Mousse Visine 
1 x platou 5 persoane miniprajituri
1 x cozonac nuca,cacao si rom (1 kg)</t>
  </si>
  <si>
    <t xml:space="preserve">Tort Duo Mousse Visine 1.8 kg_x000D_
Platou Minipraji 5 Persoane_x000D_
Cozonac cu nuca si Cacao_x000D_
</t>
  </si>
  <si>
    <t xml:space="preserve">Str Maramureș 67
Otopeni, Ilfov </t>
  </si>
  <si>
    <t>2 x cremsnit
2 x amandina
2 x felie tarta mere
1 x cozonac nuca,cacao si rom</t>
  </si>
  <si>
    <t>Mihaita Larisa</t>
  </si>
  <si>
    <t>0723476254</t>
  </si>
  <si>
    <t>2 x Cozonac Nuca Cacao si Rom</t>
  </si>
  <si>
    <t>0724342098</t>
  </si>
  <si>
    <t>Florina Dutescu</t>
  </si>
  <si>
    <t>Str Domului, nr.7, Complex Paladin Residence
Corbeanca, Ilfov</t>
  </si>
  <si>
    <t xml:space="preserve">Tort Framboisier 1.8 kg_x000D_
Platou Minipraji 5 Persoane_x000D_
Cozonac cu nuca si Cacao_x000D_
</t>
  </si>
  <si>
    <t>1 x Cozonac Nuca Cacao si Rom
1 x Cozonac Mac si Rahat</t>
  </si>
  <si>
    <t xml:space="preserve">Cozonac cu nuca si Cacao_x000D_
Cozonac Mac_x000D_
</t>
  </si>
  <si>
    <t>Laura Marilena Trandafir</t>
  </si>
  <si>
    <t>Calea rahovei nr 325 bl 13 sc b et 7 ap 91
Bucuresti,</t>
  </si>
  <si>
    <t>Dumitru Ionescu</t>
  </si>
  <si>
    <t>IULIU Maniu Nr 57bloc OD 16Sc C Ap 101 sector 6 Bucuresti</t>
  </si>
  <si>
    <t>0770961550</t>
  </si>
  <si>
    <t>4 x cremsnit
1 x platou miniprajituri 5 pers</t>
  </si>
  <si>
    <t xml:space="preserve">Prajitura Cremsnit_x000D_
Prajitura Cremsnit_x000D_
Prajitura Cremsnit_x000D_
Prajitura Cremsnit_x000D_
Platou Minipraji 5 Persoane_x000D_
</t>
  </si>
  <si>
    <t>Diana Hadar</t>
  </si>
  <si>
    <t>0741410802</t>
  </si>
  <si>
    <t xml:space="preserve">1 x Tort Krantz
Greutate: 1.4 kg (9 persoane)
</t>
  </si>
  <si>
    <t>Str. Livezilor, nr. 26b
Mogosoaia, Ilfov</t>
  </si>
  <si>
    <t>Prajitura Amandina
Prajitura Amandina
Felie Tarta Mere
Felie Tarta Mere
Cozonac cu nuca si Cacao</t>
  </si>
  <si>
    <t>Costache Stamate nr 2, bl 3C, Sc A, et 3, ap 16, interfon 16
București,</t>
  </si>
  <si>
    <t>1 x tort duo mousse cu visine stevia 1.2 kg</t>
  </si>
  <si>
    <t xml:space="preserve">Ioana </t>
  </si>
  <si>
    <t>0723640034</t>
  </si>
  <si>
    <t>Intrarea Stefan Furtuna Nr. 10, bucuresti</t>
  </si>
  <si>
    <t>Strada Cercetatorilor nr.5 bl.20 sc.1 et.1 ap.5 sector 4
Bucuresti,</t>
  </si>
  <si>
    <t>1 x Platou Mini Prajituri 5 persoane
3 x Ecler Fistic
2 x Ecler Zmeura</t>
  </si>
  <si>
    <t>Corina Nita</t>
  </si>
  <si>
    <t>0771600742</t>
  </si>
  <si>
    <t>Str.Cpt.Av.Al.Serbanescu Nr.51-53, Bl.22H,Sc.2,ap.24,S1
Bucuresti,</t>
  </si>
  <si>
    <t xml:space="preserve">Tort Duo Mousse Visine 1.4 kg_x000D_
Platou Minipraji 5 Persoane_x000D_
</t>
  </si>
  <si>
    <t>1 x Tort Duo Mousse cu Visine cu Stevie
Greutate: 1.2 kg (8 persoane)
Mesaj Personalizat: La multi ani irina</t>
  </si>
  <si>
    <t>Strada campului nr.1
Pantelimon, Ilfov</t>
  </si>
  <si>
    <t>Cozonac STEVIA</t>
  </si>
  <si>
    <t xml:space="preserve">Cozonac STEVIA_x000D_
Cozonac STEVIA_x000D_
</t>
  </si>
  <si>
    <t xml:space="preserve">Cozonac STEVIA_x000D_
Cozonac STEVIA_x000D_
Cozonac STEVIA_x000D_
Cozonac STEVIA_x000D_
</t>
  </si>
  <si>
    <t>Puia Maria</t>
  </si>
  <si>
    <t>0722428504</t>
  </si>
  <si>
    <t>Stefania Ionescu</t>
  </si>
  <si>
    <t>0722635105</t>
  </si>
  <si>
    <t>Str.Sabinelor nr.98-et.4-ap.36-interfon 36-sector5
Bucuresti,</t>
  </si>
  <si>
    <t>Ali a Ciocanea</t>
  </si>
  <si>
    <t>0766285055</t>
  </si>
  <si>
    <t xml:space="preserve">Str Trestiana, nr 9, bl 11, scA, et.7 ap 30
Bucuresti, sector 4, </t>
  </si>
  <si>
    <t xml:space="preserve"> 2 x Cozonac Fructe Confiate si Rahat
2 x Cozonac Nuca Cacao si Rom</t>
  </si>
  <si>
    <t xml:space="preserve">1 x cozonac cu nuca cacao si rom </t>
  </si>
  <si>
    <t>Str.Sabinelor 98, etaj 4, ap 36, interfon 36, Bucuresti</t>
  </si>
  <si>
    <t xml:space="preserve">0722368047 </t>
  </si>
  <si>
    <t>O cutie cu: 
1 x fistic și zmeura stevia monoportie 
1 x cremsnit stevia 
1 x Tarta zmeura stevia 
1 x Tonka 
72 lei + 10 transport bonul nr 1 
--
Cutia 2: 
1 x monoportie fistic 
1 x cremsnit 
1 x Tarta zmeura 
1 x Tonka 
 Bonul nr 2 72 lei 
ANTENTIE: Atentie vrea cutii separate și bonuri separată cum am notat mai sus</t>
  </si>
  <si>
    <t>cash cu bon
--
Atentie ca vrea doua bonuri
primul bon este 82, al doilea bon este 72</t>
  </si>
  <si>
    <t>YYYStefania Ionescu</t>
  </si>
  <si>
    <t>Strada FERMEI I, NR 1 C, OTOPENI</t>
  </si>
  <si>
    <t>Laurentiu C. Plecare 2</t>
  </si>
  <si>
    <t>2 x cozonac nuca,cacao si rom cu stevia</t>
  </si>
  <si>
    <t>Mihaela Grătianu</t>
  </si>
  <si>
    <t>0766629095</t>
  </si>
  <si>
    <t>Strada Rotundă, nr 2, bloc Y1C, scara 1, etaj 1, ap5, interfon 05
București,</t>
  </si>
  <si>
    <t>Roxana Andrei</t>
  </si>
  <si>
    <t>0723497669</t>
  </si>
  <si>
    <t>ATENTIE CA SUNT COZONACI PERSONALIZATI:
2 x cozonac STEVIA CU RAHAT</t>
  </si>
  <si>
    <t>Strada Postelnicului, nr. 8 ( casa)</t>
  </si>
  <si>
    <t xml:space="preserve">Ionescu </t>
  </si>
  <si>
    <t>0726684229</t>
  </si>
  <si>
    <t>2 x cozonac nuca,cacao,rom CU STEVIA</t>
  </si>
  <si>
    <t>Strada Lacramiorei 43B, Berceni, Ilfov</t>
  </si>
  <si>
    <t>1 x cozonac nuca,cacao si rom cu stevia
1 x tort tonka stevia 1.2 kg
2 x cremsnit stevia
2 x prajitura tonka stevia</t>
  </si>
  <si>
    <t>1 x Cozonac Nuca Cacao si Rom
1 x  Cozonac Mac si Rahat</t>
  </si>
  <si>
    <t>Aleea Arinii Dornei nr.16, bl.i 4, sc.B, etaj 2,ap/ interfon22
Bucuresti,</t>
  </si>
  <si>
    <t>Liliana Georgescu</t>
  </si>
  <si>
    <t>0726818240</t>
  </si>
  <si>
    <t xml:space="preserve">Alunisului nr.4
Bucuresti, </t>
  </si>
  <si>
    <t xml:space="preserve">Cozonac STEVIA
Cozonac STEVIA
</t>
  </si>
  <si>
    <t>Cozonac STEVIA
Cozonac STEVIA</t>
  </si>
  <si>
    <t>Florentina Baaboua</t>
  </si>
  <si>
    <t>0766206521</t>
  </si>
  <si>
    <t>1 x Tort Chocolate Fiesta
Greutate: 2 kg (13 persoane)
Mesaj Personalizat: La mulți ani Lara!</t>
  </si>
  <si>
    <t>Calea Giulesti Nr 107 Bl 10 SC A Ap 4 Et 1 Sector 6
Bucuresti,</t>
  </si>
  <si>
    <t>Nicu Boariu</t>
  </si>
  <si>
    <t>0722807200</t>
  </si>
  <si>
    <t>timisoara</t>
  </si>
  <si>
    <t>Dana Fratian</t>
  </si>
  <si>
    <t>0762661292</t>
  </si>
  <si>
    <t>Splaiul Independentei nr 17,Bl 101,Sc 4,Et 6,Ap 71 sector 5
BUCURESTI</t>
  </si>
  <si>
    <t>5 x felie tort duo-mousse visine si  framboisier
2 x cremsnit
2 x amandina</t>
  </si>
  <si>
    <t>Narisis Balan</t>
  </si>
  <si>
    <t>0728506660</t>
  </si>
  <si>
    <t>Cheese Cake 1
Tarta Citron 1
Prajitura Tonka 1
Ecler Zmeura 1
Ciocolatina 1
Ecler Fistic 1
Macarons cu Vanilie si Capsuni 4</t>
  </si>
  <si>
    <t>Strada Cornatel 14, sector 1
Bucuresti, Ilfov</t>
  </si>
  <si>
    <t>Siona Obreja</t>
  </si>
  <si>
    <t>Tort Citron
Greutate: 1.4 kg (9 persoane)
-
Tort Citron
Greutate: 1.4 kg (9 persoane)</t>
  </si>
  <si>
    <t>Stada bujorului 27 casa9
dragomiresti dea</t>
  </si>
  <si>
    <t>2 x cozonac stevia</t>
  </si>
  <si>
    <t>Iuliana Mihaela Pena</t>
  </si>
  <si>
    <t>Splaiul  Unirii nr.9, bl.1, sc. A, etaj10, ap.62
Popesti Leordeni, Ilfov</t>
  </si>
  <si>
    <t>Felie dmv</t>
  </si>
  <si>
    <t>Nicoleta Dumitru</t>
  </si>
  <si>
    <t>0758052381</t>
  </si>
  <si>
    <t>4 x Pachet Christmas Stevia</t>
  </si>
  <si>
    <t>Str Aviatorilor nr 10 unitatea 4-5
Ghercesti, Dolj 2</t>
  </si>
  <si>
    <t xml:space="preserve">Cozonac cu nuca si Cacao_x000D_
Cozonac cu nuca si Cacao_x000D_
Cozonac Fructe Confiate_x000D_
</t>
  </si>
  <si>
    <t>valentina sabau</t>
  </si>
  <si>
    <t>Prajitura Tonka cu Stevie 2
Prajitura cu Fistic si Zmeura cu Stevie 2
Cremsnit cu Stevie 2
Tarta Zmeura cu Stevie 3</t>
  </si>
  <si>
    <t>Strada Grădinari 61
Ciorogarla, Ilfov</t>
  </si>
  <si>
    <t xml:space="preserve">webssite </t>
  </si>
  <si>
    <t>Gabriela Cristescu</t>
  </si>
  <si>
    <t>0722505761</t>
  </si>
  <si>
    <t>1 x tort la alegere 1.8 kg  Framboisier) 
1 x platou 5 persoane miniprajituri (28 buc)
1 x cozonac nuca,cacao si rom (1 kg)</t>
  </si>
  <si>
    <t xml:space="preserve">1 x tort  Mango si Zmeura 1.4 kg 
1 x platou 10 persoane miniprajituri </t>
  </si>
  <si>
    <t>Carmen Alexandrescu</t>
  </si>
  <si>
    <t>0772238862</t>
  </si>
  <si>
    <t>Aleea Compozitorilor nr 1 bl e 21 sc 1 ap 10
Bucuresti</t>
  </si>
  <si>
    <t>factura comuna (10 comenzi) BRP ENERGY CONSULTING SA (se ocupa Tudor)</t>
  </si>
  <si>
    <t xml:space="preserve">Cozonac Mac_x000D_
Cozonac Mac_x000D_
</t>
  </si>
  <si>
    <t>str. Triumfului 27 Brasov de trimis cu posta, trebuie sa ajung pana pe 25.12</t>
  </si>
  <si>
    <t>Violeta Iliescu</t>
  </si>
  <si>
    <t>0722641347</t>
  </si>
  <si>
    <t>2 x cozonaci cu nuca cacao si rom Stevia
2 x cremsnit
2 x amandina
2 x felie tarta mere
1 x cozonac nuca,cacao si rom</t>
  </si>
  <si>
    <t>Str Fluierului nr 15
Bucuresti, sector 2,</t>
  </si>
  <si>
    <t xml:space="preserve">Cozonac STEVIA_x000D_
Cozonac STEVIA_x000D_
Prajitura Cremsnit_x000D_
Prajitura Cremsnit_x000D_
Prajitura Amandina_x000D_
Prajitura Amandina_x000D_
Felie Tarta Mere_x000D_
Felie Tarta Mere_x000D_
Cozonac cu nuca si Cacao_x000D_
</t>
  </si>
  <si>
    <t>2 x Cozonaci Stevia</t>
  </si>
  <si>
    <t>0725574221</t>
  </si>
  <si>
    <t>Iuliana Minca</t>
  </si>
  <si>
    <t xml:space="preserve">Bd. Regina Elisabeta nr.47
Bucuresti, </t>
  </si>
  <si>
    <t>Leon Radu</t>
  </si>
  <si>
    <t>0763918054</t>
  </si>
  <si>
    <t>1 x  Tort Duo-Mousse cu Visine 1.8
1 x platou de 5 pers</t>
  </si>
  <si>
    <t>Str Mezes nr 39 sector 1 București
București</t>
  </si>
  <si>
    <t>zzz client whatsaap</t>
  </si>
  <si>
    <t xml:space="preserve"> 2 x cozonac cu nuca cacao si rom
1 x cozonac cu  fructe confiate</t>
  </si>
  <si>
    <t>4 x Cozonaci Stevia</t>
  </si>
  <si>
    <t>Felie frambo</t>
  </si>
  <si>
    <t>anulata pe 14.12.2020</t>
  </si>
  <si>
    <t xml:space="preserve">Tort Duo Mousse Visine 1.8 kg
Platou Minipraji 5 Persoane
Cozonac cu nuca si Cacao
Cozonac cu nuca si Cacao_x000D_
Cozonac Mac_x000D_
Platou Minipraji 5 Persoane_x000D_
</t>
  </si>
  <si>
    <t>1 x platou 5 persoane miniprajituri (28 buc)
1 x cozonac nuca,cacao FARA ROM (1 kg)
1 x mac si rhat</t>
  </si>
  <si>
    <t>cash cu ridicare</t>
  </si>
  <si>
    <t>0730189202</t>
  </si>
  <si>
    <t xml:space="preserve">Cozonac Fructe Confiate_x000D_
Cozonac cu nuca si Cacao_x000D_
Cozonac Fructe Confiate_x000D_
Cozonac cu nuca si Cacao_x000D_
</t>
  </si>
  <si>
    <t>Doina Postudor</t>
  </si>
  <si>
    <t>0745946154</t>
  </si>
  <si>
    <t>Niagara nr.16
București ,</t>
  </si>
  <si>
    <t>zzz Bianca Adam</t>
  </si>
  <si>
    <t>1 x cozonac nuca,cacao si rom
1 x cozonac mac si rahat</t>
  </si>
  <si>
    <t>Izabella Pena</t>
  </si>
  <si>
    <t>0723674332</t>
  </si>
  <si>
    <t>1 x Tort Tonka cu Stevie
Greutate: 1.2 kg (8 persoane)
Mesaj Personalizat: La Multi ani Mami!!!</t>
  </si>
  <si>
    <t>Aleea Tibles nr 33
Bucuresti ,</t>
  </si>
  <si>
    <t>Alina Burcea</t>
  </si>
  <si>
    <t>0763639451</t>
  </si>
  <si>
    <t>Neamului
Bragadiru, Ilfov</t>
  </si>
  <si>
    <t>luiza tarnaucianu</t>
  </si>
  <si>
    <t>0722910970</t>
  </si>
  <si>
    <t xml:space="preserve">2 x Cozonac Nuca Cacao si Rom
1 x Pachet Promotional Eclere Ciocolata, Cafea, Cafea </t>
  </si>
  <si>
    <t>calea victoriei nr 44-46 bl comedia sc a apt 5 etaj 2 interfon 05
bucuresti,</t>
  </si>
  <si>
    <t>0720510736</t>
  </si>
  <si>
    <t>1 x Tort Cifra
Ce cifra va reprezenta tortuletul?: 40
Mesaj Personalizat: La multi ani</t>
  </si>
  <si>
    <t>zzz Rodica Nuca</t>
  </si>
  <si>
    <t>Mihaela Raicu</t>
  </si>
  <si>
    <t>0732390713</t>
  </si>
  <si>
    <t>Luminita Leonte</t>
  </si>
  <si>
    <t>0745772290</t>
  </si>
  <si>
    <t>Cultul patriei nr 38 bis
Bucuresti,</t>
  </si>
  <si>
    <t>Șoseaua București Urziceni 216
Afumați , Ilfov</t>
  </si>
  <si>
    <t xml:space="preserve">cashc u bon </t>
  </si>
  <si>
    <t>zzz Cristian Popescu</t>
  </si>
  <si>
    <t>TOTAL DE INCASAT:</t>
  </si>
  <si>
    <t>Pachet Christmas Stevia</t>
  </si>
  <si>
    <t>ZZZMarina Sima</t>
  </si>
  <si>
    <t>2 x cozonaci cu mac</t>
  </si>
  <si>
    <t>0743191948</t>
  </si>
  <si>
    <t>Tort cu Fistic si Zmeura
Greutate: 1.4 kg (9 persoane)
Atentie: Va rog sa desenati un dintisor petort</t>
  </si>
  <si>
    <t xml:space="preserve">Bulevardul timisoara nrc17 b
Bucuresti, </t>
  </si>
  <si>
    <t xml:space="preserve">1 x cozonac nuca,cacao si rom cu stevia
1 x tort framboisier  stevia 1.2 kg
2 x cremsnit stevia
2 x prajitura fistic zmeura stevia
</t>
  </si>
  <si>
    <t xml:space="preserve">Prajitura Cafina_x000D_
Prajitura Cafina_x000D_
Prajitura Mont Blanc_x000D_
Prajitura Mont Blanc_x000D_
Prajitura Tarta Capsuni_x000D_
Prajitura Tarta Capsuni_x000D_
Prajitura Cremsnit_x000D_
Prajitura Cremsnit_x000D_
Prajitura Amandina_x000D_
Prajitura Amandina_x000D_
</t>
  </si>
  <si>
    <t>ZZZCOMANDA WHATSAPP LAURA</t>
  </si>
  <si>
    <t>0769877345</t>
  </si>
  <si>
    <t>1 x Carrot Cake cu Stevie
Greutate: 1.4 kg (9 persoane)
-
2 x cozonac stevia</t>
  </si>
  <si>
    <t>xxx Roman Roxana</t>
  </si>
  <si>
    <t>Sofer 20 - Pepe</t>
  </si>
  <si>
    <t>Sofer 2 - Laurentiu C</t>
  </si>
  <si>
    <t>Sofer 1 - Claudiu</t>
  </si>
  <si>
    <t>Sofer 12 - Gasca Stefan</t>
  </si>
  <si>
    <t>Sofer 16 - Daniel Zamfira</t>
  </si>
  <si>
    <t>Sofer 10 - Anca Serban</t>
  </si>
  <si>
    <t>Numar Cutii si Sacose</t>
  </si>
  <si>
    <t>1 x tort la alegere 1.4 kg Carrot Cake 
2 x platou 5 persoane</t>
  </si>
  <si>
    <t>Soseaua Unirii 79, Corbeana, Ilfov (complex gardenia - vila 1)</t>
  </si>
  <si>
    <t>Curier 16 - Dl Apostol</t>
  </si>
  <si>
    <t>Curier 9 - Laurentiu C</t>
  </si>
  <si>
    <t>Curier 4 - Mihai Stoian</t>
  </si>
  <si>
    <t>ZZZLaura Luncasu</t>
  </si>
  <si>
    <t>Platou Macarons 30 Buc</t>
  </si>
  <si>
    <t>1 x tort framboisier stevia 1.8 kg
2 x tarta mure stevia
2 x cremsnit stevia
2 x felie tarta mere stevia</t>
  </si>
  <si>
    <t>Pachet stevia revelion</t>
  </si>
  <si>
    <t>5 x felie dmv
2 x cremsnit
2 x amandina</t>
  </si>
  <si>
    <t>5 x felie frambo
2 x cremsnit
2 x amandina</t>
  </si>
  <si>
    <t>Filip Lazarescu</t>
  </si>
  <si>
    <t>0741117084</t>
  </si>
  <si>
    <t xml:space="preserve">
1 x cozonac nuca,cacao si rom cu stevia
1 x tort framboisier stevia 1.2 kg
2 x cremsnit stevia
2 x prajitura fistic si zmeura stevia</t>
  </si>
  <si>
    <t>Strada Belgrad nr.7
Corbeanca</t>
  </si>
  <si>
    <t>1 x duo-mousse visine 1.4 kg
Mesaj Personalizat: La mulți ani!
*2021*
+
2 x platouri miniprajituri 5 persoane</t>
  </si>
  <si>
    <t>Soseaua Berceni, nr 46
Bucurest</t>
  </si>
  <si>
    <t>Pachet sweets revelion dmv</t>
  </si>
  <si>
    <t>Pachet sweets revelion frambo</t>
  </si>
  <si>
    <t>Pachet family revelion</t>
  </si>
  <si>
    <t xml:space="preserve">Tort Omnia Fistic/Mango/Zmeura 1.4 kg_x000D_
Platou Minipraji 5 Persoane_x000D_
Platou Minipraji 5 Persoane_x000D_
Pachet family revelion_x000D_
</t>
  </si>
  <si>
    <t xml:space="preserve">Prajitura Cremsnit_x000D_
Prajitura Cremsnit_x000D_
Prajitura Amandina_x000D_
Prajitura Amandina_x000D_
Felie frambo_x000D_
Felie frambo_x000D_
Felie frambo_x000D_
Felie frambo_x000D_
Felie frambo_x000D_
Pachet sweets revelion frambo_x000D_
</t>
  </si>
  <si>
    <t xml:space="preserve">Tort Carrot Cake 1.4 kg_x000D_
Platou Minipraji 5 Persoane_x000D_
Platou Minipraji 5 Persoane_x000D_
Pachet family revelion_x000D_
</t>
  </si>
  <si>
    <t xml:space="preserve">Tort clasic 1.4 kg_x000D_
Platou Minipraji 5 Persoane_x000D_
Platou Minipraji 5 Persoane_x000D_
Pachet family revelion_x000D_
</t>
  </si>
  <si>
    <t xml:space="preserve">Tort Duo Mousse Visine 1.4 kg_x000D_
Platou Minipraji 5 Persoane_x000D_
Platou Minipraji 5 Persoane_x000D_
Pachet family revelion_x000D_
</t>
  </si>
  <si>
    <t>Silvia Lazar</t>
  </si>
  <si>
    <t>0726226765</t>
  </si>
  <si>
    <t>1 x Tort cu Fistic si Zmeura
Greutate: 1.4 kg (9 persoane)
Mesaj Personalizat: La mulți ani Silvia</t>
  </si>
  <si>
    <t>Intrarea Târgu Frumos 9_11 bl 6 scA prim et 10 ap 132 sect 4 București</t>
  </si>
  <si>
    <t>Ramona Apostoiu</t>
  </si>
  <si>
    <t>Tort 1.4 Kg:: Clasic
Mesaj Personalizat: LA MULTI ANI!
2 x platou miniprajituri 5 persoane</t>
  </si>
  <si>
    <t>STADA BIHARIA, NR. 67-77, CORP B2, ETAJ 1, SECTOR 1</t>
  </si>
  <si>
    <t>Oana Sgindar</t>
  </si>
  <si>
    <t>0724283483</t>
  </si>
  <si>
    <t>Str. Verii, nr.7, vila 1
Bragadiru, Ilfov</t>
  </si>
  <si>
    <t xml:space="preserve">Felie dmv
Felie dmv
Felie dmv
Felie dmv
Felie dmv
Prajitura Cremsnit
Prajitura Cremsnit
Prajitura Amandina
Prajitura AmandinaPachet sweets revelion dmv_x000D_
</t>
  </si>
  <si>
    <t xml:space="preserve">Prajitura Cremsnit
Prajitura Cremsnit
Prajitura Amandina
Prajitura Amandina
Felie frambo
Felie frambo
Felie frambo
Felie frambo
Felie frambo
Pachet sweets revelion frambo_x000D_
</t>
  </si>
  <si>
    <t>Curier 10 - Claudiu C.</t>
  </si>
  <si>
    <t>Curier 3 - Dan Zbarcea</t>
  </si>
  <si>
    <t>PRONOSTIC 31 - DECEMBRIE</t>
  </si>
  <si>
    <t xml:space="preserve">Marin Laurentiu </t>
  </si>
  <si>
    <t>0743150600</t>
  </si>
  <si>
    <t xml:space="preserve">1 x tort ciocolata si portocala 1.4
</t>
  </si>
  <si>
    <t>Mihai liliana</t>
  </si>
  <si>
    <t>0722269051</t>
  </si>
  <si>
    <t>1 x tort la alegere 1.4 kg Trio Mousse
1 x platou 10 persoane miniprajituri</t>
  </si>
  <si>
    <t xml:space="preserve">Tort Trio Mousse 1.4 kg_x000D_
Platou Minipraji 5 Persoane_x000D_
Platou Minipraji 5 Persoane_x000D_
</t>
  </si>
  <si>
    <t>Locotenent Popescu Alexandru 9G, Sectort 3</t>
  </si>
  <si>
    <t>str.George Toparceanu nr.12
Otopeni, Ilfov</t>
  </si>
  <si>
    <t>0723152310</t>
  </si>
  <si>
    <t>Drumul Nisipoasa nr. 71, et.3, ap.9</t>
  </si>
  <si>
    <t>1 x platou 5 persoane miniprajitur</t>
  </si>
  <si>
    <t>ZZZBogdan Bestoiu</t>
  </si>
  <si>
    <t>1 x cioco porto 1.8 kg</t>
  </si>
  <si>
    <t>ZZZDraghici Robert</t>
  </si>
  <si>
    <t>0763726805</t>
  </si>
  <si>
    <t>1 x fistic si zmeura stevia 1.4</t>
  </si>
  <si>
    <t>Curier 16 - Dan FDB</t>
  </si>
  <si>
    <t>Curier 12 - Lucian LPV</t>
  </si>
  <si>
    <t>Curier 15 - Tiberiu</t>
  </si>
  <si>
    <t>Curier 10 - Laurentiu C.</t>
  </si>
  <si>
    <t>0743164888</t>
  </si>
  <si>
    <t>Pictor Stefan Dimitrescu nr 15, bl 13, sc 2, ap 52, et 8, interfon 52, sect 4</t>
  </si>
  <si>
    <t>1 x frambo stevia 1.8 kg</t>
  </si>
  <si>
    <t>Curier 01 - Dan Zbarcea</t>
  </si>
  <si>
    <t>Curier 04 - Vlad Doroftei</t>
  </si>
  <si>
    <t>Curier 05  - Daniel Stefan</t>
  </si>
  <si>
    <t>Curier 09 - Claudiu</t>
  </si>
  <si>
    <t>2126  RON</t>
  </si>
  <si>
    <t>bee</t>
  </si>
  <si>
    <t>BEEFAST + RIDICARI</t>
  </si>
  <si>
    <t>0769017948</t>
  </si>
  <si>
    <t>0745387264</t>
  </si>
  <si>
    <t xml:space="preserve">anulata </t>
  </si>
  <si>
    <t xml:space="preserve">1 x tonka stevia 1.2 kg
Mesaj: La multi ani, Octavian!
2 x parjitura fistic si zmeura cu stevia
</t>
  </si>
  <si>
    <t>0745994137</t>
  </si>
  <si>
    <t>zzz Anca Ofileanu</t>
  </si>
  <si>
    <t>Ion Pantazi</t>
  </si>
  <si>
    <t>0721473711</t>
  </si>
  <si>
    <t>1 x Tort Duo Mousse cu Visine cu Stevie
Greutate: 1.8 kg (12 persoane)
Mesaj Personalizat: La mulți ani!!</t>
  </si>
  <si>
    <t>Str Costache Conachi nr 6 bloc 5E et 2 ap 13 interf 13
București ,</t>
  </si>
  <si>
    <t>0723178065</t>
  </si>
  <si>
    <t>1 x Tort Citron
Greutate: 1.8 kg (12 persoane)
Mesaj Personalizat: Buna ziua, as dori un tort la 3 kg cu mesajul“La mulți ani, Pavel!</t>
  </si>
  <si>
    <t>ridicare cofetărie</t>
  </si>
  <si>
    <t>Maria Carabageac</t>
  </si>
  <si>
    <t>0730725579</t>
  </si>
  <si>
    <t>(fara amenajare sau vesela)
Candy-Bar Tematic 42 persoane:
24 x Choux a la Crème Fistic
24 x Macarons (ca model Poza 1 dar cu animalele de pe cartolina Poza 2)
24 x Mini Tarta Ciocolata si Caramel
24 x Mini Tarta Lamaie si Bezea Flambata
24 x Mini Pavlova
24 x Mini Tarta Fructe
16 x Pahar Tiramisu
16 x Ecler Artizanal (Albastru Deschis/ Verde Deschis)
26 x Cake Pops Tematice (Albastru/ Bleu/ Verde Deschis)
8 x Briose Tematice (pe doua dintre ele sa fie figurine ca in tortul din Poza 3)</t>
  </si>
  <si>
    <t>Restaurant Sole
--
Sa ajunga pana in 12:30</t>
  </si>
  <si>
    <t>pana in 12:30</t>
  </si>
  <si>
    <t>1 x tort 1.4 kg frambo
Mesaj Personalizat: La mulți ani!
1 x platou miniprajituri 5 persoane</t>
  </si>
  <si>
    <t>Tort Citron
Greutate: 1.4 kg (9 persoane)
Mesaj Personalizat: La mulți ani Cosmin!</t>
  </si>
  <si>
    <t>1 x tort 1.4 kg frambo</t>
  </si>
  <si>
    <t xml:space="preserve">Tort Chocolate Delight 1.4 kg_x000D_
</t>
  </si>
  <si>
    <t>6 x cremsnit stevia 
1 x tonka stevia 1.2 kg</t>
  </si>
  <si>
    <t>ZZZLaura Pop</t>
  </si>
  <si>
    <t>datorie ralcom</t>
  </si>
  <si>
    <t>Daniel Nicolae</t>
  </si>
  <si>
    <t>0743009938</t>
  </si>
  <si>
    <t>0720769894</t>
  </si>
  <si>
    <t xml:space="preserve">ATENTIE: se ridica la 9:30
1 x tort mousse visine STEVIA 1.2 kg cu foarte foarte multe fructe deasupra.
Cutie 4 buc :
1 x cremsnit stevia
1 x fistic si zmeura stevia
1 x tarta zmeura stevia
cutie 4 buc:
1 x tarta lamaie
1 x tarta zmeura
1 x tarta ciocolata
1 x amandina </t>
  </si>
  <si>
    <t>Aron Mihaela</t>
  </si>
  <si>
    <t>0720820036</t>
  </si>
  <si>
    <t>1 x frambo 1.4 kg
Mesaj Personalizat: La multi ani Patrik Alexandru
1 x platou minipraji 5 persoane</t>
  </si>
  <si>
    <t xml:space="preserve">Tort Duo Mousse Visine 1.8 kg_x000D_
Platou Minipraji 5 Persoane_x000D_
</t>
  </si>
  <si>
    <t>Georgiana Vlad</t>
  </si>
  <si>
    <t>0744403713</t>
  </si>
  <si>
    <t xml:space="preserve">Tort Ciocolata si Rom 2.5 kg_x000D_
</t>
  </si>
  <si>
    <t>Anulata</t>
  </si>
  <si>
    <t xml:space="preserve">Tort Framboisier 1.8 kg_x000D_
Platou Minipraji 5 Persoane_x000D_
</t>
  </si>
  <si>
    <t>Laptari Tei (Strada)
Bucurest
-
12:00-14:00</t>
  </si>
  <si>
    <t xml:space="preserve">Tort Ciocolata si Rom 1.8 kg_x000D_
</t>
  </si>
  <si>
    <t>Tort cu Fistic si Zmeura cu Stevie
Greutate: 1.2 kg (8 persoane)</t>
  </si>
  <si>
    <t xml:space="preserve">Monoportie Fistic si Zmeura cu Stevie_x000D_
</t>
  </si>
  <si>
    <t>Tort Duo Mousse cu Visine cu Stevie
Greutate: 1.2 kg (8 persoane)</t>
  </si>
  <si>
    <t xml:space="preserve">Tort Tonka 1.4 kg_x000D_
</t>
  </si>
  <si>
    <t xml:space="preserve">Tort Duo Mousse Visine 1.8 kg_x000D_
</t>
  </si>
  <si>
    <t>Tort Duo Mousse cu Visine
Greutate: 1.8 kg (12 persoane)</t>
  </si>
  <si>
    <t>Gabriela Raducanu</t>
  </si>
  <si>
    <t>0724628270</t>
  </si>
  <si>
    <t xml:space="preserve">Strada rasadnitei nr18
BUCURESTI, </t>
  </si>
  <si>
    <t>1 x Tort "La Multi Bani!"(POZA DEPARTAMENT DÉCOR)
Alege Sortiment:: Raspberry Vanilla
Gramaj Tort:: 3,5kg TOTAL
Mesaj Personalizat: La multi ani!
Viata este frumoasa si dupa 30 de ani !</t>
  </si>
  <si>
    <t>Dutu Ana</t>
  </si>
  <si>
    <t>0721064649</t>
  </si>
  <si>
    <t>1 x Tort Duo Mousse cu Visine cu Stevie
Greutate: 1.2 kg (8 persoane)</t>
  </si>
  <si>
    <t>0754571747</t>
  </si>
  <si>
    <t>Ridicare din cofetarie</t>
  </si>
  <si>
    <t xml:space="preserve">str.Matei Basarab,nr.88,bl. L116 sc.B , apt 25
Bucuresti, </t>
  </si>
  <si>
    <t>1)
Tort Chocolate Delight
Greutate: 1.4 kg (9 persoane)
Mesaj Personalizat: La multi ani Antonia!
-</t>
  </si>
  <si>
    <t>2)
 Tort Duo Mousse cu Visine
Greutate: 1.8 kg (12 persoane)
Mesaj Personalizat: La multi ani Mady!
-</t>
  </si>
  <si>
    <t>3)
Prajitura cu Fistic si Zmeura cu Stevie x 4
Cremsnit cu Stevie x 4
Tarta Zmeura cu Stevie x `4
-</t>
  </si>
  <si>
    <t>4)
Tort Pavlova
Greutate: 1.2 kg (8 persoane)
-</t>
  </si>
  <si>
    <t>1 x tort tonka stevia 1.2 kg
2 x cremsnit stevia
2 x prajitura fistic cu stevia</t>
  </si>
  <si>
    <t>ZZZDecor</t>
  </si>
  <si>
    <t>Mantea Robertina</t>
  </si>
  <si>
    <t>Tort Duo Mousse cu Visine cu Stevie
Greutate: 1.8 kg (12 persoane)</t>
  </si>
  <si>
    <t>Catalina Gheorghiu</t>
  </si>
  <si>
    <t>0722741987</t>
  </si>
  <si>
    <t>Aura Cristina Irina Ispas</t>
  </si>
  <si>
    <t>0734025220</t>
  </si>
  <si>
    <t>1 x Tort Tonka cu Stevie
Greutate: 1.2 kg (8 persoane)
Mesaj Personalizat: La mulți ani!</t>
  </si>
  <si>
    <t>Str. Tudor Vladimirescu bl H3, sc. 2 ap. 28
Lupeni, Hunedoara</t>
  </si>
  <si>
    <t>Prajitura cu Fistic si Zmeura cu Stevie 1
Prajitura Tonka cu Stevie 1
Tarta Zmeura cu Stevie 1
Tarta Capsune cu Stevie 1
Cremsnit cu Stevie 1
Savarina 2</t>
  </si>
  <si>
    <t>ridicare</t>
  </si>
  <si>
    <t>zzz Cristina Ispas
'0722374394</t>
  </si>
  <si>
    <t>Tort Trio Mousse
Greutate: 1.4 kg (9 persoane)
Mesaj Personalizat: La multi ani, Andreea!</t>
  </si>
  <si>
    <t>Tort cu Ciocolata si Rom
Greutate: 1.4 kg (9 persoane)
Mesaj Personalizat: La mulți ani Ștefan</t>
  </si>
  <si>
    <t>*Next Day*
1)</t>
  </si>
  <si>
    <t>2)</t>
  </si>
  <si>
    <t>3)</t>
  </si>
  <si>
    <t>4)</t>
  </si>
  <si>
    <t>Viorel Badescu</t>
  </si>
  <si>
    <t>0741069245</t>
  </si>
  <si>
    <t>achitat prin factura</t>
  </si>
  <si>
    <t>Liana Patulea</t>
  </si>
  <si>
    <t>0730593113</t>
  </si>
  <si>
    <t>Str. Consumului, nr. 1
Bucuresti, Sector 6 ,</t>
  </si>
  <si>
    <t>1 x Tort Minecraft
Alege Sortiment:: Berry Chocolate
Gramaj Tort:: 3 kg (15 persoane)
Mesaj Personalizat: La multi ani, Mihnea!
Te iubim mult de tot!
Sa fie dreptunghiular tortul!!</t>
  </si>
  <si>
    <t>1 x Tort Pavlova
Greutate: 1.2 kg (8 persoane)</t>
  </si>
  <si>
    <t>Mihaela</t>
  </si>
  <si>
    <t>Aurica Rambu</t>
  </si>
  <si>
    <t>0760735798</t>
  </si>
  <si>
    <t>1 x tort ca in Poza 1 (2.5 kg || Berry Chocolate || 1 etaj) cu mesajul "La Multi ani, Ilinca"</t>
  </si>
  <si>
    <t>Str. Drumul Fermei 101, bl.4, et.3, ap.13</t>
  </si>
  <si>
    <t>Alexandra Axinte</t>
  </si>
  <si>
    <t>0723915415</t>
  </si>
  <si>
    <t>0727707222</t>
  </si>
  <si>
    <t>Comanda Laura whatsapp</t>
  </si>
  <si>
    <t>1 x tort tonka stevia 1.2 kg
2 x cremsnit stevia
2 x prajitura fistic stevia</t>
  </si>
  <si>
    <t>Floarea Ana</t>
  </si>
  <si>
    <t>0736042644</t>
  </si>
  <si>
    <t>Strada Amza Pelea 8, Voluntari, Ilfov</t>
  </si>
  <si>
    <t>1 x trio mousse 1.8
La multi ani, Emilian! 52 ani!
Te iubim Ana si Roberta!
1 x platou de 5 pers</t>
  </si>
  <si>
    <t>Lavinia Radu</t>
  </si>
  <si>
    <t>0721476611</t>
  </si>
  <si>
    <t xml:space="preserve">Strada Motilor, nr 11, sc 2, ap 7
Bucuresti </t>
  </si>
  <si>
    <t>Georgiana</t>
  </si>
  <si>
    <t>Sara</t>
  </si>
  <si>
    <t>Irina Cismas</t>
  </si>
  <si>
    <t>0724405806</t>
  </si>
  <si>
    <t>0726535152</t>
  </si>
  <si>
    <t>Diana Cristea</t>
  </si>
  <si>
    <t>0728012998</t>
  </si>
  <si>
    <t>stevia for all</t>
  </si>
  <si>
    <t>0721860058</t>
  </si>
  <si>
    <t>stevia sweets</t>
  </si>
  <si>
    <t>0724347468</t>
  </si>
  <si>
    <t>Cristina Ignateanu</t>
  </si>
  <si>
    <t xml:space="preserve">0722156810 </t>
  </si>
  <si>
    <t>1 x tort cu decor ca-n poza  2,5 kg total
In loc de “liam 4” sa scrie “Tudor 4” 
Compoziție duo mousse cu vine</t>
  </si>
  <si>
    <t>achitata prin facutar</t>
  </si>
  <si>
    <t xml:space="preserve">
2)
1 x tort tonka stevia 1.2 kg
Mesaj Personalizat: La mulți ani!
2 x cremsnit stevia
2 x prajitura fistic cu stevia</t>
  </si>
  <si>
    <t>1)
Tort Raspberry Vanilla
Greutate: 1.4 kg (9 persoane)</t>
  </si>
  <si>
    <t xml:space="preserve">
3)
Tort Duo Mousse cu Visine cu Stevie
Greutate: 1.2 kg (8 persoane)
Mesaj Personalizat: La multi ani, mamaie!</t>
  </si>
  <si>
    <t>Olteniței nr 388 bl 2 Sc 2 parter ap 22</t>
  </si>
  <si>
    <t xml:space="preserve">Tort Framboisier 1.4 kg_x000D_
Platou Mini Tarte (15 buc)_x000D_
</t>
  </si>
  <si>
    <t xml:space="preserve">Tort Decorat_x000D_
Tort Decorat_x000D_
</t>
  </si>
  <si>
    <t>0720154638</t>
  </si>
  <si>
    <t>Monica Milcica</t>
  </si>
  <si>
    <t>0762699250</t>
  </si>
  <si>
    <t>Georgiana Spataru</t>
  </si>
  <si>
    <t>ZZZClient Ionut</t>
  </si>
  <si>
    <t>0740374501</t>
  </si>
  <si>
    <t xml:space="preserve">
Tort Race Tire
Alege Sortiment:: Krantz
Gramaj Tort:: 3 kg (15 persoane)
Mesaj Personalizat: Te iubesc până la adânci bătrâneți și încă o zi!</t>
  </si>
  <si>
    <t>ZZZIonica Serban</t>
  </si>
  <si>
    <t>Tort Peace Sign
Alege Sortiment:: Chocolate Fiesta
Gramaj Tort:: 3 kg (15 persoane)
Mesaj Personalizat: Acelasi de pe model</t>
  </si>
  <si>
    <t xml:space="preserve">
Tort Red Passion
Alege Sortiment:: Oreo
Gramaj Tort:: 3 kg (15 persoane)
Mesaj Personalizat: Dragul nostru copil, azi e ziua ta, una din multele care vor urma în aventura care te așteaptă și care se numește viață. Viitorul e plin de posibilități uimitoare.
Așa că urmează-ți visele, primește oportunitățile care ți se oferă și atunci când vei simți că viața e grea, să știi că întotdeauna te poți baza pe noi, părinții tăi! La mulți ani, draga noastră!</t>
  </si>
  <si>
    <t>1 x tort 2.3 kg krantz pentru ionica serban  19.04</t>
  </si>
  <si>
    <t>1 x tort chocolate fiesta 2.3 kg pentru ionica serban 22.12</t>
  </si>
  <si>
    <t>1 x tort oreo 2.3 kg pentru ionica serban 23.06</t>
  </si>
  <si>
    <t>Tort Red Rose
Alege Sortiment:: Clasic
Gramaj Tort:: 3 kg (15 persoane)
Mesaj Personalizat: Sa-ti fie viata o veșnică primăvară. La multi ani!
Alte Comentarii: Il comand pentru 30 octombrie 2021</t>
  </si>
  <si>
    <t>1 x tort oreo 2.3 kg pentru ionica serban 30.10</t>
  </si>
  <si>
    <t>Tort Nunta Coral
Alege Sortiment:: DUO MOUSSE VISINE STEVIA
Gramaj Tort:: 3 kg (15 persoane)
Mesaj Personalizat: La multi ani pentru cei 47 de ani de viață și cei 27 de ani de căsnicie!
Alte Comentarii: Il comand pentru 18 iulie 2021</t>
  </si>
  <si>
    <t>1 x tort duo-mousse visine stevia 2.3 kg pentru ionica serban 18.07</t>
  </si>
  <si>
    <t>Simona Rizea</t>
  </si>
  <si>
    <t>0744600822</t>
  </si>
  <si>
    <t>Bld Unirii, nr 69, bl G2B, Sc 1, Et 1, Ap 3
Bucuresti,</t>
  </si>
  <si>
    <t xml:space="preserve">Bld Unirii, nr 69, bl G2b, Sc 1, Et 1, Ap 3
Bucuresti, </t>
  </si>
  <si>
    <t>zzz ELENA TOMA</t>
  </si>
  <si>
    <t>1 x Tort Duo-Mousse cu Visine 1.8
Mesaj Personalizat: LA MULTI ANI CATA SI ALEX!
1 x platou de 5 pers</t>
  </si>
  <si>
    <t>0724665437</t>
  </si>
  <si>
    <t>Ana Cilibiu</t>
  </si>
  <si>
    <t>0745062746</t>
  </si>
  <si>
    <t>1 x Tort Duo Mousse cu Visine
Greutate: 1.4 kg (9 persoane)
Mesaj Personalizat: “La Multi Ani!”
Multă sănătate și multe bucurii îți dorim.
Te pupam, te îmbrățișăm și te IUBIM
Catinca &amp; Philip😘💐
Dana &amp; Eric ❤️</t>
  </si>
  <si>
    <t>Str Șoimului nr 16 bl. A Sc. C Ap. 23
Bacau,</t>
  </si>
  <si>
    <t>0765941315</t>
  </si>
  <si>
    <t>Red Velvet
Greutate: 1.4 kg (12 persoane)</t>
  </si>
  <si>
    <t>factura pe pers fizica</t>
  </si>
  <si>
    <t>Maria Dan</t>
  </si>
  <si>
    <t>0766478877</t>
  </si>
  <si>
    <t xml:space="preserve">Drm. Opalului nr 1-43 bl Paun sc B ap 3 parter sect 1 Complex Felicity
Bucureşti </t>
  </si>
  <si>
    <t>Raluca Dumitrescu</t>
  </si>
  <si>
    <t>0765184660</t>
  </si>
  <si>
    <t>1 x tort chocolae fiesta 7kg total decorat ca in poza 1, dar cutia sa fie ROZ, la baza tortului sa fies scris INES, asa cum sunt cuburile din poza 2</t>
  </si>
  <si>
    <t>data, adresa si compozitia finala  vor fi trimise ulterior</t>
  </si>
  <si>
    <t>1 x Tort Heart &amp; Key 
Alege Sortiment:: Berry Chocolate</t>
  </si>
  <si>
    <t>Anca</t>
  </si>
  <si>
    <t>0727030366</t>
  </si>
  <si>
    <t>strada Livezilor III, nr. 3, Pantelimon, ilfov</t>
  </si>
  <si>
    <t>1 x tort oreo de 2.1 kg pentru comanda Anca din 16.05</t>
  </si>
  <si>
    <t xml:space="preserve">Ridicare </t>
  </si>
  <si>
    <t xml:space="preserve">Alte Prajituri_x000D_
Alte Prajituri_x000D_
Alte Prajituri_x000D_
Alte Prajituri_x000D_
</t>
  </si>
  <si>
    <t>0764971708</t>
  </si>
  <si>
    <t>1 x tort 3 kg total decor ca n poza, compoziție tort clasic, mesaj: la Mulți ani, ane! Tortul sa fie identic ca n poza, și pe lângă mesaj cifra 6</t>
  </si>
  <si>
    <t>Tort Inima Mille Feuille (2.5 kg)</t>
  </si>
  <si>
    <t>prajiturile copilariei</t>
  </si>
  <si>
    <t xml:space="preserve">Tort Chocolate Delight 1.8 kg_x000D_
</t>
  </si>
  <si>
    <t>0727376678</t>
  </si>
  <si>
    <t xml:space="preserve">Tort Carrot Cake 1.4 kg_x000D_
</t>
  </si>
  <si>
    <t xml:space="preserve">Tort Noisette 1.4 kg_x000D_
</t>
  </si>
  <si>
    <t>1 x tort chocolate fiesta 1.8 kg cu mesajul "La Multi Ani, Karina"</t>
  </si>
  <si>
    <t>Bulevardul Constantin Brancoveanu 114, Bloc M1/1, Scara 4, Etaj 5, Apartament 145, Sector 4</t>
  </si>
  <si>
    <t>0745040513</t>
  </si>
  <si>
    <t>0722560606</t>
  </si>
  <si>
    <t xml:space="preserve">Platou Minipraji 5 Persoane_x000D_
Platou Minipraji 5 Persoane_x000D_
</t>
  </si>
  <si>
    <t>Ridciare</t>
  </si>
  <si>
    <t>Tort Noisette
Greutate: 1.4 kg (9 persoane)</t>
  </si>
  <si>
    <t>Mini Red Velvet</t>
  </si>
  <si>
    <t>Mini Tonka Passion</t>
  </si>
  <si>
    <t>Mini Chocolate Passion</t>
  </si>
  <si>
    <t>Ecler Love</t>
  </si>
  <si>
    <t>Pachet Love Mini Wonders</t>
  </si>
  <si>
    <t xml:space="preserve">Mini Red Velvet_x000D_
Mini Red Velvet_x000D_
Mini Tonka Passion_x000D_
Mini Tonka Passion_x000D_
Mini Chocolate Passion_x000D_
Mini Chocolate Passion_x000D_
Ecler Love_x000D_
Ecler Love_x000D_
Pachet Love Mini Wonders_x000D_
</t>
  </si>
  <si>
    <t>pachet love mini wonders</t>
  </si>
  <si>
    <t>Tort Inima Chocolate Passion</t>
  </si>
  <si>
    <t xml:space="preserve">Tort Omnia Fistic/Mango/Zmeura 1.4 kg_x000D_
</t>
  </si>
  <si>
    <t>zzz Robert Drapa</t>
  </si>
  <si>
    <t>0723626707</t>
  </si>
  <si>
    <t>0766533008</t>
  </si>
  <si>
    <t>1 x Tort Pavlova
Greutate: 1.2 kg (8 persoane)
Mesaj Personalizat: TE IUBESC!
1 x Tarta Fistic
1 x Tarta cu Nuci si Caramel</t>
  </si>
  <si>
    <t xml:space="preserve">Tort Pavlova 1.4 kg_x000D_
Prajitura Tarta Fistic_x000D_
</t>
  </si>
  <si>
    <t>zzz Monica Calciia</t>
  </si>
  <si>
    <t>0726173587</t>
  </si>
  <si>
    <t>2 x platou de 5 pers
sa inlocuim minitarte cu fructe cu macarons si mini choux-uri
sa arate impecabil!!!!</t>
  </si>
  <si>
    <t>zzz Ionescu Ana Maria</t>
  </si>
  <si>
    <t>Maria Dab</t>
  </si>
  <si>
    <t>1 x Tort Iepuras
Alege Sortiment:: Clasic
Gramaj Tort:: 3 kg (15 persoane)</t>
  </si>
  <si>
    <t>Drm. Opalului nr 1-43 bl Paun sc B ap 3 parter sect 1 Complex Felicity
Bucureşti ,</t>
  </si>
  <si>
    <t xml:space="preserve">Alte Prajituri_x000D_
Alte Prajituri_x000D_
</t>
  </si>
  <si>
    <t>1 x Tort Charlotte 2 kg</t>
  </si>
  <si>
    <t>1 x Tort Lego Building
Alege Sortiment:: Carrot Cake
Gramaj Tort:: 4 kg (20 persoane)
Mesaj Personalizat: La multi ani, Victor! Fece 2ani,daca puteti scrie si cifra 2, va rog</t>
  </si>
  <si>
    <t>2 x Tort Duo Mousse cu Visine
Greutate: 1.8 kg (12 persoane)
Mesaj Personalizat: La multi ani,Nicusor! 41ani</t>
  </si>
  <si>
    <t xml:space="preserve">Tort Duo Mousse Visine 1.8 kg_x000D_
Tort Duo Mousse Visine 1.8 kg_x000D_
</t>
  </si>
  <si>
    <r>
      <rPr>
        <b/>
        <u/>
        <sz val="11"/>
        <color rgb="FF000000"/>
        <rFont val="Calibri"/>
        <family val="2"/>
      </rPr>
      <t>Pachet Love Mini Wonders:</t>
    </r>
    <r>
      <rPr>
        <b/>
        <sz val="11"/>
        <color rgb="FF000000"/>
        <rFont val="Calibri"/>
        <family val="2"/>
      </rPr>
      <t xml:space="preserve">
2 x mini-red velvet
2 x mini tonka passion
2 x mini chocolate passion
2 x ecler love</t>
    </r>
  </si>
  <si>
    <t>pachet love passion</t>
  </si>
  <si>
    <r>
      <rPr>
        <b/>
        <u/>
        <sz val="11"/>
        <color rgb="FF000000"/>
        <rFont val="Calibri"/>
        <family val="2"/>
      </rPr>
      <t>Pachet Love Passion</t>
    </r>
    <r>
      <rPr>
        <b/>
        <sz val="11"/>
        <color rgb="FF000000"/>
        <rFont val="Calibri"/>
        <family val="2"/>
      </rPr>
      <t xml:space="preserve">
1 x tort vanilla inima vanilla passion (700 gr)
2 x mini red velvet
3 x ecler love</t>
    </r>
  </si>
  <si>
    <t>Tort Inima Vanilla Passion
Mini Red Velvet
Mini Red Velvet
Ecler Love
Ecler Love
Ecler Love
Pachet Love Passion</t>
  </si>
  <si>
    <t>pachet love for all</t>
  </si>
  <si>
    <r>
      <rPr>
        <b/>
        <u/>
        <sz val="11"/>
        <color rgb="FF000000"/>
        <rFont val="Calibri"/>
        <family val="2"/>
      </rPr>
      <t>Pachet Love For All</t>
    </r>
    <r>
      <rPr>
        <b/>
        <sz val="11"/>
        <color rgb="FF000000"/>
        <rFont val="Calibri"/>
        <family val="2"/>
      </rPr>
      <t xml:space="preserve">
1 x tort inima mille feuille (2.5 kg)
2 x mini red velvet
2 x mini tonka passion
2 x mini chocolate passion
2 x ecler love</t>
    </r>
  </si>
  <si>
    <t>2 x fistic si zmeura
2 x eclere cu mango
1 x ecler ness
2 x macarons vanilie si capsuni 
2 x tarta citron
2 x tarta fistic
1 x Raw Vegan Cashew Stone</t>
  </si>
  <si>
    <t>0746983365</t>
  </si>
  <si>
    <t>strada Partizanilor 3, bloc M10, scara 1, ap 5, etaj 1, inerfon 05C</t>
  </si>
  <si>
    <t>Panaitescu</t>
  </si>
  <si>
    <t xml:space="preserve">Monoportie Fistic si Zmeura_x000D_
Monoportie Fistic si Zmeura_x000D_
Prajitura Ecler Mango_x000D_
Prajitura Ecler Mango_x000D_
Prajitura Tarta Citron_x000D_
Prajitura Tarta Citron_x000D_
Prajitura Tarta Fistic_x000D_
Prajitura Tarta Fistic_x000D_
Raw-Vegan Cashew Stone_x000D_
</t>
  </si>
  <si>
    <t>Tort Inima Vanilla Passion</t>
  </si>
  <si>
    <t>Tort Inel Mille Feuille (2 kg)</t>
  </si>
  <si>
    <t>Tort Charlotte (2 kg)</t>
  </si>
  <si>
    <t xml:space="preserve">Tort Inima Mille Feuille (2.5 kg)
Mini Red Velvet
Mini Red Velvet
Mini Tonka Passion
Mini Tonka Passion
Mini Chocolate Passion
Mini Chocolate Passion
Ecler Love
Ecler Love
Pachet Love for All
</t>
  </si>
  <si>
    <t>Pachet Love for All</t>
  </si>
  <si>
    <t>Pachet Love Passion</t>
  </si>
  <si>
    <t xml:space="preserve">Tort Inima Vanilla Passion_x000D_
</t>
  </si>
  <si>
    <t>Cristina Toader</t>
  </si>
  <si>
    <t>0743473396</t>
  </si>
  <si>
    <t xml:space="preserve">Ion Maiorescu nr 7
Sector 2, Bucharest </t>
  </si>
  <si>
    <t>Cristina Vizinovici</t>
  </si>
  <si>
    <t>0722667969</t>
  </si>
  <si>
    <t xml:space="preserve">Tort Inima Chocolate Passion_x000D_
</t>
  </si>
  <si>
    <t>Thea</t>
  </si>
  <si>
    <t>decor</t>
  </si>
  <si>
    <t>se achita cu factura persoana fizica , o trimitem pe wtp</t>
  </si>
  <si>
    <t>Simona Dontu</t>
  </si>
  <si>
    <t xml:space="preserve">Tort Fifa
Sortiment: Rom si Ciocolata
Gramaj Tort: 3 kg 
Mesaj Personalizat: La Multi Ani Darius!
</t>
  </si>
  <si>
    <t>Aleea Salaj, Nr. 9, Bl. Z4, Sc. B, Ap 32, Sector 5
Sector 5, Bucharest 051909, Romania</t>
  </si>
  <si>
    <t>dupa ora 17</t>
  </si>
  <si>
    <t>thea</t>
  </si>
  <si>
    <t xml:space="preserve">Alte Prajituri_x000D_
</t>
  </si>
  <si>
    <t>Sorina</t>
  </si>
  <si>
    <t>0748129685</t>
  </si>
  <si>
    <t>Strada Voinicului 74 ( de introdus pe Waze Selcar International)</t>
  </si>
  <si>
    <t>a achita avens de 350 lei cash in cofetarie, rest de plata 1000 lei la primirea comenzii</t>
  </si>
  <si>
    <t xml:space="preserve">1 x tort 1.4 kg framboisier
1 x platou mini-tarte x 15 buc
Mesaj Personalizat: La multi ani, Razvan!
</t>
  </si>
  <si>
    <t>0728776073</t>
  </si>
  <si>
    <t xml:space="preserve">strada Carbunarilor 23
Bucuresti, Bucharest 013988, Romania
</t>
  </si>
  <si>
    <t>Diana Dobrea</t>
  </si>
  <si>
    <t>0741244005</t>
  </si>
  <si>
    <t>0733790467</t>
  </si>
  <si>
    <t>zzz Andreea Iancu</t>
  </si>
  <si>
    <t>Pachet stevia sweets</t>
  </si>
  <si>
    <t>Pachet happy birthday</t>
  </si>
  <si>
    <t>Pachet family sweets</t>
  </si>
  <si>
    <t>1 x tort                1.8 kg (la alegere)
1 x platou miniprajituri 5 persoane</t>
  </si>
  <si>
    <t xml:space="preserve">        tort la alegere 1.4 kg             (la alegere) 
 platou 5 persoane miniprajituri x 2</t>
  </si>
  <si>
    <t>Comanda Laura whts 1</t>
  </si>
  <si>
    <t>Gradinita Mell - str. Vlad Dracul nr. 43, sector 3, bucuresti</t>
  </si>
  <si>
    <t>0722238682</t>
  </si>
  <si>
    <t>pana in 10:30</t>
  </si>
  <si>
    <t>1 x Tort raspberry vanila 4 kg in total decorat cu tematica eroi in pijamale
La multi ani Victor”</t>
  </si>
  <si>
    <t>dceor</t>
  </si>
  <si>
    <t>1 x tort raspberry vanilla 2.8 kg pentru comanda Laura whts 1 din 26.02</t>
  </si>
  <si>
    <t xml:space="preserve">Tort Noisette 1.8 kg_x000D_
</t>
  </si>
  <si>
    <t xml:space="preserve">Tort Citron 1.8 kg_x000D_
</t>
  </si>
  <si>
    <t>100 lei</t>
  </si>
  <si>
    <t>150 lei</t>
  </si>
  <si>
    <t>450 lei</t>
  </si>
  <si>
    <t>250 lei</t>
  </si>
  <si>
    <t>300 lei</t>
  </si>
  <si>
    <t>200 lei</t>
  </si>
  <si>
    <t>Gheorghe Alina</t>
  </si>
  <si>
    <t xml:space="preserve">
Strada Oituz nr 81
Popesti Leordeni, Ilfov 077160, Romania
</t>
  </si>
  <si>
    <t>0745994087</t>
  </si>
  <si>
    <t xml:space="preserve">
Mini Red Velvet
Mini Red Velvet
Ecler Love
Ecler Love
Ecler Love
Pachet Love PassionTort Inima Chocolate Passion_x000D_
</t>
  </si>
  <si>
    <t xml:space="preserve">Tort Clasic
Greutate: 1.8 kg
Mesaj Personalizat: Happy 18th !!!
Mont Blanc x 1 </t>
  </si>
  <si>
    <t xml:space="preserve">Tort clasic 1.8 kg_x000D_
Prajitura Mont Blanc_x000D_
</t>
  </si>
  <si>
    <t>Gilda Bulumac</t>
  </si>
  <si>
    <t xml:space="preserve">
Str.Simion Ghinea nr 14
Chiajna , Ilfov 060367, Romania
</t>
  </si>
  <si>
    <t>0722201832</t>
  </si>
  <si>
    <t xml:space="preserve">Anulat </t>
  </si>
  <si>
    <t>Anamaria Toma</t>
  </si>
  <si>
    <t xml:space="preserve">achita la Dan in cont </t>
  </si>
  <si>
    <t>2 x tort pavlova 1.8 kg
pe unu: La multi ani, Selma!
Unu : La multi ani , Maya ! 
2 x tarte mere 2.5 kg
25 x choux a la Creme
28 x macarons fistic si zmeura
25 x indiana
12 x cremsnit</t>
  </si>
  <si>
    <t>Aurica Rimbu</t>
  </si>
  <si>
    <r>
      <rPr>
        <b/>
        <u/>
        <sz val="11"/>
        <color rgb="FF000000"/>
        <rFont val="Calibri"/>
        <family val="2"/>
      </rPr>
      <t>Pachet Love Passion</t>
    </r>
    <r>
      <rPr>
        <b/>
        <sz val="11"/>
        <color rgb="FF000000"/>
        <rFont val="Calibri"/>
        <family val="2"/>
      </rPr>
      <t xml:space="preserve">
1 x tort vanilla inima chocolate passin (700 gr)
2 x mini red velvet
3 x ecler love</t>
    </r>
  </si>
  <si>
    <t>0799375474</t>
  </si>
  <si>
    <t>Denisa</t>
  </si>
  <si>
    <t>Tort Inima Vanilla</t>
  </si>
  <si>
    <t>Tort Inima Chocolate</t>
  </si>
  <si>
    <t>Tort Inel Mille Feuille</t>
  </si>
  <si>
    <t>Tort Inima Mille Feuile</t>
  </si>
  <si>
    <t>Rolanda Matei</t>
  </si>
  <si>
    <t>Tort cu Fistic si Zmeura
Greutate: 1.4 kg 
Mesaj Personalizat: La multi ani!</t>
  </si>
  <si>
    <t xml:space="preserve">
Drumul Cretestilor nr 47
Bucuresti, Bucharest 042183, Romania
</t>
  </si>
  <si>
    <t>0763122348</t>
  </si>
  <si>
    <t>Diana Busuioc</t>
  </si>
  <si>
    <t>1 x tort 3.5 kg dreptunghiular pentru diana busuoic 19.02</t>
  </si>
  <si>
    <t>cu cardul la livrare</t>
  </si>
  <si>
    <t>Georgeta Dobrin</t>
  </si>
  <si>
    <t>0765822328</t>
  </si>
  <si>
    <t xml:space="preserve">Ale. Foisorului nr.95, bl.1, sc.2, et.1, ap.26
Bucuresti, </t>
  </si>
  <si>
    <t>Dragoiu Matei Ileana</t>
  </si>
  <si>
    <t>0729520154</t>
  </si>
  <si>
    <t>Str ceahlău nr 19 bl 73 SC 4 et 4 ap 57 sec 6 Zona Crângasi</t>
  </si>
  <si>
    <t>1 x Tortul Clasic 1.4
La mulți ani! Pentru cel mai bun sot și tătic.
Este pentru un domn, sa fie glasat si decorat in directia asta, va rog!</t>
  </si>
  <si>
    <t>zzz Alexandra Radu</t>
  </si>
  <si>
    <t>0787664036</t>
  </si>
  <si>
    <t>Prajitura cu Fistic si Zmeura cu Stevie 1
Prajitura Tonka cu Stevie 1
Tarta Zmeura cu Stevie 1</t>
  </si>
  <si>
    <t>0743780828</t>
  </si>
  <si>
    <t xml:space="preserve">Tort Framboisier 1.8 kg_x000D_
Platou Mini Tarte (15 buc)_x000D_
</t>
  </si>
  <si>
    <t>Henry Coanda 33, Bucursti</t>
  </si>
  <si>
    <t>duap 16:00</t>
  </si>
  <si>
    <t>zzz Lili Ducu</t>
  </si>
  <si>
    <t>Luminita Gavrila</t>
  </si>
  <si>
    <t>0746942439</t>
  </si>
  <si>
    <t>1 x tort citron 1.8 kg cu o figurina ca in Poza 1 si mesajul "La Multi Ani, Ingrid"</t>
  </si>
  <si>
    <t>Șoseaua Olteniței nr 254 bl 151 SC 3 ap 84 interfon 9136</t>
  </si>
  <si>
    <t>1 x Tort Framboisier 2 kg
15 x Mini tarte pavlova</t>
  </si>
  <si>
    <t>Rodica Costache</t>
  </si>
  <si>
    <t>Ridicare din Cofetarie</t>
  </si>
  <si>
    <t>1 x tort ca in Poza 1 (7 kg || 1 etaj || berry chocolate) 
Atentie:
1) Cutia sa fie roz!
2) Pe suport sa fie fie scris INES pe cuburi ca in *Poza 2"
+
Vesela Aurie Candy-bar
+
Prajituri Candy-Bar:
18 x Choux a la Crème Fistic
18 x Macarons Culori Tematice
18 x Mini Tarta Ciocolata si Caramel
18 x Mini Tarta Lamaie si Bezea Flambata
18 x Mini Pavlova
18 x Mini Tarta Fructe
12 x Pahar Tiramisu
12 x Ecler Artizanal
12 x Cake Pops (cu ursuleti roz)
6 x Briose (cu ursuleti roz)</t>
  </si>
  <si>
    <t>Casa Doina pe Pavel Kiseleff 4, Bucuresti
(Livrare intre 12:00 si 13:00)</t>
  </si>
  <si>
    <t>1 x tort berry chocolate 4.8 kg pentru comanada Raluca Dumitrecu din 13.06</t>
  </si>
  <si>
    <t xml:space="preserve">Acandy-bar_x000D_
Tort Decorat_x000D_
</t>
  </si>
  <si>
    <t>0745062215</t>
  </si>
  <si>
    <t>0726638662</t>
  </si>
  <si>
    <t xml:space="preserve">oricand </t>
  </si>
  <si>
    <t xml:space="preserve">Bulevardul Pipera nr 1 casa C11 </t>
  </si>
  <si>
    <t xml:space="preserve">Cimpeanu Denisa
1 x tort chocolate delight 3 kg in total decorat ca in poza departament decor
Mesaj personalizat : La mulți ani ALICE!
Fara cifra 1
</t>
  </si>
  <si>
    <t>Cimpeanu Denisa</t>
  </si>
  <si>
    <t>1 x tort chocolate delight 2.1 kg pentru comanda Cimpeanu Denisa din 2 martie</t>
  </si>
  <si>
    <t>Cojocaru Petruta</t>
  </si>
  <si>
    <t>Bulevardul Basarabia 265, American Ballroom, Salon Las Vegas
Candy bar???</t>
  </si>
  <si>
    <t xml:space="preserve">Achitat avans 1170.
De achitat 2726 leiconform contract 64/19.0.2021 </t>
  </si>
  <si>
    <t xml:space="preserve">Tort Decorat_x000D_
Acandy-bar_x000D_
</t>
  </si>
  <si>
    <t xml:space="preserve">
1 x tort macheta (3 etaje macheta + 1 real || framboisier) ca in poza dep decor
Atentie: Macheta trebuie sa aiba deasupra flori ca cele din poza 1. Clienta vrea sa realizam totul din pasta de zahar.
180 x felie framboisier (100 gr) 
+
1 x amenajare candy-bar
+
Prajituri Candy-bar 100 persone:
56 x Choux a la Crème Fistic
56 x Macarons Mix
56 x Mini Tarta Ciocolata si Caramel
56 x Mini Tarta Lamaie si Bezea Flambata
56 x Mini Pavlova
56 x Mini Tarta Fructe
36 x Pahar Tiramisu
36 x Ecler Artizanal
36 x Cake Pops 
18 x Briose Tematice
Pret: 3896 lei 
(s-a facturat avans de 1170. Trebuie sa facturam si restul de 2726 lei conform contract 64/19.0.2021. Sa dai te rog cu rosu ca sa ne sara in ochi)
- 2136 lei felii+tort macheta
- 1760 lei candy-bar</t>
  </si>
  <si>
    <t>zzz Cristina Anghel</t>
  </si>
  <si>
    <t>0726816357</t>
  </si>
  <si>
    <t>1 x tort tonka stevia 1.2 kg
Mesaj Personalizat:"La multi ani, tati !!"
2 x cremsnit stevia
2 x prajitura fistic stevia</t>
  </si>
  <si>
    <t>Iulia Ifrim</t>
  </si>
  <si>
    <t>0738864960</t>
  </si>
  <si>
    <t>Alina Radulescu</t>
  </si>
  <si>
    <t>Tort 4 You 1.5 kg</t>
  </si>
  <si>
    <t xml:space="preserve">Tort Framboisier
Greutate: 1.8 kg 
Mesaj Personalizat: "La multi ani Cristina!!!!"
</t>
  </si>
  <si>
    <t>Mihaela Stanila</t>
  </si>
  <si>
    <t xml:space="preserve">
Strada Nicolae Iorga, nr 19
București , Bucharest 010531, Romania
</t>
  </si>
  <si>
    <t>0722134097</t>
  </si>
  <si>
    <t>0737446494</t>
  </si>
  <si>
    <t>Daniela</t>
  </si>
  <si>
    <t xml:space="preserve">Alte Prajituri_x000D_
Alte Prajituri_x000D_
Alte Prajituri_x000D_
Platou Minipraji 5 Persoane_x000D_
</t>
  </si>
  <si>
    <t>client Laura</t>
  </si>
  <si>
    <t>0724220355</t>
  </si>
  <si>
    <t>0724040499</t>
  </si>
  <si>
    <t>0722792612</t>
  </si>
  <si>
    <t>datorie Sole</t>
  </si>
  <si>
    <t>intre 10-12.30</t>
  </si>
  <si>
    <t xml:space="preserve">
Prajituri crem/bordeaux
15 x cake pops
14 x mini briose
15 x mini rasberry vanilla
14 x choux vanilie
15 x choux fistic
14 x mini carrot cake
</t>
  </si>
  <si>
    <t>Georgeta Anton</t>
  </si>
  <si>
    <t>J'adore Ballroom, Strada Nițu Vasile 57, București</t>
  </si>
  <si>
    <t>(Amenajare de la 13:30 la 14:30)</t>
  </si>
  <si>
    <t>300 avans, au mai ramas 700 lei de facturat aproape de eveniment</t>
  </si>
  <si>
    <t xml:space="preserve">
1 x amenajare
1 x candy-bar 50 persoane (tematica alb/mov):
29 x Choux a la Crème Fistic
29 x Macarons (alb/mov)
29 x Mini Tarta Ciocolata si Caramel
29 x Mini Tarta Lamaie si Bezea Flambata
29 x Mini Pavlova
29 x Mini Tarta Fructe
19 x Pahar Tiramisu
19 x Ecler (Alb/Mov)
19 x Cake Pops (Alb/Mov)
10 x Briose (Alb/Mov)
</t>
  </si>
  <si>
    <t>0724507334</t>
  </si>
  <si>
    <t>0762609737</t>
  </si>
  <si>
    <t xml:space="preserve">Ridicare
'(NEAPARAT LA ORA 9)
</t>
  </si>
  <si>
    <t xml:space="preserve">
3 x tort inima chocolate passion (700 gr || rosii) cu mesajul personalizat: "La Multi Ani! - Echipa LPV"
</t>
  </si>
  <si>
    <t>zzz Gabriela Enescu</t>
  </si>
  <si>
    <t>zzz FLORIN LPV</t>
  </si>
  <si>
    <t>1 x tort duo mousse cu stevia 1.2
Mesaj personalizat: "La multi ani, Unchiul!"
+
2 lumanari cu cifrele 6</t>
  </si>
  <si>
    <t xml:space="preserve">Raluca </t>
  </si>
  <si>
    <t xml:space="preserve">Tort Oreo 1.4 kg_x000D_
</t>
  </si>
  <si>
    <t>0726489766</t>
  </si>
  <si>
    <t>STINGA CARMEN</t>
  </si>
  <si>
    <t>0744971235</t>
  </si>
  <si>
    <t>1 x (tort 3 kg ||chocolate fiesta) ca in poza dep décor ( inca nu a trimis poza !! Asteptam, de contactat azi 1 mar
Mesaj personalizat:  "La multi ani Antonia!"</t>
  </si>
  <si>
    <t>Str Radu Vodă nr 18 Bucuresti
(after school)</t>
  </si>
  <si>
    <t>12-12:30</t>
  </si>
  <si>
    <t>whatspp</t>
  </si>
  <si>
    <t xml:space="preserve"> Alexandra Asanica</t>
  </si>
  <si>
    <t>Amenajarea se face intre 15:45 si 16:45</t>
  </si>
  <si>
    <t xml:space="preserve">
1 x amenajare candy-bar
+
47 x Choux a la Crème Fistic
47 x Macarons Mix
47 x Mini Tarta Ciocolata si Caramel
47 x Mini Tarta Lamaie si Bezea Flambata
47 x Mini Pavlova
47 x Mini Tarta Fructe
30 x Pahar Tiramisu
30 x Ecler Artizanal
30 x Cake Pops Tematice
15 x Briose Tematice
</t>
  </si>
  <si>
    <t>seratta, otopeni, ilfov
--
Amenajarea se face intre 15:45 si 16:45</t>
  </si>
  <si>
    <t>Mucenici</t>
  </si>
  <si>
    <t>Decor</t>
  </si>
  <si>
    <t>*Cofetarie*</t>
  </si>
  <si>
    <t>*Vanzari 01.03.2021*</t>
  </si>
  <si>
    <t>#1: 99 cash</t>
  </si>
  <si>
    <t>#2: 25 cash</t>
  </si>
  <si>
    <t>#3: 64 card</t>
  </si>
  <si>
    <t>#4: 25 cash</t>
  </si>
  <si>
    <t>#5: 50</t>
  </si>
  <si>
    <t xml:space="preserve">#6: 121 </t>
  </si>
  <si>
    <t>#7: 150</t>
  </si>
  <si>
    <t>#8: 108</t>
  </si>
  <si>
    <t>#9: 90 card</t>
  </si>
  <si>
    <t>#10: 114</t>
  </si>
  <si>
    <t>*Glovo*</t>
  </si>
  <si>
    <t>#1: 144 lei</t>
  </si>
  <si>
    <t>*Bolt*</t>
  </si>
  <si>
    <t>#1: 45</t>
  </si>
  <si>
    <t>#2: 39</t>
  </si>
  <si>
    <t>#3: 99</t>
  </si>
  <si>
    <t>Total: 846 lei</t>
  </si>
  <si>
    <t>Total: 183</t>
  </si>
  <si>
    <t>*Beefast*</t>
  </si>
  <si>
    <t>#1: 231</t>
  </si>
  <si>
    <t>#2: 475</t>
  </si>
  <si>
    <t>#3: 205</t>
  </si>
  <si>
    <t>#4: 107</t>
  </si>
  <si>
    <t>#5: 215</t>
  </si>
  <si>
    <t>*Grand Total: 2406 lei*</t>
  </si>
  <si>
    <t>Total: 1233 lei</t>
  </si>
  <si>
    <t xml:space="preserve"> Plata cu factura+ contract
--
TREBUIE SA IF ACEM FACTURA PENTRU INCA 1000 RON! Conform contract 67/02.03.2021</t>
  </si>
  <si>
    <t xml:space="preserve">Tort Red Velvet 1.8 kg_x000D_
</t>
  </si>
  <si>
    <t xml:space="preserve">Tort Duo Mousse Visine 1.4 kg_x000D_
Platou Mini Tarte (15 buc)_x000D_
</t>
  </si>
  <si>
    <t>*Vanzari Cofetarie 02.03.2021*</t>
  </si>
  <si>
    <t>#1: 25</t>
  </si>
  <si>
    <t>#2: 47</t>
  </si>
  <si>
    <t>#3: 80</t>
  </si>
  <si>
    <t>#4: 56</t>
  </si>
  <si>
    <t>*beefast*</t>
  </si>
  <si>
    <t>#1:205</t>
  </si>
  <si>
    <t>#2:165</t>
  </si>
  <si>
    <t>*bolt*</t>
  </si>
  <si>
    <t>#1:39</t>
  </si>
  <si>
    <t>#2: 120</t>
  </si>
  <si>
    <t>*Grand Total:737 lei</t>
  </si>
  <si>
    <t>Mirabela Oprea</t>
  </si>
  <si>
    <t>0721779632</t>
  </si>
  <si>
    <t>Tort Rainbow Unicorn
Alege Sortiment:: Clasic
Gramaj Tort:: 3 kg (15 persoane)
Mesaj Personalizat: Smaranda</t>
  </si>
  <si>
    <t xml:space="preserve">1 mai nr.51B,et.2,ap.11,Lara Condominium
Otopeni, Ilfov </t>
  </si>
  <si>
    <t>Vultur Horatiu</t>
  </si>
  <si>
    <t>0737068276</t>
  </si>
  <si>
    <t>Tort Golden Unicorn
Alege Sortiment:: Clasic
Gramaj Tort:: 3 kg (15 persoane)
Mesaj Personalizat: Ted FM
Alte Comentarii: Lots of 'unicorn celebrations!</t>
  </si>
  <si>
    <t>Bulevardul Iuliu Maniu 15 H, Bl. C2 Sc. 3 Ap. 199 sector 6 (complex 21 Residence)
București,</t>
  </si>
  <si>
    <t>1060 lei candy-bar
- 1500 lei tort mare
- 300 lei tort mic
+15% discount</t>
  </si>
  <si>
    <t>Pink Pavlova</t>
  </si>
  <si>
    <t xml:space="preserve">Platou Minipraji 5 Persoane_x000D_
Platou Minipraji 5 Persoane_x000D_
Platou Minipraji 5 Persoane_x000D_
</t>
  </si>
  <si>
    <t>Cookie Stevia (1 kg)</t>
  </si>
  <si>
    <t xml:space="preserve">
1 x tort tonka stevia 1.2 kg
2 x cremsnit stevia
2 x prajitura fistic si zmeura stevia</t>
  </si>
  <si>
    <t>Client Lara Sweets</t>
  </si>
  <si>
    <t xml:space="preserve">Tort Carrot Cake 1.8 kg_x000D_
</t>
  </si>
  <si>
    <t>Izabela Croi</t>
  </si>
  <si>
    <t>0770895845</t>
  </si>
  <si>
    <t>1 x Tort Duo Mousse cu Visine
Greutate: 1.4 kg (9 persoane)
Mesaj Personalizat: La mulți ani
Te iubim</t>
  </si>
  <si>
    <t>Bulevardul Basarabia 66
București ,</t>
  </si>
  <si>
    <t>Ioana Negoita</t>
  </si>
  <si>
    <t>0744305020</t>
  </si>
  <si>
    <t>1 x Tort Coronita
Alege Sortiment:: Clasic
Gramaj Tort:: 3 kg (15 persoane)
Mesaj Personalizat: Sofia
6 ani
Alte Comentarii: Identic ca cel din prezentare cu înlocuirea numelui cu Sofia. Si sa figureze si varsta de 6 ani.</t>
  </si>
  <si>
    <t>Str Drumul Potcoavei
Voluntari,</t>
  </si>
  <si>
    <t>Oana (Simona contabilitate)</t>
  </si>
  <si>
    <t>discount 30% (achita simona de la contabilitate)</t>
  </si>
  <si>
    <t>0774009782</t>
  </si>
  <si>
    <t>1 x tort clasic 3.5 kg dreptungiular pentru comanda Oana (Simona contabilitate) din 08.05</t>
  </si>
  <si>
    <t>achita Simona Contabilitate</t>
  </si>
  <si>
    <t>0747483396</t>
  </si>
  <si>
    <t>zzz Violeta</t>
  </si>
  <si>
    <t>1 x tort vanilla passion 0.7 kg
Glasat cu galben
Mesaj: La multi ani, Filip Alexandru!
Decorat cu inimoare mici GRI
30 x tonka (deasemenea glasate in galben)</t>
  </si>
  <si>
    <t xml:space="preserve">Tort Inima Vanilla Passion_x000D_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t>
  </si>
  <si>
    <t>1 x tort 4 you 1.5 kg</t>
  </si>
  <si>
    <t>0722660806</t>
  </si>
  <si>
    <t>0725984999</t>
  </si>
  <si>
    <t>1 x tort ca in poza 1 (3 kg || clasic || 1 etaj) cu mesajul "Rayan" si cifra "3"</t>
  </si>
  <si>
    <t>Oxford Gardens, Voluntari</t>
  </si>
  <si>
    <t>Cristina Tomescu</t>
  </si>
  <si>
    <t>Strada Dimitrie Cantemir nr 12
Pipera, Voluntari, Ilfov
--
Pana in ora 13:00</t>
  </si>
  <si>
    <t>1 x platou miniprajituri 10 persoane
+
1 x tort ca in poza 1( 3 kg || clasic fara Fructe || 1 etaj) cu mesajul "La Multi ani, Ilinca Nicole! 10 ani"
Atentie: vrea ca si compozitie "ciocolata alba si ciocolata lapte"</t>
  </si>
  <si>
    <t>Daniela Petcu</t>
  </si>
  <si>
    <t>0769869774</t>
  </si>
  <si>
    <t>Dinu Manuela</t>
  </si>
  <si>
    <t>1 x tort decorat de aprox 6 kg (cantitatea finala va fi transmisa ulterior)
compozitita : va fi transmisa ulterior
Decorul va contine:
- 1 baiat brunet cu ochelari
- o bicicleta
- 1 rucsac
- Spary-uri graffiti (cateva si imprastiate pe jos si curs din ele)
- sa contina o straduta cu masini (1-2 masini)</t>
  </si>
  <si>
    <t>Adresa va fi data ulterior (Mihailesti Country Club)</t>
  </si>
  <si>
    <t>Cristina Ceuca</t>
  </si>
  <si>
    <t>0726428834</t>
  </si>
  <si>
    <t>Gabriela Dragne</t>
  </si>
  <si>
    <t>Anca Toropu</t>
  </si>
  <si>
    <t>0732307148</t>
  </si>
  <si>
    <t>Elisa</t>
  </si>
  <si>
    <t>100 x felieraspberry vanilla
+
1 x macheta tort ca in poza 1 (3 nivele, din care cel de sus real || raspberry vanilla)
+
Prajituri Candy-Bar 100 (tematic cu tortul)
57 x Choux a la Crème Fistic
57 x Macarons Culori (ca tortul)
57 x Mini Tarta Ciocolata si Caramel
57 x Mini Tarta Lamaie si Bezea Flambata
57 x Mini Pavlova
57 x Mini Tarta Fructe
37 x Pahar Tiramisu
37 x Ecler (ca tortul)
37 x Cake Pops (ca tortul)
19 x Briose Tematice</t>
  </si>
  <si>
    <t>Bulevardul Basarabia nr 256 incinta Faur, American Bollroom Faur (Salon LAS VEGAS)
(Amenajarea candy-Bar'ului se face intre 18:00 si 18:45</t>
  </si>
  <si>
    <t>contract si factura (se ocupa Tudor)</t>
  </si>
  <si>
    <t>Ana Postolache</t>
  </si>
  <si>
    <t>0746294294</t>
  </si>
  <si>
    <t>1 x amenajare
+
Prajituri Tematice Candy-Bar (100 pax):
112 x Choux a la Crème Fistic
112 x Macarons Culori Tematice
112 x Mini Tarta Ciocolata si Caramel
112 x Mini Tarta Lamaie si Bezea Flambata
112 x Mini Pavlova
112 x Mini Tarta Fructe
72 x Pahar Tiramisu
72 x Ecler Artizanal
72 x Cake Pops Tematice
36 x Briose Tematice</t>
  </si>
  <si>
    <t>Octavia</t>
  </si>
  <si>
    <t>0723176792</t>
  </si>
  <si>
    <t>1 x carrot cake 3.5 kg in total decaorat ca in poza din departamentul décor
Ursuletul sa fie ROZ
Inimiaorele sa fie ROZ
Sa fie inclus pe tort numele IRIS si 6 LUNI</t>
  </si>
  <si>
    <t>Strada Baltagului 5, bloc V81, scara 1, etaj 4, ap 15, interfon 15C</t>
  </si>
  <si>
    <t xml:space="preserve">Cookie Stevia (1 kg)_x000D_
</t>
  </si>
  <si>
    <t>Tort 4 You
Greutate: 1.5 kg (9 persoane)</t>
  </si>
  <si>
    <t>Sorin</t>
  </si>
  <si>
    <t>Gramaj Tort Decorat</t>
  </si>
  <si>
    <t>Catalina Tudose</t>
  </si>
  <si>
    <t>0745755865</t>
  </si>
  <si>
    <t>1 x tort framboisier 1.4
Cei mai buni nași!
Va iubim!
15 x tarte mixte</t>
  </si>
  <si>
    <t xml:space="preserve">Tort Chocolate Fiesta 1.8 kg_x000D_
Tort Chocolate Fiesta 1.8 kg_x000D_
</t>
  </si>
  <si>
    <t>Cristina Stoica</t>
  </si>
  <si>
    <t>0744241402</t>
  </si>
  <si>
    <t xml:space="preserve">din partea Laurei </t>
  </si>
  <si>
    <t>Splaiul Independentei 267, Bl.1, Sc.1, Ap6, Et 4
Bucharest</t>
  </si>
  <si>
    <t>1 x macheta tort ca in Poza 1 (3 etaje || etajul de sus real || framboisier) cu mesajul "Illinca Maria"
65 x felie tort framboisier (150 gr/buc)
+
1 x amenajare candy-bar
+
1 x inchiriere masa sweets
+
30 x Choux a la Crème Fistic
30 x Macarons (Culori tematice tort)
30 x Mini Tarta Ciocolata si Caramel
30 x Mini Tarta Lamaie si Bezea Flambata
30 x Mini Pavlova
30 x Mini Tarta Fructe
34 x Pahar Tiramisu
34 x Ecler Artizanal
34 x Cake Pops (Culori tematice tort)
22 x Briose (Culori tematice tort)</t>
  </si>
  <si>
    <t>trimis facturile conform contract 71/25.03.2021</t>
  </si>
  <si>
    <t>Tree House Forest
Candy-bar'ul se va amenaja intre 12:45 si 13:45</t>
  </si>
  <si>
    <t>pana la 12:30</t>
  </si>
  <si>
    <t xml:space="preserve">Alte Prajituri_x000D_
Alte Prajituri_x000D_
Alte Prajituri_x000D_
Alte Prajituri_x000D_
Alte Prajituri_x000D_
Alte Prajituri_x000D_
Alte Prajituri_x000D_
Alte Prajituri_x000D_
</t>
  </si>
  <si>
    <t>Cristina Curecheru</t>
  </si>
  <si>
    <t>0765961353</t>
  </si>
  <si>
    <t>Tort Golden Unicorn
Alege Sortiment:: Raspberry Vanilla
Gramaj Tort:: 3 kg (15 persoane)
Mesaj Personalizat: La Multi Ani Dahlia Maria</t>
  </si>
  <si>
    <t>Str Izvorul Muresului nr 7, Bl D7, Sc 2, Ap 12</t>
  </si>
  <si>
    <t>Client wts Bogdan</t>
  </si>
  <si>
    <t>0759499890</t>
  </si>
  <si>
    <t>1 x tort cifra 8 de 1.5 kg decoarat cu elemente ROZ, GALBEN, MOV</t>
  </si>
  <si>
    <t xml:space="preserve"> Strada ciresului nr 34, Ap 6 etaj 2
 Ilfov Dobroiesti</t>
  </si>
  <si>
    <t>Ileana Manescu</t>
  </si>
  <si>
    <t>0743036194</t>
  </si>
  <si>
    <t xml:space="preserve">Covasna Nr.5.Bloc A5.etaj.7.ap.32.sector 4
BUCURESTI, </t>
  </si>
  <si>
    <t>Ramona Radulescu</t>
  </si>
  <si>
    <t>0764991683</t>
  </si>
  <si>
    <t>1 x Tort Framboisier 1.8 kg
Mesaj Personalizat: La multi ani, Alexandra!
1 x platou miniprajituri (28 buc)</t>
  </si>
  <si>
    <t>Str pictor stefan dimitrescu 58</t>
  </si>
  <si>
    <t>strada Sacele numărul 9,Bucuresti</t>
  </si>
  <si>
    <t>1 x tort de 4 kg total decorat (revine cu detaiile asupra decorului si a compozitie)
20 x macarons cu fructe si fistic</t>
  </si>
  <si>
    <t>Alin Titea</t>
  </si>
  <si>
    <t>0737135635</t>
  </si>
  <si>
    <t>trimite tudor facturile</t>
  </si>
  <si>
    <t>*02.04.2021*</t>
  </si>
  <si>
    <t>Pasca Stevia: 2 Buc</t>
  </si>
  <si>
    <t>Pasca: 3 Buc</t>
  </si>
  <si>
    <t>*03.04.2021*</t>
  </si>
  <si>
    <t>Pasca: 0 Buc</t>
  </si>
  <si>
    <t>Pasca Stevia: 0 Buc</t>
  </si>
  <si>
    <t>*04.04.2021*</t>
  </si>
  <si>
    <t>Cozonac Normal: 0 Buc</t>
  </si>
  <si>
    <t>Cozonac Normal: 3 Buc</t>
  </si>
  <si>
    <t>Cozonac Stevia: 2 Buc</t>
  </si>
  <si>
    <t>Cozonac Stevia: 4 Buc</t>
  </si>
  <si>
    <t>Cozonac Stevia: 0 Buc</t>
  </si>
  <si>
    <t>Cozonac Fructe Confiate: 0 Buc</t>
  </si>
  <si>
    <t>Cozonac Fructe Confiate: 1 Buc</t>
  </si>
  <si>
    <t>Cozonac Mac: 1 Buc</t>
  </si>
  <si>
    <t>Cozonac Mac: 0 Buc</t>
  </si>
  <si>
    <t>Nicolae Natalia</t>
  </si>
  <si>
    <t>0727583237</t>
  </si>
  <si>
    <t xml:space="preserve">str vaselor,nr 17A,sector 2, gradinita Doncastor
</t>
  </si>
  <si>
    <t>1x tort framboisier 1.4 kg</t>
  </si>
  <si>
    <t>0768055577</t>
  </si>
  <si>
    <t>zzz Mitran Alin</t>
  </si>
  <si>
    <t>Alina Negrila</t>
  </si>
  <si>
    <t>0762997767</t>
  </si>
  <si>
    <t>Capsuni Ciocolata (12 Buc)</t>
  </si>
  <si>
    <t>Golden Egg Delight Monoportie</t>
  </si>
  <si>
    <t>Easter Cakesicle</t>
  </si>
  <si>
    <t>Iepuras Mille Feuille</t>
  </si>
  <si>
    <t>Bucurie De Paste</t>
  </si>
  <si>
    <t>Pachet Stevia Paste</t>
  </si>
  <si>
    <r>
      <rPr>
        <b/>
        <u/>
        <sz val="11"/>
        <color rgb="FF000000"/>
        <rFont val="Calibri"/>
        <family val="2"/>
      </rPr>
      <t>Pachet Stevia Paste</t>
    </r>
    <r>
      <rPr>
        <b/>
        <sz val="11"/>
        <color rgb="FF000000"/>
        <rFont val="Calibri"/>
        <family val="2"/>
      </rPr>
      <t xml:space="preserve">
1 x cozonac stevia glazurat 1 kg
1 x pasca stevia 1 kg</t>
    </r>
  </si>
  <si>
    <t>Pachet Promo Paste</t>
  </si>
  <si>
    <t xml:space="preserve">Cozonac cu nuca si Cacao
Pachet Promo Paste
Pasca
</t>
  </si>
  <si>
    <r>
      <rPr>
        <b/>
        <u/>
        <sz val="11"/>
        <color rgb="FF000000"/>
        <rFont val="Calibri"/>
        <family val="2"/>
      </rPr>
      <t>Pachet Promo Paste</t>
    </r>
    <r>
      <rPr>
        <b/>
        <sz val="11"/>
        <color rgb="FF000000"/>
        <rFont val="Calibri"/>
        <family val="2"/>
      </rPr>
      <t xml:space="preserve">
1 x cozonac nuca,cacao si rom 1 kg
1 x pasca 1 kg</t>
    </r>
  </si>
  <si>
    <t>Pachet Family DMV</t>
  </si>
  <si>
    <r>
      <rPr>
        <b/>
        <u/>
        <sz val="11"/>
        <color rgb="FF000000"/>
        <rFont val="Calibri"/>
        <family val="2"/>
      </rPr>
      <t>Pachet Family Stevia Duo-Mousse Visine</t>
    </r>
    <r>
      <rPr>
        <b/>
        <sz val="11"/>
        <color rgb="FF000000"/>
        <rFont val="Calibri"/>
        <family val="2"/>
      </rPr>
      <t xml:space="preserve">
1 x cozonac stevia glazurat 1 kg
1 x pasca stevia 1 kg
1 x tort duo mousse stevia 1.2 kg </t>
    </r>
  </si>
  <si>
    <t xml:space="preserve">Cozonac STEVIA
Pasca Stevia
Pachet Stevia Paste
</t>
  </si>
  <si>
    <t>Pachet Paste Family</t>
  </si>
  <si>
    <t>Pachet Paste Family Stevia</t>
  </si>
  <si>
    <t xml:space="preserve">Cozonac cu nuca si Cacao
Platou Minipraji 5 Persoane
Pasca
Tort Duo Mousse Visine 1.4 kg
Pachet Paste Family
</t>
  </si>
  <si>
    <r>
      <rPr>
        <b/>
        <u/>
        <sz val="11"/>
        <color rgb="FF000000"/>
        <rFont val="Calibri"/>
        <family val="2"/>
      </rPr>
      <t>Pachet Family Duo-Mousse Visine</t>
    </r>
    <r>
      <rPr>
        <b/>
        <sz val="11"/>
        <color rgb="FF000000"/>
        <rFont val="Calibri"/>
        <family val="2"/>
      </rPr>
      <t xml:space="preserve">
1 x cozonac nuca,cacao si rom 1 kg
1 x pasca  1 kg
1 x duo mousse visine 1.4 kg
1 x platou miniprajituri 5 persoane</t>
    </r>
  </si>
  <si>
    <t>Cristian Badea
0 721 951 363
(a fost schimbata de pe 5 iunie)</t>
  </si>
  <si>
    <t>Carrot Cake
Greutate: 1.4 kg (9 persoane)
Mesaj Personalizat: Paste fericit!</t>
  </si>
  <si>
    <t>sos Colentina 16, complex Rose garden, Bl B1, et 2, ap 18, interfon #2231.</t>
  </si>
  <si>
    <t>whatsapp #1</t>
  </si>
  <si>
    <t>whatsapp #10</t>
  </si>
  <si>
    <t>whatsapp #11</t>
  </si>
  <si>
    <t>whatsapp #12</t>
  </si>
  <si>
    <t>whatsapp #13</t>
  </si>
  <si>
    <t>1x tort Berry chocolate 3 kg  decorat
tematica:  jungle party doar pe laterale,deasupra simplu si tot pe lateral scris La multi ani Edi</t>
  </si>
  <si>
    <t>0773965195</t>
  </si>
  <si>
    <t>Dobre andreea</t>
  </si>
  <si>
    <t>whatsapp #14</t>
  </si>
  <si>
    <t>whatsapp #15</t>
  </si>
  <si>
    <t>whatsapp #16</t>
  </si>
  <si>
    <t>whatsapp #17</t>
  </si>
  <si>
    <t>whatsapp #18</t>
  </si>
  <si>
    <t>whatsapp #22</t>
  </si>
  <si>
    <t>whatsapp #23</t>
  </si>
  <si>
    <t>whatsapp #24</t>
  </si>
  <si>
    <t>Pachet Promo Paste
Nuca</t>
  </si>
  <si>
    <t>Pachet Promo Paste
Fructe Confiate</t>
  </si>
  <si>
    <t>Pachet Promo Paste
Mac</t>
  </si>
  <si>
    <r>
      <rPr>
        <b/>
        <u/>
        <sz val="11"/>
        <color rgb="FF000000"/>
        <rFont val="Calibri"/>
        <family val="2"/>
      </rPr>
      <t>Pachet Promo Paste</t>
    </r>
    <r>
      <rPr>
        <b/>
        <sz val="11"/>
        <color rgb="FF000000"/>
        <rFont val="Calibri"/>
        <family val="2"/>
      </rPr>
      <t xml:space="preserve">
1 x cozonac fructe confiate 1 kg
1 x pasca 1 kg</t>
    </r>
  </si>
  <si>
    <r>
      <rPr>
        <b/>
        <u/>
        <sz val="11"/>
        <color rgb="FF000000"/>
        <rFont val="Calibri"/>
        <family val="2"/>
      </rPr>
      <t>Pachet Promo Paste</t>
    </r>
    <r>
      <rPr>
        <b/>
        <sz val="11"/>
        <color rgb="FF000000"/>
        <rFont val="Calibri"/>
        <family val="2"/>
      </rPr>
      <t xml:space="preserve">
1 x cozonac mac 1 kg
1 x pasca 1 kg</t>
    </r>
  </si>
  <si>
    <t>whatsapp #2</t>
  </si>
  <si>
    <t>0726246220</t>
  </si>
  <si>
    <t>whatsapp #19</t>
  </si>
  <si>
    <t>whatsapp #20</t>
  </si>
  <si>
    <t>whatsapp #21</t>
  </si>
  <si>
    <t xml:space="preserve">Pachet Promo Paste
Cozonac Fructe Confiate
Pasca
</t>
  </si>
  <si>
    <t>1 x Tort cu Mango si Zmeura
Greutate: 1.4 kg (9 persoane)</t>
  </si>
  <si>
    <t xml:space="preserve">Pachet Promo Paste
Pasca
Cozonac Mac
</t>
  </si>
  <si>
    <t>0722625400</t>
  </si>
  <si>
    <t>Buhaschi Veronica</t>
  </si>
  <si>
    <t>0739866103</t>
  </si>
  <si>
    <t xml:space="preserve">Sos.Centurii.nr 5-7
Bragadiru , Ilfov </t>
  </si>
  <si>
    <t>Str Cetatea Histria 8, bl A3,sc D, et 3, ap 56, sect 6</t>
  </si>
  <si>
    <t>1 x Mini Red Velvet
1 x Chec cu Ciocolata
1 x Cozonac cu Nuca si Cacao</t>
  </si>
  <si>
    <t>Mogos Cristina</t>
  </si>
  <si>
    <t>0724103351</t>
  </si>
  <si>
    <t xml:space="preserve">Strada Covasna 7, bloc e1, scara 4, et 4, ap. 80 sector 4 </t>
  </si>
  <si>
    <t>sorin</t>
  </si>
  <si>
    <t>Tip</t>
  </si>
  <si>
    <t>Georgiana Hera</t>
  </si>
  <si>
    <t>0771074709</t>
  </si>
  <si>
    <t>sos garii catelu nr 5, sector 3</t>
  </si>
  <si>
    <t>0726247700</t>
  </si>
  <si>
    <t>Bety Damian</t>
  </si>
  <si>
    <t>Soseaua Oltenitei nr 32, bloc 5B SC1, ET3, AP14, INTERFON 14, SECT 4</t>
  </si>
  <si>
    <t xml:space="preserve">1 x Pasca Stevia
</t>
  </si>
  <si>
    <t>0728904755</t>
  </si>
  <si>
    <t xml:space="preserve">Pasca Stevia_x000D_
</t>
  </si>
  <si>
    <t>zzz virginia stoian</t>
  </si>
  <si>
    <t>whatsapp #01</t>
  </si>
  <si>
    <t>Elena Grigorescu</t>
  </si>
  <si>
    <t>0733324637</t>
  </si>
  <si>
    <t>strada drumul murgului,nr 42,bl 52 B, et 10, ap 44,interfon 44,
 sector 3</t>
  </si>
  <si>
    <t>whatsapp #02</t>
  </si>
  <si>
    <t>whatsapp #03</t>
  </si>
  <si>
    <t>whatsapp #05</t>
  </si>
  <si>
    <t>whatsapp #06</t>
  </si>
  <si>
    <t>whatsapp #07</t>
  </si>
  <si>
    <t>whatsapp #08</t>
  </si>
  <si>
    <t>whatsapp #09</t>
  </si>
  <si>
    <t>Dana Neacsu
(reprogramat din 29 mai)</t>
  </si>
  <si>
    <t>0762189013</t>
  </si>
  <si>
    <t>Andreea Petrica</t>
  </si>
  <si>
    <t>0727787281</t>
  </si>
  <si>
    <t>whatsapp #25</t>
  </si>
  <si>
    <t>whatsapp #26</t>
  </si>
  <si>
    <t>Eugenia Vasiloae</t>
  </si>
  <si>
    <t>Str. Baia de Aries nr. 7, bl.12, sc. C, etaj 1, ap 77, sector 6, Bucuresti</t>
  </si>
  <si>
    <t>whatsapp #04</t>
  </si>
  <si>
    <t xml:space="preserve">Cozonac STEVIA_x000D_
</t>
  </si>
  <si>
    <t>1 x tort decorat identic ca in Poza 1 (3 kg || berry chocolate || 1 etaj)
Atentie:
Fara cifra, semnul alb sau numele de pe suport</t>
  </si>
  <si>
    <t>str. Sold. Sebe T. Nicolae, nr. 15, bl. V11, sc.1, et. 4, ap. 20, interfon 20</t>
  </si>
  <si>
    <t>0727021203</t>
  </si>
  <si>
    <t>Dorina Frunzulica</t>
  </si>
  <si>
    <t>Adela Bratu</t>
  </si>
  <si>
    <t>0723195354</t>
  </si>
  <si>
    <t>Calea Vacaresti nr 302 , bl 1C , scA , ap 14 , etj 5 , interf 14</t>
  </si>
  <si>
    <t>Anamaria Tulumb</t>
  </si>
  <si>
    <t>Sos Pipera Tunari nr 166-168, bl E, sc F, et 5
Voluntari</t>
  </si>
  <si>
    <t xml:space="preserve">Amandina 2
Cheese Cake 2
Choux à la Crème 2
1 x Macarons Fistic &amp; Zmeura (28 Buc) </t>
  </si>
  <si>
    <t xml:space="preserve">Prajitura Amandina_x000D_
Prajitura Amandina_x000D_
Prajitura Cheese Cake_x000D_
Prajitura Cheese Cake_x000D_
Alte Prajituri_x000D_
Alte Prajituri_x000D_
Platou Macarons 30 Buc_x000D_
</t>
  </si>
  <si>
    <t>0744833185</t>
  </si>
  <si>
    <t>0742298421</t>
  </si>
  <si>
    <t>zzz Cociuba Marian</t>
  </si>
  <si>
    <t>1x tort clasic 3 kg DECORAT
decorul la fel ca in poza</t>
  </si>
  <si>
    <t>whatsapp
#16</t>
  </si>
  <si>
    <t>0754058583</t>
  </si>
  <si>
    <t>Rita Cinca</t>
  </si>
  <si>
    <t>Drumul Gura Putnei , nr111 T, sector 3</t>
  </si>
  <si>
    <t>1x Chocolate Fiesta2 kg  decorat
ornamentul urmator: ca tortul din prima poza doar ca in loc de numarul 20 sa fie numarul
18 si numele Ingrid dedesuptul numarului 
si pe tort coroana din a doua poza din aceeasi culoare (rose gold) ca numarul.</t>
  </si>
  <si>
    <t xml:space="preserve">1x tort clasic 1.4 kg
mesaj: la multi ani Lexa Maria
1x monoportie fistic stevia
</t>
  </si>
  <si>
    <t>Catalina Duca</t>
  </si>
  <si>
    <t>0756898232</t>
  </si>
  <si>
    <t>soseaua snagov,nr 7</t>
  </si>
  <si>
    <t>whatsapp
#25</t>
  </si>
  <si>
    <t xml:space="preserve">Tort clasic 1.4 kg_x000D_
Monoportie Fistic si Zmeura cu Stevie_x000D_
</t>
  </si>
  <si>
    <t>whatsapp #29</t>
  </si>
  <si>
    <t>whatsapp #31</t>
  </si>
  <si>
    <t>zzz Corina Raicea</t>
  </si>
  <si>
    <t>0722279905</t>
  </si>
  <si>
    <t>1 x Tort Duo Mousse cu Visine cu Stevie
Greutate: 1.2 kg (8 persoane)
Mesaj Personalizat: La mulți ani, Ginuța !</t>
  </si>
  <si>
    <t xml:space="preserve">Stratulat Liliana </t>
  </si>
  <si>
    <t>0757245205</t>
  </si>
  <si>
    <t>București sectorul 3,
strada Becaței 1-3
apartament 2, interfon 2</t>
  </si>
  <si>
    <t>1 x Cutie cu 4 Briose Tematice</t>
  </si>
  <si>
    <t>1 x Tort Cifra
Ce cifra va reprezenta tortuletul?: 43
Mesaj Personalizat: La multi ani tati!</t>
  </si>
  <si>
    <t xml:space="preserve">Str tepes voda nr 37-39
Bucuresti, </t>
  </si>
  <si>
    <t>1 x tort ca in poza 1 (Tort Clasic || 2 kg || 1 etaj) cu mesajul "Paste Fericit!" in loc de cel de pe tort</t>
  </si>
  <si>
    <t xml:space="preserve">Sos Oltenitei 254 bl 151 sc 3 et 3 ap 76 sect 4 Bucuresti
</t>
  </si>
  <si>
    <t>website #16</t>
  </si>
  <si>
    <t>whatsapp #27</t>
  </si>
  <si>
    <t>whatsapp #32</t>
  </si>
  <si>
    <t>whatsapp #33</t>
  </si>
  <si>
    <t>0732381216</t>
  </si>
  <si>
    <t>zzz Violeta Dogaru</t>
  </si>
  <si>
    <t>0744771348</t>
  </si>
  <si>
    <t>website #01</t>
  </si>
  <si>
    <t>0770261127</t>
  </si>
  <si>
    <t>whatsapp
#10</t>
  </si>
  <si>
    <t>trimite Tudor R. factura</t>
  </si>
  <si>
    <t>Oana Sporis</t>
  </si>
  <si>
    <t>0766344702</t>
  </si>
  <si>
    <t>Florentina Dinu</t>
  </si>
  <si>
    <t>0767797387</t>
  </si>
  <si>
    <t>Aleea Zorelelor nr4a, bl M12, sc B, et 8, ap 118</t>
  </si>
  <si>
    <t>Tort Clasic
Greutate: 1.4 kg (9 persoane)
Mesaj Personalizat: Mara
1 x tort 1.4 kg framboisier
1 x platou mini-tarte 
Mesaj Personalizat: Radu</t>
  </si>
  <si>
    <t xml:space="preserve">Tort clasic 1.4 kg_x000D_
Tort Framboisier 1.4 kg_x000D_
Platou Mini Tarte (15 buc)_x000D_
</t>
  </si>
  <si>
    <t>Categorie</t>
  </si>
  <si>
    <t>Altele-Paste</t>
  </si>
  <si>
    <t>Prajituri</t>
  </si>
  <si>
    <t>Cozonac si Pasca</t>
  </si>
  <si>
    <t>Pachete Paste</t>
  </si>
  <si>
    <t>Platouri</t>
  </si>
  <si>
    <t>Raw-Veg</t>
  </si>
  <si>
    <t>Prajituri Stevia</t>
  </si>
  <si>
    <t>Tort Stevia</t>
  </si>
  <si>
    <t>Necesar</t>
  </si>
  <si>
    <t>Stoc</t>
  </si>
  <si>
    <t>Ramas</t>
  </si>
  <si>
    <t>Tort Clasic
Greutate: 1.4 kg (9 persoane)
Mesaj Personalizat: Happy birthday, future doctor! 25</t>
  </si>
  <si>
    <t>Loren Constantin</t>
  </si>
  <si>
    <t>Strada Locotenent Alexandru Popescu 5C
Bucuresti</t>
  </si>
  <si>
    <t>Mihaela Marin-Mandoiu</t>
  </si>
  <si>
    <t>0724346509</t>
  </si>
  <si>
    <t>Bld Metalurgiei, nr 468-472, Bl C1, Sc 1, Et 5, Ap 46, Sector 4 - interfon 46</t>
  </si>
  <si>
    <t>1 x Pasca Stevia</t>
  </si>
  <si>
    <t>0761699069</t>
  </si>
  <si>
    <t>factura trimisa</t>
  </si>
  <si>
    <t>Alina Peptenatu</t>
  </si>
  <si>
    <t>0786306350</t>
  </si>
  <si>
    <t>Prajitura Duo-Mousse Visine Stevia</t>
  </si>
  <si>
    <t>Ou de Paste Ciocolata</t>
  </si>
  <si>
    <t>Prajitura Strawberry Cake</t>
  </si>
  <si>
    <t>Prajitura Chocolissimo</t>
  </si>
  <si>
    <t>Prajitura Tiramisu</t>
  </si>
  <si>
    <t>Prajitura Profiterol</t>
  </si>
  <si>
    <t>Cutie 4 Briose Paste</t>
  </si>
  <si>
    <t>Tort Clasic
Greutate: 1.4 kg (9 persoane)
Mesaj Personalizat: La multi ani, Tataie!</t>
  </si>
  <si>
    <t>zzz Liliana Predescu</t>
  </si>
  <si>
    <t>0745970446</t>
  </si>
  <si>
    <t>Str. Drumul Fermei 101, bl.4, et.3, ap.13, interfon 13,Popesti-Leordeni (Ilfov)
--
Cat mai pe seara posibil</t>
  </si>
  <si>
    <t>cat mai pe seara posibil</t>
  </si>
  <si>
    <t>whatsapp #34</t>
  </si>
  <si>
    <t>1 x tort decorat in martipan alb (4 kg final || 2 nivele || krantz) cu mesajul "La mulți ani, Mara!"
Observatie 1:
- La imbinarea celor de etaje sa fie montate 3 figurine:
1) unicorn cu funda
2) ursulet prinț
3) maimutica george
Observatie 2:
- Tortuletul este pentru o fetita de 3 ani. Orice idee pentru imbunatatirea decorului astfel incat tortul sa fie spectaculos este bine venita (fara culori stridente - doar pale)</t>
  </si>
  <si>
    <t>Strada Dumbravei Nr 49 A, Bragadiru, Ilfov</t>
  </si>
  <si>
    <t>whatsapp #37</t>
  </si>
  <si>
    <t>whatsapp #38</t>
  </si>
  <si>
    <t>neaparat 11:00-13:00</t>
  </si>
  <si>
    <t>R&amp;M Audit</t>
  </si>
  <si>
    <t>Preciziei Business Center 
Bd. Preciziei nr.1 Tronson 1 et.1 
sector 6
(neaparat 11:00-13:00)</t>
  </si>
  <si>
    <t>zzz Raluca Stefanescu</t>
  </si>
  <si>
    <t>1 x Carrot Cake cu Stevie
Greutate: 1.8 kg (12 persoane)
Mesaj Personalizat: La multi ani
39
1 x Platou Mix Mini Tarte</t>
  </si>
  <si>
    <t>Aurelia Mantea</t>
  </si>
  <si>
    <t>0747247777</t>
  </si>
  <si>
    <t>Strada 23 August nr 232k
Otopeni</t>
  </si>
  <si>
    <t>Fursecuri cu Cacao (1 kg)</t>
  </si>
  <si>
    <t>Fursecuri cu Vanilie (1 kg)</t>
  </si>
  <si>
    <t>Fursecuri cu Vanilie Stevia (1 kg)</t>
  </si>
  <si>
    <t>telefonic</t>
  </si>
  <si>
    <t>Prajitura Cornulete Clasice (1 kg)</t>
  </si>
  <si>
    <t>Prajitura Cornulete de Post (1 kg)</t>
  </si>
  <si>
    <t>Diana Albu</t>
  </si>
  <si>
    <t>0769678841</t>
  </si>
  <si>
    <t>Tort Darth Vader
Alege Sortiment:: Berry Chocolate
Gramaj Tort:: 3 kg (15 persoane)
Mesaj Personalizat: La multi ani!</t>
  </si>
  <si>
    <t>Camil Ressu 22, bloc A6, apt 42, etaj 9, interfon 42
Bucuresti,</t>
  </si>
  <si>
    <t xml:space="preserve">Easter Cakesicle_x000D_
</t>
  </si>
  <si>
    <t>Trufe Stevia (1 kg)</t>
  </si>
  <si>
    <t>Platou Macarons Deluxe</t>
  </si>
  <si>
    <t xml:space="preserve">Tort Omnia Fistic/Mango/Zmeura 1.8 kg_x000D_
</t>
  </si>
  <si>
    <t>Strada Traian 103
(Hala Traian - salile de evenimente)</t>
  </si>
  <si>
    <t>0724134113</t>
  </si>
  <si>
    <t>Whatsapp #03</t>
  </si>
  <si>
    <t>Whatsapp #01</t>
  </si>
  <si>
    <t>Whatsapp #09</t>
  </si>
  <si>
    <t>0769205205</t>
  </si>
  <si>
    <r>
      <rPr>
        <b/>
        <u/>
        <sz val="11"/>
        <color rgb="FF000000"/>
        <rFont val="Calibri"/>
        <family val="2"/>
      </rPr>
      <t>Pachet Promo Paste</t>
    </r>
    <r>
      <rPr>
        <b/>
        <sz val="11"/>
        <color rgb="FF000000"/>
        <rFont val="Calibri"/>
        <family val="2"/>
      </rPr>
      <t xml:space="preserve">
1 x cozonac nuca,cacao si rom 1 kg
1 x pasca 1 kg
1 x tort 4 you</t>
    </r>
  </si>
  <si>
    <t>dul Ion Mihalache 152, bloc 6, sc.A, ap.10, interfon 010, sector 1</t>
  </si>
  <si>
    <t xml:space="preserve">Cozonac cu nuca si Cacao
Pachet Promo Paste
Pasca
Tort 4 You 1.5 kg_x000D_
</t>
  </si>
  <si>
    <t xml:space="preserve">Tort Clasic
Greutate: 1.4 kg (9 persoane)
Mesaj Personalizat: La mulți ani Bunico!!!
</t>
  </si>
  <si>
    <t>Mustafa Sofica olimpia</t>
  </si>
  <si>
    <t>0739797595</t>
  </si>
  <si>
    <t>website #17340</t>
  </si>
  <si>
    <t>Ritoride 19,
București</t>
  </si>
  <si>
    <t>0722916615</t>
  </si>
  <si>
    <t>0756042675</t>
  </si>
  <si>
    <t>1 x Tort cu Fistic si Zmeura cu Stevie
Greutate: 1.2 kg (8 persoane)
Mesaj Personalizat: La multi ani bunica!</t>
  </si>
  <si>
    <t>23 August 244 Aleea 8 Vila 43
Otopeni</t>
  </si>
  <si>
    <t>website #17371</t>
  </si>
  <si>
    <t xml:space="preserve">1 x Cozonac Stevia Glazurat
</t>
  </si>
  <si>
    <t>Tort de Bezea cu Ciocolata
Greutate: 1.4 kg (9 persoane)
Mesaj Personalizat: La multi ani, iubirea mea, din toata inima si pentru totdeauna!
Eugenia &amp; Andi
05.05.2021</t>
  </si>
  <si>
    <t xml:space="preserve">Iepuras Mille Feuille_x000D_
Iepuras Mille Feuille_x000D_
Iepuras Mille Feuille_x000D_
Iepuras Mille Feuille_x000D_
Iepuras Mille Feuille_x000D_
Iepuras Mille Feuille_x000D_
Iepuras Mille Feuille_x000D_
Iepuras Mille Feuille_x000D_
Iepuras Mille Feuille_x000D_
Iepuras Mille Feuille_x000D_
Iepuras Mille Feuille_x000D_
</t>
  </si>
  <si>
    <t xml:space="preserve">11 x tort iepuras mille feuille (1 kg) cu mesajul "Paste Fericit"
ATENTIE: sa fie ambalate in cutii. Vor pleca cu ele de la birou acasa.
</t>
  </si>
  <si>
    <t>achitat prin link de plata</t>
  </si>
  <si>
    <t>1 x tort ca in Poza 1 (6 kg || chocolate fiesta || 2 etaje) cu mesajul "Petra Clara" (cu roz numele)
Atentie: Tortul este pentru o fetita. Ursuletii sa aiba toti accesorii roz :)</t>
  </si>
  <si>
    <t>Dana Velcea</t>
  </si>
  <si>
    <t>0743519349</t>
  </si>
  <si>
    <t>0757100577</t>
  </si>
  <si>
    <t>Tort Framboisier
Greutate: 1.4 kg (9 persoane)
Mesaj Personalizat: La multi ani, Irina!</t>
  </si>
  <si>
    <t>Website #17432</t>
  </si>
  <si>
    <t>0731374655</t>
  </si>
  <si>
    <t xml:space="preserve">Ema Bogoi
</t>
  </si>
  <si>
    <t>0726752016</t>
  </si>
  <si>
    <t>Strada Oitelor 20, sector 4, Cresa Craiasa Zapezii
Bucharest,
---
(NEAPARAT 11:00-12:00)</t>
  </si>
  <si>
    <t>Gabriela Badea</t>
  </si>
  <si>
    <t>0722307062</t>
  </si>
  <si>
    <t>Tort cu Fistic si Zmeura cu Stevie 1.2 kg 
(8 persoane)
Prajitura Duo Mousse Visine Stevia 3
Ecler Fistic Stevia 2
Ecler Cafea Stevia 2</t>
  </si>
  <si>
    <t>Soseaua Mihai Bravu 297, bl.15A, sc.A, et.10, ap.53, interfon 53C</t>
  </si>
  <si>
    <t>Website #17447</t>
  </si>
  <si>
    <t>Prajitura</t>
  </si>
  <si>
    <t>Tort Oreo
Greutate: 1.4 kg (9 persoane)
Mesaj Personalizat: 3 luni minunate! La multe lunite Antonia !</t>
  </si>
  <si>
    <t>website #17486</t>
  </si>
  <si>
    <t>1 x citron 1.8 kg
Mesaj Personalizat: La multi ani, Lea! ❤️
1 x platou miniprajituri 5 persoane</t>
  </si>
  <si>
    <t xml:space="preserve">
Platou Minipraji 5 Persoane_x000D_
Tort Citron 1.8 kg_x000D_
</t>
  </si>
  <si>
    <t>Rodica Calcatinge</t>
  </si>
  <si>
    <t>0737285245</t>
  </si>
  <si>
    <t>Pachet Family FISTIC DMV</t>
  </si>
  <si>
    <r>
      <rPr>
        <b/>
        <u/>
        <sz val="11"/>
        <color rgb="FF000000"/>
        <rFont val="Calibri"/>
        <family val="2"/>
      </rPr>
      <t>Pachet Family Stevia Fistic</t>
    </r>
    <r>
      <rPr>
        <b/>
        <sz val="11"/>
        <color rgb="FF000000"/>
        <rFont val="Calibri"/>
        <family val="2"/>
      </rPr>
      <t xml:space="preserve">
1 x cozonac stevia glazurat 1 kg
1 x pasca stevia 1 kg
1 x tort fistic si zmeura stevia 1.2 kg </t>
    </r>
  </si>
  <si>
    <t>Pachet Family Carrot Cate DMV</t>
  </si>
  <si>
    <t>Pachet Family Trio Mousse</t>
  </si>
  <si>
    <r>
      <rPr>
        <b/>
        <u/>
        <sz val="11"/>
        <color rgb="FF000000"/>
        <rFont val="Calibri"/>
        <family val="2"/>
      </rPr>
      <t>Pachet Family Trio Mousse</t>
    </r>
    <r>
      <rPr>
        <b/>
        <sz val="11"/>
        <color rgb="FF000000"/>
        <rFont val="Calibri"/>
        <family val="2"/>
      </rPr>
      <t xml:space="preserve">
1 x cozonac nuca,cacao si rom 1 kg
1 x pasca  1 kg
1 x tort trio mousse 1.4 kg
1 x platou miniprajituri 5 persoane</t>
    </r>
  </si>
  <si>
    <t xml:space="preserve">Cozonac cu nuca si Cacao
Platou Minipraji 5 Persoane
Pasca
Pachet Paste Family
Tort Trio Mousse 1.4 kg
</t>
  </si>
  <si>
    <r>
      <rPr>
        <b/>
        <u/>
        <sz val="11"/>
        <color rgb="FF000000"/>
        <rFont val="Calibri"/>
        <family val="2"/>
      </rPr>
      <t>Pachet Family Stevia Carrot Cake</t>
    </r>
    <r>
      <rPr>
        <b/>
        <sz val="11"/>
        <color rgb="FF000000"/>
        <rFont val="Calibri"/>
        <family val="2"/>
      </rPr>
      <t xml:space="preserve">
1 x cozonac stevia glazurat 1 kg
1 x pasca stevia 1 kg
1 x tort carrot cake stevia 1.4 kg </t>
    </r>
  </si>
  <si>
    <t>Marian Costei</t>
  </si>
  <si>
    <t>0744369734</t>
  </si>
  <si>
    <t>Bradetului 24A, bloc Octopus, sc.3, ap 62
București</t>
  </si>
  <si>
    <t>website #17572</t>
  </si>
  <si>
    <t xml:space="preserve">1x tort fistic si zmeura 1.4 kg </t>
  </si>
  <si>
    <t>0722857000</t>
  </si>
  <si>
    <t>zzz Naca Daniela</t>
  </si>
  <si>
    <t>Ana Dedu</t>
  </si>
  <si>
    <t>0738669225</t>
  </si>
  <si>
    <t xml:space="preserve">Bulevardul pache protopopescu 81 et 1
Bucuresti </t>
  </si>
  <si>
    <t>Madalina Zgondea</t>
  </si>
  <si>
    <t>0752266625</t>
  </si>
  <si>
    <t>Tort Noisette
Greutate: 1.4 kg (9 persoane)
Mesaj Personalizat: La multi ani,Ade!</t>
  </si>
  <si>
    <t>Profesor nifon balasescu 8
Bicuresti ,</t>
  </si>
  <si>
    <t>website #17605</t>
  </si>
  <si>
    <t>Camelia Costache</t>
  </si>
  <si>
    <t>0723223191</t>
  </si>
  <si>
    <t>Adam Simona</t>
  </si>
  <si>
    <t>Strada Banul Antonache 41</t>
  </si>
  <si>
    <t>Marius Crisu</t>
  </si>
  <si>
    <t>0726230988</t>
  </si>
  <si>
    <t xml:space="preserve">3 x Platou Mini Prajituri 5 persoane
</t>
  </si>
  <si>
    <t>Str.Dezrobirii Nr.134
Bucuresti</t>
  </si>
  <si>
    <t>website #17638</t>
  </si>
  <si>
    <t xml:space="preserve">Popescu Nicoleta
</t>
  </si>
  <si>
    <t>0720097435
(de sunat)</t>
  </si>
  <si>
    <t>Tort Duo Mousse cu Visine
Greutate: 1.4 kg (9 persoane)
Mesaj Personalizat: La mulți ani, Draga Nico! Sa fii sănătoasă și fericita pana la adânci bătrâneți! With love, Emilia
Puteți pune “Happy Birthday, Nico” pe tort, va rog? Mulțumesc anticipat.</t>
  </si>
  <si>
    <t>Str. Escalei nr. 63
Bucuresti</t>
  </si>
  <si>
    <t>website #17635</t>
  </si>
  <si>
    <t>PAVELINA TAMBREA</t>
  </si>
  <si>
    <t>0734417441</t>
  </si>
  <si>
    <t>ODEI Bloc 168, sc. 1. etj. 2. ap 12, sector 4
București</t>
  </si>
  <si>
    <t>website #17623</t>
  </si>
  <si>
    <t>0746422027</t>
  </si>
  <si>
    <t>Carrot Cake cu Stevie
Greutate: 1.4 kg (9 persoane)
Mesaj Personalizat: La mulți ani, puiuț drăguț simpatic și micuț!</t>
  </si>
  <si>
    <t>Iulia Radu</t>
  </si>
  <si>
    <t>0723766830</t>
  </si>
  <si>
    <t>Strada Limpejoarei, nr 10
București</t>
  </si>
  <si>
    <t>website #17639</t>
  </si>
  <si>
    <t>0735665301</t>
  </si>
  <si>
    <t>achitat pe web</t>
  </si>
  <si>
    <t>Liliana Staicu</t>
  </si>
  <si>
    <t>0758837337</t>
  </si>
  <si>
    <t>B-dul Unirii nr.55, bl E4A, sc 1, et 4, ap 15, sect.3,</t>
  </si>
  <si>
    <t>website #17666</t>
  </si>
  <si>
    <t>Iulian Sonel</t>
  </si>
  <si>
    <t>0724282129</t>
  </si>
  <si>
    <t>Emil Racovita 8 bloc U1 ap.49 sc.4 int 49
Bucuresti,</t>
  </si>
  <si>
    <t xml:space="preserve">
'Tort Elefantel
Alege Sortiment:: Carrot Cake
Gramaj Tort:: 3 kg (15 persoane)
Mesaj Personalizat: LA MULTI ANI, ARIS!
Alte Comentarii: Va rog ca tortul sa aiba un singur etaj si sa nu aiba decor cu body (imbracaminte), dar elefantii de pe margine sa apara, iar cel de pe tort neaparat sa fie acolo. :) Aris este fiul meu care implineste 2 ani si ii plac elefantii, deci tortul sa fie pentru baietei.
</t>
  </si>
  <si>
    <t>ROXANA CRISTEA</t>
  </si>
  <si>
    <t>0730003235</t>
  </si>
  <si>
    <t>INTRAREA NICOLAE IORGA, NR. 37D
CHIAJNA</t>
  </si>
  <si>
    <t>website #17682</t>
  </si>
  <si>
    <t>1 x tort cu Ciocolată și Rom de 2,5kg
cu print poza 1.</t>
  </si>
  <si>
    <t>greseala</t>
  </si>
  <si>
    <t>Tort Chocolate Delight
Greutate: 1.4 kg (9 persoane)
Mesaj Personalizat: La mulți ani, dragi părinți!</t>
  </si>
  <si>
    <t>zzz Alina Negrila</t>
  </si>
  <si>
    <t>website #17687</t>
  </si>
  <si>
    <r>
      <rPr>
        <b/>
        <u/>
        <sz val="11"/>
        <color rgb="FF000000"/>
        <rFont val="Calibri"/>
        <family val="2"/>
      </rPr>
      <t>Pachet Promo Paste</t>
    </r>
    <r>
      <rPr>
        <b/>
        <sz val="11"/>
        <color rgb="FF000000"/>
        <rFont val="Calibri"/>
        <family val="2"/>
      </rPr>
      <t xml:space="preserve">
1 x cozonac nuca,cacao si rom 1 kg
1 x pasca 1 kg
Pachet Promotional Eclere
Ecler #1: Cafea
Ecler #2: Cocos
Ecler #3: Ciocolata</t>
    </r>
  </si>
  <si>
    <t xml:space="preserve">Cozonac cu nuca si Cacao
Pachet Promo Paste
Pasca
Prajitura Ecler Cafea_x000D_
Prajitura Ecler Cocos_x000D_
Prajitura Ecler Ciocolata _x000D_
</t>
  </si>
  <si>
    <t>zzz Ancuta Pricina</t>
  </si>
  <si>
    <t>0767958505</t>
  </si>
  <si>
    <t>website #17688</t>
  </si>
  <si>
    <t>x`</t>
  </si>
  <si>
    <t>Octavia
(Lara Sweets)</t>
  </si>
  <si>
    <t>Lara Sweets Victoriei,
Calea Victoriei 155 bl D1, mezanin, Tronson 8, Mezanin (intrare dinspre Buzesti)</t>
  </si>
  <si>
    <t>0733697418</t>
  </si>
  <si>
    <t xml:space="preserve">
'1 x tort tonka stevia 1.2
</t>
  </si>
  <si>
    <t>0732403177</t>
  </si>
  <si>
    <t>8 x prajituri STEVIA vitrina</t>
  </si>
  <si>
    <t xml:space="preserve">
2 kg fursecuri
</t>
  </si>
  <si>
    <t xml:space="preserve">Fursecuri cu Vanilie (1 kg)_x000D_
Fursecuri cu Vanilie (1 kg)_x000D_
</t>
  </si>
  <si>
    <t>whatsapp
#15</t>
  </si>
  <si>
    <t>3604 lei</t>
  </si>
  <si>
    <t>DESFASURATOR TOTAL 01.05</t>
  </si>
  <si>
    <t>0.5 kg fursecuri mix</t>
  </si>
  <si>
    <t xml:space="preserve">Whatsapp #01 </t>
  </si>
  <si>
    <t xml:space="preserve">Popescu Mariana
</t>
  </si>
  <si>
    <t>1 x tonka 1.8
1 x fistic cu zmeura 1.8 kg</t>
  </si>
  <si>
    <t xml:space="preserve">Tort Tonka 1.8 kg_x000D_
Tort Fistic si Zmeura 1.8 kg_x000D_
</t>
  </si>
  <si>
    <t>Strada Cernisoara 38-40, Bucuresti, Sector</t>
  </si>
  <si>
    <t>0723024457'</t>
  </si>
  <si>
    <t>Tort Red Passion
Alege Sortiment:: Krantz
Gramaj Tort:: 3 kg (15 persoane)
Mesaj Personalizat: "La multi ani celor doua flori la inceput de mai!. Sa fiti sanatoase si fericite!"</t>
  </si>
  <si>
    <t>Strada Creata 2-4, Sector 5, Bucuresti</t>
  </si>
  <si>
    <t>Whatsapp
#04</t>
  </si>
  <si>
    <t>Strada Crisul Repede 107-109A, Bragadiru, Ilfov
(neaparat de sunat ca e complicat)</t>
  </si>
  <si>
    <t>Strada Chimirului 17, Domnesti, Ilfov</t>
  </si>
  <si>
    <t>Florin platica</t>
  </si>
  <si>
    <t>Ramona Demusca</t>
  </si>
  <si>
    <t>Clarisa Birlog</t>
  </si>
  <si>
    <t>0743192403</t>
  </si>
  <si>
    <t>Strada Gladiolelor nr 17 sector 4
Bucuresti
('pana in 12:00)</t>
  </si>
  <si>
    <t>Website #17712</t>
  </si>
  <si>
    <t>Tort cu Fistic si Zmeura cu Stevie
Greutate: 2.5 kg (16 persoane)
Mesaj Personalizat: La multi ani, Amza!
+
Tort Hot Wheels
Alege Sortiment:: Clasic
Gramaj Tort:: 3 kg (15 persoane)
Mesaj Personalizat: Amza 5 ani</t>
  </si>
  <si>
    <t xml:space="preserve"> 1 x tort clasic 2.1 kg pentru clarisa birlog 08.05</t>
  </si>
  <si>
    <t>Tort Chocolate Passion
Mesaj Personalizat: La multi ani!
Te iubim tati!</t>
  </si>
  <si>
    <t>Bld.1 Decembrie 1918, nr4, bl.MY10, sc2, et6, ap54, sector3</t>
  </si>
  <si>
    <t>Website #17713</t>
  </si>
  <si>
    <t xml:space="preserve">1 x framboisier 1.4 kg
1 x platou minitarte 15 buc
</t>
  </si>
  <si>
    <t xml:space="preserve">Strada Bradetului, nr. 24A, sc. 5, et. 6, ap. 131, int. 131
Bucuresti, </t>
  </si>
  <si>
    <t>Website #17714</t>
  </si>
  <si>
    <t>0726301054</t>
  </si>
  <si>
    <t>Tort cu Fistic si Zmeura cu Stevie
Greutate: 1.2 kg (8 persoane)
Mesaj Personalizat: La multi ani, Mami!</t>
  </si>
  <si>
    <t>Aleea Textilistilor nr 7, bl my12, sc 2, et 6, ap 52
Bucuresti,</t>
  </si>
  <si>
    <t>Website #17715</t>
  </si>
  <si>
    <t>0786464249</t>
  </si>
  <si>
    <t>1 x tort fistic si zmeura 1.4 kg cu mesajul "La Multi Ani, Sofia!"</t>
  </si>
  <si>
    <t>ZZZMariana Ungureanu</t>
  </si>
  <si>
    <t>ZZZMadalina</t>
  </si>
  <si>
    <t>0722717863</t>
  </si>
  <si>
    <t>1 x tort decorat ca in Poza 1 ( 3 kg || chocolate fiesta || 1 etaj)
Atentie:
1) fata sa fie blonda si cu ochii verzi
2) pe placa de surf sa scrie Emi)
3) in loc de pinterest pe gard sa fie tik-tok</t>
  </si>
  <si>
    <t>Whatsapp #02</t>
  </si>
  <si>
    <t xml:space="preserve"> 1 x tort chocolate fiesta 2.1 kg pentru madalina 08.05</t>
  </si>
  <si>
    <t>1 x cutie care sa contina:
5 x Choux a la Crème Fistic
5 x Macarons (tematic mickey albastru)
5 x Mini Tarta Ciocolata si Caramel
5 x Mini Tarta Lamaie si Bezea Flambata
5 x Mini Pavlova
5 x Mini Tarta Fructe
5 x Pahar Tiramisu
5 x Ecler Artizanal
5 x Cake Pops (tematic mickey albastru)
3 x Briose (tematic mickey albastru)
ATENTIE: le va ridica el pentru acasa dimineata. Mai are o comanda tot in aceeasi zi la sole cu livrare</t>
  </si>
  <si>
    <t>ZZZAlin Titea</t>
  </si>
  <si>
    <t xml:space="preserve">1 x tort ca in poza 1 (7 kg || oreo || 2 etaje) cu mesajul "Tudor"
+
1 x amenajare candy-bar
+
1 x candy-bar tematic (50 persoane):
23 x Choux a la Crème Fistic
23 x Macarons (tematic mickey albastru)
23 x Mini Tarta Ciocolata si Caramel
23 x Mini Tarta Lamaie si Bezea Flambata
23 x Mini Pavlova
23 x Mini Tarta Fructe
15 x Pahar Tiramisu
15 x Ecler Artizanal
15 x Cake Pops (tematic mickey albastru)
5 x Briose (tematic mickey albastru)
</t>
  </si>
  <si>
    <t>Restaurant Sole
11:00-13:40</t>
  </si>
  <si>
    <t>katy Burla</t>
  </si>
  <si>
    <t>Tort cu Fistic si Zmeura
Greutate: 1.8 kg (12 persoane)
Mesaj Personalizat: La mulți ani, Kati!</t>
  </si>
  <si>
    <t xml:space="preserve">Strada Vulturilor nr 25,etsj 6 ap.20, sector 3 Bucuresti
București, </t>
  </si>
  <si>
    <t>Website #17716</t>
  </si>
  <si>
    <t>Website #17717</t>
  </si>
  <si>
    <t>0768571033</t>
  </si>
  <si>
    <t>Carrot Cake
Greutate: 1.8 kg (12 persoane)
Mesaj Personalizat: La mulți ani!</t>
  </si>
  <si>
    <t>Website #17718</t>
  </si>
  <si>
    <t>Alina Dobranici</t>
  </si>
  <si>
    <t>0741134903</t>
  </si>
  <si>
    <t>1 x tort duo-mousse visine 1.8 kg
Mesaj Personalizat: La multi ani Sabin ! 22 ani !
1 x platou miniprajituri 5 persoane</t>
  </si>
  <si>
    <t>Strada Anotimpului nr 26, vila 1, Bragadiru
Bragadiru, Ilfov
(pana in 13:30)</t>
  </si>
  <si>
    <t>Website #17719</t>
  </si>
  <si>
    <t>1 x platou miniprajituri 5 persoane
2 x prajitura tonka
2 x cheese cake</t>
  </si>
  <si>
    <t xml:space="preserve">Platou Minipraji 5 Persoane_x000D_
Monoportie Tonka_x000D_
Monoportie Tonka_x000D_
Prajitura Cheese Cake_x000D_
Prajitura Cheese Cake_x000D_
</t>
  </si>
  <si>
    <t>Bulevardul Metalurgiei nr.81C-81D, Sc.2, Et.6, Ap.256, Sector 4</t>
  </si>
  <si>
    <t>Website #17720</t>
  </si>
  <si>
    <t>ZZZIuliana Laslau</t>
  </si>
  <si>
    <t>0732739201</t>
  </si>
  <si>
    <t xml:space="preserve">Strada Panait Cerna nr 2 bl m53 Sc 3 cu apel la sosire </t>
  </si>
  <si>
    <t>Alina Costin</t>
  </si>
  <si>
    <t>1 x felie chocolate fiesta
1 x felie tort clasic
1 x felie berry chocolate zmeura
1 x platou 5 persoane</t>
  </si>
  <si>
    <t>Citu Daniela</t>
  </si>
  <si>
    <t>calea calarasi, nr 238, bl 238, bl 75, sc 1, parter, ap.1, interfon 01 C, sector 3, 
(intersectia cu agricultorilor)</t>
  </si>
  <si>
    <t xml:space="preserve">1 x tort duo mousse visine 1.8 kg
2 x platouri miniprajituri 5 persoane
</t>
  </si>
  <si>
    <t xml:space="preserve">Tort Duo Mousse Visine 1.8 kg_x000D_
Platou Minipraji 5 Persoane_x000D_
Platou Minipraji 5 Persoane_x000D_
</t>
  </si>
  <si>
    <t>Whatsapp #04</t>
  </si>
  <si>
    <t>Strada Jean steriadi, nr. 29,blV1,sc.A,etj.1,ap.7 sector 3</t>
  </si>
  <si>
    <t>Neagu Bianca</t>
  </si>
  <si>
    <t xml:space="preserve">0738726820 </t>
  </si>
  <si>
    <t>1 x tort dreptunghiular fistic si zmeura 2 kg cu mesajul "La Mulți Ani, Andreea Loredana!"</t>
  </si>
  <si>
    <t>4 x cremsnit stevia</t>
  </si>
  <si>
    <t>Whatsapp #06</t>
  </si>
  <si>
    <t>Whatsapp #05</t>
  </si>
  <si>
    <t>Violeta</t>
  </si>
  <si>
    <t>1x tort tonka 1.8 cu glazura galbena
32 x monoportii tonka</t>
  </si>
  <si>
    <t xml:space="preserve">Tort Tonka 1.8 kg_x000D_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Monoportie Tonka_x000D_
</t>
  </si>
  <si>
    <t>strada lalelelor, nr 4, tartasesti
---
Dupa ora 17:00</t>
  </si>
  <si>
    <t>Monica Dumitru</t>
  </si>
  <si>
    <t>0758088148</t>
  </si>
  <si>
    <t>sos Mihai Bravu, 132, bloc D22, et 5, ap 47, sector 2, Bucuresti</t>
  </si>
  <si>
    <t xml:space="preserve">1 x tort duo mousse visine stevia 1.2 kg cu mesajul "La Multi Ani, Mama!"
</t>
  </si>
  <si>
    <t>Whatsapp #07</t>
  </si>
  <si>
    <t>ZZZPascu</t>
  </si>
  <si>
    <t>Cresmnit- 3 buc
Monoportie tonka-3buc
Monoportie fistic- 3buc
Monoportie DMV -3buc
Amandina-3 buc
Opera-3buc
Mont blank-3 buc
Tarte capsuni-3 buc
Tarte citron-3 buc
Tarte ciocolată-4 buc
Tort DMV- 1 buc
Tort framboisier -1 buc
Tort tonka stevia -1 buc
Platou miniprajituri-2 buc</t>
  </si>
  <si>
    <t>Lara Sweets</t>
  </si>
  <si>
    <t>Comanda Cofetarie</t>
  </si>
  <si>
    <t>5 x Macarons cu Vanilie si Capsuni
2 x Mont Blanc
2 x Indiana
1 x Mini Choux Fistic (5 Buc)
2 x Ecler Cafea</t>
  </si>
  <si>
    <t>Sos.Vitan-Barzesti nr.7D, bl.4, sc.A, et.6, ap.456
Bucuresti sector 4</t>
  </si>
  <si>
    <t>website #17721</t>
  </si>
  <si>
    <t xml:space="preserve">Prajitura Macarons Vanilie &amp; Capsuni_x000D_
Prajitura Macarons Vanilie &amp; Capsuni_x000D_
Prajitura Macarons Vanilie &amp; Capsuni_x000D_
Prajitura Macarons Vanilie &amp; Capsuni_x000D_
Prajitura Macarons Vanilie &amp; Capsuni_x000D_
Prajitura Mont Blanc_x000D_
Prajitura Mont Blanc_x000D_
Prajitura Indiana_x000D_
Prajitura Indiana_x000D_
Prajitura Choux Fistic_x000D_
Prajitura Ecler Cafea_x000D_
Prajitura Ecler Cafea_x000D_
</t>
  </si>
  <si>
    <t>Tort Among Us
Alege Sortiment:: Rom si Ciocolata
Gramaj Tort:: 3 kg (15 persoane)
Mesaj Personalizat: Eduard 8</t>
  </si>
  <si>
    <t>Mircea Zorileanu 5
Bucureşti,</t>
  </si>
  <si>
    <t>website #17722</t>
  </si>
  <si>
    <t>Tort Golden Unicorn
Alege Sortiment:: Krantz
Gramaj Tort:: 3 kg (15 persoane)
Mesaj Personalizat: La multe lunite, papusica noastră!</t>
  </si>
  <si>
    <t>Strada Humulesti, nr.33, sector 5</t>
  </si>
  <si>
    <t>website #17723</t>
  </si>
  <si>
    <t>Ana Pătrașcu</t>
  </si>
  <si>
    <t>0768466371</t>
  </si>
  <si>
    <t>Strada Nicolae Filimon nr 1 etaj 4 ap 25</t>
  </si>
  <si>
    <t>website #17724</t>
  </si>
  <si>
    <t>Claudia Falca</t>
  </si>
  <si>
    <t>0768058642</t>
  </si>
  <si>
    <t>1 x Tort Framboisier cu Stevie
Greutate: 1.2 kg (8 persoane)
Mesaj Personalizat: LA MULTI ANI, MISU!!!
1 x Tort Duo Mousse cu Visine cu Stevie
Greutate: 1.8 kg (12 persoane)
Mesaj Personalizat: LA MULTI ANI, SERBAN!!!</t>
  </si>
  <si>
    <t>Strada Vasile Conta nr 9A-15, Sector 2
Bucuresti</t>
  </si>
  <si>
    <t>website #17725</t>
  </si>
  <si>
    <t>Loredana-Georgiana Vodinszki</t>
  </si>
  <si>
    <t>Fetesti nr 52 bl T3 sc 1 ap 4 parter sector 3
Bucuresti</t>
  </si>
  <si>
    <t>website #17726</t>
  </si>
  <si>
    <t>Str marcu armasu nr 7 bl 26 ap 145 sector 2</t>
  </si>
  <si>
    <t>website #17727</t>
  </si>
  <si>
    <t>Ion Maiorescu nr 7
Sector 2</t>
  </si>
  <si>
    <t>website #17728</t>
  </si>
  <si>
    <t>Andra Gajevszky</t>
  </si>
  <si>
    <t xml:space="preserve">
'Tort Duo Mousse cu Visine
Greutate: 1.4 kg (9 persoane)
Mesaj Personalizat: La mulți ani, Mara! Te iubim enorm!
</t>
  </si>
  <si>
    <t>Str Solstițiului nr 2 F Sc B et 1 ap 13
Popesti-Leordeni</t>
  </si>
  <si>
    <t>website #17729</t>
  </si>
  <si>
    <t>website #17730</t>
  </si>
  <si>
    <t>Pachet Cake &amp; Mini-Tarts:
1 x tort 1.4 kg framboisier
1 x platou mini-tarte</t>
  </si>
  <si>
    <t>Pachet Happy Birthday:
1 x Tort Framboisier 1.8kg
1 x platou miniprajituri (28 buc)
Mesaj Personalizat: La multi ani Erika!</t>
  </si>
  <si>
    <t>Pachet Happy Birthday:
1 x Tort Duo-Mousse cu Visine 1.8 kg
1 x platou miniprajituri (28 buc)
Mesaj Personalizat: La mulți ani Radu !
+certificat conformitate!</t>
  </si>
  <si>
    <t>0734607797</t>
  </si>
  <si>
    <t>zzz Manda Eliza</t>
  </si>
  <si>
    <t>1 x 1x tort tonka 1.4 kg</t>
  </si>
  <si>
    <t>0720565891</t>
  </si>
  <si>
    <t>Prelungirea Ghencea nr 262 magazin Mestesugari de Gusturi</t>
  </si>
  <si>
    <t>1 x tort ciocolata si rom 2 kg cu mesajul "La mulți ani Iosif!"</t>
  </si>
  <si>
    <t>1 x tort ca in Poza 1 (3 kg || clasic || 1 etaj) cu mesajul "La mulți ani Iosif!"</t>
  </si>
  <si>
    <t>zzz Cristina Ivănescu</t>
  </si>
  <si>
    <t>1 x duo mousse cu visine de 1,8 kg
Mesaj: “La mulți ani, tati!”</t>
  </si>
  <si>
    <t>1x tort citron 1.4 kg
Msj : la mulți ani mama!</t>
  </si>
  <si>
    <t>Str Ion Maiorescu, nr 1, bl 40, sc 1, et 5, ap 20, sector 2</t>
  </si>
  <si>
    <t>Voinea Cristina</t>
  </si>
  <si>
    <t>Strada Tudor Vlaidimirescu 54, Corabia, Judetul Olt (160 km)
(Se pleaca de la ora 9:00 fara nici o alta comanda. Se amenajeaza de la 12:00 la 13:00)</t>
  </si>
  <si>
    <t xml:space="preserve">1 x tort ca in Poza 1 (6 kg || 2 etaje || red velvet) 
+ amenajare
1 x candy-bar tematic 30 persoane:
18 x Choux a la Crème Fistic
18 x Macarons Culori Tematice (alb/albastru)
18 x Mini Tarta Ciocolata si Caramel
18 x Mini Tarta Lamaie si Bezea Flambata
18 x Mini Pavlova
18 x Mini Tarta Fructe
12 x Pahar Tiramisu
12 x Ecler Artizanal (Alb/Albastru)
12 x Cake Pops Tematice (Ursulet)
6 x Briose Tematice (Ursulet)
</t>
  </si>
  <si>
    <t>Ana Maria Mirea</t>
  </si>
  <si>
    <t>0744441787</t>
  </si>
  <si>
    <t>1 x tort fistic si zmeura 4 kg (dreptunghiular) decorat cu foarte multe fructe</t>
  </si>
  <si>
    <t>Parcul Lumea Copiilor</t>
  </si>
  <si>
    <t>1x tort fistic si zmeura 1.4 kg
1x monoportie cafina
1x monoportie mont blank
1x indiana
1x ciocolatina</t>
  </si>
  <si>
    <t>0726271771</t>
  </si>
  <si>
    <t xml:space="preserve">Tort Fistic si Zmeura 1.4 kg_x000D_
Prajitura Cafina_x000D_
Prajitura Mont Blanc_x000D_
Prajitura Indiana_x000D_
Prajitura Ciocolatina_x000D_
</t>
  </si>
  <si>
    <t>Calea Rahovei  ,nr 323, farmacia AIS</t>
  </si>
  <si>
    <t>0768903953</t>
  </si>
  <si>
    <t>Fabrica de chibrituri, nr 34, et 2, ap 11, sector 5</t>
  </si>
  <si>
    <t>1 x dmv stevia 1.2 kg</t>
  </si>
  <si>
    <t>Maria Alessandra Bala</t>
  </si>
  <si>
    <t>0764688399</t>
  </si>
  <si>
    <t>intrarea Ciolpani 16 , sector 5, Bucuresti</t>
  </si>
  <si>
    <t xml:space="preserve"> Baneasa Mall, (Kiddo Play Academy)</t>
  </si>
  <si>
    <t>1 x tort decorat ca in Poza 1 (Oreo ||2 etaje || 5 kg) pe care sa scrie "Levin Mihai" in loc de "Loris" si cifra "3" in loc de "5"</t>
  </si>
  <si>
    <t>client lara sweets</t>
  </si>
  <si>
    <t>Factura Fan Co SRL</t>
  </si>
  <si>
    <t>0735318218</t>
  </si>
  <si>
    <t>zzz Oana Tanasescu</t>
  </si>
  <si>
    <t>1 x tort ca in *Poza * (3 kg || ciocolata si rom || 1 etaj) cu mesajul "La cât mai multe trabucuri savurate impreuna!"</t>
  </si>
  <si>
    <t>1 x Tort framboisier stevia 1.2 kg
mesaj: La multi ani, Costin!</t>
  </si>
  <si>
    <t>0734602181</t>
  </si>
  <si>
    <t>zzz client lara sweets</t>
  </si>
  <si>
    <t>Bratu Adela</t>
  </si>
  <si>
    <t>Tort Citron
Greutate: 1.4 kg (9 persoane)
Mesaj Personalizat: La mulți ani, tati!</t>
  </si>
  <si>
    <t>Diana Anghel</t>
  </si>
  <si>
    <t>0722796298</t>
  </si>
  <si>
    <t>Bld. Constantin Brâncoveanu, nr 13, bl B16, sc 4, ap 102, interfon 12</t>
  </si>
  <si>
    <t>Calea Vacaresti 302, bl 1C, sc A, et 5, ap 14. int 14</t>
  </si>
  <si>
    <t xml:space="preserve">
1 x Tort Minecraft 5 kg (se poate face si pe dreptunghi)
Matei Stefan 7 ani
Compozitie: tort clasic
tortul sa fie "spectaculos"!!
Ne putem inspira din torturile minecraft pe care le-am mai facut 
</t>
  </si>
  <si>
    <t>zzz Pascu Magda</t>
  </si>
  <si>
    <t>website #17731</t>
  </si>
  <si>
    <t>website #17732</t>
  </si>
  <si>
    <t>1x tort bezea si ciocolata 1.4 kg
Msj:La mulți ani Mirela, Alexandra și Gabi!</t>
  </si>
  <si>
    <t xml:space="preserve">zzz Alexandru Florea </t>
  </si>
  <si>
    <t>0749519936</t>
  </si>
  <si>
    <t>1 x tort red velvet 1.8 kg
Msj: La mulți ani Ana!
12 x choux</t>
  </si>
  <si>
    <t>Tort Berry Chocolate
Greutate: 1.4 kg (9 persoane)
Mesaj Personalizat: La mulți ani, Mario!</t>
  </si>
  <si>
    <t>Ionela Giuclea</t>
  </si>
  <si>
    <t>0730043761</t>
  </si>
  <si>
    <t>Strada Dreptății, nr.6,bloc O 4, scara 4,sector 6
București</t>
  </si>
  <si>
    <t>website #17733</t>
  </si>
  <si>
    <t xml:space="preserve">Vornicu Radu </t>
  </si>
  <si>
    <t>1x tort dmv stevia 1.2 kg</t>
  </si>
  <si>
    <t>Str pictor Ștefan Dumitrescu,  nr 15, bl 13, sc 2, ap 52, interfon 52, sector 4</t>
  </si>
  <si>
    <t xml:space="preserve">1 x tort Duo mousse cu visine
15 x tarte mixte </t>
  </si>
  <si>
    <t>Tort Minecraft
Alege Sortiment:: Chocolate Fiesta
Gramaj Tort:: 3 kg (15 persoane)
Mesaj Personalizat: La multi ani, Bogdan!
Alte Comentarii: Sa apară undeva pe tort si cifra 10, pe langa mesajul cu " La multi ani!"</t>
  </si>
  <si>
    <t>Sos Giurgiului nr 131, bl 1, sc 4, ap 139, int 139
Bucuresti</t>
  </si>
  <si>
    <t>whatsapp #17734</t>
  </si>
  <si>
    <t>Tort Golden Unicorn
Alege Sortiment:: Clasic
Gramaj Tort:: 3 kg (15 persoane)
Mesaj Personalizat: La Multi Ani Dariuca - 7 Ani!!</t>
  </si>
  <si>
    <t>0721913268</t>
  </si>
  <si>
    <t>Strada Viselor nr 1, Vila 32
Balotesti,</t>
  </si>
  <si>
    <t>whatsapp #17735</t>
  </si>
  <si>
    <t>0764507996</t>
  </si>
  <si>
    <t>Strada Iași, nr. 22, sect. 5, Bucuresti</t>
  </si>
  <si>
    <t>Aura Alexe</t>
  </si>
  <si>
    <t>0735710754</t>
  </si>
  <si>
    <t>Soseaua Alexandriei 88, bloc PC10, scara A, etaj 2, ap 5, interfon 5C</t>
  </si>
  <si>
    <t>84 x Choux a la Crème Fistic
84 x Macarons Culori Tematice
84 x Mini Tarta Ciocolata si Caramel
84 x Mini Tarta Lamaie si Bezea Flambata
84 x Mini Pavlova
84 x Mini Tarta Fructe
54 x Pahar Tiramisu
54 x Ecler Artizanal
54 x Cake Pops Tematice
27 x Briose Tematice</t>
  </si>
  <si>
    <t>1 x tort carrot cake stevia 1.8
Mesaj; La Multi ani, Maria!
1 x platou de 5 pers</t>
  </si>
  <si>
    <t xml:space="preserve">Pachetul happy birday 
1x tort  dmv 1.8 kg
1x platou miniprajituri 
1x tort framboisier stevia 1.8 kg </t>
  </si>
  <si>
    <t>0720109894</t>
  </si>
  <si>
    <t>Radu 
0724519914</t>
  </si>
  <si>
    <t xml:space="preserve">Tort Duo Mousse Visine 1.8 kg_x000D_
Platou Minipraji 5 Persoane_x000D_
Tort Framboisier 1.8 kg_x000D_
</t>
  </si>
  <si>
    <t>1 x tort Framboisier 1.8 kg 
Mesaj Personalizat: La multi ani!
1 x platou miniprajituri (28 buc)</t>
  </si>
  <si>
    <t>Lupu Andreea</t>
  </si>
  <si>
    <t>0761531070</t>
  </si>
  <si>
    <t>Sos. Iancului nr 59 Bl 101A Sc A Et 2 Ap 6 Interfon 6</t>
  </si>
  <si>
    <t>Str caisului, nr 70, dobroesti</t>
  </si>
  <si>
    <t>Terra Events Hall, Bulevardul Lacul Tei 1 bis, București
Amenajarea se face intre 18:00 si 18:45</t>
  </si>
  <si>
    <t>Tort Berry Chocolate
Greutate: 1.4 kg (9 persoane)
Mesaj Personalizat: La multi mami! ❤️</t>
  </si>
  <si>
    <t>Calea 13 Septembrie nr 118 bloc 60 scara 1 eraj 5 apartament 12 interfon 12</t>
  </si>
  <si>
    <t>website #17736</t>
  </si>
  <si>
    <t>Mille Feuille 2  buc
Tonka 2  buc
Ecler cocos 2  buc
Ecler fistic 2  buc
Ecler zmeura 2  buc
Ecler mango 2 buc
Red  2  buc
Cafina  2  buc
Mont blanc 2  buc
Toffee Profiterol 2  buc
Prajitura cu fistic și zmeura 2  buc
strawberry cake 4 buc</t>
  </si>
  <si>
    <t xml:space="preserve">1 x tort ca in poza 1  (4 kg || 1 etaj || chocolate fiesta ) </t>
  </si>
  <si>
    <t xml:space="preserve">Mille Feuille_x000D_
Mille Feuille_x000D_
Monoportie Tonka_x000D_
Monoportie Tonka_x000D_
Prajitura Ecler Cocos_x000D_
Prajitura Ecler Cocos_x000D_
Prajitura Ecler Fistic_x000D_
Prajitura Ecler Fistic_x000D_
Prajitura Ecler Zmeura_x000D_
Prajitura Ecler Zmeura_x000D_
Prajitura Ecler Mango_x000D_
Prajitura Ecler Mango_x000D_
Mini Red Velvet_x000D_
Mini Red Velvet_x000D_
Prajitura Cafina_x000D_
Prajitura Cafina_x000D_
Prajitura Mont Blanc_x000D_
Prajitura Mont Blanc_x000D_
Prajitura Profiterol_x000D_
Prajitura Profiterol_x000D_
Monoportie Fistic si Zmeura_x000D_
Monoportie Fistic si Zmeura_x000D_
Prajitura Strawberry Cake_x000D_
Prajitura Strawberry Cake_x000D_
Prajitura Strawberry Cake_x000D_
Prajitura Strawberry Cake_x000D_
</t>
  </si>
  <si>
    <t>1 x tort clasic 3 kg in total, pe 1 etaj, decorat cu elemente cu Olaf si Ana (jumatate Olaf/ jumatate Ana), poza 1 este pentru inspiratie.
Mesajul: La multi ani! Evelin</t>
  </si>
  <si>
    <t xml:space="preserve">Tort Duo Mousse cu Visine
Greutate: 1.8 kg (12 persoane)
Mesaj Personalizat: LA MULTI ANI TRAIAN!
</t>
  </si>
  <si>
    <t>Marinela Sturz</t>
  </si>
  <si>
    <t>Str Aurel Florescu Nr 13 Sect 5
Bucuresti</t>
  </si>
  <si>
    <t>0766624043</t>
  </si>
  <si>
    <t>website #17737</t>
  </si>
  <si>
    <t>Tort Chocolate Passion
Mesaj Personalizat: Have a Blessed Ramadan, my dear girls! Ramadan Mubarak! Love you! 🌹
Have a Blessed Eid! Va iubesc! Emilia ❤️</t>
  </si>
  <si>
    <t>Adina Adanur</t>
  </si>
  <si>
    <t>0724254204</t>
  </si>
  <si>
    <t>SOS. Giurgiului nr. 96-102, bl. H-1, sc. 1, et. 6, apt. 25, sect. 4</t>
  </si>
  <si>
    <t>website #17738</t>
  </si>
  <si>
    <t>calea victoriei 155</t>
  </si>
  <si>
    <t>Ibinceanu Cristina Andreea</t>
  </si>
  <si>
    <t>0751436333</t>
  </si>
  <si>
    <t>Bulevardul Ion Mihalache Nr 315 E, scara 1, apartament 8, etaj 2</t>
  </si>
  <si>
    <t xml:space="preserve">1 x tort ca in poza 1 (3 kg || berr chocolate ||1 etaj)
Atentie:
pe cuburile acelea albastru-inchis laterale, sa fie trecute litere PVB, in loc de ABC
</t>
  </si>
  <si>
    <t>Calea Vitan 104,BL V42A, sc1, et8, ap25</t>
  </si>
  <si>
    <t>Simona Stefan</t>
  </si>
  <si>
    <t>Strada Izbiceni 163, Sector 1, Bucuresti</t>
  </si>
  <si>
    <t>1 x tort compozitie personalizata 1.4 kg
Compozitie Personalizata (de jos in sus) ca in poezele de mai jos si decorat cu multe fructe.
(de jos in sus)
1. Blat Migdale
2. Mousse Ciocolata Lapte cu Bucati de Zmeura
3. Blat Migdale
4. Mousse Mango &amp; Fistic (Omnia)
5. Jeleu Zmeura (omnia)</t>
  </si>
  <si>
    <t>1 x Chocolate delight 1,4kg 
Mesajul:“la mulți ani, Dani”</t>
  </si>
  <si>
    <t>Matei Ramnoa</t>
  </si>
  <si>
    <t>0727569007</t>
  </si>
  <si>
    <t>Strada Icoanei nr 86</t>
  </si>
  <si>
    <t>1 x tort decorat ca in Poza 1 (8 kg || 1 etaj || clasic || drepunghiular) cu mesajul "La Multi Ani, Achim Teodor!”
Atentie: ochii bebelusului trebuie sa fie verzi</t>
  </si>
  <si>
    <t>Il Calcio, Clucerului 7, Bucuresti
Candy-Bar'ul se amenajeaza intre 15:00 si 15:45</t>
  </si>
  <si>
    <t>1 x tort Clasic ca in Poza 1 (7 kg final || identic ca in poza || 2 etaje reale + 1 butaforie) cu urmatoarele date pe el:
"DANIEL
06.11.2020 - data nastere
16:20 - ora nastere
4,090 kg
50 cm"
+ 1 x amenajare candy-bar 35 persoane
21 x Choux a la Crème Fistic
21 x Macarons Culori (Alb/Bleu)
21 x Mini Tarta Ciocolata si Caramel
21 x Mini Tarta Lamaie si Bezea Flambata
21 x Mini Pavlova
21 x Mini Tarta Fructe
13 x Pahar Tiramisu
13 x Ecler Artizanal (Alb/Bleu)
13 x Cake Pops ursulet
7 x Briose ursulet</t>
  </si>
  <si>
    <t>Intrarea Uzinei nr. 7, Catelu</t>
  </si>
  <si>
    <t>varul lui Bogdan LPV</t>
  </si>
  <si>
    <t>Strada Tîrgu Jiu Nr 23A Sector 5</t>
  </si>
  <si>
    <t>0729378653</t>
  </si>
  <si>
    <t>Mariana Constantin</t>
  </si>
  <si>
    <t>0722242029</t>
  </si>
  <si>
    <t>Sos. Alexandriei nr. 241, bl. P31, sc. 2, ap. 14.</t>
  </si>
  <si>
    <t>1 x tort carrot cake 1.4 kg</t>
  </si>
  <si>
    <t>Dana Danga</t>
  </si>
  <si>
    <t>Bulevardul Unirii 22, Restaurant Karta
(Pana in ora 12:00)</t>
  </si>
  <si>
    <t>Maxim Boret</t>
  </si>
  <si>
    <t>0755118535</t>
  </si>
  <si>
    <t xml:space="preserve">
Tort Clasic
Greutate: 1.4 kg (9 persoane)
Mesaj Personalizat: Dear Maxim,
We are lucky and grateful having you colleague like you , now also part of our big family in Global Support!
We appreciate all your hard work, help and availability and we hope our collaboration will only grow looking ahead!
Enjoy your Bday!
Global Customer Support
</t>
  </si>
  <si>
    <t>Blv. Iuliu Maniu 15H, bloc 3, scara 2, et. 5, ap. 153 Sector 6</t>
  </si>
  <si>
    <t>website #17744</t>
  </si>
  <si>
    <t>factura pe ORTEC CEE</t>
  </si>
  <si>
    <t>Tort Framboisier
Greutate: 1.8 kg (12 persoane)
Mesaj Personalizat: La multi ani Irina !</t>
  </si>
  <si>
    <t>Claudia Dumitru</t>
  </si>
  <si>
    <t>0723548199</t>
  </si>
  <si>
    <t>Str Viitorului Nr 22-24, Comuna Chiajna, Sat Rosu</t>
  </si>
  <si>
    <t>website #17745</t>
  </si>
  <si>
    <t>Tort Rolex
Alege Sortiment:: Clasic
Gramaj Tort:: 3 kg (15 persoane)
Mesaj Personalizat: ATÂT S-A PUTUT ANUL ASTA
LA MULȚI ANI
TE IUBIM</t>
  </si>
  <si>
    <t>Claudia Dolea</t>
  </si>
  <si>
    <t>0732427840</t>
  </si>
  <si>
    <t>Aleea Someșul cald nr 2A bl PE 5 SC 3 et 1ap 36
București</t>
  </si>
  <si>
    <t>website #17741</t>
  </si>
  <si>
    <t>Strada Freamătului nr. 16
Bragadiru</t>
  </si>
  <si>
    <t>website #17743</t>
  </si>
  <si>
    <t xml:space="preserve">
Tort Cifra
Ce cifra va reprezenta tortuletul?: 18
Mesaj Personalizat: LA MULȚI ANI ANDREI!
(Vă rog dacă este posibil culoarea generală a aranjamentului de deasupra să nu fie în tonuri predominante de roșu. Fructele da, cu siguranță vor fi roșii, dar celelalte componente de decor (trandafirași, bombonele, etc) să nu fie roșii/roz/mov...)
</t>
  </si>
  <si>
    <t>Tort cu Mango si Zmeura
Greutate: 1.4 kg (9 persoane)
Mesaj Personalizat: La multi ani Ancu!!!</t>
  </si>
  <si>
    <t xml:space="preserve">Codrina Lupu
</t>
  </si>
  <si>
    <t>0730706272</t>
  </si>
  <si>
    <t>website #17746</t>
  </si>
  <si>
    <t>0749167027</t>
  </si>
  <si>
    <t>zzz Robert Chiric</t>
  </si>
  <si>
    <t xml:space="preserve">1 x tort tonka cu stevie, de 1.2 kg. Cu mesajul “La multi ani suflet drag!”
</t>
  </si>
  <si>
    <t>Bianca Radacineanu</t>
  </si>
  <si>
    <t>0723362204</t>
  </si>
  <si>
    <t>Intrarea Codrii Cosminului 13, Ghermanesti, Ilfov</t>
  </si>
  <si>
    <t>1 x tort decorat ca in Poza 1 (3 kg || clasic || 1 etaj) cu mesajul “Happy birthday, Gracie”</t>
  </si>
  <si>
    <t>se trece direct la tudor in Cash Flow</t>
  </si>
  <si>
    <t>1 x tort ca in Poza 1 (2 kg final || clasic || 1 etaj) cu mesajul "11 luni"</t>
  </si>
  <si>
    <t xml:space="preserve">Ana </t>
  </si>
  <si>
    <t>Aristocrat Events Hall (Șoseaua Pipera 48, București 020112)</t>
  </si>
  <si>
    <t>86 x Choux a la Crème Fistic
105 x Macarons Culori Tematice
86 x Mini Tarta Ciocolata
86 x Mini Tarta Lamaie
86 x Mini Pavlova
86 x Mini Tarta Fructe
56 x Ecler Artizanal
56 x Cake Pops Tematic
56 x Mousse la Paha
19 x Briose Tematice
20 x Turta Dulce
30 x easter cakestickle
----------------------------
Amenajare Candy Bar pentru 150 persoane
--------------------------
Mobilier: Masa  "Sweets"
Fantana de ciocolata
Recipientele de limonada (2 buc)
--------------------------
Vesela candy bar (sa includa si piramida pentru macarons)
-----------------------------------
150 x felie tort framboisier</t>
  </si>
  <si>
    <t>6 x cremsnit stevia</t>
  </si>
  <si>
    <t>zzz Peanca</t>
  </si>
  <si>
    <t>4 x eclere cafea
4 x eclere cocos 
4 x eclere fistic 
4 x eclere ciocolata
4 x eclere zmeura
4 x eclere mango
------------------------------------------------
24 x tarte capsuni
--------------------------------------
4 x monoportii red velvet, 
4 x monoportii fistic cu zmeura, 
4 x monoportii Tonka, 
4 x monoportii cremsnit, 
4 x monoportii millefeuille 
4 x monoportii amandine
----------------------------------
1 x bax cutii 1 prăjitura (100 buc)
1 x bax cutii 4 prăjituri (100 buc)
1 x bax cutii 8 prăjituri (50 buc)
1 x bax cutii Maner torturi 1,4 kg( 50 buc)
1 x bax cutii Maner torturi 1,8 kg (50 buc)</t>
  </si>
  <si>
    <t>Mari Luiz Dinu</t>
  </si>
  <si>
    <t>0728915376</t>
  </si>
  <si>
    <t xml:space="preserve">1 x tort decorat ca in Poza 1 (framboisier stevia || 3 kg || 2 torturi suprapuse cu sustinere) </t>
  </si>
  <si>
    <t>Strada Ardealului nr 7, Voluntari, Ilfov</t>
  </si>
  <si>
    <t xml:space="preserve">1 x tort clasic 6 kg in total, pe 3 etaje imbracat in martipan alb
(sa fie decaorat ca in pozele din departametul decor)
( pe fiecare etaj scris cate un nume din pasta de zahar  Ama, Edu, Ali)
 (tortul sa arata ca untr-una dintre cele 3 poze - IMPORTANT tematica sa fie Lavada, adica florile de pe tort sa fie naturale (proaspete sau uscate, cum reusim sa gasim)
------------------
Candy Bar - 30 persoane
18 x Choux a la Crème Fistic
18 x Macarons Culori 
18 x Mini Tarta Ciocolata
18 x Mini Tarta Lamaie
18 x Mini Pavlova
18 x Mini Tarta Fructe
12 x Ecler Artizanal
12 x Cake Pops 
12 x Mousse la Pahar
6 x Briose </t>
  </si>
  <si>
    <t>Restaurant Comana, Parcul de Aventuri Comana
(Amenajare candy bar-ului sa fie in intre 13:00-13:30)</t>
  </si>
  <si>
    <t>cash cu bon, a achitat avans de 700 lei cu cardul in cofetarie 21.03, rst de plata 865 lei.
 S-a achitat si diferenta de 488 RON astazi 6.05 cu cardul in cofetarie.</t>
  </si>
  <si>
    <t>0728562562</t>
  </si>
  <si>
    <t>ridicare VICTORIEI</t>
  </si>
  <si>
    <t xml:space="preserve">
1 kg cookies cu STEVIA
</t>
  </si>
  <si>
    <t>Constanta Zurini</t>
  </si>
  <si>
    <t>0723315055</t>
  </si>
  <si>
    <t>1 x tort berry chocolate 3 kg decorat ca in poza 1
Numele de pe tort sa fie Emma Natalia 
Vasta 5 ani</t>
  </si>
  <si>
    <t>strada Pajistei nr 32, ap 10, Bucuresti</t>
  </si>
  <si>
    <t>Strada rasadnitei nr18
Bucuresti Sector 6</t>
  </si>
  <si>
    <t>Tort "La Multi Bani!"
Alege Sortiment:: Chocolate Fiesta
Gramaj Tort:: 5 kg (25 persoane)
Mesaj Personalizat: La multi ani YANNIS!
12 ani.
Alte Comentarii:  fara figurina cu fata.
 Pe frapiere sa fie cifra 12 si atat.Si pe geamantan sa scrie la multi ani YANNIS!
Mulțumesc!</t>
  </si>
  <si>
    <t>Camelia Iacob</t>
  </si>
  <si>
    <t>Tort cu Fistic si Zmeura
Greutate: 1.8 kg (12 persoane)
Mesaj Personalizat: La multi ani Maria!
(Tortul sa fie ornat cu macarons diferite culori pe toata suprafata.
Mesajul de " La multi ani Maria!" sa fie pozitionat pe lateral.)</t>
  </si>
  <si>
    <t>0731768998</t>
  </si>
  <si>
    <t>doina ispas</t>
  </si>
  <si>
    <t>0747984146</t>
  </si>
  <si>
    <t>str Dorohoi nr 8, bloc E 19, scara 1, etaj 2, apart 10, interfon 10</t>
  </si>
  <si>
    <t>website #17749</t>
  </si>
  <si>
    <t>1 x felie tort Chocolate Fiesta
1 x felie de tort Berry Chocolate
1 x felie de tort Rom si Ciocolata
1 x felie de tort Carrot Cake
1 x felie de tort Oreo
1 x felie de tort Raspberry Vanilla
1 x felie de tort Clasic
1 x felie de tort Krantz
1 x platou de 5 pers
1 x punguta fursecuri vanilie
1 x punguta fursecuri cacao
1 x ecler cocos
1 x ecler ciocolata
1 x ecler cafea
1 x ecler mango
1 x ecler fistic
1 x ecler zmeura</t>
  </si>
  <si>
    <t xml:space="preserve">Alte Prajituri_x000D_
Alte Prajituri_x000D_
Alte Prajituri_x000D_
Alte Prajituri_x000D_
Alte Prajituri_x000D_
Alte Prajituri_x000D_
Alte Prajituri_x000D_
Alte Prajituri_x000D_
Platou Minipraji 5 Persoane_x000D_
Prajitura Ecler Cocos_x000D_
Prajitura Ecler Ciocolata _x000D_
Prajitura Ecler Cafea_x000D_
Prajitura Ecler Mango_x000D_
Prajitura Ecler Fistic_x000D_
Prajitura Ecler Zmeura_x000D_
</t>
  </si>
  <si>
    <t>achitata cu cardul</t>
  </si>
  <si>
    <t>0721835948</t>
  </si>
  <si>
    <t>Bulevardul Ramnicu sarat, nr 25, bl 11a, sc c, et 1, ap 115</t>
  </si>
  <si>
    <t>1 x felie red velvet
1 x  felie tort chocolate fiesta
1 x felie teort krantz
1 x felie berry chocolate</t>
  </si>
  <si>
    <t>Toma Honorina</t>
  </si>
  <si>
    <t xml:space="preserve">
strada Chitila Padure nr. 12 bis
Mogosoaia, Ilfov 
</t>
  </si>
  <si>
    <t xml:space="preserve">
de ales 4 torturi normale din livrarile de sambata
------------------------------------
3 x boluri in care se vor pune urmatoarele produse:
1 kg cornulete stevia
1 kg cookies stevia
1 kg trufe stevia
------------------------------------
3 x platouri de minipraji 5 persoane
---------------------------------------------
4 x tarte citron
4 x tarte ciocolata
4 x tarte zmeura 
4 x ciocolatina
4 x Mont blank, 
4 x cafina
--------------------------------------------
</t>
  </si>
  <si>
    <t xml:space="preserve">De ales 1 tort stevia din livrarile de sambata
 4 x monoportii duo mousse cu visine STEVIA , 
4 monoportii fistic STEVIA, 
4 x monoportii tonka STEVIA
----------------------------
avem următoarele torturi care dacă nu se vor vinde se vor baga la comenzile se sâmbătă:
1 x Tonka stevia de 1,2kg
1 x Framboisier de 1,4kg
1 x DMV 1,8 kg 
1 x Fistoc cu zmeura de 1,4 kg
1 x Clasic de 1,4 kg (drip, macarons, fructe)
30 x macarons mixt
1 x bax cutii mici macarons
</t>
  </si>
  <si>
    <t>AAA Comanda Victoriei</t>
  </si>
  <si>
    <t>Bulevardul Constantin Brâncoveanu 7D,  la scoala Elefantelul Curios</t>
  </si>
  <si>
    <t>Dumitrescu Viorela</t>
  </si>
  <si>
    <t>0744328074</t>
  </si>
  <si>
    <t>Aleea Salaj nr.13, Bloc 62A, ap.2, intf 02, Bucuresti</t>
  </si>
  <si>
    <t>Tort Tonka
Greutate: 1.8 kg (12 persoane)
Mesaj Personalizat: LA MULTI ANI MAMI!
TE IUBIM!</t>
  </si>
  <si>
    <t>website #17750</t>
  </si>
  <si>
    <t>Tort Chocolate Fiesta
Greutate: 2 kg (13 persoane)
Mesaj Personalizat: La multi ani!</t>
  </si>
  <si>
    <t>Piata Alba-Iulia nr.4.bl I3, sc A et 12, ap60
București ,sector 3</t>
  </si>
  <si>
    <t>website #17751</t>
  </si>
  <si>
    <t>0766523003</t>
  </si>
  <si>
    <t xml:space="preserve">
1 x duo mousse visine STEVIA 1.2 kg
</t>
  </si>
  <si>
    <t>zzz Adina Iordache</t>
  </si>
  <si>
    <t>1 x Tort noisette de max 2kg
cu poza 1 print</t>
  </si>
  <si>
    <t>1x tort decorat Berry Chocolate 2 kg
(M-am uitat peste torturile dumneavoastră. Și că model a-și dori ceva rotund, că cel din poze.
Ca mesaj, as dori sa scrie "la multi ani, Alex 30 ani".
 Și pe el , as dori sa fie pus figurina cu poza 2 pe mijlocul tortului.
Și dacă puteți pune între palmieri ceva globulețe că cele din imagine)</t>
  </si>
  <si>
    <t>AAA Mariana Glavan</t>
  </si>
  <si>
    <t>Claduiu</t>
  </si>
  <si>
    <t>Claudiu 1</t>
  </si>
  <si>
    <t>0723844966</t>
  </si>
  <si>
    <t>Hotel Caro
(ora 11:00)</t>
  </si>
  <si>
    <t>hotel Caro</t>
  </si>
  <si>
    <t>1 tort Oreo 3 kg decorat ca in poza 1
Mesajul sa fie : Sa treci prin viata cu inima deschisa si zambetul pe buze! La multi ani!</t>
  </si>
  <si>
    <t>0743698235</t>
  </si>
  <si>
    <t>1 x Tort inima Vanilla Passion
Cu mesajul: La multi ani, mamaia Ina!</t>
  </si>
  <si>
    <t>ora 17:00</t>
  </si>
  <si>
    <t>zzz Iamandi Beatrice</t>
  </si>
  <si>
    <t>Tort Framboisier cu Stevie
Greutate: 1.2 kg (8 persoane)
Mesaj Personalizat: La mulți ani, buniculetule!</t>
  </si>
  <si>
    <t>Alexandra Fagarasanu</t>
  </si>
  <si>
    <t>Strada Drumul Valea Cricovului,nr.58B
Bucuresti</t>
  </si>
  <si>
    <t>website #17752</t>
  </si>
  <si>
    <t>4 x Cremsnit
4 x Indiana
4 x Amandina</t>
  </si>
  <si>
    <t xml:space="preserve">Prajitura Cremsnit_x000D_
Prajitura Cremsnit_x000D_
Prajitura Cremsnit_x000D_
Prajitura Cremsnit_x000D_
Prajitura Indiana_x000D_
Prajitura Indiana_x000D_
Prajitura Indiana_x000D_
Prajitura Indiana_x000D_
Prajitura Amandina_x000D_
Prajitura Amandina_x000D_
Prajitura Amandina_x000D_
Prajitura Amandina_x000D_
</t>
  </si>
  <si>
    <t>Loredana Lazar</t>
  </si>
  <si>
    <t>Prelungirea ghencea 20, bl TS9, ap 6, parter
Bucuresti</t>
  </si>
  <si>
    <t>website #17754</t>
  </si>
  <si>
    <t>Miraslau 45,
Popesti Leordeni</t>
  </si>
  <si>
    <t>website #17755</t>
  </si>
  <si>
    <t>Platou Mini Prajituri 5 persoane x 1
Toffee Profiterol 3
Mille Feuille 2
Ecler Cocos 2
Ecler Fistic 2
Ecler Cafea 2
Indiana 3</t>
  </si>
  <si>
    <t xml:space="preserve">Platou Minipraji 5 Persoane_x000D_
Prajitura Profiterol_x000D_
Prajitura Profiterol_x000D_
Prajitura Profiterol_x000D_
Mille Feuille_x000D_
Mille Feuille_x000D_
Prajitura Ecler Cocos_x000D_
Prajitura Ecler Cocos_x000D_
Prajitura Ecler Fistic_x000D_
Prajitura Ecler Fistic_x000D_
Prajitura Ecler Cafea_x000D_
Prajitura Ecler Cafea_x000D_
Prajitura Indiana_x000D_
Prajitura Indiana_x000D_
Prajitura Indiana_x000D_
</t>
  </si>
  <si>
    <t>Elena Mocanu</t>
  </si>
  <si>
    <t>Aleea Moinesti, nr1,bloc15,scara1,etaj3,apart15
Bucuresti</t>
  </si>
  <si>
    <t>website #17756</t>
  </si>
  <si>
    <t>Pachet Stevia For All:
1 x tort framboisier stevia 1.8 kg
2 x tarta mure stevia
2 x cremsnit stevia
2 x felie tarta mere stevia</t>
  </si>
  <si>
    <t>Andrei Urucu</t>
  </si>
  <si>
    <t>0724536054</t>
  </si>
  <si>
    <t>Aleea Barajul Dunării 2A, Bloc 21C, Scară B, Et 8, Apartament 77, Interfon 77</t>
  </si>
  <si>
    <t>website #17757</t>
  </si>
  <si>
    <t>Tort Bear Balloons
Alege Sortiment:: Oreo
Gramaj Tort:: 4 kg (20 persoane)
Mesaj Personalizat: Alexandru Matei</t>
  </si>
  <si>
    <t>Ionut Draghici</t>
  </si>
  <si>
    <t>0765946839</t>
  </si>
  <si>
    <t>Str Victor Brauner, nr 34-38, sc T4, et 4, ap 23, sector 3</t>
  </si>
  <si>
    <t>website #17758</t>
  </si>
  <si>
    <t>Raluca Boldescu</t>
  </si>
  <si>
    <t>0724304658</t>
  </si>
  <si>
    <t>Strada Balții nr.20, Dobroești
Dobroești</t>
  </si>
  <si>
    <t>website #17759</t>
  </si>
  <si>
    <t>Tort Chocolate Delight
Greutate: 1.6 kg (10 persoane)
Mesaj Personalizat: La multi ani, BOSSU!</t>
  </si>
  <si>
    <t>0728302981</t>
  </si>
  <si>
    <t>website #17760</t>
  </si>
  <si>
    <t>zzz Cristina Antonescu</t>
  </si>
  <si>
    <t>Tort Framboisier
Greutate: 1.4 kg (9 persoane)
Mesaj Personalizat: La multi ani, Ionut!</t>
  </si>
  <si>
    <t>zzz Olivia</t>
  </si>
  <si>
    <t>1 x tort tonka stevia 1.6 kg
 cu mesajul "La Multi Ani!"</t>
  </si>
  <si>
    <t>1 x tort decorat ca in Poza 1 (3 kg || 1 etaj || krantz). Alte poze de referinta sunta Poza2, Poza 3
Atentie: trebuie tinut cont de indicatiile de pe Poza 1</t>
  </si>
  <si>
    <t>Antonescu Cristina</t>
  </si>
  <si>
    <t>0720912378</t>
  </si>
  <si>
    <t>Drumul garii nr 5 bl 2 sc 2 et 3 ap 40, Fundeni Ilfov</t>
  </si>
  <si>
    <t>0769889100</t>
  </si>
  <si>
    <t>1 x duo visine Stevia 1,8</t>
  </si>
  <si>
    <t>Inginer Dumitru Tacu 28 bl1 scB ap52 et 5 interfon 052
(Neaparat pana 11:00. Se pleaca in Constanta)</t>
  </si>
  <si>
    <t>Neaparat pana 11:00</t>
  </si>
  <si>
    <t>1 x tort ca in Poza 1 (6 kg || chocolate fiesta || 2 etaje) cu mesajul “La multi ani” (scris jos pe carton) si “ANA” scris pe inaltimea etajului."
Atentie!
Sus, in loc de pasare, sa aiba o floare deschisa in care sa stea in fund, un bebelus fetita.</t>
  </si>
  <si>
    <t>1 x tort ca in Poza 1 (1 etaj || 3 kg || chocolate fiesta) cu cifra 30</t>
  </si>
  <si>
    <t xml:space="preserve">
Strada Duminicii 14, sector 4
</t>
  </si>
  <si>
    <t>Bianca
0766704349</t>
  </si>
  <si>
    <t>Georgiana Balea
0724558800
(A fost mutata de pe 22.08.2021)</t>
  </si>
  <si>
    <t>0723933407</t>
  </si>
  <si>
    <t>Camil ressu nr 4 bloc 5</t>
  </si>
  <si>
    <t xml:space="preserve">
'1 x carrot cake 1.8 kg cu mesajul "La multi ani, Cristina!"
</t>
  </si>
  <si>
    <t>Pantelimon, strada Drumul Garii 51, Ilfov!</t>
  </si>
  <si>
    <t xml:space="preserve">1 x tort oreo 3 kg in total, pe un singur etaj, decorat ca in poza din departamentul decor
Atentie: se pastreaza toate elementele din poza, inclusiv cifra 4, mai putin cele 4 figurine
</t>
  </si>
  <si>
    <t>1 x tort ca in Poza 1 (6 kg || 2 etaj || Berry Chocolate) cu mesajul Luca Andrei
+ vesela candy-bar fara amenajare
+Praijturi Tematice Candy-Bar 30 persoane:
18 x Choux a la Crème Fistic
18 x Macarons Culori Tematice
18 x Mini Tarta Ciocolata si Caramel
18 x Mini Tarta Lamaie si Bezea Flambata
18 x Mini Pavlova
18 x Mini Tarta Fructe
12 x Pahar Tiramisu
12 x Ecler Artizanal
12 x Cake Pops Tematice
6 x Briose Tematice</t>
  </si>
  <si>
    <t>Oana Olteanu</t>
  </si>
  <si>
    <t xml:space="preserve">Strada Tina Petre 2, Bloc L9B, Scara B, Etaj 2, Ap 68, Interfon 68, Bucuresti
</t>
  </si>
  <si>
    <t>zzz Client Lara Sweets</t>
  </si>
  <si>
    <t>1 x 1 tarta capsuni STEVIA</t>
  </si>
  <si>
    <t>zzz Mariana Virginia Ionica</t>
  </si>
  <si>
    <t>0732753219</t>
  </si>
  <si>
    <t>website #17761</t>
  </si>
  <si>
    <t>Calea Victoriei 151
amenajarea intre 08:00 si 08:45</t>
  </si>
  <si>
    <t xml:space="preserve">Amenajare Candy Bar
+
vesela
+
26 x Choux a la Crème Fistic
26 x Macarons Culori Tematice
26 x Mini Tarta Ciocolata si Caramel
26 x Mini Tarta Lamaie si Bezea Flambata
26 x Mini Pavlova
26 x Mini Tarta Fructe
17 x Pahar Tiramisu
17 x Ecler Artizanal
17 x Cake Pops Tematice
9 x Briose Tematice
Atentie: sa fie puse cateva platouri extra pentru produsele sarate care sunt deja la locatie
</t>
  </si>
  <si>
    <t>amenajarea intre 08:00 si 08:45</t>
  </si>
  <si>
    <t>factura trimisa de Tudor</t>
  </si>
  <si>
    <t xml:space="preserve">Amenajare Candy Bar
+
vesela
+
Prajituri Candy-Bar 25 persoane
14 x Choux a la Crème Fistic
14 x Macarons Culori Tematice
14 x Mini Tarta Ciocolata si Caramel
14 x Mini Tarta Lamaie si Bezea Flambata
14 x Mini Pavlova
14 x Mini Tarta Fructe
9 x Pahar Tiramisu
9 x Ecler Artizanal
9 x Cake Pops Tematice
5 x Briose Tematice
Atentie: sa fie puse cateva platouri extra pentru produsele sarate care sunt deja la locatie
</t>
  </si>
  <si>
    <t>aaa Radulescu Roxana</t>
  </si>
  <si>
    <t>0753058008</t>
  </si>
  <si>
    <t xml:space="preserve">VICTORIEI </t>
  </si>
  <si>
    <t>AAA comanda Victoriei</t>
  </si>
  <si>
    <t>zz Larisa</t>
  </si>
  <si>
    <t>1 x Tort Framboisier 1.8 kg
1 x duo mousse cu visine de 1,8 kg
Tort Clasic 1.4 kg
------------------------------------
1 x platouri de minipraji 5 persoane (se pun direct in vitrina fara cutie, daca vrea cineva le puneti apoi in cutie)
---------------------------------------------
3 x tarte citron
3 x tarte ciocolata
15 x tarte capsuni
--------------------------------------------
3 x monoportii duo mousse cu visine STEVIA , 
3 x monoportii fistic STEVIA, 
3 x monoportii tonka STEVIA
----------------------------------------------
2 x eclere cafea
2 x eclere cocos 
2 x eclere fistic 
2 x eclere ciocolata
2 x eclere zmeura
2 x eclere mango</t>
  </si>
  <si>
    <t>2 x monoportii ciocolatina
2 x monoportii Mont blank
2 x monoportii cafina
2 x monoportii red velvet, 
2 x monoportii fistic cu zmeura, 
2 x monoportii Tonka, 
2 x monoportii cremsnit, 
2 x monoportii millefeuille 
2 x monoportii amandine</t>
  </si>
  <si>
    <t xml:space="preserve">Prajitura Ciocolatina_x000D_
Prajitura Ciocolatina_x000D_
Prajitura Mont Blanc_x000D_
Prajitura Mont Blanc_x000D_
Prajitura Cafina_x000D_
Prajitura Cafina_x000D_
Mini Red Velvet_x000D_
Mini Red Velvet_x000D_
Monoportie Fistic si Zmeura_x000D_
Monoportie Fistic si Zmeura_x000D_
Monoportie Tonka_x000D_
Monoportie Tonka_x000D_
Prajitura Cremsnit_x000D_
Prajitura Cremsnit_x000D_
Mille Feuille_x000D_
Mille Feuille_x000D_
Prajitura Amandina_x000D_
Prajitura Amandina_x000D_
</t>
  </si>
  <si>
    <t>Tort Krantz
Greutate: 1.4 kg (9 persoane)
Mesaj Personalizat: La Mulți Ani Tavi!</t>
  </si>
  <si>
    <t>Diana Fotea</t>
  </si>
  <si>
    <t>0744329031</t>
  </si>
  <si>
    <t>Str. Emil Racoviță, nr.35-39, vila AP 04
Voluntari</t>
  </si>
  <si>
    <t>website #17762</t>
  </si>
  <si>
    <t xml:space="preserve">Popa Florin </t>
  </si>
  <si>
    <t>0764440609</t>
  </si>
  <si>
    <t>Calea Dorobanti 33A, Bucuresti
se amenajeaza intre 12:00 si 12:45</t>
  </si>
  <si>
    <t>12:00 - 12:45</t>
  </si>
  <si>
    <t>Andra Antoche</t>
  </si>
  <si>
    <t>0751139283</t>
  </si>
  <si>
    <t>Tort Duo Mousse cu Visine cu Stevie
Greutate: 1.2 kg (8 persoane)
Mesaj Personalizat: Orice zi e potrivita pentru a sarbatori un eveniment important. La multi ani (intarziati) si toate gandurile bune !</t>
  </si>
  <si>
    <t>Intr Serg Ion Pantaru nr 1, Ap 2
Bucuresti,</t>
  </si>
  <si>
    <t>website #17763</t>
  </si>
  <si>
    <t>Gabriela Nistor</t>
  </si>
  <si>
    <t>1 x Tort cu Mango si Zmeura
Greutate: 1.8 kg (12 persoane)</t>
  </si>
  <si>
    <t>Strada Drumul Crăițelor nr 258( zona Strada Dantelei)
Bucuresti,</t>
  </si>
  <si>
    <t>website #17764</t>
  </si>
  <si>
    <t>Ada Putineanu</t>
  </si>
  <si>
    <t xml:space="preserve">Str danubiu nr 19 bl 31 SC a et 7 ap 44 int 544
București, </t>
  </si>
  <si>
    <t>website #17765</t>
  </si>
  <si>
    <t>Maria Burada</t>
  </si>
  <si>
    <t>Tort Framboisier
Greutate: 1.4 kg (9 persoane)
Mesaj Personalizat: La mulți ani, Maria!</t>
  </si>
  <si>
    <t>0742089822</t>
  </si>
  <si>
    <t>Ṣoseaua Olteniţei 188, Bloc 1, Scara 1, Etaj 5, ap. 20
București</t>
  </si>
  <si>
    <t>website #17766</t>
  </si>
  <si>
    <t>Rusu Denisa</t>
  </si>
  <si>
    <t>0765251353</t>
  </si>
  <si>
    <t>1 x tort ca in Poza 1 (5 kg || tort clasic || 1 etaj) 
Atentie:
- este pentru o fetita, tematica trebuie sa fie roz
- trebuie sa includem cuburile din Poza 2. Informatiile sunt mai jos
MARIA ALEXIA
12.02.2021
9:16
3.240 kg
50 cm</t>
  </si>
  <si>
    <t>Ambery Home Pipera str. Drumul potcoavei nr 23
15.05.2021
(pana in ora 12:00)</t>
  </si>
  <si>
    <t>1 x tort 1,4 Noisette, 
1 x tort de 1,4 Red Velvet</t>
  </si>
  <si>
    <t>0740007722</t>
  </si>
  <si>
    <t>zzz Client Laura wts</t>
  </si>
  <si>
    <t xml:space="preserve">Tort Noisette 1.4 kg_x000D_
Tort Red Velvet 1.4 kg_x000D_
</t>
  </si>
  <si>
    <t>Tort Carrot Cake STEVIA 1,8 kg  
Mesaj: La mulți ani, Buburuză! 😍   (cu diacritice si cu smiley face exact cum e aici)
1 x 1,4 kg Berry Chocolate,
Mesajul: La multi ani, matusica! (Cu diacritice) + certificat de conformitate la ambele torturi.</t>
  </si>
  <si>
    <t>Client Laura Wts 2</t>
  </si>
  <si>
    <t>1 x tort clasic 3.5 kg total decorat ca in poza din departamentul décor
Atentie: sa contina si figurina!!!</t>
  </si>
  <si>
    <t>Irina-Daniela Petrovici</t>
  </si>
  <si>
    <t>Ecler Fistic Stevia 1
Ecler Ciocolata Stevia 1
Cremsnit cu Stevie 1
Carrot Cake cu Stevie 1.4 kg (9 persoane) 1</t>
  </si>
  <si>
    <t>Strada Dantelei nr 36A sector 5 Bucharest Romania
Bucharest,</t>
  </si>
  <si>
    <t>website #17767</t>
  </si>
  <si>
    <t>0761612572</t>
  </si>
  <si>
    <t>zzz Laura WTs</t>
  </si>
  <si>
    <t>1 x tonka 1,8,
 mesajul La multi ani!</t>
  </si>
  <si>
    <t>whatsapp 6</t>
  </si>
  <si>
    <t>zzz Jeny</t>
  </si>
  <si>
    <t>0726522364</t>
  </si>
  <si>
    <t>1 x tort fistic si zmeura 1,4
La multi ani, Mama!</t>
  </si>
  <si>
    <t>1 x tort trio mousse 1.4
1 x tort krantz 1.4
1 x tort clasic 1.4
------------------------------------
1 x platouri de minipraji 5 persoane (se pun direct in vitrina fara cutie, daca vrea cineva le puneti apoi in cutie)
1 x platou de 30 macaron
---------------------------------------------
3 x tarte citron
3 x tarte ciocolata
5 x tarte capsuni
--------------------------------------------
2 x eclere cafea
2 x eclere cocos 
2 x eclere fistic 
2 x eclere ciocolata
2 x eclere zmeura
2 x eclere mango</t>
  </si>
  <si>
    <t xml:space="preserve">
Platou Minipraji 5 Persoane
Prajitura Tarta Citron
Prajitura Tarta Citron
Prajitura Tarta Citron
Prajitura Tarta Ciocolata
Prajitura Tarta Ciocolata
Prajitura Tarta Ciocolata
Prajitura Tarta Capsuni
Prajitura Tarta Capsuni
Prajitura Tarta Capsuni
Prajitura Tarta Capsuni
Prajitura Tarta Capsuni
Prajitura Ecler Cafea
Prajitura Ecler Cafea
Prajitura Ecler Cocos
Prajitura Ecler Cocos
Prajitura Ecler Fistic
Prajitura Ecler Fistic
Prajitura Ecler Ciocolata 
Prajitura Ecler Ciocolata 
Prajitura Ecler Zmeura
Prajitura Ecler Zmeura
Prajitura Ecler Mango
Prajitura Ecler Mango
Platou Macarons 30 Buc
Tort Trio Mousse 1.4 kg_x000D_
Tort Krantz 1.4 kg_x000D_
Tort clasic 1.4 kg_x000D_
</t>
  </si>
  <si>
    <t>2 x monoportii ciocolatina
2 x monoportii Mont blank
2 x monoportii cafina
2 x monoportii red velvet, 
2 x monoportii fistic cu zmeura, 
2 x monoportii Tonka, 
2 x monoportii cremsnit, 
2 x monoportii millefeuille 
2 x monoportii amandine
1 x SUPORT ARGINTIU PENTRU PRAJITURI</t>
  </si>
  <si>
    <t>0724752902</t>
  </si>
  <si>
    <t>1 x tort ca in Poza 1( 3 kg || 1 etaj || krantz) cu leul si maimutica din Poza 2
mesajul este: "La multi ani, Matei-Achim!"</t>
  </si>
  <si>
    <t>zzz Andreea Albinoiu</t>
  </si>
  <si>
    <t>whatsapp 9</t>
  </si>
  <si>
    <t>Catalin Tamas</t>
  </si>
  <si>
    <t>0721315576</t>
  </si>
  <si>
    <t xml:space="preserve">str. Nazarcea, nr. 76, sect. 1
Bucuresti, </t>
  </si>
  <si>
    <t xml:space="preserve">achitat pe webiste </t>
  </si>
  <si>
    <t>website #17769</t>
  </si>
  <si>
    <t>1 x platou Mini Prajituri 10 persoane</t>
  </si>
  <si>
    <t>Mihaela Popescu</t>
  </si>
  <si>
    <t>0722842765</t>
  </si>
  <si>
    <t>1 x Tort Clasic
Greutate: 1.8 kg (12 persoane)
Mesaj Personalizat: La mulți ani Adelina!
Decorat ca pe site!!!
2 x Amandina
2 x Tarta Zmeura</t>
  </si>
  <si>
    <t xml:space="preserve">Tort clasic 1.4 kg_x000D_
Prajitura Amandina_x000D_
Prajitura Amandina_x000D_
Prajitura Tarta Zmeura_x000D_
Prajitura Tarta Zmeura_x000D_
</t>
  </si>
  <si>
    <t>Str. Scolii, nr. 52
Chitila, Ilfov</t>
  </si>
  <si>
    <t>website #17770</t>
  </si>
  <si>
    <t>Simona Spataru</t>
  </si>
  <si>
    <t>0742104764</t>
  </si>
  <si>
    <t>1 x Tort Chocolate Fiesta
Greutate: 1.4 kg (9 persoane)
Mesaj Personalizat: La mulți ani, Bogdan!</t>
  </si>
  <si>
    <t xml:space="preserve">Tort Chocolate Fiesta 1.4 kg_x000D_
</t>
  </si>
  <si>
    <t xml:space="preserve">Drumul Valea Doftanei Nr 9
Bucuresti, </t>
  </si>
  <si>
    <t>website #17771</t>
  </si>
  <si>
    <t>Cl Laura Whatsapp</t>
  </si>
  <si>
    <t>0756161168</t>
  </si>
  <si>
    <t>Soseaua Mihai Bravu, nr 311-313, Bl. SB1, Sc.B, Et.5, Ap.50, sector 3 Bucuresti</t>
  </si>
  <si>
    <t>0729937641</t>
  </si>
  <si>
    <t>1 x felie ore
1 x felie clasic
1 x felie krantz
1 x felie berry chocolate
+
platou degustare miniprajituri</t>
  </si>
  <si>
    <t>Bd Iuliu Maniu 6E, scara 2, etaj 6, ap 192, interfon 192.</t>
  </si>
  <si>
    <t>Gavanescu</t>
  </si>
  <si>
    <t>0762577347</t>
  </si>
  <si>
    <t>1 x duomousse cu visine 1.8 kg cu mesajul "La mulți ani, Claudiu Alexandru!"</t>
  </si>
  <si>
    <t>Adresa: Str spinului nr 12 sec 2 
(pana in 13:00)</t>
  </si>
  <si>
    <t>1 x tarta mere 2.5 kg</t>
  </si>
  <si>
    <t>Strada Fetesti nr 5, Bl H27 Sc b, Ap 18</t>
  </si>
  <si>
    <t>achita la tudor r. in cont</t>
  </si>
  <si>
    <t>Whatsapp 1</t>
  </si>
  <si>
    <t>Whatsapp 2</t>
  </si>
  <si>
    <t>Silviu Stere</t>
  </si>
  <si>
    <t>0727651000</t>
  </si>
  <si>
    <t>1 x Platou Mini Prajituri 5 persoane</t>
  </si>
  <si>
    <t xml:space="preserve">Tarta Mere (2.5 kg)_x000D_
</t>
  </si>
  <si>
    <t>str. Batiște 1-3, scara C, apartament 3, Sector 2
București,</t>
  </si>
  <si>
    <t>website #17772</t>
  </si>
  <si>
    <t>0744378385</t>
  </si>
  <si>
    <t>Choux à la Crème 1
Tarta Fructe de Padure 1
Indiana 1
Savarina 1
Mont Blanc 1</t>
  </si>
  <si>
    <t xml:space="preserve">Prajitura Choux Vanilie_x000D_
Prajitura Tarta Fructe de Padure_x000D_
Prajitura Indiana_x000D_
Prajitura Savarina_x000D_
Prajitura Mont Blanc_x000D_
</t>
  </si>
  <si>
    <t>website #17773</t>
  </si>
  <si>
    <t>zzz Roxana Negoi Nita</t>
  </si>
  <si>
    <t>0745499297</t>
  </si>
  <si>
    <t>1 x Tort Oreo
Greutate: 1.4 kg (9 persoane)
La mulți ani, honey!</t>
  </si>
  <si>
    <t>website #17774</t>
  </si>
  <si>
    <t>Florentina Dragan</t>
  </si>
  <si>
    <t>0744499479</t>
  </si>
  <si>
    <t>1 x Tort Mickey Star
Alege Sortiment:: Raspberry Vanilla
Gramaj Tort:: 3 kg (15 persoane)
Mesaj Personalizat: La
Multi ani Ana Sofia!</t>
  </si>
  <si>
    <t xml:space="preserve">Strada Intrarea Galenei 4
Bucuresti, </t>
  </si>
  <si>
    <t>website #17775</t>
  </si>
  <si>
    <t>Adina Gabriela Iriza</t>
  </si>
  <si>
    <t>0725860357</t>
  </si>
  <si>
    <t>Tort Duo Mousse cu Visine cu Stevie
Greutate: 1.2 kg (8 persoane)
Mesaj Personalizat: La mulți ani Cosmin! 15 ani</t>
  </si>
  <si>
    <t xml:space="preserve">Aleea Postavarul nr 6 Bl.D2 Sc.1 et.7 apt 252 int 252
București </t>
  </si>
  <si>
    <t>website #17776</t>
  </si>
  <si>
    <t>Laura Carbune</t>
  </si>
  <si>
    <t>28 x Choux a la Crème Fistic
28 x Macarons Unicorn
28 x Mini Tarta Ciocolata si Caramel
28 x Mini Tarta Lamaie si Bezea Flambata
28 x Mini Pavlova
28 x Mini Tarta Fructe
18 x Pahar Tiramisu
18 x Ecler Unicorn
18 x Cake Pops Unicorn
9 x Briose Unicorn</t>
  </si>
  <si>
    <t>Restaurant Simposio Events,str Popa Lazar 5-25
Amenajarea se face intre 14:30 si 15:15</t>
  </si>
  <si>
    <t>plata prin  OP</t>
  </si>
  <si>
    <t>Whatsapp 3</t>
  </si>
  <si>
    <t>0723333553</t>
  </si>
  <si>
    <t>1 x felie red velvet
1 x felie chocolate fiesta
1 x felie clasic
1 x felie berry chocolate
+ 
1 x platou miniprajituri degustare</t>
  </si>
  <si>
    <t xml:space="preserve">Strada Tuzla nr 39, bloc Estia, sc B, etaj 4, Ap 18, interfon 118clopotel, intrarea la sc </t>
  </si>
  <si>
    <t>Whatsapp 4</t>
  </si>
  <si>
    <t>Ecler fistic 2 
Ecler zmeura 2
Cafina 4 
Mont blanc 2
Choux a la creme  2
Prajitura cu fistic și zmeură 2 buc
Tonka 2</t>
  </si>
  <si>
    <t xml:space="preserve">Prajitura Ecler Fistic
Prajitura Ecler Fistic
Prajitura Ecler Zmeura
Prajitura Ecler Zmeura
Prajitura Cafina
Prajitura Cafina
Prajitura Cafina
Prajitura Cafina
Prajitura Mont Blanc
Prajitura Mont Blanc
Prajitura Choux Vanilie
Prajitura Choux Vanilie
Monoportie Fistic si Zmeura
Monoportie Fistic si Zmeura
Monoportie Tonka
Monoportie Tonka
</t>
  </si>
  <si>
    <t>Strada Banul Antonache 41
(pana in 8:30)</t>
  </si>
  <si>
    <t>pana in 08:30</t>
  </si>
  <si>
    <t>Whatsapp 5</t>
  </si>
  <si>
    <t>Cristina U.</t>
  </si>
  <si>
    <t>0736395989</t>
  </si>
  <si>
    <t>1 x Platou 5 persoane</t>
  </si>
  <si>
    <t>Strada Amurgului 73c bis Popesti Leordeni IF</t>
  </si>
  <si>
    <t>Whatsapp 6</t>
  </si>
  <si>
    <t xml:space="preserve">Prajituri </t>
  </si>
  <si>
    <t>AAA Victoriei</t>
  </si>
  <si>
    <t xml:space="preserve">Calea Victoriei 155 </t>
  </si>
  <si>
    <t xml:space="preserve">whatsapp 7 </t>
  </si>
  <si>
    <t xml:space="preserve">Platou Minipraji 5 Persoane_x000D_
Alte Prajituri_x000D_
Alte Prajituri_x000D_
Alte Prajituri_x000D_
Alte Prajituri_x000D_
</t>
  </si>
  <si>
    <t>zzz Georgiana Voicu</t>
  </si>
  <si>
    <t>2x eclere cioco
2x eclere cocos
2x eclere zmeura 
2x eclere cafea
2x eclere fistic
2x eclere mango
2x amandina
2x cremsnit
2x red velvet
2x tonka
2x fistic si zmeura
2x cafina
2x mont blank
2x millefeuile
----------
1x tort framboisier
1x tort dmv
----------
2x cremsnit stevia
2x dmv stevia
2x tonka stevia
----------
2x platou miniprajituri 
1x platou minitarte
1 x platou de macarons deluxe
2x tarte citron
2x tarte ciocolata
5x tarte capsuni</t>
  </si>
  <si>
    <t>aaa Adam Simona</t>
  </si>
  <si>
    <t>Tort Chocolate Fiesta
Greutate: 2 kg (13 persoane)
Mesaj Personalizat:
La multi ani ,Daria Yasmine!
Aceasta zi ,cand implinesti 10 ani, sa-ti dechida poarta unui viitor plin de succese. Bunul Dumnezeu sa-ti dea un curcubeu la fiecare furtuna, un zambet la fiecare lacrima, sanatate, impliniri si multa iubire!
Te iubim!</t>
  </si>
  <si>
    <t>Carmen Balan</t>
  </si>
  <si>
    <t>0720593912</t>
  </si>
  <si>
    <t>Tort de Bezea cu Ciocolata
Greutate: 2.5 kg (16 persoane)
Mesaj Personalizat: La mulți ani Elenele noastre!!!</t>
  </si>
  <si>
    <t xml:space="preserve">Tort Bezea cu Ciocolata 1.8 kg_x000D_
</t>
  </si>
  <si>
    <t xml:space="preserve">Aleea ciceu nr5 bl d 12 sc a ap 8 et 2 sector 4
București, </t>
  </si>
  <si>
    <t>website #17777</t>
  </si>
  <si>
    <t>Tort Clasic
Greutate: 1.4 kg (9 persoane)
Mesaj Personalizat: La multi ani mami!</t>
  </si>
  <si>
    <t>0722305992</t>
  </si>
  <si>
    <t>website #17778</t>
  </si>
  <si>
    <t>Tort Chocolate Fiesta
Greutate: 1.4 kg (9 persoane)
Mesaj Personalizat: La doi ani și la multi ani ! Bunicii</t>
  </si>
  <si>
    <t>Silvia Sanda</t>
  </si>
  <si>
    <t>0772263367</t>
  </si>
  <si>
    <t>Str.Drumul Homorod Nr.4 sector 1
Bucuresti</t>
  </si>
  <si>
    <t>website #17779</t>
  </si>
  <si>
    <t>zzz Marius Nistor</t>
  </si>
  <si>
    <t>website #17780</t>
  </si>
  <si>
    <t>Silviu Radu</t>
  </si>
  <si>
    <t>0743569989</t>
  </si>
  <si>
    <t>Cupolei Nr 5B, Corp 1, Sc 1, Ap 9, Interfon 9, Sector 6</t>
  </si>
  <si>
    <t>website #17781</t>
  </si>
  <si>
    <t>Tort Krantz
Greutate: 1.8 kg (12 persoane)
Mesaj Personalizat: La mulți ani, tataie!</t>
  </si>
  <si>
    <t>Alexandra Ghebaur</t>
  </si>
  <si>
    <t>0766255495</t>
  </si>
  <si>
    <t xml:space="preserve">Tort Krantz 1.8 kg_x000D_
</t>
  </si>
  <si>
    <t>Strada Victoriei Nr 157
Dascalu, Ilfov</t>
  </si>
  <si>
    <t>website #17782</t>
  </si>
  <si>
    <t>Tort Duo Mousse cu Visine cu Stevie
Greutate: 1.2 kg (8 persoane)
Mesaj Personalizat: La Multi Ani, Andreea!</t>
  </si>
  <si>
    <t>Andreea Udroiu</t>
  </si>
  <si>
    <t>0764664434</t>
  </si>
  <si>
    <t>Strada Rucar, nr 8, sector 1</t>
  </si>
  <si>
    <t>website #17783</t>
  </si>
  <si>
    <t>Anca Teiusanu</t>
  </si>
  <si>
    <t xml:space="preserve">2 x Prajitura Tonka cu Stevie
2 x Cremsnit cu Stevie
2 x Prajitura cu Fistic si Zmeura cu Stevie
2 x Felie Tort Raw Vegan Fistic
3 x Felie Tort Raw-Vegan Tiramisu
</t>
  </si>
  <si>
    <t>1 x Tort fistic zmeura STEVIA 1.8 kg
Mesaj "la multi ani 75"</t>
  </si>
  <si>
    <t>RO2835636</t>
  </si>
  <si>
    <t>AAA client lara sweets</t>
  </si>
  <si>
    <t>Goran Ianosev</t>
  </si>
  <si>
    <t>0722638493</t>
  </si>
  <si>
    <t>Adresa: Aleea Raul Targului, 4, bloc D9, sc1, ap11, sector 4, Bucuresti
 (DUPA ORA 15:00)</t>
  </si>
  <si>
    <t xml:space="preserve">pachet stevia for all:
'1 x Tort Framboisier STEVIA 1,8 kg  
2 x Tarte cu mure STEVIA
2 x monoportii Tonka STEVIA
2 x Felie tarta cu MERE STEVIA
</t>
  </si>
  <si>
    <t>0758060140</t>
  </si>
  <si>
    <t>Metrou Aurel Vlaicu</t>
  </si>
  <si>
    <t>1 x tort Bambi - Poza 1 (Duo Mousse Visine STEVIA || 3.5 KG - 30pers) 
cu mesajul "La multi ani, Anastasia!"
(scris ca in poza in partea de jos a tortului)
(sa fie inclusiv cifra 1 pe tort ca in poza)
(figurinele sa fie asezate: 
-sus: 1 iepuras si 1 caprioara
-jos: 1 sconcs)</t>
  </si>
  <si>
    <t>Georgiana Solomon</t>
  </si>
  <si>
    <t>Cate o felie din Framboisier, Berry chocolate, mango &amp; zmeura, tort fistic &amp; zmeura
+
Pltou miniprajuri 5 persoane</t>
  </si>
  <si>
    <t xml:space="preserve">Felie frambo_x000D_
Alte Prajituri_x000D_
Alte Prajituri_x000D_
Alte Prajituri_x000D_
Platou Minipraji 5 Persoane_x000D_
</t>
  </si>
  <si>
    <t>Strada Crisu Repede 24 A, Bragdiru</t>
  </si>
  <si>
    <t>zzz Burghelea LPV</t>
  </si>
  <si>
    <t>1x tort dmv 1.4 kg
2x tarte capsuni 
1x miniredvelvet
1x monoportie tonka</t>
  </si>
  <si>
    <t>Datorie ralcom</t>
  </si>
  <si>
    <t xml:space="preserve">Tort Duo Mousse Visine 1.4 kg_x000D_
Prajitura Tarta Capsuni_x000D_
Prajitura Tarta Capsuni_x000D_
Mini Red Velvet_x000D_
Monoportie Tonka_x000D_
</t>
  </si>
  <si>
    <t>Blaj Larisa</t>
  </si>
  <si>
    <t>0733407201</t>
  </si>
  <si>
    <t xml:space="preserve">
1 x tort Raspberry vanilla 3 kg total decorat ca in poza 1
Mesajul:  La mulți ani, David!
Pe tort sa apara si cifra 10
</t>
  </si>
  <si>
    <t xml:space="preserve">Str. astrelor Nr 13, Domnesti </t>
  </si>
  <si>
    <t>aaa client lara sweets</t>
  </si>
  <si>
    <t>Tort Tonka cu Stevie
Greutate: 1.2 kg (8 persoane)
Mesaj Personalizat: La multi ani,Andrei!</t>
  </si>
  <si>
    <t>Andrei Rusu</t>
  </si>
  <si>
    <t>0723688729</t>
  </si>
  <si>
    <t>Telega 6
Bucuresti</t>
  </si>
  <si>
    <t>website #17784</t>
  </si>
  <si>
    <t>Bulevardul Pipera 31a</t>
  </si>
  <si>
    <t>0734805323</t>
  </si>
  <si>
    <t>tort noisette, 1,4 kg
mesaj: Doğum günün kutlu olsun Sisimo
(si sa fie decorat mai special cu mcarons si fructe)</t>
  </si>
  <si>
    <t>Paraschiv elena</t>
  </si>
  <si>
    <t>0770543166</t>
  </si>
  <si>
    <t>str. 1 mai, nr. 32, Otopeni</t>
  </si>
  <si>
    <t>Ioana</t>
  </si>
  <si>
    <t>1 x tort clasic 2,5-3kg
(Etajul de joz, roz, botosei, fundă și figurina)</t>
  </si>
  <si>
    <t>aaa Comanda victoriei</t>
  </si>
  <si>
    <t xml:space="preserve">
Monoportii:
2x red velvet
2x millefeuile
2x amandina
2x cremsnit
2x mont blank
2x ciocolatina
2x cafina
2x fistic zmeura
2x tonka
-----------
Monoportii stevia 
2x dmv stevia
2x tonka stevia
2x cremsnit stevia
----------------
 Torturi
1x tort dmv 1.4 kg
1x tort oreo 1.4 kg</t>
  </si>
  <si>
    <t xml:space="preserve"> Str Drumul Potcoavei nr 63F, Voluntari, Ilfov, 
(maxim ora 13 30)</t>
  </si>
  <si>
    <t>Tort Ben 10
Alege Sortiment:: Berry Chocolate
Gramaj Tort:: 3 kg (15 persoane)
Mesaj Personalizat: La mulți ani, Andrei!</t>
  </si>
  <si>
    <t>0722694097</t>
  </si>
  <si>
    <t>website #17785</t>
  </si>
  <si>
    <t>0744924373</t>
  </si>
  <si>
    <t>zzz andreea Manea</t>
  </si>
  <si>
    <t>cash cu bon
(a achitat avans 500ron in cofetarie 10.05.2021)</t>
  </si>
  <si>
    <t>zzz Arapalea Mariana</t>
  </si>
  <si>
    <t>2 x Tonka x 1.8 kg
Mesaj : La multi ani, Ella (doar 1 placuta)
1 x Tort Chocolate Fiesta 1,8 kg(poate fi de 2 kg)
Mesaj: La multi ani, Ella</t>
  </si>
  <si>
    <t xml:space="preserve">Tort Tonka 1.8 kg_x000D_
Tort Tonka 1.8 kg_x000D_
Tort Chocolate Fiesta 1.8 kg_x000D_
</t>
  </si>
  <si>
    <t>aaa Camelia Spataru Teleleu</t>
  </si>
  <si>
    <t>Ridicare prajituri Victoriei</t>
  </si>
  <si>
    <t xml:space="preserve">2x tarte citron
2x tarte delight
4x tarte capsuni
-----------
2x eclere ciocolată 
2x eclere cocos
2x eclere mango
2x eclere fistic
2x eclere zmeura 
2x eclere cafea
---------
2x platou miniprajituri 
2x platou minitarte
---------
2 kg x fursecuri sau cookies </t>
  </si>
  <si>
    <t xml:space="preserve">Prajitura Tarta Citron_x000D_
Prajitura Tarta Citron_x000D_
Golden Egg Delight Monoportie_x000D_
Golden Egg Delight Monoportie_x000D_
Prajitura Tarta Capsuni_x000D_
Prajitura Tarta Capsuni_x000D_
Prajitura Tarta Capsuni_x000D_
Prajitura Tarta Capsuni_x000D_
Prajitura Ecler Ciocolata _x000D_
Prajitura Ecler Ciocolata _x000D_
Prajitura Ecler Cocos_x000D_
Prajitura Ecler Cocos_x000D_
Prajitura Ecler Mango_x000D_
Prajitura Ecler Mango_x000D_
Prajitura Ecler Fistic_x000D_
Prajitura Ecler Fistic_x000D_
Prajitura Ecler Zmeura_x000D_
Prajitura Ecler Zmeura_x000D_
Prajitura Ecler Cafea_x000D_
Prajitura Ecler Cafea_x000D_
Platou Minipraji 5 Persoane_x000D_
Platou Minipraji 5 Persoane_x000D_
Platou Mini Tarte (15 buc)_x000D_
Platou Mini Tarte (15 buc)_x000D_
Fursecuri cu Vanilie (1 kg)_x000D_
Fursecuri cu Vanilie (1 kg)_x000D_
</t>
  </si>
  <si>
    <t>4 x Chocolissimo
2 x Strawberry Cake
1 x Mont Blanc
2 x Opera
1 x Cremsnit</t>
  </si>
  <si>
    <t xml:space="preserve">Prajitura Chocolissimo_x000D_
Prajitura Chocolissimo_x000D_
Prajitura Chocolissimo_x000D_
Prajitura Chocolissimo_x000D_
Prajitura Strawberry Cake_x000D_
Prajitura Strawberry Cake_x000D_
Prajitura Mont Blanc_x000D_
Prajitura Opera_x000D_
Prajitura Opera_x000D_
Prajitura Cremsnit_x000D_
</t>
  </si>
  <si>
    <t>0766249388</t>
  </si>
  <si>
    <t>zzz Florentina Bică</t>
  </si>
  <si>
    <t>website #17786</t>
  </si>
  <si>
    <t>Tort Framboisier cu Stevie
Greutate: 1.2 kg (8 persoane)
Mesaj Personalizat: La multi ani Mami!
Te iubim!</t>
  </si>
  <si>
    <t>Silviu Vintila</t>
  </si>
  <si>
    <t>Grigore Ionescu 69, Bl.T25, sc.1, ap.46, et.7
Bucuresti</t>
  </si>
  <si>
    <t>website #17787</t>
  </si>
  <si>
    <t>Viorica Bucataru</t>
  </si>
  <si>
    <t>0732716847</t>
  </si>
  <si>
    <t>Str.Constantin Marinescu, nr.8, bl.A37, sc.A, et.4, ap,14, sector 5
Bucuresti,</t>
  </si>
  <si>
    <t>Tort Duo Mousse cu Visine cu Stevie
Greutate: 1.2 kg (8 persoane)
Mesaj Personalizat: La multi ani, Larisa!
(Tortul este un cadou pentru cineva special. Pentru contact, va rog folositi adresa de mail roxana.bucataru@gmail.com)</t>
  </si>
  <si>
    <t>website #17788</t>
  </si>
  <si>
    <t xml:space="preserve">1 x Platou Mini Prajituri 10 persoane
</t>
  </si>
  <si>
    <t>Anisia Flavia Ocolisan</t>
  </si>
  <si>
    <t>0765146743</t>
  </si>
  <si>
    <t>Sos Nicolae Titulescu nr 39-31
Bucuresti</t>
  </si>
  <si>
    <t xml:space="preserve">1 x Platou 30 macarons
</t>
  </si>
  <si>
    <t>Mariana Sora</t>
  </si>
  <si>
    <t>0722362342</t>
  </si>
  <si>
    <t xml:space="preserve">Platou Macarons 30 Buc_x000D_
</t>
  </si>
  <si>
    <t>B-dul Iancu de Hunedoara nr. 3-5, sector 1, poarta H
București,</t>
  </si>
  <si>
    <t>website #17790</t>
  </si>
  <si>
    <t>0725161829</t>
  </si>
  <si>
    <t>Tort Duo Mousse cu Visine cu Stevie
Greutate: 1.2 kg (8 persoane)
Mesaj Personalizat: La Multi Ani Petrica!</t>
  </si>
  <si>
    <t>zzz Mocanu Mihaela</t>
  </si>
  <si>
    <t>website #17791</t>
  </si>
  <si>
    <t>Red Velvet
Greutate: 1.4 kg (9 persoane)</t>
  </si>
  <si>
    <t xml:space="preserve">Tort Red Velvet 1.4 kg_x000D_
</t>
  </si>
  <si>
    <t>Andra Sforoi</t>
  </si>
  <si>
    <t>0730014622</t>
  </si>
  <si>
    <t>Intrarea Busuiocului 4F, Chiajna, Ilfov
Chiajna</t>
  </si>
  <si>
    <t>website #17792</t>
  </si>
  <si>
    <t>Alexandru Croitoru</t>
  </si>
  <si>
    <t>0723075878</t>
  </si>
  <si>
    <t xml:space="preserve">Tort Decorat_x000D_
Cookie Stevia (1 kg)_x000D_
</t>
  </si>
  <si>
    <t>Tort Freshy Married
Alege Sortiment:: Clasic
Gramaj Tort:: 6 kg (30 persoane)
1 kg x Cookies cu Stevia</t>
  </si>
  <si>
    <t>Strada Baba Novac Nr 25, la Trattoria Monza</t>
  </si>
  <si>
    <t>website #17793</t>
  </si>
  <si>
    <t>Strada  Ion Creangă nr 17 Comuna Berceni Ilfov
(se amenajeaza intre 12:00 si 12:45)</t>
  </si>
  <si>
    <t xml:space="preserve">1 x amenajare
+
prajituri 35 persoane:
24 x Choux a la Crème Fistic
24 x Macarons Mix
24 x Mini Tarta Ciocolata si Caramel
24 x Mini Tarta Lamaie si Bezea Flambata
24 x Mini Pavlova
24 x Mini Tarta Fructe
16 x Pahar Tiramisu
16 x Ecler Artizanal
16 x Cake Pops 
8 x Briose 
</t>
  </si>
  <si>
    <t>Minciu Florian Alexandru</t>
  </si>
  <si>
    <t>0727764631</t>
  </si>
  <si>
    <t>Str. Verii, nr 36H, Bragadiru</t>
  </si>
  <si>
    <t xml:space="preserve">Lectorului Residence, strada Maica Teofana 17, bloc G, ap. 4, etaj 1, sector 1 , </t>
  </si>
  <si>
    <t>Serban Anda</t>
  </si>
  <si>
    <t>0763728519</t>
  </si>
  <si>
    <t>1 x tort clasic de 5 kg total, decorat ca in poza 1, mesajul de pe tort sa fie " La multi ani, Eva!"
Pe tort sa fie un topper cu cifra "1"</t>
  </si>
  <si>
    <t>1 x Tort Olaf Frozen (raspberry vanila - 3kg; decorat ca pe site)
(numele de pe tort sa fie: Alessia)
(cu fira 2, in loc de 5)
(La culorile tortului: in loc de albastru deschis- sa fie ROZ pal; in loc de albastru inchis- sa fie MOV)</t>
  </si>
  <si>
    <t>Pana in 12:00</t>
  </si>
  <si>
    <t>0720817420</t>
  </si>
  <si>
    <t xml:space="preserve">Tort Duo Mousse Visine 2.5 kg_x000D_
</t>
  </si>
  <si>
    <t>1 x Tort Duo mousse cu visine de 3 kg
(tortul sa fie dreptunghiular)
Mesajele scrise sa fie:
La mulţi ani, Andreea!
La mulţi ani, Gabi!
La mulţi ani, Miki!</t>
  </si>
  <si>
    <t>zzz Preda Andreea</t>
  </si>
  <si>
    <t>Monica Stancu</t>
  </si>
  <si>
    <t>0745077718</t>
  </si>
  <si>
    <t xml:space="preserve">Scoala Big Smile str. Cutitul de Argint nr.74 sector 4
</t>
  </si>
  <si>
    <t>0748112651</t>
  </si>
  <si>
    <t>0721501344</t>
  </si>
  <si>
    <t>ridicare Victoriei</t>
  </si>
  <si>
    <t xml:space="preserve"> x Tort decorat “Among us” | 3 kg| ca in poza 1 dar sa fie imbracat in pasta de zahar portocalie in loc de creme|| compozitia OREO
De scris unde considerati voi cu litere din pasta de zahar “Tudor e impostorul”</t>
  </si>
  <si>
    <t>1 x duo mouse stevia 1.2 kg
4 x cremsnit cu stevia
(de scris pe cutii 'ridicare victoriei' ca nu cumva sa fie puse de Octavia in vitrina)</t>
  </si>
  <si>
    <t>14 x monoportie Tonka STEVIE
4 x RAW VEGAN cheese cake si zmeura
(ambalate individual si insotite de certificatul de conformitate pe care scoala l-a solicitat)</t>
  </si>
  <si>
    <t>0721165125</t>
  </si>
  <si>
    <t>Str. Primaverii nr.14, Bragdiru, la scoala PRO INGENIO
(pana la 14:00)</t>
  </si>
  <si>
    <t>Laura Banica 0770100559</t>
  </si>
  <si>
    <t>Tort Duo Mousse cu Visine cu Stevie
Greutate: 1.2 kg (8 persoane)
Mesaj Personalizat: La multi ani! &lt;3</t>
  </si>
  <si>
    <t>Adela Baicu</t>
  </si>
  <si>
    <t>0734013321</t>
  </si>
  <si>
    <t>Strada Herta, nr 9, bloc B 17, scara A, interfon 16, etaj 2, ap 16</t>
  </si>
  <si>
    <t>website #17794</t>
  </si>
  <si>
    <t>Tort Chocolate Delight
Greutate: 1.4 kg (9 persoane)
Mesaj Personalizat: La multi ani, Rox!</t>
  </si>
  <si>
    <t>Roxana Delureanu</t>
  </si>
  <si>
    <t>0724140439</t>
  </si>
  <si>
    <t>Str Stanislav Cihoschi nr 15
Bucuresti</t>
  </si>
  <si>
    <t>0720696377</t>
  </si>
  <si>
    <t>Bdul Basarabia, nr. 170-174, Bucuresti, la Ivan's Bar &amp; Grill</t>
  </si>
  <si>
    <t xml:space="preserve"> in jurul orei 14.00</t>
  </si>
  <si>
    <t>Claudia Tudor</t>
  </si>
  <si>
    <t>0724202642</t>
  </si>
  <si>
    <t xml:space="preserve">Tort Decorat_x000D_
Platou Minipraji 5 Persoane_x000D_
Platou Minipraji 5 Persoane_x000D_
Platou Minipraji 5 Persoane_x000D_
Platou Minipraji 5 Persoane_x000D_
Platou Minipraji 5 Persoane_x000D_
</t>
  </si>
  <si>
    <t>Str. Panait Istrati Nr. 47 Sector 1 Bucuresti (zona Piata Domenii)
(in jurul orei 14.00)</t>
  </si>
  <si>
    <t xml:space="preserve">
1 x tort Among Us || sortiment rom si ciocolata || 4 kg
Mesaj: Octav 8 ani 
5 x platouri mini prajituri de 5 persoane
</t>
  </si>
  <si>
    <t>Ing dumitru tacu 28 bl1 scB ap52 et 5 interfon 052</t>
  </si>
  <si>
    <t>1 x tort framboisier de 2 kg in total in forma de inima si decorat ca in poza 1
Mesajul: Happy birthday, Ana!
(TORTUL NU ESTE IMBRACAT IN PASTA DE ZAHAR)</t>
  </si>
  <si>
    <t>Str. Cernavoda, nr. 9, sector 5, este strada perpendiculara pe str Dantelei (pana in ora 14:00)</t>
  </si>
  <si>
    <t xml:space="preserve">
1 x Tort decorat 2,5 kg compozitia clasic cu urmatoarele detalii:
- 1 etaj, imbarcat in pasta de zahar roz ca in poza 
- pe fata tortului se pune cifra 8 cu roz, incadrat in rama neagra ca in poza  
- la baza torului unde este imbinarea cu suportul tortului se pune o dunga neagra
- se pun stelute roz pe bat pe tort ca in poza (se lasa mijlocul liber pentru a fi pusa o papusa de catre client)
- se scrie pe suportul tortului cu litere roz “ La mulți ani, Sofia!”
De predat cu certificat de conformitate.
</t>
  </si>
  <si>
    <t>Carstica Ana Maria</t>
  </si>
  <si>
    <t>0772148987</t>
  </si>
  <si>
    <t>a fost achitata pe Pam</t>
  </si>
  <si>
    <t>Monoportii stevia 
2x dmv stevia
2x tonka stevia
2x cremsnit stevia
----------------
 Torturi
1x tort redvelvet 1.4 kg
1x tort clasic 1.4 kg
-----------
2x platou miniprajituri 
(daca nu este ceva nu se pune)</t>
  </si>
  <si>
    <t>2x tarte citron
2x tarte delight
4x tarte capsuni
-----------
2x eclere ciocolată 
2x eclere cocos
2x eclere mango
2x eclere fistic
2x eclere zmeura 
2x eclere cafea
---------
Monoportii 
3x Chocolisimo
3x tiramisu
3Xprofiterol
2x cremsnit
2x mont blank
2x ciocolatina
2x cafina
2x fistic
2x tonka
(daca nu este ceva nu se pune)</t>
  </si>
  <si>
    <t>Monica Stefanescu</t>
  </si>
  <si>
    <t>0755666422</t>
  </si>
  <si>
    <t>Adresa: Strada Zborului nr 8 etaj 6 ap 18 interfon 18</t>
  </si>
  <si>
    <t>1 × tort chocolate fiesta 3 kg
Mesajul La multi ani, Cori!
1 x platou de 5 persoane</t>
  </si>
  <si>
    <t xml:space="preserve">Prajitura Tarta Citron_x000D_
Prajitura Tarta Citron_x000D_
Golden Egg Delight Monoportie_x000D_
Golden Egg Delight Monoportie_x000D_
Prajitura Tarta Capsuni_x000D_
Prajitura Tarta Capsuni_x000D_
Prajitura Tarta Capsuni_x000D_
Prajitura Tarta Capsuni_x000D_
Prajitura Ecler Ciocolata _x000D_
Prajitura Ecler Ciocolata _x000D_
Prajitura Ecler Cocos_x000D_
Prajitura Ecler Cocos_x000D_
Prajitura Ecler Mango_x000D_
Prajitura Ecler Mango_x000D_
Prajitura Ecler Fistic_x000D_
Prajitura Ecler Fistic_x000D_
Prajitura Ecler Zmeura_x000D_
Prajitura Ecler Zmeura_x000D_
Prajitura Ecler Cafea_x000D_
Prajitura Ecler Cafea_x000D_
Prajitura Chocolissimo_x000D_
Prajitura Chocolissimo_x000D_
Prajitura Chocolissimo_x000D_
Prajitura Tiramisu_x000D_
Prajitura Tiramisu_x000D_
Prajitura Tiramisu_x000D_
Prajitura Profiterol_x000D_
Prajitura Profiterol_x000D_
Prajitura Profiterol_x000D_
Prajitura Cremsnit_x000D_
Prajitura Cremsnit_x000D_
Prajitura Mont Blanc_x000D_
Prajitura Mont Blanc_x000D_
Prajitura Ciocolatina_x000D_
Prajitura Ciocolatina_x000D_
Prajitura Cafina_x000D_
Prajitura Cafina_x000D_
Monoportie Fistic si Zmeura_x000D_
Monoportie Fistic si Zmeura_x000D_
Monoportie Tonka_x000D_
Monoportie Tonka_x000D_
</t>
  </si>
  <si>
    <t>1 x un platou de 10 persoane</t>
  </si>
  <si>
    <t>0721289340</t>
  </si>
  <si>
    <t>Str. Viilor nr 6, Chiajna, Jud. Ilfov</t>
  </si>
  <si>
    <t>Isabela Manea</t>
  </si>
  <si>
    <t>0758043000</t>
  </si>
  <si>
    <t xml:space="preserve">
Drumul Gura Fagetului nr.26-28, vila 8, sector 3. 
(Ajuta daca pe waze/google maps scrieti cartierul austriac)
</t>
  </si>
  <si>
    <t>1 x Tort decorat 2,2 kg compozitia Clasic cu crema de unt si drip exact ca poza cu aceleasi culori + topper auriu La mulți ani, Teodora
Aveti poze cu personajele de pe tort.
De predat cu certificat de conformitate!</t>
  </si>
  <si>
    <t xml:space="preserve">1 x Duo mousse visine 1.4 kg
4 x prajituri vitrina
</t>
  </si>
  <si>
    <t xml:space="preserve">Tort Duo Mousse Visine
Alte Prajituri_x000D_
Alte Prajituri_x000D_
Alte Prajituri_x000D_
Alte Prajituri_x000D_
</t>
  </si>
  <si>
    <t>Tort Oreo
Greutate: 2.5 kg (16 persoane)
Mesaj Personalizat: La mulți ani, Robert!</t>
  </si>
  <si>
    <t xml:space="preserve">Tort Oreo 2.5 kg_x000D_
</t>
  </si>
  <si>
    <t>Oana Furdui</t>
  </si>
  <si>
    <t>0732403330</t>
  </si>
  <si>
    <t>Str. Odei nr. 154, bl. 154, ap. 2
București</t>
  </si>
  <si>
    <t>website #17796</t>
  </si>
  <si>
    <t>str Rinocerului, nr. 3, sector 5 </t>
  </si>
  <si>
    <t>Roxana Calimaceanu</t>
  </si>
  <si>
    <t>0730681308</t>
  </si>
  <si>
    <t xml:space="preserve">
1 x Tort Clasic decorat 2 kg (este o comanda solicitata din Ianuarie, gresita si va trebui facut la gramajul acesta)
 (Exterior: crema de unt, nu doreste imbracat in zahar)
-culoarea ar fi un roz mai pal, iar ornamentele asemănătoare cu cele din poza, câțiva nori, câteva steluțe, răzlețe, nu multe. Asta în cazul în care se pot lipi pe crema de unt. 
- pe tort as dori steluțele acelea pe băț ca în cea de-a doua poză, tot asa câteva, nu la fel de multe ca în poza, iar baloanele sa fie înlocuite cu semilună. 
- fetița ca cea din a treia poza sa aibă parul roșcat, iar în brațe sa țină o vulpiță. Dimensiunea fetiței o stabiliți dvs. 
</t>
  </si>
  <si>
    <t>0724086498</t>
  </si>
  <si>
    <t>Str.Masina de Pâine nr 41 bloc OD 55 sc 3 et 6 ap 116
Bucuresti,</t>
  </si>
  <si>
    <t>website #17797</t>
  </si>
  <si>
    <t>3 x Strawberry Cake
3 x Mille Feuille
1 x Amandina
3 x Ciocolatina
1 x Prajitura Duo Mousse Visine Stevia
1 x Prajitura Tonka cu Stevie
1 x Tort Duo Mousse cu Visine
Greutate: 1.4 kg (9 persoane)
Mesaj Personalizat: LA MULTI ANI BULI SI PANTEL!</t>
  </si>
  <si>
    <t>Tort Duo Mousse cu Visine cu Stevie
Greutate: 1.2 kg (8 persoane)
Mesaj Personalizat: Ati putea va rog pune pe tort un mesaj de la multi ani, "La Multi Ani Flaviu! 5 ani " Multumesc</t>
  </si>
  <si>
    <t>0725721594</t>
  </si>
  <si>
    <t>website #17798</t>
  </si>
  <si>
    <t xml:space="preserve">1 x tort 1.4 kg framboisier
Mesaj Personalizat: Pentru cel mai curajos baietel!
La multi ani Bogdan-Mihai!
1 x platou mini-tarte </t>
  </si>
  <si>
    <t>Florinela Pirvu</t>
  </si>
  <si>
    <t>0766490043</t>
  </si>
  <si>
    <t>Str Cetatea Histria Nr 3 Bl M14 Sc B Ap 69 Sector 6
Bucuresti,</t>
  </si>
  <si>
    <t>website #17799</t>
  </si>
  <si>
    <t>Andrei Veronica</t>
  </si>
  <si>
    <t>str. Oituz 5a,
Popești-Leordeni</t>
  </si>
  <si>
    <t>website #17800</t>
  </si>
  <si>
    <t>0749817628</t>
  </si>
  <si>
    <t>Tort Golden Unicorn
Alege Sortiment:: Berry Chocolate
Gramaj Tort:: 3 kg (15 persoane)
Mesaj Personalizat: La multi ani, Irina!</t>
  </si>
  <si>
    <t xml:space="preserve">1 x Turta Mot Lara Sweets
</t>
  </si>
  <si>
    <t>Denisa Gheorghe</t>
  </si>
  <si>
    <t>0769673225</t>
  </si>
  <si>
    <t>Str Novaci nr 8, bl P 57, sc 1, etaj 1, ap 6
Bucuresti</t>
  </si>
  <si>
    <t>website #17801</t>
  </si>
  <si>
    <t>Tort cu Ciocolata si Rom
Greutate: 1.4 kg (9 persoane)</t>
  </si>
  <si>
    <t>Cristina Tatulescu</t>
  </si>
  <si>
    <t>0722193159</t>
  </si>
  <si>
    <t xml:space="preserve">Tort Ciocolata si Rom 1.4 kg_x000D_
</t>
  </si>
  <si>
    <t>Maria Andrei</t>
  </si>
  <si>
    <t>0726017968</t>
  </si>
  <si>
    <t>Alexandru Serbanescu 58B, bl.B, et.6, ap.B602
Bucuresti,</t>
  </si>
  <si>
    <t>1 x Ecler Fistic Stevia
1 x Ecler Zmeura Stevia
1 x Cremsnit cu Stevie
1 x Prajitura cu Fistic si Zmeura cu Stevie
1 x Prajitura Tonka cu Stevie</t>
  </si>
  <si>
    <t>website #17803</t>
  </si>
  <si>
    <t>website #17802</t>
  </si>
  <si>
    <t>2 x Amandina
1 x Cafina
1 x Savarina
1 x Cremsnit
1 x Ciocolatina
1 x Choux à la Crème</t>
  </si>
  <si>
    <t xml:space="preserve">Prajitura Amandina_x000D_
Prajitura Amandina_x000D_
Prajitura Cafina_x000D_
Prajitura Savarina_x000D_
Prajitura Cremsnit_x000D_
Prajitura Ciocolatina_x000D_
Prajitura Choux Vanilie_x000D_
</t>
  </si>
  <si>
    <t>Tudor Ionescu</t>
  </si>
  <si>
    <t>0721145757</t>
  </si>
  <si>
    <t>Str. PARÂNG 56, SAT CREATA, COMUNA DASCALU, JUD. ILFOV</t>
  </si>
  <si>
    <t>website #17804</t>
  </si>
  <si>
    <t>5 x Prajitura Duo Mousse Visine Stevia
1 x Tort Framboisier cu Stevie
Greutate: 1.2 kg (8 persoane)</t>
  </si>
  <si>
    <t>Cristina Alkhulaifi</t>
  </si>
  <si>
    <t>website #17805</t>
  </si>
  <si>
    <t>Roxana Kaporalis</t>
  </si>
  <si>
    <t>0729730916</t>
  </si>
  <si>
    <t>Tort Fashionista
Alege Sortiment:: Berry Chocolate
Gramaj Tort:: 5 kg (25 persoane)
Mesaj Personalizat: La multi ani Wevi!!!!</t>
  </si>
  <si>
    <t>website #17806</t>
  </si>
  <si>
    <t>Tort Noisette
Greutate: 1.4 kg (9 persoane)
Mesaj Personalizat: La mulți ani, BUBU!
LOVE YOU</t>
  </si>
  <si>
    <t>Cristina Dumitrașcu</t>
  </si>
  <si>
    <t>0745525955</t>
  </si>
  <si>
    <t>Sos Mihai Bravu nr 3 bloc ALMO 3
București sector 2</t>
  </si>
  <si>
    <t>website #17807</t>
  </si>
  <si>
    <t>0736666777</t>
  </si>
  <si>
    <t>0721238788</t>
  </si>
  <si>
    <t>website #17808</t>
  </si>
  <si>
    <t>zzz Adina Gheorghiu</t>
  </si>
  <si>
    <t xml:space="preserve">Prajitura Amandina_x000D_
Prajitura Indiana_x000D_
Prajitura Opera_x000D_
Prajitura Mont Blanc_x000D_
</t>
  </si>
  <si>
    <t>1 x Amandina
1 x Indiana
1 x Opera
1 x Mont Blanc</t>
  </si>
  <si>
    <t>IULIA URSACHI</t>
  </si>
  <si>
    <t>0726317170</t>
  </si>
  <si>
    <t>ALEEA BOTORANI NR.8 BL.V84 SC.1 ET.2 AP.9
BUCURESTI</t>
  </si>
  <si>
    <t>Tort Clasic
Greutate: 2.5 kg (16 persoane)
Mesaj Personalizat: LA MULTI ANI!</t>
  </si>
  <si>
    <t xml:space="preserve">Tort clasic 2.5 kg_x000D_
</t>
  </si>
  <si>
    <t>website #17809</t>
  </si>
  <si>
    <t>Corina Stanciu</t>
  </si>
  <si>
    <t>0751102183</t>
  </si>
  <si>
    <t xml:space="preserve">Camelia spătarul </t>
  </si>
  <si>
    <t xml:space="preserve">Ridicare vase:
12 vase total:
-8 vase Candy bar 
-4 vase extra </t>
  </si>
  <si>
    <t>ridicare vase</t>
  </si>
  <si>
    <t>Iacobescu Alina</t>
  </si>
  <si>
    <t>0721577188</t>
  </si>
  <si>
    <t>Splaiul independentei,nr 277,sector 6,sediul electrocentralei Elcen</t>
  </si>
  <si>
    <t>4 x felii rawvegan tiramisu</t>
  </si>
  <si>
    <t>1x  red velvet de 2,5 kg
1x Raspberry Vanilla 2.5 kg Decorat ca in poza
“Anais” sa scrie pe Tort</t>
  </si>
  <si>
    <t>0721953257</t>
  </si>
  <si>
    <t>Vadul moldovei nr. 17 
vis a vis de zoo. Restaurant LAZZO
(14.30-15.00)</t>
  </si>
  <si>
    <t>0746229991</t>
  </si>
  <si>
    <t>1 x Tort botez Baby Balerina 
(modelul cu ornament pantofiori)
 compozitie carrot cake / greutate 5kg, 
mesaj personalizat: ‘Ema Maria’
(+ certificat de conformitate)</t>
  </si>
  <si>
    <t>Hanul Berarilor Casa Lupescu
(pana la 12:00)</t>
  </si>
  <si>
    <t xml:space="preserve"> 12:00-13:00</t>
  </si>
  <si>
    <t>strada Petru-Vodă, nr 7
(12:00-13:00)</t>
  </si>
  <si>
    <t xml:space="preserve">Tort Decorat_x000D_
</t>
  </si>
  <si>
    <t>Str intrarea Cosmina, nr 54-62, bl 1, sc 2, parte, ap 10. interfon 10. sector 5</t>
  </si>
  <si>
    <t>Aleea Drumul Potcoavei 55V, Voluntari, Ilfov</t>
  </si>
  <si>
    <t>Dupa ora 16:00</t>
  </si>
  <si>
    <t xml:space="preserve">Tort Trio Mousse 1.4 kg_x000D_
Maxi Tarta Caspuni_x000D_
</t>
  </si>
  <si>
    <t xml:space="preserve">
1 x tort trio mousse 1.4 kg
1 x maxi tarta capsune 1.5 kg
</t>
  </si>
  <si>
    <t>Vanda Micu</t>
  </si>
  <si>
    <t>Str. arhitect ion Mincu, nr 29 bis</t>
  </si>
  <si>
    <t xml:space="preserve">Blvd. Pipera, nr. 86-88, vila 5,
Voluntari </t>
  </si>
  <si>
    <t>Aleea Ghimeș nr 10, bl 29, sc B, et 1, ap21.
București</t>
  </si>
  <si>
    <t>1 x Carrot Cake cu Stevie
Greutate: 1.4 kg (9 persoane)</t>
  </si>
  <si>
    <t>Alex Ionescu</t>
  </si>
  <si>
    <t>0747444007</t>
  </si>
  <si>
    <t>str Trapezului nr 9 bl G2 sc 5 etj 3 ap 48 intf 48
Bucharest,</t>
  </si>
  <si>
    <t>website #17810</t>
  </si>
  <si>
    <t>Amenajare Candy-Bar 50 persoane + Vesela
28 x Choux a la Crème Fistic
28 x Macarons Culori tematice:
-15 verde deschis (fistic)
-10 roz
-3 albastre
28 x Mini Tarta Ciocolata si Caramel
28 x Mini Tarta Lamaie si Bezea Flambata
28 x Mini Pavlova
28 x Mini Tarta Fructe
18 x Pahar Tiramisu
18 x Ecler Artizanal
18 x Cake Pops Tematice
9 x Briose Tematice</t>
  </si>
  <si>
    <t>Mitran Georgiana</t>
  </si>
  <si>
    <t>0771630331</t>
  </si>
  <si>
    <t>strada TINERETULUI 35, CHIAJNA, Com. Dudu</t>
  </si>
  <si>
    <t>1 x tort framboisier 1.8
Mesaj: Sa traiasca taurii!
1 x platou de 5 pers</t>
  </si>
  <si>
    <t>Restaurant Sole
(livrare 10:00-12:30)</t>
  </si>
  <si>
    <t>Comanda:
Culori: crem, roz,mov,corai
14 x cake pops
15 x choux vanilie
14 x mousse fructe de padure
15 x mini briose 
14 x rasberry vanilla 
15 x mini pavlova</t>
  </si>
  <si>
    <t>1 x Berry Chocolate, 1,4 kg
mesaj personalizat: La multi ani, Calin!
Biscuitii macarons din decor sa fie de ciocolata, sau o culoare "de baieti".</t>
  </si>
  <si>
    <t>aaa Anca Mamant</t>
  </si>
  <si>
    <t>1 x tort ca in Poza 1 (berry chocolate || 1 etaj || 2.5 kg) cu mesajul "La multi ani, Traian!".
Pe tort in locul topperului se va scrie cifra "1" pe balon ca in poza 2
Atentie: in loc de Hipopotam sa fie neaparat o maimutica
+
1 x prajitura tonka stevia</t>
  </si>
  <si>
    <t>Tort Chocolate Delight
Greutate: 1.4 kg (9 persoane)
Mesaj Personalizat: LA MULTI ANI TATA !</t>
  </si>
  <si>
    <t>zzz Andreea Burtan</t>
  </si>
  <si>
    <t>0765522020</t>
  </si>
  <si>
    <t>website #17811</t>
  </si>
  <si>
    <t xml:space="preserve"> 15:00 - 15:45</t>
  </si>
  <si>
    <t>Palatul Ghica Tei
Amenajarea Candy bar-ului se va face intre 15:00 - 15:45</t>
  </si>
  <si>
    <t>1 x tort clasic de 15 kg, pe 3 etaje decorat cu bujori naturali si imbracat in crema de unt la fel ca in poza 1
1 x amenajare + vesela
Culori tematice: ROZ si ALB
45 x Choux a la Crème Fistic
45 x Macarons Culori Tematice
45 x Mini Tarta Ciocolata si Caramel
45 x Mini Tarta Lamaie si Bezea Flambata
45 x Mini Pavlova
45 x Mini Tarta Fructe
29 x Pahar Tiramisu
29 x Ecler Artizanal
29 x Cake Pops Tematice
15 x Briose Tematice</t>
  </si>
  <si>
    <t>Ancuta</t>
  </si>
  <si>
    <t>0742282315</t>
  </si>
  <si>
    <t>trebuie trimis contract luni 17.05.2021  pentru a putea face plata avansului!</t>
  </si>
  <si>
    <t>Ion Gabriela</t>
  </si>
  <si>
    <t>0741509064</t>
  </si>
  <si>
    <t xml:space="preserve">Strada Resita 20, bloc A19, scara A, etaj 2, ap 7, sector 4 </t>
  </si>
  <si>
    <t xml:space="preserve">
1 x tort bezea cu ciocolata 1.4 kg
</t>
  </si>
  <si>
    <t>Alexandra Langa</t>
  </si>
  <si>
    <t>0723199191</t>
  </si>
  <si>
    <t>str. Tuzla nr 50 (Bamboo terasa)
Amenajarea se va face intre 13:00-13:45</t>
  </si>
  <si>
    <t>13:00-13:45</t>
  </si>
  <si>
    <t>1 x amenajare 
Candy bar 50 pers
Culori tematice: bleu
28 x Choux a la Crème Fistic
28 x Macarons Culori Tematice
28 x Mini Tarta Ciocolata si Caramel
28 x Mini Tarta Lamaie si Bezea Flambata
28 x Mini Pavlova
28 x Mini Tarta Fructe
18 x Pahar Tiramisu
18 x Ecler Artizanal
18 x Cake Pops Tematice
9 x Briose Tematice</t>
  </si>
  <si>
    <t>Ecler fistic 2
Ecler zmeura 2
Cafina 2
Mont blanc 2
Choux a la creme 2
Prăjitură cu fistic și zmeura. 2
Tonka 2
montblanc 1</t>
  </si>
  <si>
    <t xml:space="preserve">Prajitura Ecler Fistic_x000D_
Prajitura Ecler Fistic_x000D_
Prajitura Ecler Zmeura_x000D_
Prajitura Ecler Zmeura_x000D_
Prajitura Cafina_x000D_
Prajitura Cafina_x000D_
Prajitura Mont Blanc_x000D_
Prajitura Mont Blanc_x000D_
Prajitura Choux Vanilie_x000D_
Prajitura Choux Vanilie_x000D_
Monoportie Fistic si Zmeura_x000D_
Monoportie Fistic si Zmeura_x000D_
Monoportie Tonka_x000D_
Monoportie Tonka_x000D_
Prajitura Mont Blanc_x000D_
</t>
  </si>
  <si>
    <t xml:space="preserve">Pop Laura </t>
  </si>
  <si>
    <t>Siret 65, sector 1</t>
  </si>
  <si>
    <t>1 x tort dmv Stevia 1.2
1 x tort dmv 1.4
Frumos decorate, cu fructe si auriu!!!</t>
  </si>
  <si>
    <t>datorie Ralcom</t>
  </si>
  <si>
    <t xml:space="preserve">
Ridicare topper 
</t>
  </si>
  <si>
    <t xml:space="preserve">Ridicare topper </t>
  </si>
  <si>
    <t>Drumul Gilăului, nr. 148</t>
  </si>
  <si>
    <t xml:space="preserve">Radu  </t>
  </si>
  <si>
    <t>0722101097</t>
  </si>
  <si>
    <t>10 amandine, 
4 ciocolatina,
 4 cafina, 
4 tarte capsuni, 
2 platouri de 5pers</t>
  </si>
  <si>
    <t xml:space="preserve">Prajitura Amandina_x000D_
Prajitura Amandina_x000D_
Prajitura Amandina_x000D_
Prajitura Amandina_x000D_
Prajitura Amandina_x000D_
Prajitura Amandina_x000D_
Prajitura Amandina_x000D_
Prajitura Amandina_x000D_
Prajitura Amandina_x000D_
Prajitura Amandina_x000D_
Prajitura Ciocolatina_x000D_
Prajitura Ciocolatina_x000D_
Prajitura Ciocolatina_x000D_
Prajitura Ciocolatina_x000D_
Prajitura Cafina_x000D_
Prajitura Cafina_x000D_
Prajitura Cafina_x000D_
Prajitura Cafina_x000D_
Prajitura Tarta Capsuni_x000D_
Prajitura Tarta Capsuni_x000D_
Prajitura Tarta Capsuni_x000D_
Prajitura Tarta Capsuni_x000D_
Platou Minipraji 5 Persoane_x000D_
Platou Minipraji 5 Persoane_x000D_
</t>
  </si>
  <si>
    <t>Bd. Octavian Goga 10, bl. M60, SC. A, ET. 6 AP. 21, INT 21</t>
  </si>
  <si>
    <t>0723141616</t>
  </si>
  <si>
    <t>1 x Carrot cake 1,4 kg
cu mesajul "La multi ani"</t>
  </si>
  <si>
    <t>Tort Cifra
Ce cifra va reprezenta tortuletul?: 1
Mesaj Personalizat: La multi ani Ilinca!</t>
  </si>
  <si>
    <t>0726965153</t>
  </si>
  <si>
    <t>zzz Iuliana Slevoaca</t>
  </si>
  <si>
    <t>website #17812</t>
  </si>
  <si>
    <t>Tort Framboisier cu Stevie
Greutate: 1.2 kg (8 persoane)
Mesaj Personalizat: La multi ani, Emicu!</t>
  </si>
  <si>
    <t>Neli Laudat</t>
  </si>
  <si>
    <t>0730212219</t>
  </si>
  <si>
    <t>Intrarea Prundeni nr. 5c, sector 5,
Bucuresti</t>
  </si>
  <si>
    <t>website #17813</t>
  </si>
  <si>
    <t>1 x Tort Framboisier 1.8 kg
Mesaj Personalizat: LA MULTI ANI!
1 x platou miniprajituri (28 buc)
1 x Felie Tort Raw Vegan Fistic</t>
  </si>
  <si>
    <t xml:space="preserve">Tort Framboisier 1.8 kg_x000D_
Platou Minipraji 5 Persoane_x000D_
Felie Tort Raw-Vegan Fistic (100 gr)_x000D_
</t>
  </si>
  <si>
    <t>Str. Cernisoara nr. 45, bloc O13, scara B, et. 8, ap. 52
Bucuresti</t>
  </si>
  <si>
    <t>Silvia Chirita</t>
  </si>
  <si>
    <t>0721231805</t>
  </si>
  <si>
    <t>website #17814</t>
  </si>
  <si>
    <t>Elena Negulescu</t>
  </si>
  <si>
    <t>0731138893</t>
  </si>
  <si>
    <t>M.Eminescu nr. 137
Sector 2</t>
  </si>
  <si>
    <t>website #17815</t>
  </si>
  <si>
    <t>Tort Duo Mousse cu Visine cu Stevie
Greutate: 1.2 kg (8 persoane)
Mesaj Personalizat: La mulți ani TATAIE!</t>
  </si>
  <si>
    <t>Aurelia Alexe</t>
  </si>
  <si>
    <t>0774072812</t>
  </si>
  <si>
    <t>Sinești 20A
BUCURESTI</t>
  </si>
  <si>
    <t>website #17816</t>
  </si>
  <si>
    <t>Elvira Cable</t>
  </si>
  <si>
    <t>0722296142</t>
  </si>
  <si>
    <t>Petre Aurelian, No 72- Scoala King's Oak
Bucuresti</t>
  </si>
  <si>
    <t>website #17817</t>
  </si>
  <si>
    <t>1 x tort 1.4 kg framboisier
Mesaj Personalizat: La multi ani Stefan!
15 ani
1 x platou mini-tarte</t>
  </si>
  <si>
    <t xml:space="preserve">Platou Mini Tarte (15 buc)_x000D_
Tort Framboisier 1.4 kg_x000D_
</t>
  </si>
  <si>
    <t>1 x Tort Tonka
Greutate: 1.8 kg (12 persoane)
Mesaj Personalizat: La multi ani Cati!
1 x Tort Clasic
Greutate: 2.5 kg (16 persoane)
Mesaj Personalizat: La multi ani Cati!
1 x Tort Noisette
Greutate: 1.4 kg (9 persoane)
Mesaj Personalizat: La multi ani Andrei si Cati!</t>
  </si>
  <si>
    <t xml:space="preserve">Tort Tonka 1.8 kg_x000D_
Tort Noisette 1.4 kg_x000D_
Tort clasic 2.5 kg_x000D_
</t>
  </si>
  <si>
    <t>Cristina Ivan</t>
  </si>
  <si>
    <t>0731040893</t>
  </si>
  <si>
    <t>Str. Bradetului 24A, Bloc OCTOPUS, scara 5, et 5 apt 129 interfon 129</t>
  </si>
  <si>
    <t>Tort de Bezea cu Ciocolata
Greutate: 1.8 kg (12 persoane)
Mesaj Personalizat: Raluca și Cristi = LOVE</t>
  </si>
  <si>
    <t>0722369975</t>
  </si>
  <si>
    <t>Strada Plesul nr. 30, sector 6
Bucureşti (Sectorul 6)</t>
  </si>
  <si>
    <t>website #17818</t>
  </si>
  <si>
    <t>website #17819</t>
  </si>
  <si>
    <t>Mitroi Ioana Andreea</t>
  </si>
  <si>
    <t>0727389899</t>
  </si>
  <si>
    <t>soseaua Odaii nr 367 B (restaurant "La conac")
amenajarea candy bar-ului se va face intre 12:00- 12:45</t>
  </si>
  <si>
    <t xml:space="preserve">1 x amenajare plus vesela
Culorile: roz, auriu, alb , lila
29 x Choux a la Crème Fistic
29 x Macarons Culori Tematice
29 x Mini Tarta Ciocolata si Caramel
29 x Mini Tarta Lamaie si Bezea Flambata
29 x Mini Pavlova
29 x Mini Tarta Fructe
19 x Pahar Tiramisu
19 x Ecler Artizanal
19 x Cake Pops Tematice
10 x Briose Tematice
</t>
  </si>
  <si>
    <t xml:space="preserve"> 12:00- 12:45</t>
  </si>
  <si>
    <t>Tudor Adina</t>
  </si>
  <si>
    <t>0752094700</t>
  </si>
  <si>
    <t>1 x Tort tonka de 1.8 kg cu GLAZURA ROSIE, fara inelul de fructe, pe tort se va pune stema cu steaua din poza atasata.
Stema sa fie decupată. Nu va mai complicați cu alea 2 stelute de sus.
Sub stema steaua se pune inca o placuta cu mesaj: La multi ani, șefu ăl mic 😃!
(De predat cu certificat de conformitate)</t>
  </si>
  <si>
    <t>Prelungirea Ghencea, nr 95 C (pana in ora 12:00)</t>
  </si>
  <si>
    <t>0722100333</t>
  </si>
  <si>
    <t>emanuel</t>
  </si>
  <si>
    <t>1 x prajitura duo mousse visine stevia
1 x prajitura fistic zmeura stevia
1 x prajitura tonka stevie
3 x cremsnit stevia
1 x ecler zmeura stevia
1 x tarta mure stevia</t>
  </si>
  <si>
    <t>str. Gheorghe demetriade, nr 7, et 1, ap 3, interfon 3.
(pana la 12:30
de respectat ora)</t>
  </si>
  <si>
    <t xml:space="preserve">Stanca Irina </t>
  </si>
  <si>
    <t>0742033446</t>
  </si>
  <si>
    <t>1 x Platou 5 pers</t>
  </si>
  <si>
    <t xml:space="preserve">str. Ritmului nr 24
</t>
  </si>
  <si>
    <t>Str Grigore Moisil nr 2 bl 6 ap 2</t>
  </si>
  <si>
    <t>0723071370</t>
  </si>
  <si>
    <t>zzz Carmen Margarit</t>
  </si>
  <si>
    <t>Tort tonka 1.8 kg
Mesaj : La multi ani!
Atentie: doreste tortul portionat pt 12 pers
2 x monoportie tonka stevia</t>
  </si>
  <si>
    <t>Anca Zamfirescu</t>
  </si>
  <si>
    <t>0746088597</t>
  </si>
  <si>
    <t>Str Gladiolelor nr 17 (Amai Garden)</t>
  </si>
  <si>
    <t>1 x tort clasic 1.4 kg
Mesaj: La multi ani, Maria!
1 x Platou mini prajituri</t>
  </si>
  <si>
    <t xml:space="preserve">Tort clasic 1.4 kg_x000D_
Platou Minipraji 5 Persoane_x000D_
</t>
  </si>
  <si>
    <t>0756166662</t>
  </si>
  <si>
    <t>aaa comanda victoriei</t>
  </si>
  <si>
    <t>website #17820</t>
  </si>
  <si>
    <t>Tort Chocolate Delight
Greutate: 1.4 kg (9 persoane)
Tort Duo Mousse cu Visine cu Stevie
Greutate: 1.2 kg (8 persoane)
Tort Framboisier
Greutate: 1.4 kg (9 persoane)</t>
  </si>
  <si>
    <t>website #17821</t>
  </si>
  <si>
    <t>Prajitura Duo Mousse Visine Stevia 4
Prajitura Tonka cu Stevie 4
Cremsnit cu Stevie 4
Platou Mini Prajituri 10 persoane 1
Tarta Citron 4
Tarta cu Ciocolata si Caramel 4
Tarta Capsuni 6
Ecler Cocos 4
Ecler Fistic 4
Ecler Zmeura 4
Ecler Cafea 4
Ecler Mango 4
Ecler Ciocolata 4
Tiramisu 3
Toffee Profiterol 3
Cremsnit 4
Mont Blanc 4
Ciocolatina 4
Cafina 4
Prajitura cu Fistic si Zmeura 4
Prajitura Tonka 4</t>
  </si>
  <si>
    <t>1 x Tort Duo-Mousse cu Visine 1.8 kg
Mesaj Personalizat: La multi ani sora scumpa !!! Domnul sa te binecuvinteze mult mult
1 x platou miniprajituri (28 buc)</t>
  </si>
  <si>
    <t>diana van belle</t>
  </si>
  <si>
    <t>0726375124</t>
  </si>
  <si>
    <t xml:space="preserve">IULIU MANIU , NR 15 H , BL C3 , SC 2 ,AP 114 , ET 4
bucuresti </t>
  </si>
  <si>
    <t>website #17823</t>
  </si>
  <si>
    <t>1 x Tort Berry Chocolate
Greutate: 1.4 kg (9 persoane)</t>
  </si>
  <si>
    <t>Daniela Diaconu</t>
  </si>
  <si>
    <t>0744523929</t>
  </si>
  <si>
    <t>str Vladeasa nr 4, Bl C75, Sc. A, Et 3, Ap 20
Bucuresti sect 6</t>
  </si>
  <si>
    <t>website #17824</t>
  </si>
  <si>
    <t>Teodor BULACU</t>
  </si>
  <si>
    <t>0752033713</t>
  </si>
  <si>
    <t>Rezervelor 47, vila 6, apartament 12
Roșu, Chiajna</t>
  </si>
  <si>
    <t>website #17825</t>
  </si>
  <si>
    <t>Factura trimisa si achitata
 (750 tort
- 15 transport
+ 15% discount)</t>
  </si>
  <si>
    <t>Tort Oreo
Greutate: 1.4 kg (9 persoane)
Mesaj Personalizat: La mulți ani Alexandru !</t>
  </si>
  <si>
    <t>Cristi Savu</t>
  </si>
  <si>
    <t>Libertății ,Nr. 35 A
Chiajna</t>
  </si>
  <si>
    <t>website #17826</t>
  </si>
  <si>
    <t>0766811227</t>
  </si>
  <si>
    <t>Red Velvet
Greutate: 2.5 kg (16 persoane)
Mesaj Personalizat: Happy 4 Birthday
Sofia Olivia Maria
1 x Figurina Coroana
(figurina sa fie pusa pe tort)</t>
  </si>
  <si>
    <t>Tort Duo Mousse cu Visine cu Stevie
Greutate: 1.8 kg (12 persoane)
Mesaj Personalizat: Felicitări pentru întreaga carieră.
Cu drag, Colegii</t>
  </si>
  <si>
    <t>Claudia Catrinescu</t>
  </si>
  <si>
    <t>0744756861</t>
  </si>
  <si>
    <t>Campia Libertatii nr. 36
Bucuresti</t>
  </si>
  <si>
    <t>website #17827</t>
  </si>
  <si>
    <t>Adrian Vladu</t>
  </si>
  <si>
    <t>0768535779</t>
  </si>
  <si>
    <t>Anton bacalbasa nr. 5, bl 55, sc. 1, et. 8, ap 53, sector 4</t>
  </si>
  <si>
    <t>Tort Duo Mousse cu Visine
Greutate: 1.4 kg (9 persoane)
Mesaj Personalizat: La multi ani!!!</t>
  </si>
  <si>
    <t>website #17828</t>
  </si>
  <si>
    <t>2 x Platou 30 macarons</t>
  </si>
  <si>
    <t>SOS VERGULUI NR 57
BUCURESTI</t>
  </si>
  <si>
    <t xml:space="preserve">Platou Macarons 30 Buc_x000D_
Platou Macarons 30 Buc_x000D_
</t>
  </si>
  <si>
    <t>website #17829</t>
  </si>
  <si>
    <t>GABRIELA GHEORGHIU</t>
  </si>
  <si>
    <t>0744237278</t>
  </si>
  <si>
    <t>strada Maxim Gorki, nr.36a
Voluntari,</t>
  </si>
  <si>
    <t>website #17830</t>
  </si>
  <si>
    <t>Stela Dulea</t>
  </si>
  <si>
    <t>0721378857</t>
  </si>
  <si>
    <t>Nectara Birsan</t>
  </si>
  <si>
    <t>0754227366</t>
  </si>
  <si>
    <t>soldat Ilie Mihail, Nr 11, Bl M132, Sc A, Ap 11
Bucuresti,</t>
  </si>
  <si>
    <t>website #17831</t>
  </si>
  <si>
    <t>Curcubeu Mille Feuille
Mesaj Personalizat: La Multi Ani, copii!</t>
  </si>
  <si>
    <t>Anca Florea</t>
  </si>
  <si>
    <t>0733048521</t>
  </si>
  <si>
    <t>website #17832</t>
  </si>
  <si>
    <t>1 x Tort cu Ciocolata si Rom
Greutate: 1.4 kg (9 persoane)
Mesaj Personalizat: La multi ani!</t>
  </si>
  <si>
    <t>Valentin Iacubovici</t>
  </si>
  <si>
    <t>0730014397</t>
  </si>
  <si>
    <t>Sos.Pantelimon nr.247 bloc 54 ap.97 sector 2
Bucuresti</t>
  </si>
  <si>
    <t>website #17833</t>
  </si>
  <si>
    <t xml:space="preserve">Platou Minipraji 5 Persoane_x000D_
Tort Framboisier 1.4 kg_x000D_
</t>
  </si>
  <si>
    <t>Camelia Sorir</t>
  </si>
  <si>
    <t>0724573547</t>
  </si>
  <si>
    <t>Lacul Amara nr.1A, sector 2
BUCURESTI</t>
  </si>
  <si>
    <t xml:space="preserve">1 x tort 1.4 kg framboisier
Mesaj Personalizat: La mulți ani, tati!
Te iubim!
❤️40❤️
1 x platou miniprajituri </t>
  </si>
  <si>
    <t>1 x tort mousse cu visine cu STEVIA de 1,2 kg.
Sa scrie: "la multi ani!".</t>
  </si>
  <si>
    <t>0742142207</t>
  </si>
  <si>
    <t>str. Brailita, nr 5, bloc V10,  scara 2, etaj 4, apt 41, interfon 41C.</t>
  </si>
  <si>
    <t>Alexandra Tanase</t>
  </si>
  <si>
    <t>0764185736</t>
  </si>
  <si>
    <t>Strawberry Cake 2
Prajitura Lara 2
Cakesicle 2
Toffee Profiterol 2
Tiramisu 2
Mille Feuille 2
Prajitura Tonka 2</t>
  </si>
  <si>
    <t xml:space="preserve">Prajitura Strawberry Cake_x000D_
Prajitura Strawberry Cake_x000D_
Easter Cakesicle_x000D_
Easter Cakesicle_x000D_
Golden Egg Delight Monoportie_x000D_
Golden Egg Delight Monoportie_x000D_
Prajitura Profiterol_x000D_
Prajitura Profiterol_x000D_
Prajitura Tiramisu_x000D_
Prajitura Tiramisu_x000D_
Mille Feuille_x000D_
Mille Feuille_x000D_
Monoportie Tonka_x000D_
Monoportie Tonka_x000D_
</t>
  </si>
  <si>
    <t xml:space="preserve">Pecineaga nr 90
Bucuresti, </t>
  </si>
  <si>
    <t>website #17835</t>
  </si>
  <si>
    <t>Nistor Alexandra (Reta)</t>
  </si>
  <si>
    <t>0731544594</t>
  </si>
  <si>
    <t xml:space="preserve">1 x tort vanilla passion </t>
  </si>
  <si>
    <t>Str. Carpati 53, Voluntari, Ilfov</t>
  </si>
  <si>
    <t>Ridicare Vase Candy Bar</t>
  </si>
  <si>
    <t>Ridicare vase candy bar</t>
  </si>
  <si>
    <t>Calea dorobanti 33a</t>
  </si>
  <si>
    <t xml:space="preserve">Florin </t>
  </si>
  <si>
    <t xml:space="preserve">1 x tort Berry chocolate de 5 kg total, pe 2 etaje, decorat ca in poza 1
Fetita sa fie satena  ca in poza 2, iar rochia fetiteti sa fie ca cea din poza 3
Baloanele sa fi in nuante de galben, portocaliu, verde, crem si ivoire la fel ca rochita
Pe tort sa fie scris "La multi ani, Teodora !" si sa apara si cifra 1 pe tort
Floricelele si verdeata sa fie si ele in nuantele rochitei
Pe baloane sa fie scrise urmatoarele urari:
Fericire
Încredere
Iubire
Zâmbete
Bucurie
Curaj
Istețime
Noroc
Sănătate
1 x turta mot decorata cu bezele verzi </t>
  </si>
  <si>
    <t>Cristina U.
0722510584 Florin, persoana de contact la locatie</t>
  </si>
  <si>
    <t>Raluca Wilhelm</t>
  </si>
  <si>
    <t>0742920600</t>
  </si>
  <si>
    <t>1 x tort oreo de 3 kg decorat ca in poza 1, culorile sa fie bleu in loc de roz si semiluna galbena
Numele de pe tort sa fie "Edward"</t>
  </si>
  <si>
    <t>Bd. Tineretului nr. 27 bl. 18 sc. B ap. 78</t>
  </si>
  <si>
    <t>Candy bar 60 persoane
Tematica: Micul Print 
35 x Choux a la Crème Fistic
35 x Macarons Culori Tematice
35 x Mini Tarta Ciocolata
35 x Mini Tarta Lamaie
35 x Mini Pavlova
35 x Mini Tarta Fructe
23 x Ecler Artizanal
23 x Cake Pops Tematic
23 x Mousse la Pahar
12 x Briose Tematice
60 x monoportii de tort clasic frumos decorate
1 x tort  cu 3 etaje macheta plus unul real, cel real este tort clasic
trebuie integrat tortul cu candy bar-ul tematica Micul Print
Numele bebelusului este Karim
Atentie tematica Micul Print, toate miniprajiturile vor fi  cu aceasta tematica si tortul la fel
Etajele inferioare sa aiba vulpita, trandafirul (poza 1) si avionul(poza 2)
Atentie: in departamentul decor sunt poza pentru inspiratie (candy bar si tort)!!!!!
Tortul poate fi in genul celui din poza 3, dar mult mai colorat si cu mai multe figurine pe etaje</t>
  </si>
  <si>
    <t xml:space="preserve">whatsapp #07 </t>
  </si>
  <si>
    <t>Prajitura Duo Mousse Visine Stevia 4
Prajitura Tonka cu Stevie 4
Cremsnit cu Stevie 4
Platou Mini Prajituri 10 persoane 1
Tarta Citron 4
Tarta cu Ciocolata si Caramel 4
Tarta Capsuni 6
Ecler Cocos 4
Ecler Fistic 4
Ecler Zmeura 4
Ecler Cafea 4
Ecler Mango 4
Ecler Ciocolata 4
Tiramisu 3
Toffee Profiterol 3
Cremsnit 4
Mont Blanc 4
Ciocolatina 4
Cafina 4
Prajitura cu Fistic si Zmeura 4
Prajitura Tonka 4
1 x tort 1.4 kg framboisier
1 x Tort cu Ciocolata si Rom
1 x Carrot Cake cu Stevie 1.4</t>
  </si>
  <si>
    <t>2 x Platou Mini Prajituri 10 persoane
Tort cu Mango si Zmeura
Greutate: 1.4 kg (9 persoane)
Mesaj Personalizat: La multi ani, Bogdan!
Tort cu Mango si Zmeura
Greutate: 1.8 kg (12 persoane)
Mesaj Personalizat: La multi ani, Bogdan!</t>
  </si>
  <si>
    <t>website #17838</t>
  </si>
  <si>
    <t>Drumul Valea Doftanei Nr 9
Bucuresti,</t>
  </si>
  <si>
    <t xml:space="preserve">Platou Minipraji 5 Persoane
Platou Minipraji 5 Persoane
Platou Minipraji 5 Persoane
Platou Minipraji 5 Persoane
Tort Omnia Fistic/Mango/Zmeura 1.4 kg
Tort Omnia Fistic/Mango/Zmeura 1.8 kg
</t>
  </si>
  <si>
    <t>achitat OP</t>
  </si>
  <si>
    <t>1 x tort Chocolate Delight 1.4kg
1 x tort 1.4 kg framboisier
1 x platou mini-tarte</t>
  </si>
  <si>
    <t>str. Fântânica nr 22A în incinta Clinicii Hipocrat.</t>
  </si>
  <si>
    <t>0761362270</t>
  </si>
  <si>
    <t xml:space="preserve">Tort Chocolate Delight 1.4 kg_x000D_
Tort Framboisier 1.4 kg_x000D_
Platou Mini Tarte (15 buc)_x000D_
</t>
  </si>
  <si>
    <t>1 x Chocolate Fiesta 1.4 kg
Il faceti exact cum este pe site cu o placuta pe care sa scrieti " La multi ani Tudor!".</t>
  </si>
  <si>
    <t>1 x tort ciocolata si portocale 2.5 kg
Mesaj:  "La multi ani!"</t>
  </si>
  <si>
    <t>str. Lacul-Orza, nr.13, 'Bucuresti</t>
  </si>
  <si>
    <t>str.Coralului, nr.11, bloc 6, etaj 5, ap.59. Bragadiru
(16:00-17:00)</t>
  </si>
  <si>
    <t>0747290564</t>
  </si>
  <si>
    <t>AAA Turcan Vladislava</t>
  </si>
  <si>
    <t>0747584929</t>
  </si>
  <si>
    <t>Ridicare din Victoriei</t>
  </si>
  <si>
    <t xml:space="preserve">Platou Minipraji 5 Persoane
</t>
  </si>
  <si>
    <t>1 x Cornulete Cu Dulceata si Nuci Stevia .
1 x Cookies cu Stevia
2 x Cremsnit cu Stevie</t>
  </si>
  <si>
    <t>1 x Platou Mini Prajituri 5 persoane
1 x Curcubeu Mille Feuille .</t>
  </si>
  <si>
    <t>Tort cu Fistic si Zmeura cu Stevie
Greutate: 1.2 kg (8 persoane)
Mesaj Personalizat: Happy B-day to the best Dad and Husband!</t>
  </si>
  <si>
    <t>Viorica Molloy</t>
  </si>
  <si>
    <t>0744505495</t>
  </si>
  <si>
    <t>Bdul.1 Decembrie 1918 nr.56 E
Sector 3</t>
  </si>
  <si>
    <t>website #17839</t>
  </si>
  <si>
    <t>0787365875</t>
  </si>
  <si>
    <t>2 x Cremsnit cu Stevie
2 x Prajitura Tonka cu Stevie
2 x Prajitura Duo Mousse Visine Stevia</t>
  </si>
  <si>
    <t>website #17840</t>
  </si>
  <si>
    <t>zzz Niculina Dache</t>
  </si>
  <si>
    <t>1 x Trufe Ciocolata Stevia
Pachet Stevia For All:
1 x tort framboisier stevia 1.8 kg
2 x tarta mure stevia
2 x cremsnit stevia
2 x felie tarta mere stevia</t>
  </si>
  <si>
    <t>0721907907</t>
  </si>
  <si>
    <t>website #17841</t>
  </si>
  <si>
    <t>Tort Chocolate Delight
Greutate: 1.4 kg (9 persoane)
Mesaj Personalizat: La mulți ani, sora noastră. Te iubim mult, mult! #stefy22</t>
  </si>
  <si>
    <t>Coticiu Alina</t>
  </si>
  <si>
    <t>Strada Prelungirea Ghencea, Nr.91F , scara 1, etaj 2, ap.19
București</t>
  </si>
  <si>
    <t>0762344807</t>
  </si>
  <si>
    <t>website #17842</t>
  </si>
  <si>
    <t xml:space="preserve">1 x Platou Mini Prajituri 5 persoane
</t>
  </si>
  <si>
    <t>zzz Daniela Petrache</t>
  </si>
  <si>
    <t>website #17843</t>
  </si>
  <si>
    <t>zzz Gabriela Toderas</t>
  </si>
  <si>
    <t xml:space="preserve">
'Strada Gheorghe Buciumat, 10
Bucuresti</t>
  </si>
  <si>
    <t>1 x felie framboisier
1 x felie duo mousse cu visine
1 x felie citron
1 x felie fistic si zmeura 
1 x felie tonka
1 x felie clasic
1 x felie oreo 
1 x felie chocolate fiesta
1 x felie berry chocolate</t>
  </si>
  <si>
    <t xml:space="preserve">Tudor Bianca
0763938634
(a fost mutat de pe 17.07)
(A fost sunata toata saptamana 06.05-13.05 si a avut tel inchis.) </t>
  </si>
  <si>
    <t>Comanda Laura wts
+41764835771</t>
  </si>
  <si>
    <t>0765621768</t>
  </si>
  <si>
    <t>Str Boian Nr 69  Sector 4</t>
  </si>
  <si>
    <t xml:space="preserve"> 1 x tort chocolate Fiesta 1,4 cu poza print din departamentul decor
mesaj: Wish you to have a lovely life princess
lumanari cu cifre 1 si 3</t>
  </si>
  <si>
    <t>Georgeta Ghete</t>
  </si>
  <si>
    <t>0729035776</t>
  </si>
  <si>
    <t>1 x Tort Duo Mousse cu Visine cu Stevie
Greutate: 1.2 kg (8 persoane)
2 x Prajitura Tonka cu Stevie
2 x Prajitura cu Fistic si Zmeura cu Stevie</t>
  </si>
  <si>
    <t>Șerban Cantacuzino 57 I
Voluntari</t>
  </si>
  <si>
    <t>website #17847</t>
  </si>
  <si>
    <t>Alexandra Anghel</t>
  </si>
  <si>
    <t>0729074144</t>
  </si>
  <si>
    <t>Stanjeneilor nr 4 bl 62 sc 2 et 7 ap 98 int 98
Bucuresti,</t>
  </si>
  <si>
    <t>website #17848</t>
  </si>
  <si>
    <t>doina Berchina</t>
  </si>
  <si>
    <t>0722204230</t>
  </si>
  <si>
    <t>Bd. Tineretului 29, bloc 19, scara B,et.11, ap.90 interfon 90</t>
  </si>
  <si>
    <t>website #17849</t>
  </si>
  <si>
    <t xml:space="preserve">1 x tort 1.4 kg framboisier
1 x platou mini-tarte </t>
  </si>
  <si>
    <t xml:space="preserve">1 x tort 1.4 kg framboisier
Mesaj Personalizat: Hello 30
1 x platou mini-tarte 
</t>
  </si>
  <si>
    <t>Alexandra Dumitrescu</t>
  </si>
  <si>
    <t>0727787776</t>
  </si>
  <si>
    <t>Drumul Taberei 98, bl.C2, sc.B, et.7, ap.68, int.268
Bucuresti,</t>
  </si>
  <si>
    <t>website #17850</t>
  </si>
  <si>
    <t>MADY MANESCU</t>
  </si>
  <si>
    <t>0741285678</t>
  </si>
  <si>
    <t xml:space="preserve">
1x Cremsnit cu Stevie
1 x Ecler Cafea Stevia
1 x Tarta Capsune cu Stevie
1 x Amandina
1 x Savarina</t>
  </si>
  <si>
    <t>STR. DR. PETRINI, NR.9</t>
  </si>
  <si>
    <t>website #17851</t>
  </si>
  <si>
    <t>Tort cu Fistic si Zmeura
Greutate: 1.4 kg (9 persoane)
Mesaj Personalizat: LA MULTI ANI , OANA
31 DE ANI</t>
  </si>
  <si>
    <t>Ioana Raicu</t>
  </si>
  <si>
    <t>0785814550</t>
  </si>
  <si>
    <t>str.Piscul Crasani nr 71 ( complex Yola 71), etaj 3, apt.16</t>
  </si>
  <si>
    <t>website #17852</t>
  </si>
  <si>
    <t>Raluca Nica</t>
  </si>
  <si>
    <t>0724522810</t>
  </si>
  <si>
    <t>str. 'Tigrului 8,
Bucharest</t>
  </si>
  <si>
    <t>website #17853</t>
  </si>
  <si>
    <t>2 x Mini Red Velvet
2 x Cheese Cake
1 x Platou Mini Prajituri 5 persoane</t>
  </si>
  <si>
    <t xml:space="preserve">Mini Red Velvet
Mini Red Velvet
Prajitura Cheese Cake
Prajitura Cheese Cake
Platou Minipraji 5 Persoane
</t>
  </si>
  <si>
    <t>0741215384</t>
  </si>
  <si>
    <t>1 x Tort minnie</t>
  </si>
  <si>
    <t>zzz Lili Maistruc</t>
  </si>
  <si>
    <t>Tort: Boss Baby (Compoziție: Fiesta | 3 kg)
Mesaj: Vladimir Andrei 
1 AN
(+lumanare cifra: 1)</t>
  </si>
  <si>
    <t xml:space="preserve">
'1 x Tort Pavlova  1.2 kg
Mesaj : La mulți ani, Tati ! Te iubim !
(+lumanare cifra: 35)
</t>
  </si>
  <si>
    <t>0770640696</t>
  </si>
  <si>
    <t>0745567627</t>
  </si>
  <si>
    <t>zzz Bogdan</t>
  </si>
  <si>
    <t xml:space="preserve">1 x Framboisier de 1,2 kg STEVIA
</t>
  </si>
  <si>
    <t xml:space="preserve">1 x DMV 1.8 kg
1 x platou miniprajituri (28 buc)
1 x tort 1.4 kg framboisier
1 x platou miniprajituri </t>
  </si>
  <si>
    <t xml:space="preserve">Tort Duo Mousse Visine 1.8 kg_x000D_
Platou Minipraji 5 Persoane_x000D_
Tort Framboisier 1.4 kg_x000D_
Platou Minipraji 5 Persoane_x000D_
</t>
  </si>
  <si>
    <t>zzz Monica Licu</t>
  </si>
  <si>
    <t>a achitat avans 750 RON prin OP.
 Factura si contract trimise</t>
  </si>
  <si>
    <t>client</t>
  </si>
  <si>
    <t>bdul. Lacul Tei, nr. 84, Restaurant Quartiere, sector 2, Bucuresti</t>
  </si>
  <si>
    <t>Gabriela TOADER</t>
  </si>
  <si>
    <t>0740769062</t>
  </si>
  <si>
    <t>1 x tort clasic 1,2 total decorat ca in poza 1</t>
  </si>
  <si>
    <t>Aleea Lerești 6, bloc D2 sc B, ap13, interfon 13, sect 5, București</t>
  </si>
  <si>
    <t>Str fortului Nr 37, bucuresti</t>
  </si>
  <si>
    <t>pana la ora 14:30</t>
  </si>
  <si>
    <t xml:space="preserve">
1 x tort oreo 1,2 kg total decorat ca in poza 1( Tort Cars )
1 x tort clasic 1,2 kg total decorat ca in poza 2 ( Tort Little Pony )
</t>
  </si>
  <si>
    <t>Raluca Pastia</t>
  </si>
  <si>
    <t>0723489899</t>
  </si>
  <si>
    <t>Adresa: Maior Ion Coravu nr 4 ap 4 et 3, Interfon 4, sector 2 Bucurest
 (pana in ora 16:00)</t>
  </si>
  <si>
    <t>1 x Tort Framboisier de 1.4 kg</t>
  </si>
  <si>
    <t>0726348591</t>
  </si>
  <si>
    <t xml:space="preserve">
1 x Tort Fistic cu zmeura de 3 kg cu urmatoarele detalii:
-Glasaj oglida verde, normal cum facem noi
- pe tort de pus un curcubeu in genul pozei 1 dar in forma de potcoava cum avem noi millefeule de 01 iunie (poza 2)
- Mesaj “La multi ani, Olivia!”
- cifra 5 din pasta de zahar pusa undeva 
</t>
  </si>
  <si>
    <t>Str Albitei 2K, Sect 6
 (preferabil interval 12:00 -  16:00)</t>
  </si>
  <si>
    <t>Tatu Nicoleta</t>
  </si>
  <si>
    <t>0726999365</t>
  </si>
  <si>
    <t>Bd 1 mai nr 501 comuna Berceni ilfov, gradinita Miracles ( Este langa Sabri Groove fitness &amp; spa, cum intrati in parcare ultima casa in spate)
(pana in 10:30 – de pus prima livare)</t>
  </si>
  <si>
    <t>factura persoana fizica plata online, nu cereti nimic la locatie</t>
  </si>
  <si>
    <t>1 x Tort framboisier de 1,8 kg cu mesajul “La multi ani, Antonia!”
(Neaparat certificat de conformitate)</t>
  </si>
  <si>
    <t>1 x tort chocolate fiesta de 3.5 kg total decoarat ca in poza 1, mesajul sa fie La multi ani Pisi!</t>
  </si>
  <si>
    <t>Alina Andreescu</t>
  </si>
  <si>
    <t>0763337389</t>
  </si>
  <si>
    <t>Intrarea Smardan, nr.13, Bragadiru</t>
  </si>
  <si>
    <t xml:space="preserve">
1 x tort berry chocolate 6 kg in total decorat ca in poza 1, cu mesajul La Multi Ani "Pisi"
</t>
  </si>
  <si>
    <t xml:space="preserve"> Str.Smardan, nr.10, Bragadiru, Gradinita Piticii Nostri</t>
  </si>
  <si>
    <t>Cosmina-Elena Cenușă</t>
  </si>
  <si>
    <t>0742817510</t>
  </si>
  <si>
    <t>Strada Timișoara 103Q, Bl. 6, Ap. 36.</t>
  </si>
  <si>
    <t>1 x carrot cake 1.8 kg decorat exact ca in poza 1 (nu ca pe site)
Mesaj: Viața mea e poezie cu dorințe pe hârtie</t>
  </si>
  <si>
    <t xml:space="preserve">Tort Carrot Cake 1.8 kg
</t>
  </si>
  <si>
    <t xml:space="preserve">Achitat cu OP
2780 plus 300 lei garantie pentru vesela.
</t>
  </si>
  <si>
    <t>Raluca Andreea Petre</t>
  </si>
  <si>
    <t>0747696029</t>
  </si>
  <si>
    <t>Adresa Str. Calea Călărași, nr. 321, bl. 202, sc. 1, et. 9, ap. 42, sector 3, București</t>
  </si>
  <si>
    <t>Florentina Soare</t>
  </si>
  <si>
    <t>0722374976</t>
  </si>
  <si>
    <t>Drumul Taberei nr 30 bl OD3 SC 5 etaj 3 ap 160
București sector 6</t>
  </si>
  <si>
    <t>website #17855</t>
  </si>
  <si>
    <t>Tort Clasic
Greutate: 1.4 kg (9 persoane)
Mesaj Personalizat: La mulți ani ELI!</t>
  </si>
  <si>
    <t>achitata factura pe pers fizica</t>
  </si>
  <si>
    <t>va fi rediscutat transportul care este la 50 km de Bucuresti. Duce ea sau noi, vedem atunci</t>
  </si>
  <si>
    <t>Alexandru Constantin</t>
  </si>
  <si>
    <t>0724959313</t>
  </si>
  <si>
    <t>Drumul Potcoavei 23, Ambery Home</t>
  </si>
  <si>
    <t>1 x tort frambosier de 10 kg dreptunghiular
Decorat spectaculos!!</t>
  </si>
  <si>
    <t xml:space="preserve">
factura pentru Ambery Home, se trimite o data cu comanda
</t>
  </si>
  <si>
    <t>Bidil Daniel</t>
  </si>
  <si>
    <t>0730487509</t>
  </si>
  <si>
    <t xml:space="preserve">strada Pajurei 2, bloc 1, scara B, etaj 1, ap 22 </t>
  </si>
  <si>
    <t xml:space="preserve">1 x tort duo mousse cu visine 1.8
Mesaj: La multi ani!
</t>
  </si>
  <si>
    <t>0743145822</t>
  </si>
  <si>
    <t>str. Gheorghe Polizu nr 48-60
Cladire birouri One Victoriei
(langa mc donalds buzesti)
(se suna inainte cu 5 minute sa coboare)
 11:00</t>
  </si>
  <si>
    <t>aaa Indreiu Dan</t>
  </si>
  <si>
    <t>va plati OP</t>
  </si>
  <si>
    <t>4 x Prajitura Duo Mousse Visine Stevia 
4 x Prajitura Tonka cu Stevie  
4 x Cremsnit cu Stevie 
1 x Platou Mini Prajituri 10 persoane 
4 x Tarta Citron 
4 x Tarta cu Ciocolata si Caramel 
10 x Tarta Capsuni 
3 x Ecler Cocos 
3 x Ecler Fistic 
3 x Ecler Zmeura 
3 x Ecler Cafea 
3 x Ecler Mango 
3 x Ecler Ciocolata 
4 x Cremsnit
10 x Mont Blanc 
10 x Ciocolatina 
10 x Cafina 
4 x Prajitura cu Fistic si Zmeura 
4 x Prajitura Tonka 
1 x tort 1.4 kg framboisier 
1 x Tort Duo mousse 1.8 
1 x Tort berry chocolate 1.4 
1 x tort tonka 1.8 
1 x Duo mousse Stevie 1.2</t>
  </si>
  <si>
    <t>Client Lara Sweets 3</t>
  </si>
  <si>
    <t xml:space="preserve">1 x Tort 3 etaje din care: ultimul real
cu mesajul: Zian
80 x monoportii 100 g fiecare
30 x macarons
 25 x cake pops
(Doamna va veni la degustare PENTRU COMPOZITIE)
</t>
  </si>
  <si>
    <t xml:space="preserve">Tort Oreo 1.8 kg_x000D_
</t>
  </si>
  <si>
    <t>Claudia Gheorghiu</t>
  </si>
  <si>
    <t>0728980999</t>
  </si>
  <si>
    <t xml:space="preserve">Tort Tonka 1.4 kg_x000D_
Prajitura Strawberry Cake_x000D_
Prajitura Strawberry Cake_x000D_
Prajitura Strawberry Cake_x000D_
</t>
  </si>
  <si>
    <t>1 x Tort Tonka
Greutate: 1.4 kg (9 persoane)
2 x Prajitura Lara .
3 x Strawberry Cake</t>
  </si>
  <si>
    <t>zzz Diana Alexandrescu</t>
  </si>
  <si>
    <t>0731898183</t>
  </si>
  <si>
    <t>website #17857</t>
  </si>
  <si>
    <t xml:space="preserve">
1 x Tort Framboisier cu stevia, de 2,5 kg dreptunghiular decorat ca pentru botez, imbracat in alb sa nu se vada blatul, si atasam si figurina din poza 2
Pe tort sa fie scris ca in poza 1, pe o placuta infipta in tort:
Botez
Andrei Mihail
</t>
  </si>
  <si>
    <t>strada Migdalilor 53A, Pantelimon, Ilfov
(13:00-14:00)</t>
  </si>
  <si>
    <t xml:space="preserve">comanda gresita </t>
  </si>
  <si>
    <t>Data Intrare</t>
  </si>
  <si>
    <t>1 x Tort Minnie (1.2)
Alege Sortiment:: Clasic
Mesaj Personalizat: Antonia
1 x Tort Mickey
Alege Sortiment:: Clasic
Mesaj Personalizat: Lucas (1.2)</t>
  </si>
  <si>
    <t>website #17858</t>
  </si>
  <si>
    <t>0729685561</t>
  </si>
  <si>
    <t>Claudia Timohi</t>
  </si>
  <si>
    <t>1 x Tort Oreo
Greutate: 1.4 kg (9 persoane)
Mesaj Personalizat: La multi ani Iubi!</t>
  </si>
  <si>
    <t xml:space="preserve">Soseaua Oltenitei 40-44, bl6a, scara 3, etaj 8, ap.104, interfon 104c
Bucuresti, </t>
  </si>
  <si>
    <t xml:space="preserve">cash cu  bon </t>
  </si>
  <si>
    <t>website #17859</t>
  </si>
  <si>
    <t>Elena Păduraru</t>
  </si>
  <si>
    <t>0723603877</t>
  </si>
  <si>
    <t>Cremsnit cu Stevie 1
Ecler Ciocolata Stevia 1
Ecler Fistic Stevia 1
Prajitura Duo Mousse Visine Stevia 1
Prajitura Tonka cu Stevie 1</t>
  </si>
  <si>
    <t>str Avrig 63, bl E2, sc 1, et 7, ap25, interfon 25 (piața Iancului, lângă InterMacedonia)
București, sector 2</t>
  </si>
  <si>
    <t>website #17860</t>
  </si>
  <si>
    <t>zzz Amy Dumitru</t>
  </si>
  <si>
    <t>0722100598</t>
  </si>
  <si>
    <t>Tort Belle
Alege Sortiment:: Clasic
Mesaj Personalizat: 2 lunite Maria Gabriela</t>
  </si>
  <si>
    <t>website #17861</t>
  </si>
  <si>
    <t>Maria Nica</t>
  </si>
  <si>
    <t>0744756177</t>
  </si>
  <si>
    <t>1 x Tort Oreo
Greutate: 1.4 kg (9 persoane)
1 x Tort Tonka
Greutate: 1.4 kg (9 persoane)</t>
  </si>
  <si>
    <t xml:space="preserve">Tort Oreo 1.4 kg_x000D_
Tort Tonka 1.4 kg_x000D_
</t>
  </si>
  <si>
    <t xml:space="preserve">Drumul murgului nr.1, bloc S33, Sc 1, ap11, sector 3.
Bucuresti, </t>
  </si>
  <si>
    <t>website #17862</t>
  </si>
  <si>
    <t>Marius-Cristian Radut</t>
  </si>
  <si>
    <t>0744373814</t>
  </si>
  <si>
    <t>1 x Tort Duo-Mousse cu Visine 1.8
Mesaj Personalizat: La mulți ani, Isabela!
1 x platou de 5 pers</t>
  </si>
  <si>
    <t xml:space="preserve">Prelungirea Ghencea, nr. 38-40, sc. A, et. 5, ap. 47
București, </t>
  </si>
  <si>
    <t>website #17863</t>
  </si>
  <si>
    <t>0726723000</t>
  </si>
  <si>
    <t xml:space="preserve">Tort Bezea cu Ciocolata 1.4 kg_x000D_
Tort Decorat_x000D_
</t>
  </si>
  <si>
    <t>1 x Tort de Bezea cu Ciocolata
Greutate: 1.4 kg (9 persoane)
La multi ani Karina!
14 ani💓
1 x Tort Chocolate Decadence
Numar Briose Asortate:: 10
Mesaj Personalizat: La multi ani Karina!
Sa fii curajoasa si vesela!</t>
  </si>
  <si>
    <t>website #17864</t>
  </si>
  <si>
    <t>zzz Corina Balasescu</t>
  </si>
  <si>
    <t>0728434101</t>
  </si>
  <si>
    <t>zzz Stanga Andreea</t>
  </si>
  <si>
    <t>website #17865</t>
  </si>
  <si>
    <t>Adela Ciucioi</t>
  </si>
  <si>
    <t>0745124456</t>
  </si>
  <si>
    <t xml:space="preserve">Str Parcului 83C
Bucharest </t>
  </si>
  <si>
    <t>website #17866</t>
  </si>
  <si>
    <t>aleea Negru Voda 4, bloc C3, scara 2, etaj 2</t>
  </si>
  <si>
    <t>Cl Laura Wts</t>
  </si>
  <si>
    <t>0722637733</t>
  </si>
  <si>
    <t>Strada Radului, nr.60, sector 4</t>
  </si>
  <si>
    <t>whatsapp 1</t>
  </si>
  <si>
    <t>Arpasanu Maria</t>
  </si>
  <si>
    <t>0747355768</t>
  </si>
  <si>
    <t>1 x Framboaisier 2,5 kg</t>
  </si>
  <si>
    <t>Kaufland bucurestii noi magazin sibianul</t>
  </si>
  <si>
    <t>whatsapp 2</t>
  </si>
  <si>
    <t>Maria Cristina Oprea-Buzera</t>
  </si>
  <si>
    <t>0731499928</t>
  </si>
  <si>
    <t>Drumul Potcoavei 23, Voluntari 077190, Amberry Home</t>
  </si>
  <si>
    <t>panai n 16:00</t>
  </si>
  <si>
    <t xml:space="preserve"> se face factura pe Ambery si se trimite o data cu comanda! - 80 lei/kg *6 = 480 RON)</t>
  </si>
  <si>
    <t>whastsapp 3</t>
  </si>
  <si>
    <t>0784838094</t>
  </si>
  <si>
    <t>1 x tort clasic de 3 kg decoarat ca in poza din departamentul decor</t>
  </si>
  <si>
    <t>Strada Alexanru Garian 9, Bloc T1-6, scara 1, ap 2,parter</t>
  </si>
  <si>
    <t>baga Bogdan in cash flow</t>
  </si>
  <si>
    <t>Laura Cozachevici</t>
  </si>
  <si>
    <t>0747362455</t>
  </si>
  <si>
    <t>1 x Tort cu Fistic si Zmeura cu Stevie
Greutate: 2.5 kg (16 persoane)
Mesaj Personalizat: La multi ani, tati!</t>
  </si>
  <si>
    <t xml:space="preserve">Alunului 41
Mogosoaia, Ilfov </t>
  </si>
  <si>
    <t>website #17867</t>
  </si>
  <si>
    <t>Ruxandra Coman Tudor</t>
  </si>
  <si>
    <t>0729417748</t>
  </si>
  <si>
    <t>Tort de Bezea cu Ciocolata
Greutate: 1.4 kg (9 persoane)
Mesaj Personalizat: De la Biți - La multi ani !</t>
  </si>
  <si>
    <t>Soldat Nicolae Porojan 10, bloc 1, scara 1, etaj 1, ap 14, int 14
Bucuresti</t>
  </si>
  <si>
    <t>website #17868</t>
  </si>
  <si>
    <t>Mariana Dolhascu</t>
  </si>
  <si>
    <t>0723459350</t>
  </si>
  <si>
    <t>Expert Contabil Dolhascu
Cladirea Electromagnetica, Calea Rahovei, nr 266-268, corp 2, etaj 2, cam 15
Bucuresti, Sector 5,</t>
  </si>
  <si>
    <t>website #17869</t>
  </si>
  <si>
    <t xml:space="preserve">1 x tort triomousse dreptungiular de 6 kg
Mesaj: “La multi ani, Petru!”
</t>
  </si>
  <si>
    <t xml:space="preserve">ridicare </t>
  </si>
  <si>
    <t>zzz Irina Timisescu
0748020041</t>
  </si>
  <si>
    <t>1 x tort citron 1.8
La multi ani!</t>
  </si>
  <si>
    <t>Badoi Elena</t>
  </si>
  <si>
    <t>0722505391</t>
  </si>
  <si>
    <t>1 x tort frambosier 1.8 kg</t>
  </si>
  <si>
    <t>a achitat cu cardul in cofetarie pe 15.05</t>
  </si>
  <si>
    <t>Ioana Pascu</t>
  </si>
  <si>
    <t>0763094300</t>
  </si>
  <si>
    <t>1 x tort Fluffy Unicorn
Alege Sortiment:: Berry Chocolate
Gramaj Tort:: 6 kg (30 persoane)
Mesaj Personalizat: Thea Ioana</t>
  </si>
  <si>
    <t xml:space="preserve">Club Floreasca, Mircea Eliade,nr.1
BUCURESTI, </t>
  </si>
  <si>
    <t>website #17870</t>
  </si>
  <si>
    <t>Camelia Turcu</t>
  </si>
  <si>
    <t>0760315577</t>
  </si>
  <si>
    <t>Aleea Lunca Cernei nr.1,bloc A36,scara E,etaj 3,ap.70,interfon 70
Bucuresto</t>
  </si>
  <si>
    <t>website #17871</t>
  </si>
  <si>
    <t>1 x Tort Elsa 1.2
Alege Sortiment:: Clasic
Mesaj Personalizat: La Multi Ani copil minunat</t>
  </si>
  <si>
    <t>1 x Tort Spiderman 1.2
Alege Sortiment:: Clasic
Mesaj Personalizat: La multi ani,de 1 Iunie,puiul meu iubit!</t>
  </si>
  <si>
    <t>1 x tort 1.8 kg (jumatate framboisier/jumatatea Duo mousse cu visine)
La mulți ani, Chința! 
 37
1 x platou de 5 persoane .</t>
  </si>
  <si>
    <t xml:space="preserve">Nestor Tache </t>
  </si>
  <si>
    <t>0720177152</t>
  </si>
  <si>
    <t>1 x tort bezea cu ciocolata 1,4 kg
6 x tarte cu căpșuni</t>
  </si>
  <si>
    <t xml:space="preserve">Tort Bezea cu Ciocolata 1.4 kg_x000D_
Prajitura Tarta Capsuni_x000D_
Prajitura Tarta Capsuni_x000D_
Prajitura Tarta Capsuni_x000D_
Prajitura Tarta Capsuni_x000D_
Prajitura Tarta Capsuni_x000D_
Prajitura Tarta Capsuni_x000D_
</t>
  </si>
  <si>
    <t>Calea Victoriei 12A, bl B, etaj 1, ap 3, interfon 03, a se lua liftul( intrarea prin Stavropoleos)</t>
  </si>
  <si>
    <t>whastsapp 4</t>
  </si>
  <si>
    <t>camanda Victoriei</t>
  </si>
  <si>
    <t>Whstapp</t>
  </si>
  <si>
    <t>Oana Oprea</t>
  </si>
  <si>
    <t>0724365110</t>
  </si>
  <si>
    <t>1 x tort frambosier 1.4
1 x platou de 10 pers</t>
  </si>
  <si>
    <t xml:space="preserve">Tort Framboisier 1.4 kg_x000D_
Platou Minipraji 5 Persoane_x000D_
Platou Minipraji 5 Persoane_x000D_
</t>
  </si>
  <si>
    <t>Intrarea Sulfinei 96
Magurele, Ilfov</t>
  </si>
  <si>
    <t>websute #17872</t>
  </si>
  <si>
    <t>2 x Prajitura Duo Mousse Visine Stevia 
2 x Prajitura Tonka cu Stevie  
2 x Cremsnit cu Stevie 
1 x cookies stevia 1 kg
1 x Platou Mini Prajituri 10 persoane 
1 x platou de 30 macarons
2 x Tarta Citron 
2 x Tarta cu Ciocolata si Caramel 
2 x Tarta Capsuni 
2 x Ecler Cocos 
2 x Ecler Fistic 
2 x Ecler Zmeura 
2 x Ecler Cafea 
2 x Ecler Mango 
2 x Ecler Ciocolata 
2 x Cremsnit
2 x Mont Blanc 
2 x Ciocolatina 
2 x Cafina 
2 x Prajitura cu Fistic si Zmeura 
2 x Prajitura Tonka 
1 xTort Chocolate Delight 1.4
'1 x Tort Duo Mousse cu Visine cu Stevie 1.2
'1 x Tort framboisier de 1,8</t>
  </si>
  <si>
    <t>Florica Barbuceanu</t>
  </si>
  <si>
    <t>0744342113</t>
  </si>
  <si>
    <t>Strada Soldat Stelian N. Mihale nr 7, bloc PM95, sc A, et 1, ap 7, sector 3
Bucuresti,</t>
  </si>
  <si>
    <t>website #17873</t>
  </si>
  <si>
    <t xml:space="preserve">Prajitura Tarta Fructe Exotice_x000D_
Prajitura Cafina_x000D_
Prajitura Amandina_x000D_
Prajitura Amandina_x000D_
Prajitura Tarta Capsuni_x000D_
</t>
  </si>
  <si>
    <t>Tarta Fructe Exotice 1
Cafina 1
Amandina 2
Tarta Capsuni 1 Buc 1</t>
  </si>
  <si>
    <t>Fara Alina</t>
  </si>
  <si>
    <t>0765529343</t>
  </si>
  <si>
    <t>1 x tort rom si ciocolata de 6 kg in total pe 2 etaje (poza din departametul decor ca si inpiratie)
Numele bebelusului: Matteo Christian
Varsta: 1 an 
18 x Choux a la Crème Fistic
18 x Macarons Culori Tematice
18 x Mini Tarta Ciocolata si Caramel
18 x Mini Tarta Lamaie si Bezea Flambata
18 x Mini Pavlova
18 x Mini Tarta Fructe
12 x Pahar Tiramisu
12 x Ecler Artizanal
12 x Cake Pops Tematice
7 x Briose Tematice</t>
  </si>
  <si>
    <t>locatia Ambient Lake Events
se amenajeaza intre 14:30-15:30</t>
  </si>
  <si>
    <t>1 x tort Framboisie 1.4
La multi ani, Alex!
 1 x tarta cu zmeura cu stevia
2 x felii tarta mere</t>
  </si>
  <si>
    <t xml:space="preserve">Tort Framboisier 1.4 kg
Felie Tarta Mere
Felie Tarta Mere
</t>
  </si>
  <si>
    <t>Adriana Țârlea</t>
  </si>
  <si>
    <t>0722251293</t>
  </si>
  <si>
    <t xml:space="preserve">1 x Tort bezea cu ciocolata 1,4 kg
1 x Tort framboisier de 1,8 kg cu STEVIA 
2 x Tarte capsune cu stevia </t>
  </si>
  <si>
    <t>str. Jean Monnet, nr. 22 E, Sector 1 (lângă cafeneaua Utopia)</t>
  </si>
  <si>
    <t>whastapp 1</t>
  </si>
  <si>
    <t>Alina Teaha</t>
  </si>
  <si>
    <t>0722797786</t>
  </si>
  <si>
    <t>1 x tort duomousse cu visine 1,8 kg cu urmatoarele detalii:
-	Mesaj: LA MULȚI ANI, MAMA MARE!
-	“80 ANI” cu cifre si litere din pasta de zahar
2 x monoportie Tonka STEVIA
2 x monoportie Duomousse cu visine STEVIA 
2 x millefeuille 
6 x macarons mixt</t>
  </si>
  <si>
    <t>tr. Locotenent Gheorghe Negel, nr 66, etaj ( Drumul Sării)</t>
  </si>
  <si>
    <t>se plateste cu OP, factura pe TM RUMONE  SRL, RO19154469</t>
  </si>
  <si>
    <t>whastapp 2</t>
  </si>
  <si>
    <t>2 x platou 10 pers</t>
  </si>
  <si>
    <t>se achita cu cardul</t>
  </si>
  <si>
    <t>Valentina Belciu</t>
  </si>
  <si>
    <t>0730524104</t>
  </si>
  <si>
    <t>1 x Tort Duo Mousse cu Visine cu Stevie
Greutate: 1.2 kg (8 persoane)
Mesaj Personalizat: La mulți ani, Evelyne Andrada!
Te iubim mult!</t>
  </si>
  <si>
    <t xml:space="preserve">Strada Amurgului
Popești Leordeni, Ilfov </t>
  </si>
  <si>
    <t>website #17874</t>
  </si>
  <si>
    <t>Tony Harb</t>
  </si>
  <si>
    <t>0763525115</t>
  </si>
  <si>
    <t>Tort Oreo
Greutate: 1.4 kg (9 persoane)
Mesaj Personalizat: La multi ani
Te iubim</t>
  </si>
  <si>
    <t>Str Pecinisca nr 6
Bucuresti,</t>
  </si>
  <si>
    <t>website #17875</t>
  </si>
  <si>
    <t>Diana Medelet</t>
  </si>
  <si>
    <t>0734323626</t>
  </si>
  <si>
    <t>Tort Pavlova
Greutate: 1.2 kg (8 persoane)
La mulți ani de căsătorie!</t>
  </si>
  <si>
    <t>website #17876</t>
  </si>
  <si>
    <t xml:space="preserve">Șoseaua Vârtejului nr.153, curte, sector 5
București </t>
  </si>
  <si>
    <t xml:space="preserve">Tort Framboisier 1.4 kg
Platou Mini Tarte (15 buc)
</t>
  </si>
  <si>
    <t xml:space="preserve">Platou Minipraji 5 Persoane_x000D_
Platou Minipraji 5 Persoane_x000D_
Platou Minipraji 5 Persoane_x000D_
Platou Minipraji 5 Persoane_x000D_
</t>
  </si>
  <si>
    <t>Sarah Al-Kafhaji</t>
  </si>
  <si>
    <t>0733910193</t>
  </si>
  <si>
    <t>Tort cu Ciocolata si Rom
Greutate: 1.4 kg (9 persoane)
Mesaj Personalizat: La multi ani BO$$ !</t>
  </si>
  <si>
    <t xml:space="preserve">Soseaua Chitilei, nr. 143
Bucuresti, </t>
  </si>
  <si>
    <t>website #17877</t>
  </si>
  <si>
    <t>Nicoletta Ionescu</t>
  </si>
  <si>
    <t>Aurel Vlaicu nr. 97
București,</t>
  </si>
  <si>
    <t>website #17878</t>
  </si>
  <si>
    <t>Tort Cars 1.2 kg
Alege Sortiment:: Clasic
Mesaj Personalizat: La multi ani, Achim!</t>
  </si>
  <si>
    <t>zzz Ana Maria Ban</t>
  </si>
  <si>
    <t>0766993398</t>
  </si>
  <si>
    <t>1 x tort clasic de 3 kg total decorat ca in poza 1
Mesaj: La mulți ani , Ana-Maria!</t>
  </si>
  <si>
    <t>whastapp 4</t>
  </si>
  <si>
    <t xml:space="preserve">AAA Victorie </t>
  </si>
  <si>
    <t>Calea Victoriei 155</t>
  </si>
  <si>
    <t>comanda Victoriei</t>
  </si>
  <si>
    <t>2 x Prajitura Duo Mousse Visine Stevia 
2 x Prajitura Tonka cu Stevie  
2 x Cremsnit cu Stevie 
1 x Platou Mini Prajituri 10 persoane 
2 x Tarta Citron 
2 x Tarta cu Ciocolata si Caramel 
2 x Tarta Capsuni 
2 x Ecler Cocos 
2 x Ecler Fistic 
2 x Ecler Zmeura 
2 x Ecler Cafea 
2 x Ecler Mango 
2 x Ecler Ciocolata 
2 x Cremsnit
2 x Mont Blanc 
2 x Ciocolatina 
2 x Cafina 
2 x amandina
2 x Prajitura cu Fistic si Zmeura 
2 x Prajitura Tonka 
1 x Tort Duo Mousse cu Visine cu Stevie 1.2 kg 
1 x tort framboisier 1.4 
1 x Tort cu Fistic si Zmeura cu Stevie 1.2</t>
  </si>
  <si>
    <t>0741272042</t>
  </si>
  <si>
    <t>Catalina Zgarta
0741272041</t>
  </si>
  <si>
    <t>1 x tort frambosier 1.4
15 x tarte mixte</t>
  </si>
  <si>
    <t>intrarea craitei nr 7 (pe poarta scrie 19c)</t>
  </si>
  <si>
    <t>a achita cu voucher</t>
  </si>
  <si>
    <t>whastapp 5</t>
  </si>
  <si>
    <t>1 x Tort My little pony 1.2 kg
compozitie Clasic</t>
  </si>
  <si>
    <t>Maria Negrila</t>
  </si>
  <si>
    <t>0741130729</t>
  </si>
  <si>
    <t>1 x tort berry chocolate de 3 kg in total decorat ca in poza 1
In loc de happy birthday, liam  sa scrieți : La multi ani, Iuli!</t>
  </si>
  <si>
    <t>Str. Humulesti, nr.33, sector 5</t>
  </si>
  <si>
    <t>whastapp 6</t>
  </si>
  <si>
    <t>Ramona Tepele</t>
  </si>
  <si>
    <t>0770837945</t>
  </si>
  <si>
    <t>Calea Giulești 424G, ap. 5
București</t>
  </si>
  <si>
    <t>website #17879</t>
  </si>
  <si>
    <t>0721678764</t>
  </si>
  <si>
    <t>1 x Tort Rolex
Alege Sortiment:: Clasic
Gramaj Tort:: 3 kg (15 persoane)
Mesaj Personalizat: Atat s-a putut anul asta
La multi ani, Marcel!</t>
  </si>
  <si>
    <t>website #17880</t>
  </si>
  <si>
    <t>16 kg tort krantz - 4 etaje pentru tort Dana Neacsu 29.05.2021 Greutatea finala trebuie sa fie 20 kg. Va rog sa va uitati la poza si sa ajustati voi gramajul daca e nevoie</t>
  </si>
  <si>
    <t xml:space="preserve">1 x Tort 4 You
Greutate: 1.5 kg (9 persoane).
</t>
  </si>
  <si>
    <t>elena tanase</t>
  </si>
  <si>
    <t>0722534968</t>
  </si>
  <si>
    <t xml:space="preserve">Tort 4 You 1.5 kg_x000D_
</t>
  </si>
  <si>
    <t>Pomarla Nr 5 bl B22 ap 109 sc 4 etaj 4
București</t>
  </si>
  <si>
    <t>website #17881</t>
  </si>
  <si>
    <t>1 x tort 1.4 kg framboisier
1 x platou mini-tarte</t>
  </si>
  <si>
    <t>Ramona Badea</t>
  </si>
  <si>
    <t>0723362063</t>
  </si>
  <si>
    <t>Strada Trandafirului 25
Cornetu</t>
  </si>
  <si>
    <t>website #17882</t>
  </si>
  <si>
    <t>Cristina Borcaneci</t>
  </si>
  <si>
    <t>0722678085</t>
  </si>
  <si>
    <t>strada Branduselor 11, bloc H1, scara 3, etaj 4, ap 81
Bucuresti</t>
  </si>
  <si>
    <t>Tort de Bezea cu Ciocolata
Greutate: 2.5 kg (16 persoane)
Mesaj Personalizat: „La mulți ani, Liana!”</t>
  </si>
  <si>
    <t>website #17883</t>
  </si>
  <si>
    <t>Tort Cifra
Ce cifra va reprezenta tortuletul?: 6</t>
  </si>
  <si>
    <t>Ramona Alexandru</t>
  </si>
  <si>
    <t>0764038800</t>
  </si>
  <si>
    <t>Aleea Privighetorilor, 86P, Bl. D, et. 4, ap. 44, Sector 1
Bucuresti</t>
  </si>
  <si>
    <t>website #17884</t>
  </si>
  <si>
    <t>Tort Chocolate Passion
Mesaj Personalizat: La mulți ani, Tamara Elena!
(Va rog sa fie însoțit de certificat de confirmitate)</t>
  </si>
  <si>
    <t>Cristina Radu</t>
  </si>
  <si>
    <t>0740670798</t>
  </si>
  <si>
    <t>website #17885</t>
  </si>
  <si>
    <t>1 x tort Framboisier 1.8 kg
Mesaj Personalizat: La mulți ani Ema!!!
1 x platou miniprajituri (28 buc)</t>
  </si>
  <si>
    <t>website #17886</t>
  </si>
  <si>
    <t>Ema Iorga</t>
  </si>
  <si>
    <t>0737349250</t>
  </si>
  <si>
    <t>Tort Fluturi Aurii
Alege Sortiment:: Berry Chocolate
Gramaj Tort:: 6 kg (30 persoane)
Mesaj Personalizat: Multumiri si Indeplinirea tuturor Visurilor!
Astrologi, mai 2021</t>
  </si>
  <si>
    <t>soldat Ilie Mihail, Nr 11
Bucuresti sector 5</t>
  </si>
  <si>
    <t>website #17887</t>
  </si>
  <si>
    <t>Tort Chocolate Passion
Mesaj Personalizat: La multi ani!</t>
  </si>
  <si>
    <t>zsuzsa koncz</t>
  </si>
  <si>
    <t>0721296178</t>
  </si>
  <si>
    <t>website #17888</t>
  </si>
  <si>
    <t>str Paul Greceanu nr 13, bloc 21, scara 1, et 6, ap 39, sector 2, interfon 39 C
Bucurest</t>
  </si>
  <si>
    <t>1 x Platou Mini Prajituri 5 persoane
1 x Tort Krantz
Greutate: 1.4 kg (9 persoane)</t>
  </si>
  <si>
    <t xml:space="preserve">Platou Minipraji 5 Persoane_x000D_
Tort Krantz 1.4 kg_x000D_
</t>
  </si>
  <si>
    <t>Diana Salavastru</t>
  </si>
  <si>
    <t>0742566909</t>
  </si>
  <si>
    <t>Str Viitorului 24 B
Rosu, Ilfov</t>
  </si>
  <si>
    <t>website #17889</t>
  </si>
  <si>
    <t>Carrot Cake
Greutate: 2.5 kg (16 persoane)
Mesaj Personalizat: La multi ani, Costi!
Te iubim</t>
  </si>
  <si>
    <t xml:space="preserve">Tort Carrot Cake 2.5 kg_x000D_
</t>
  </si>
  <si>
    <t>Maria Buna</t>
  </si>
  <si>
    <t>Strada pucheni 139-149, bloc 8, etaj 2, ap 19
Bucuresti</t>
  </si>
  <si>
    <t>0786461111</t>
  </si>
  <si>
    <t>website #17890</t>
  </si>
  <si>
    <t>Adelaida Bica</t>
  </si>
  <si>
    <t>Aleea Vergului Nr 4 bloc 15 parter
Bucuresti</t>
  </si>
  <si>
    <t>Tort Framboisier
Greutate: 1.8 kg (12 persoane)</t>
  </si>
  <si>
    <t>0769694809</t>
  </si>
  <si>
    <t>website #17891</t>
  </si>
  <si>
    <t>pana la 11:00</t>
  </si>
  <si>
    <t>Drumul Valea Cricovului nr 41-47, grădinița Nicholas
Bucuresti</t>
  </si>
  <si>
    <t>0722214288</t>
  </si>
  <si>
    <t>Alexandra Chiric Tanase</t>
  </si>
  <si>
    <t xml:space="preserve">Bd-ul Agronomiei, nr 2-6, bloc N2.1A, etaj 2, ap 9 </t>
  </si>
  <si>
    <t xml:space="preserve">1 x tort Golden Unicorn decorat sortiment Oreo 3kg (poza 1)
Numele pe tort: Olivia
</t>
  </si>
  <si>
    <t>Nedelcu cristina</t>
  </si>
  <si>
    <t xml:space="preserve">1 x tort Cifra 8  
Mesaj : La multi ani Darius!
</t>
  </si>
  <si>
    <t>Str.stanjeneilor nr.6 bl.30 sc.a etaj 2 ap 16 sector 4</t>
  </si>
  <si>
    <t>la prânz</t>
  </si>
  <si>
    <t>Șoseaua Dudesti-Pantelimon nr42 blT2 etaj4 ap39
București 
(pana la 12:00)</t>
  </si>
  <si>
    <t>0769374690</t>
  </si>
  <si>
    <t>zzz Alina Ghizdărenu</t>
  </si>
  <si>
    <t>1 x tort Framboisier 2.5 kg
cu 2 sau 3 personaje pentru fetite dar PRINT!
Mesaj: La multi ani, Grace, 2 ani</t>
  </si>
  <si>
    <t>1 x Tort Chocolate Delight
Greutate: 1.4 kg (9 persoane)</t>
  </si>
  <si>
    <t xml:space="preserve">
'1 x tort ca in Poza 1 (tort Chocolate Fiesta || 8 kg baza + 2 etaje macheta || 3 etaje total) cu mesajul Dominic Ioan
Atentie: tortul trebuie sa arate identic ca cel din referinta din poza
1 x tort ca in Poza 2 (*FRAMBOISIER || 2 kg || 1 etaj)
1 x amenajare candy-bar (vesela in ton cu tortul)
(culorile candy barului sa fie tematic cu tortul dar sa fie mai accentuat albastru inchis si albastru deschis)
1 x prajituri candy-bar 40 persoane:
23 x Choux a la Crème Fistic
23 x Macarons Culori (Tematic ca tortul - piramida)
23 x Mini Tarta Ciocolata si Caramel
23 x Mini Tarta Lamaie si Bezea Flambata
23 x Mini Pavlova
23 x Mini Tarta Fructe
15 x Pahar Tiramisu
15 x Ecler Artizanal
15 x Cake Pops (tematic ca tortul)
8 x Briose Tematice (tematic ca tortul)
</t>
  </si>
  <si>
    <t>Bulevardul basarabia 256, (Restaurant Toni's)
Amenajare de la 12:00-12:45</t>
  </si>
  <si>
    <t>Amenajare de la 12:00-12:45</t>
  </si>
  <si>
    <t>0723442198</t>
  </si>
  <si>
    <t>Ilinca Maria</t>
  </si>
  <si>
    <t>tratoria herastrau</t>
  </si>
  <si>
    <t>0731787867</t>
  </si>
  <si>
    <t>zzz Bacalu George Iulian 
0741063454</t>
  </si>
  <si>
    <t>1 x tort Bell (clasic) 1.2 kg</t>
  </si>
  <si>
    <t>Bulevardul 1 Mai , nr 65 A</t>
  </si>
  <si>
    <t>0742019751</t>
  </si>
  <si>
    <t>Marina Craciun</t>
  </si>
  <si>
    <t>1 x Tort Clasic decorat, 4 kg, 
sa fie 2 torturi suprapuse si 3 figurine, Leul sus si elefantul si girafa jos. (poza1)
Mesaj: Ilinca Maria
(+certificat de conformitate)</t>
  </si>
  <si>
    <t xml:space="preserve">
 1 x tort duo mousse cu visine și ștevie de 1,2 kg
 mesaj personalizat “ la mulți ani , Anastasia !” . 
As dori sa nu se folosească amaretto și sa fie la exterior tot alb , aducă sa folosiți un strat subțire de mousse alb , pt a fi tortul complet alb la exterior . In afara de mesajul de pe tort , nu doresc sa fie decorat cu altceva.
(+certificat de conformitate)
</t>
  </si>
  <si>
    <t>1 x Platou mini prăjituri 5persoane
2 x amandina</t>
  </si>
  <si>
    <t xml:space="preserve">Platou Minipraji 5 Persoane_x000D_
Prajitura Amandina_x000D_
Prajitura Amandina_x000D_
</t>
  </si>
  <si>
    <t>Str.Firidei nr.1 blocH15 Sc.4 ap61 parter interfon 61 sector 3</t>
  </si>
  <si>
    <t>client lara sweets 1</t>
  </si>
  <si>
    <t>zzz Ana Maria Stancu</t>
  </si>
  <si>
    <t>0741256861</t>
  </si>
  <si>
    <t>zzz Voicu Magdalena</t>
  </si>
  <si>
    <t>1 x tort oreo 1.2 kg Rapunzel</t>
  </si>
  <si>
    <t>Alina Pop</t>
  </si>
  <si>
    <t>0734661335</t>
  </si>
  <si>
    <t xml:space="preserve">1 x amenajare candy bar plus vesela
17 x Choux a la Crème Fistic
17 x Macarons Culori Tematice
17 x Mini Tarta Ciocolata si Caramel
17 x Mini Tarta Lamaie si Bezea Flambata
17 x Mini Pavlova
17 x Mini Tarta Fructe
11 x Pahar Tiramisu
11 x Ecler Artizanal
11 x Cake Pops Tematice
6 x Briose Tematice
1 x Tort oreo de 7.5 kg total pe 2 etaje, decorat ca in poza 1
</t>
  </si>
  <si>
    <t>Secret Garden by Ayda Bistro
(Amenajarea se face intre 13:00-13:45)</t>
  </si>
  <si>
    <t>(Amenajarea se face intre 13:00-13:45)</t>
  </si>
  <si>
    <t>Casa comana</t>
  </si>
  <si>
    <t>Clara</t>
  </si>
  <si>
    <t>1 x Tort ciocolata si rom 6 kg 
si un toper sus cu numele "Clara"</t>
  </si>
  <si>
    <t>Strada Mesteacanului, nr 24
București 
pana la 16:00</t>
  </si>
  <si>
    <t>Tort Oreo
Greutate: 2 kg (13 persoane)
Mesaj Personalizat: La Multi ani Matteo !!!
(+certificat de conformitate)</t>
  </si>
  <si>
    <t>restaurant Sole</t>
  </si>
  <si>
    <t>2 x Prajitura Duo Mousse Visine Stevia 
2 x Prajitura Tonka cu Stevie  
2 x Cremsnit cu Stevie 
1 x Platou Mini Prajituri 10 persoane 
2 x Tarta Citron 
2 x Tarta cu Ciocolata si Caramel 
2 x Tarta Capsuni 
2 x Ecler Cocos 
2 x Ecler Fistic 
2 x Ecler Zmeura 
2 x Ecler Cafea 
2 x Ecler Mango 
2 x Ecler Ciocolata 
4 x Cremsnit
2 x Mont Blanc 
2 x Ciocolatina 
2 x Cafina 
2 x amandina
2 x Prajitura cu Fistic si Zmeura 
2 x Prajitura Tonka 
2 x strawberry cake
2 x Prajitura Summer Delight (prajitura Lara)
1 x tort 1.4 kg framboisier
1 x Tort Noisette 1.4 kg
1 x Tort cu Ciocolata si Rom1.4 kg</t>
  </si>
  <si>
    <t>tarca giovana</t>
  </si>
  <si>
    <t>0762728477</t>
  </si>
  <si>
    <t>pana la 12</t>
  </si>
  <si>
    <t>str. Ulmului, nr. 12, Stefanestii de jos
pana la 12:00</t>
  </si>
  <si>
    <t>1 x tort decorat 4 kg (poza 1), compozitie Chocolate fiesta
Mesaj de pe tort (in locul celui din poza): De azi ma numesc Mattias Andrei</t>
  </si>
  <si>
    <t>platit cu OP</t>
  </si>
  <si>
    <t>Ciobanu Marian</t>
  </si>
  <si>
    <t>0762454600</t>
  </si>
  <si>
    <t xml:space="preserve">
'Tort clasic 6 kg pe 3 nivele, naked si cu décor de fructe ca in poza 1
+
Amenajare Candy Bar 
+
MASA SWEETS
+
vesela
+
Prajituri Candy-Bar 50 persoane + praji extra
29 x Choux a la Crème Fistic
60 x Macarons mixt
29 x Mini Tarta Ciocolata si Caramel
29 x Mini Tarta Lamaie si Bezea Flambata
29 x Mini Pavlova
29 x Mini Tarta Fructe
24 x Ecler Artizanal
24 x Cake Pops Tematice
24 x mousse la pahar
15 x Briose Tematice
Revine Dan cu detalii despre culori si tema de candy bar
</t>
  </si>
  <si>
    <t>11:00-11:45</t>
  </si>
  <si>
    <t>Adresa: Soseaua Unirii, 148, Corbeanca (restaurant Cortina Gardens), 
de ajuns pana in ora 12:00</t>
  </si>
  <si>
    <t>Tort Spiderman
Alege Sortiment:: Oreo
Mesaj Personalizat: Theodor 7 ani</t>
  </si>
  <si>
    <t>Marcela Topliceanu</t>
  </si>
  <si>
    <t>0744440324</t>
  </si>
  <si>
    <t>Strada Vasile Lascăr nr. 21, ap. 21
Bucuresti</t>
  </si>
  <si>
    <t>website #17892</t>
  </si>
  <si>
    <t>1 x Tort Rapunzel
Alege Sortiment:: Clasic
Mesaj Personalizat: Elena</t>
  </si>
  <si>
    <t>Mihaela Bejenar</t>
  </si>
  <si>
    <t>0721209596</t>
  </si>
  <si>
    <t>Str. Tineretului, nr. 2A, et. 4, ap. 47
Dudu</t>
  </si>
  <si>
    <t>website #17893</t>
  </si>
  <si>
    <t>Pachet Prajiturile Copilariei
2 x cafina
2 x mont blanc
2 x tarta capsuni
2 x cremsnit
2 x amandina</t>
  </si>
  <si>
    <t>Daniela Georgescu</t>
  </si>
  <si>
    <t>0743052259</t>
  </si>
  <si>
    <t>Strada Stejarului nr 32F
Dobroesti</t>
  </si>
  <si>
    <t>website #17894</t>
  </si>
  <si>
    <t>1 x tort Duo-Mousse cu Visine 1.8 kg
Mesaj Personalizat: LA MULȚI ANI!
1 x platou miniprajituri (28 buc)</t>
  </si>
  <si>
    <t>LILIANA DUMITRAȘ</t>
  </si>
  <si>
    <t>0722452998</t>
  </si>
  <si>
    <t>Strada Atomistilor, nr. 405A
Măgurele , Ilfov
Institutul National pentru Fizica Materialelor</t>
  </si>
  <si>
    <t>website #17895</t>
  </si>
  <si>
    <t xml:space="preserve">1 x  Tort decorat (clasic) 5 kg,  cu Cateva briose cu animalute (poza 1)
Sa Scrie  1  in loc de 3
</t>
  </si>
  <si>
    <t xml:space="preserve">
1 x Tort decorat (compozie tort CLASIC - 4kg - poza 1)
</t>
  </si>
  <si>
    <t>Sos Bucuresti Ploiesti 1A, cladirea B
Bucuresti
(pana la 13:00)</t>
  </si>
  <si>
    <t>Pauna Elena</t>
  </si>
  <si>
    <t>1 x tort clasic de 7 kg total pe 2 etaje ca in poza 1
detalii tort:
Nume Topper: Natalie 
Data 6 noiembrie 2020
ora 8.45
greutate 3560 gr
inaltime 51 cm
Candy bar 38 persoane
Tematica sa fie in ton cu tortul
Culori: Alb. roz, auriu
1 x Amenajare plus vesela
22 x Choux a la Crème Fistic
22 x Macarons Culori Tematice
22 x Mini Tarta Ciocolata si Caramel
22 x Mini Tarta Lamaie si Bezea Flambata
22 x Mini Pavlova
22 x Mini Tarta Fructe
14 x Pahar Tiramisu
14 x Ecler Artizanal
14 x Cake Pops Tematice
7 x Briose Tematice</t>
  </si>
  <si>
    <t>se facureaza 560 RON catre Amberry, iar diferenta de 1167 RON (candy bar 817 RON, diferenta Tort 350 RON) o va achita clientul</t>
  </si>
  <si>
    <t>amenajarea se face intre 13:00-13:45</t>
  </si>
  <si>
    <t>Ambery Home, Drumul Potcoavei 23, Voluntari
amenajarea se face intre 13:00-13:45</t>
  </si>
  <si>
    <t>Tort Cars
Alege Sortiment:: Oreo</t>
  </si>
  <si>
    <t>Cristina Tanasescu</t>
  </si>
  <si>
    <t>0722256649</t>
  </si>
  <si>
    <t>Calea Grivitei 190, bl. F, sc. C, et. 7, ap. 95, interfon 95
Bucuresti</t>
  </si>
  <si>
    <t>pana la ora 12:00</t>
  </si>
  <si>
    <t>website #17896</t>
  </si>
  <si>
    <t>0731185489</t>
  </si>
  <si>
    <t>1 x tort bakugani clasic 3.5 kg decorat ca in poza1, nume pe tort "Vlad Petru, 5 ani".
(se pastreaza culorile)
(in ceea ce priveste compozitia las la latitudinea dvs...ceva usor cu fructe daca se poate)</t>
  </si>
  <si>
    <t>aaa Vlad Petru</t>
  </si>
  <si>
    <t>0722887190</t>
  </si>
  <si>
    <t>Ridicare cofetărie</t>
  </si>
  <si>
    <t>zzz Mihăilă Gabriela</t>
  </si>
  <si>
    <t>3 x platouri de 5 persoane (28 minipraji)</t>
  </si>
  <si>
    <t>TREBUIE SUNAT DIMINEATA  SI INTREBAT ORA. 
Nu a raspuns.</t>
  </si>
  <si>
    <t>Str. Mihai Eminescu, Nr. 25, Sat Rosu, Comuna Chiajna, Judet Ilfov
TREBUIE SUNAT DIMINEATA  SI INTREBAT ORA. 
Nu a raspuns.</t>
  </si>
  <si>
    <t>1 x tort framboisier 1.4 
 La multi ani !!!
"48 e cu noroc la vacante si pescuit"
1 x Platou Mini Tarte (15 buc)</t>
  </si>
  <si>
    <t>Paska Stevia</t>
  </si>
  <si>
    <t>Prajitura Ecler Kafea Stevia</t>
  </si>
  <si>
    <t>Prajitura Ecler Ciocolat Stevia</t>
  </si>
  <si>
    <t>Prajitura Ecler Kocos Stevia</t>
  </si>
  <si>
    <t>Prajitura Ecler Fistik Stevia</t>
  </si>
  <si>
    <t>Prajitura Ecler Zmeur Stevia</t>
  </si>
  <si>
    <t>Prajitura Tarta Capsune cu Stevie</t>
  </si>
  <si>
    <t>Prajitura Tarta de Mure cu Stevie</t>
  </si>
  <si>
    <t>Prajitura Tarta de Zmeura cu Stevie</t>
  </si>
  <si>
    <t xml:space="preserve">Prajitura Tarta Capsune cu Stevie_x000D_
</t>
  </si>
  <si>
    <t>Tarta cu Mere (2.5 kg) cu stevia</t>
  </si>
  <si>
    <t>Tort Carot Cake 1.4 kg cu Stevia</t>
  </si>
  <si>
    <t xml:space="preserve">Tort Carot Cake 1.4 kg cu Stevia_x000D_
</t>
  </si>
  <si>
    <t xml:space="preserve">Cozonac STEVIA
Pasca Stevia
Pachet Paste Family Stevia
Tort Carot Cake 1.4 kg cu Stevia
</t>
  </si>
  <si>
    <t>Tort Carot Cake 1.8 kg cu Stevia</t>
  </si>
  <si>
    <t xml:space="preserve">Tort Carot Cake 1.8 kg cu Stevia_x000D_
Platou Minipraji 5 Persoane_x000D_
</t>
  </si>
  <si>
    <t xml:space="preserve">Tort Carot Cake 1.8 kg cu Stevia_x000D_
Tort Berry Chocolate 1.4 kg _x000D_
</t>
  </si>
  <si>
    <t xml:space="preserve">Tort Carot Cake 1.8 kg cu Stevia_x000D_
Platou Mini Tarte (15 buc)_x000D_
</t>
  </si>
  <si>
    <t>Tort Duo-Mousse Visine 1.4 kg cu Stevie</t>
  </si>
  <si>
    <t>Tort Duo-Mousse Visine 1.8 kg cu Stevie</t>
  </si>
  <si>
    <t>Tort Duo-Mousse Visine 2.5 kg cu Stevie</t>
  </si>
  <si>
    <t xml:space="preserve">Tort Duo-Mousse Visine 1.4 kg cu Stevie_x000D_
</t>
  </si>
  <si>
    <t xml:space="preserve">Tort Chocolate Delight 1.4 kg_x000D_
Tort Duo-Mousse Visine 1.4 kg cu Stevie_x000D_
Tort Framboisier 1.4 kg_x000D_
</t>
  </si>
  <si>
    <t xml:space="preserve">Tort Duo-Mousse Visine 1.4 kg cu Stevie
</t>
  </si>
  <si>
    <t xml:space="preserve">Tort Duo-Mousse Visine 1.4 kg cu Stevie_x000D_
Tort Duo Mousse Visine 1.4 kg_x000D_
</t>
  </si>
  <si>
    <t xml:space="preserve">Cozonac STEVIA
Pasca Stevia
Tort Duo-Mousse Visine 1.4 kg cu Stevie
Pachet Paste Family Stevia
</t>
  </si>
  <si>
    <t xml:space="preserve">Tort Duo-Mousse Visine 1.8 kg cu Stevie_x000D_
</t>
  </si>
  <si>
    <t>Tort Fistik si Zmeura 1.4 kg cu Stevia</t>
  </si>
  <si>
    <t xml:space="preserve">Tort Fistik si Zmeura 1.4 kg cu Stevia_x000D_
</t>
  </si>
  <si>
    <t xml:space="preserve">Tort Fistik si Zmeura 1.4 kg cu Stevia_x000D_
Prajitura Duo-Mousse Visine Stevia_x000D_
Prajitura Duo-Mousse Visine Stevia_x000D_
Prajitura Duo-Mousse Visine Stevia_x000D_
Prajitura Ecler Fistik Stevia_x000D_
Prajitura Ecler Fistik Stevia_x000D_
Prajitura Ecler Kafea Stevia_x000D_
Prajitura Ecler Kafea Stevia_x000D_
</t>
  </si>
  <si>
    <t xml:space="preserve">Cozonac STEVIA
Pasca Stevia
Pachet Paste Family Stevia
Tort Fistik si Zmeura 1.4 kg cu Stevia
</t>
  </si>
  <si>
    <t xml:space="preserve">Tort Fistik si Zmeura 1.8 kg cu Stevia_x000D_
</t>
  </si>
  <si>
    <t>Tort Frambo 1.4 kg cu Stevia</t>
  </si>
  <si>
    <t xml:space="preserve">Tort Frambo 1.4 kg cu Stevia_x000D_
</t>
  </si>
  <si>
    <t xml:space="preserve">Tort Frambo 1.4 kg cu Stevia_x000D_
Tort Duo-Mousse Visine 1.8 kg cu Stevie_x000D_
</t>
  </si>
  <si>
    <t xml:space="preserve">Prajitura Duo-Mousse Visine Stevia_x000D_
Prajitura Duo-Mousse Visine Stevia_x000D_
Prajitura Duo-Mousse Visine Stevia_x000D_
Prajitura Duo-Mousse Visine Stevia_x000D_
Prajitura Duo-Mousse Visine Stevia_x000D_
Tort Frambo 1.4 kg cu Stevia_x000D_
</t>
  </si>
  <si>
    <t xml:space="preserve">Tort Frambo 1.8 kg cu Stevia_x000D_
</t>
  </si>
  <si>
    <t xml:space="preserve">Tort Bezea cu Ciocolata 1.4 kg_x000D_
Tort Frambo 1.8 kg cu Stevia_x000D_
Prajitura Tarta Capsune cu Stevie_x000D_
Prajitura Tarta Capsune cu Stevie_x000D_
</t>
  </si>
  <si>
    <t>Tort Frambo 1.8 kg cu Stevia</t>
  </si>
  <si>
    <t>Tort Fistik si Zmeura 1.8 kg cu Stevia</t>
  </si>
  <si>
    <t>Tort Tonkka 1.4 kg cu Stevie</t>
  </si>
  <si>
    <t>Tort Tonkka 1.8 kg cu Stevie</t>
  </si>
  <si>
    <t xml:space="preserve">Tort Tonkka 1.4 kg cu Stevie_x000D_
Tort Tonka 1.4 kg_x000D_
</t>
  </si>
  <si>
    <t xml:space="preserve">Tort Tonkka 1.4 kg cu Stevie_x000D_
</t>
  </si>
  <si>
    <t xml:space="preserve">Tort Tonkka 1.8 kg cu Stevie_x000D_
</t>
  </si>
  <si>
    <t>Cozonac cu nuca,Cacao Glazurat</t>
  </si>
  <si>
    <t>Felie Tarta cu Mere cu Stevie</t>
  </si>
  <si>
    <t>Monoportie Tonkka cu Stevie</t>
  </si>
  <si>
    <t xml:space="preserve">Tort Framboisier 1.8 kg_x000D_
Tort Duo Mousse Visine 1.8 kg_x000D_
Tort clasic 1.4 kg_x000D_
Platou Minipraji 5 Persoane_x000D_
Prajitura Tarta Citron_x000D_
Prajitura Tarta Citron_x000D_
Prajitura Tarta Citron_x000D_
Prajitura Tarta Ciocolata_x000D_
Prajitura Tarta Ciocolata_x000D_
Prajitura Tarta Ciocolata_x000D_
Prajitura Tarta Capsuni_x000D_
Prajitura Tarta Capsuni_x000D_
Prajitura Tarta Capsuni_x000D_
Prajitura Tarta Capsuni_x000D_
Prajitura Tarta Capsuni_x000D_
Prajitura Tarta Capsuni_x000D_
Prajitura Tarta Capsuni_x000D_
Prajitura Tarta Capsuni_x000D_
Prajitura Tarta Capsuni_x000D_
Prajitura Tarta Capsuni_x000D_
Prajitura Tarta Capsuni_x000D_
Prajitura Tarta Capsuni_x000D_
Prajitura Tarta Capsuni_x000D_
Prajitura Tarta Capsuni_x000D_
Prajitura Tarta Capsuni_x000D_
Prajitura Duo-Mousse Visine Stevia_x000D_
Prajitura Duo-Mousse Visine Stevia_x000D_
Prajitura Duo-Mousse Visine Stevia_x000D_
Monoportie Fistic si Zmeura cu Stevie_x000D_
Monoportie Fistic si Zmeura cu Stevie_x000D_
Monoportie Fistic si Zmeura cu Stevie_x000D_
Monoportie Tonkka cu Stevie_x000D_
Monoportie Tonkka cu Stevie_x000D_
Monoportie Tonkka cu Stevie_x000D_
Prajitura Ecler Cafea_x000D_
Prajitura Ecler Cafea_x000D_
Prajitura Ecler Cocos_x000D_
Prajitura Ecler Cocos_x000D_
Prajitura Ecler Fistic_x000D_
Prajitura Ecler Fistic_x000D_
Prajitura Ecler Ciocolata _x000D_
Prajitura Ecler Ciocolata _x000D_
Prajitura Ecler Zmeura_x000D_
Prajitura Ecler Zmeura_x000D_
Prajitura Ecler Mango_x000D_
Prajitura Ecler Mango_x000D_
</t>
  </si>
  <si>
    <t xml:space="preserve">Tort Frambo 1.8 kg cu Stevia_x000D_
Prajitura Tarta de Mure cu Stevie_x000D_
Prajitura Tarta de Mure cu Stevie_x000D_
Monoportie Tonkka cu Stevie_x000D_
Monoportie Tonkka cu Stevie_x000D_
Felie Tarta cu Mere cu Stevie_x000D_
Felie Tarta cu Mere cu Stevie_x000D_
</t>
  </si>
  <si>
    <t xml:space="preserve">Monoportie Tonkka cu Stevie_x000D_
Monoportie Tonkka cu Stevie_x000D_
Monoportie Tonkka cu Stevie_x000D_
Monoportie Tonkka cu Stevie_x000D_
Monoportie Tonkka cu Stevie_x000D_
Monoportie Tonkka cu Stevie_x000D_
Monoportie Tonkka cu Stevie_x000D_
Monoportie Tonkka cu Stevie_x000D_
Monoportie Tonkka cu Stevie_x000D_
Monoportie Tonkka cu Stevie_x000D_
Monoportie Tonkka cu Stevie_x000D_
Monoportie Tonkka cu Stevie_x000D_
Monoportie Tonkka cu Stevie_x000D_
Monoportie Tonkka cu Stevie_x000D_
Alte Prajituri_x000D_
Alte Prajituri_x000D_
Alte Prajituri_x000D_
Alte Prajituri_x000D_
</t>
  </si>
  <si>
    <t xml:space="preserve">Tort Tonka 1.8 kg_x000D_
Monoportie Tonkka cu Stevie_x000D_
Monoportie Tonkka cu Stevie_x000D_
</t>
  </si>
  <si>
    <t xml:space="preserve">Tort Duo-Mousse Visine 1.4 kg cu Stevie_x000D_
Monoportie Tonkka cu Stevie_x000D_
Monoportie Tonkka cu Stevie_x000D_
Monoportie Fistic si Zmeura cu Stevie_x000D_
Monoportie Fistic si Zmeura cu Stevie_x000D_
</t>
  </si>
  <si>
    <t xml:space="preserve">Monoportie Tonkka cu Stevie_x000D_
Tort Decorat_x000D_
</t>
  </si>
  <si>
    <t xml:space="preserve">Prajitura Strawberry Cake_x000D_
Prajitura Strawberry Cake_x000D_
Prajitura Strawberry Cake_x000D_
Mille Feuille_x000D_
Mille Feuille_x000D_
Mille Feuille_x000D_
Prajitura Amandina_x000D_
Prajitura Ciocolatina_x000D_
Prajitura Ciocolatina_x000D_
Prajitura Ciocolatina_x000D_
Prajitura Duo-Mousse Visine Stevia_x000D_
Monoportie Tonkka cu Stevie_x000D_
Tort Duo Mousse Visine 1.4 kg_x000D_
</t>
  </si>
  <si>
    <t xml:space="preserve">Tort Duo Mousse Visine 1.8 kg_x000D_
Monoportie Tonkka cu Stevie_x000D_
Monoportie Tonkka cu Stevie_x000D_
Prajitura Duo-Mousse Visine Stevia_x000D_
Prajitura Duo-Mousse Visine Stevia_x000D_
Mille Feuille_x000D_
Mille Feuille_x000D_
Prajitura Macarons Mix_x000D_
Prajitura Macarons Mix_x000D_
Prajitura Macarons Mix_x000D_
Prajitura Macarons Mix_x000D_
Prajitura Macarons Mix_x000D_
Prajitura Macarons Mix_x000D_
</t>
  </si>
  <si>
    <t xml:space="preserve">Monoportie Fistic si Zmeura cu Stevie_x000D_
Monoportie Tonkka cu Stevie_x000D_
Monoportie Fistic si Zmeura cu Stevie_x000D_
</t>
  </si>
  <si>
    <t>Prajitura Cremshnit cu Stevie</t>
  </si>
  <si>
    <t xml:space="preserve">Prajitura Cremshnit cu Stevie_x000D_
Prajitura Cremshnit cu Stevie_x000D_
Prajitura Cremshnit cu Stevie_x000D_
Prajitura Cremshnit cu Stevie_x000D_
</t>
  </si>
  <si>
    <t xml:space="preserve">Tort Frambo 1.8 kg cu Stevia_x000D_
Prajitura Tarta Mure_x000D_
Prajitura Tarta Mure_x000D_
Prajitura Cremshnit cu Stevie_x000D_
Prajitura Cremshnit cu Stevie_x000D_
Felie Tarta cu Mere cu Stevie_x000D_
Felie Tarta cu Mere cu Stevie_x000D_
</t>
  </si>
  <si>
    <t xml:space="preserve">Prajitura Cremshnit cu Stevie_x000D_
Prajitura Cremshnit cu Stevie_x000D_
Prajitura Cremshnit cu Stevie_x000D_
Prajitura Cremshnit cu Stevie_x000D_
Prajitura Cremshnit cu Stevie_x000D_
Prajitura Cremshnit cu Stevie_x000D_
</t>
  </si>
  <si>
    <t xml:space="preserve">Prajitura Ecler Fistik Stevia_x000D_
Prajitura Ecler Ciocolat Stevia_x000D_
Prajitura Cremshnit cu Stevie_x000D_
Tort Carot Cake 1.4 kg cu Stevia_x000D_
</t>
  </si>
  <si>
    <t xml:space="preserve">Prajitura Ecler Ciocolata _x000D_
Prajitura Ecler Ciocolata _x000D_
Prajitura Ecler Cocos_x000D_
Prajitura Ecler Cocos_x000D_
Prajitura Ecler Zmeura_x000D_
Prajitura Ecler Zmeura_x000D_
Prajitura Ecler Cafea_x000D_
Prajitura Ecler Cafea_x000D_
Prajitura Ecler Fistic_x000D_
Prajitura Ecler Fistic_x000D_
Prajitura Ecler Mango_x000D_
Prajitura Ecler Mango_x000D_
Prajitura Amandina_x000D_
Prajitura Amandina_x000D_
Prajitura Cremsnit_x000D_
Prajitura Cremsnit_x000D_
Mini Red Velvet_x000D_
Mini Red Velvet_x000D_
Monoportie Tonka_x000D_
Monoportie Tonka_x000D_
Monoportie Fistic si Zmeura_x000D_
Monoportie Fistic si Zmeura_x000D_
Prajitura Cafina_x000D_
Prajitura Cafina_x000D_
Prajitura Mont Blanc_x000D_
Prajitura Mont Blanc_x000D_
Mille Feuille_x000D_
Mille Feuille_x000D_
Tort Framboisier 1.4 kg_x000D_
Tort Duo Mousse Visine 1.4 kg_x000D_
Prajitura Cremshnit cu Stevie_x000D_
Prajitura Cremshnit cu Stevie_x000D_
Prajitura Duo-Mousse Visine Stevia_x000D_
Prajitura Duo-Mousse Visine Stevia_x000D_
Monoportie Tonkka cu Stevie_x000D_
Monoportie Tonkka cu Stevie_x000D_
Platou Minipraji 5 Persoane_x000D_
Platou Minipraji 5 Persoane_x000D_
Platou Mini Tarte (15 buc)_x000D_
Prajitura Tarta Citron_x000D_
Prajitura Tarta Citron_x000D_
Prajitura Tarta Ciocolata_x000D_
Prajitura Tarta Ciocolata_x000D_
Prajitura Tarta Capsuni_x000D_
Prajitura Tarta Capsuni_x000D_
Prajitura Tarta Capsuni_x000D_
Prajitura Tarta Capsuni_x000D_
Prajitura Tarta Capsuni_x000D_
Platou Macarons Deluxe_x000D_
</t>
  </si>
  <si>
    <t xml:space="preserve">Monoportie Tonkka cu Stevie_x000D_
Monoportie Tonkka cu Stevie_x000D_
Prajitura Cremshnit cu Stevie_x000D_
Prajitura Cremshnit cu Stevie_x000D_
Monoportie Fistic si Zmeura cu Stevie_x000D_
Monoportie Fistic si Zmeura cu Stevie_x000D_
Prajitura Ecler Ciocolat Stevia_x000D_
Prajitura Ecler Kafea Stevia_x000D_
Alte Prajituri_x000D_
Alte Prajituri_x000D_
Alte Prajituri_x000D_
</t>
  </si>
  <si>
    <t xml:space="preserve">Mini Red Velvet_x000D_
Mini Red Velvet_x000D_
Mille Feuille_x000D_
Mille Feuille_x000D_
Prajitura Amandina_x000D_
Prajitura Amandina_x000D_
Prajitura Cremsnit_x000D_
Prajitura Cremsnit_x000D_
Prajitura Mont Blanc_x000D_
Prajitura Mont Blanc_x000D_
Prajitura Ciocolatina_x000D_
Prajitura Ciocolatina_x000D_
Prajitura Cafina_x000D_
Prajitura Cafina_x000D_
Monoportie Fistic si Zmeura_x000D_
Monoportie Fistic si Zmeura_x000D_
Monoportie Tonka_x000D_
Monoportie Tonka_x000D_
Prajitura Duo-Mousse Visine Stevia_x000D_
Prajitura Duo-Mousse Visine Stevia_x000D_
Monoportie Tonkka cu Stevie_x000D_
Monoportie Tonkka cu Stevie_x000D_
Prajitura Cremshnit cu Stevie_x000D_
Prajitura Cremshnit cu Stevie_x000D_
Tort Duo Mousse Visine 1.4 kg_x000D_
Tort Oreo 1.4 kg_x000D_
</t>
  </si>
  <si>
    <t xml:space="preserve">Tort Duo-Mousse Visine 1.4 kg cu Stevie_x000D_
Prajitura Cremshnit cu Stevie_x000D_
Prajitura Cremshnit cu Stevie_x000D_
Prajitura Cremshnit cu Stevie_x000D_
Prajitura Cremshnit cu Stevie_x000D_
</t>
  </si>
  <si>
    <t xml:space="preserve">Prajitura Duo-Mousse Visine Stevia_x000D_
Prajitura Duo-Mousse Visine Stevia_x000D_
Monoportie Tonkka cu Stevie_x000D_
Monoportie Tonkka cu Stevie_x000D_
Prajitura Cremshnit cu Stevie_x000D_
Prajitura Cremshnit cu Stevie_x000D_
Tort Red Velvet 1.4 kg_x000D_
Tort clasic 1.4 kg_x000D_
Platou Minipraji 5 Persoane_x000D_
Platou Minipraji 5 Persoane_x000D_
</t>
  </si>
  <si>
    <t xml:space="preserve">Prajitura Duo-Mousse Visine Stevia_x000D_
Prajitura Duo-Mousse Visine Stevia_x000D_
Prajitura Duo-Mousse Visine Stevia_x000D_
Prajitura Duo-Mousse Visine Stevia_x000D_
Monoportie Tonkka cu Stevie_x000D_
Monoportie Tonkka cu Stevie_x000D_
Monoportie Tonkka cu Stevie_x000D_
Monoportie Tonkka cu Stevie_x000D_
Prajitura Cremshnit cu Stevie_x000D_
Prajitura Cremshnit cu Stevie_x000D_
Prajitura Cremshnit cu Stevie_x000D_
Prajitura Cremshnit cu Stevie_x000D_
Platou Minipraji 5 Persoane_x000D_
Platou Minipraji 5 Persoane_x000D_
Prajitura Tarta Citron_x000D_
Prajitura Tarta Citron_x000D_
Prajitura Tarta Citron_x000D_
Prajitura Tarta Citron_x000D_
Prajitura Tarta Ciocolata_x000D_
Prajitura Tarta Ciocolata_x000D_
Prajitura Tarta Ciocolata_x000D_
Prajitura Tarta Ciocolata_x000D_
Prajitura Tarta Capsuni_x000D_
Prajitura Tarta Capsuni_x000D_
Prajitura Tarta Capsuni_x000D_
Prajitura Tarta Capsuni_x000D_
Prajitura Tarta Capsuni_x000D_
Prajitura Tarta Capsuni_x000D_
Prajitura Ecler Cocos_x000D_
Prajitura Ecler Cocos_x000D_
Prajitura Ecler Cocos_x000D_
Prajitura Ecler Cocos_x000D_
Prajitura Ecler Fistic_x000D_
Prajitura Ecler Fistic_x000D_
Prajitura Ecler Fistic_x000D_
Prajitura Ecler Fistic_x000D_
Prajitura Ecler Zmeura_x000D_
Prajitura Ecler Zmeura_x000D_
Prajitura Ecler Zmeura_x000D_
Prajitura Ecler Zmeura_x000D_
Prajitura Ecler Cafea_x000D_
Prajitura Ecler Cafea_x000D_
Prajitura Ecler Cafea_x000D_
Prajitura Ecler Cafea_x000D_
Prajitura Ecler Mango_x000D_
Prajitura Ecler Mango_x000D_
Prajitura Ecler Mango_x000D_
Prajitura Ecler Mango_x000D_
Prajitura Ecler Ciocolata _x000D_
Prajitura Ecler Ciocolata _x000D_
Prajitura Ecler Ciocolata _x000D_
Prajitura Ecler Ciocolata _x000D_
Prajitura Tiramisu_x000D_
Prajitura Tiramisu_x000D_
Prajitura Tiramisu_x000D_
Prajitura Profiterol_x000D_
Prajitura Profiterol_x000D_
Prajitura Profiterol_x000D_
Prajitura Cremsnit_x000D_
Prajitura Cremsnit_x000D_
Prajitura Cremsnit_x000D_
Prajitura Cremsnit_x000D_
Prajitura Mont Blanc_x000D_
Prajitura Mont Blanc_x000D_
Prajitura Mont Blanc_x000D_
Prajitura Mont Blanc_x000D_
Prajitura Ciocolatina_x000D_
Prajitura Ciocolatina_x000D_
Prajitura Ciocolatina_x000D_
Prajitura Ciocolatina_x000D_
Prajitura Cafina_x000D_
Prajitura Cafina_x000D_
Prajitura Cafina_x000D_
Prajitura Cafina_x000D_
Monoportie Fistic si Zmeura_x000D_
Monoportie Fistic si Zmeura_x000D_
Monoportie Fistic si Zmeura_x000D_
Monoportie Fistic si Zmeura_x000D_
Monoportie Tonka_x000D_
Monoportie Tonka_x000D_
Monoportie Tonka_x000D_
Monoportie Tonka_x000D_
</t>
  </si>
  <si>
    <t xml:space="preserve">Prajitura Duo-Mousse Visine Stevia_x000D_
Monoportie Fistic si Zmeura cu Stevie_x000D_
Monoportie Tonkka cu Stevie_x000D_
Prajitura Cremshnit cu Stevie_x000D_
Prajitura Cremshnit cu Stevie_x000D_
Prajitura Cremshnit cu Stevie_x000D_
Prajitura Ecler Zmeur Stevia_x000D_
Prajitura Tarta de Mure cu Stevie_x000D_
</t>
  </si>
  <si>
    <t xml:space="preserve">Prajitura Duo-Mousse Visine Stevia
Prajitura Duo-Mousse Visine Stevia
Prajitura Duo-Mousse Visine Stevia
Prajitura Duo-Mousse Visine Stevia
Monoportie Tonkka cu Stevie
Monoportie Tonkka cu Stevie
Monoportie Tonkka cu Stevie
Monoportie Tonkka cu Stevie
Prajitura Cremshnit cu Stevie
Prajitura Cremshnit cu Stevie
Prajitura Cremshnit cu Stevie
Prajitura Cremshnit cu Stevie
Platou Minipraji 5 Persoane
Platou Minipraji 5 Persoane
Prajitura Tarta Citron
Prajitura Tarta Citron
Prajitura Tarta Citron
Prajitura Tarta Citron
Prajitura Tarta Ciocolata
Prajitura Tarta Ciocolata
Prajitura Tarta Ciocolata
Prajitura Tarta Ciocolata
Prajitura Tarta Capsuni
Prajitura Tarta Capsuni
Prajitura Tarta Capsuni
Prajitura Tarta Capsuni
Prajitura Tarta Capsuni
Prajitura Tarta Capsuni
Prajitura Ecler Cocos
Prajitura Ecler Cocos
Prajitura Ecler Cocos
Prajitura Ecler Cocos
Prajitura Ecler Fistic
Prajitura Ecler Fistic
Prajitura Ecler Fistic
Prajitura Ecler Fistic
Prajitura Ecler Zmeura
Prajitura Ecler Zmeura
Prajitura Ecler Zmeura
Prajitura Ecler Zmeura
Prajitura Ecler Cafea
Prajitura Ecler Cafea
Prajitura Ecler Cafea
Prajitura Ecler Cafea
Prajitura Ecler Mango
Prajitura Ecler Mango
Prajitura Ecler Mango
Prajitura Ecler Mango
Prajitura Ecler Ciocolata 
Prajitura Ecler Ciocolata 
Prajitura Ecler Ciocolata 
Prajitura Ecler Ciocolata 
Prajitura Tiramisu
Prajitura Tiramisu
Prajitura Tiramisu
Prajitura Profiterol
Prajitura Profiterol
Prajitura Profiterol
Prajitura Cremsnit
Prajitura Cremsnit
Prajitura Cremsnit
Prajitura Cremsnit
Prajitura Mont Blanc
Prajitura Mont Blanc
Prajitura Mont Blanc
Prajitura Mont Blanc
Prajitura Ciocolatina
Prajitura Ciocolatina
Prajitura Ciocolatina
Prajitura Ciocolatina
Prajitura Cafina
Prajitura Cafina
Prajitura Cafina
Prajitura Cafina
Monoportie Fistic si Zmeura
Monoportie Fistic si Zmeura
Monoportie Fistic si Zmeura
Monoportie Fistic si Zmeura
Monoportie Tonka
Monoportie Tonka
Monoportie Tonka
Monoportie Tonka
Tort Framboisier 1.4 kg_x000D_
Tort Ciocolata si Rom 1.4 kg_x000D_
Tort Carot Cake 1.4 kg cu Stevia_x000D_
</t>
  </si>
  <si>
    <t xml:space="preserve">Prajitura Ecler Fistik Stevia_x000D_
Prajitura Ecler Zmeur Stevia_x000D_
Prajitura Cremshnit cu Stevie_x000D_
Monoportie Fistic si Zmeura cu Stevie_x000D_
Monoportie Tonkka cu Stevie_x000D_
</t>
  </si>
  <si>
    <t xml:space="preserve">Cookie Stevia (1 kg)
Prajitura Cremshnit cu Stevie
Prajitura Cremshnit cu Stevie
</t>
  </si>
  <si>
    <t xml:space="preserve">Prajitura Cremshnit cu Stevie_x000D_
Prajitura Cremshnit cu Stevie_x000D_
Monoportie Tonkka cu Stevie_x000D_
Monoportie Tonkka cu Stevie_x000D_
Prajitura Duo-Mousse Visine Stevia_x000D_
Prajitura Duo-Mousse Visine Stevia_x000D_
</t>
  </si>
  <si>
    <t xml:space="preserve">Prajitura Duo-Mousse Visine Stevia
Prajitura Duo-Mousse Visine Stevia
Prajitura Duo-Mousse Visine Stevia
Prajitura Duo-Mousse Visine Stevia
Monoportie Tonkka cu Stevie
Monoportie Tonkka cu Stevie
Monoportie Tonkka cu Stevie
Monoportie Tonkka cu Stevie
Prajitura Cremshnit cu Stevie
Prajitura Cremshnit cu Stevie
Prajitura Cremshnit cu Stevie
Prajitura Cremshnit cu Stevie
Platou Minipraji 5 Persoane
Platou Minipraji 5 Persoane
Prajitura Tarta Citron
Prajitura Tarta Citron
Prajitura Tarta Citron
Prajitura Tarta Citron
Prajitura Tarta Ciocolata
Prajitura Tarta Ciocolata
Prajitura Tarta Ciocolata
Prajitura Tarta Ciocolata
Prajitura Tarta Capsuni
Prajitura Tarta Capsuni
Prajitura Tarta Capsuni
Prajitura Tarta Capsuni
Prajitura Tarta Capsuni
Prajitura Tarta Capsuni
Prajitura Tarta Capsuni
Prajitura Tarta Capsuni
Prajitura Tarta Capsuni
Prajitura Tarta Capsuni
Prajitura Ecler Cocos
Prajitura Ecler Cocos
Prajitura Ecler Cocos
Prajitura Ecler Fistic
Prajitura Ecler Fistic
Prajitura Ecler Fistic
Prajitura Ecler Zmeura
Prajitura Ecler Zmeura
Prajitura Ecler Zmeura
Prajitura Ecler Cafea
Prajitura Ecler Cafea
Prajitura Ecler Cafea
Prajitura Ecler Mango
Prajitura Ecler Mango
Prajitura Ecler Mango
Prajitura Ecler Ciocolata 
Prajitura Ecler Ciocolata 
Prajitura Ecler Ciocolata 
Prajitura Cremsnit
Prajitura Cremsnit
Prajitura Cremsnit
Prajitura Cremsnit
Prajitura Mont Blanc
Prajitura Mont Blanc
Prajitura Mont Blanc
Prajitura Mont Blanc
Prajitura Mont Blanc
Prajitura Mont Blanc
Prajitura Mont Blanc
Prajitura Mont Blanc
Prajitura Mont Blanc
Prajitura Mont Blanc
Prajitura Ciocolatina
Prajitura Ciocolatina
Prajitura Ciocolatina
Prajitura Ciocolatina
Prajitura Ciocolatina
Prajitura Ciocolatina
Prajitura Ciocolatina
Prajitura Ciocolatina
Prajitura Ciocolatina
Prajitura Ciocolatina
Prajitura Cafina
Prajitura Cafina
Prajitura Cafina
Prajitura Cafina
Prajitura Cafina
Prajitura Cafina
Prajitura Cafina
Monoportie Fistic si Zmeura
Monoportie Fistic si Zmeura
Monoportie Fistic si Zmeura
Monoportie Fistic si Zmeura
Monoportie Tonka
Monoportie Tonka
Monoportie Tonka
Monoportie Tonka
Tort Framboisier 1.4 kg
Tort Duo Mousse Visine 1.8 kg
Tort Berry Chocolate 1.4 kg 
Tort Tonka 1.8 kg
Tort Duo-Mousse Visine 1.4 kg cu Stevie
</t>
  </si>
  <si>
    <t xml:space="preserve">Prajitura Duo-Mousse Visine Stevia
Prajitura Duo-Mousse Visine Stevia
Monoportie Tonkka cu Stevie
Monoportie Tonkka cu Stevie
Prajitura Cremshnit cu Stevie
Prajitura Cremshnit cu Stevie
Platou Minipraji 5 Persoane
Platou Minipraji 5 Persoane
Platou Macarons 30 Buc
Prajitura Tarta Citron
Prajitura Tarta Citron
Prajitura Tarta Ciocolata
Prajitura Tarta Ciocolata
Prajitura Tarta Capsuni
Prajitura Tarta Capsuni
Prajitura Ecler Cocos
Prajitura Ecler Cocos
Prajitura Ecler Fistic
Prajitura Ecler Fistic
Prajitura Ecler Zmeura
Prajitura Ecler Zmeura
Prajitura Ecler Zmeura
Prajitura Ecler Zmeura
Prajitura Ecler Cafea
Prajitura Ecler Cafea
Prajitura Ecler Mango
Prajitura Ecler Mango
Prajitura Ecler Ciocolata 
Prajitura Ecler Ciocolata 
Prajitura Cremsnit
Prajitura Cremsnit
Prajitura Mont Blanc
Prajitura Mont Blanc
Prajitura Ciocolatina
Prajitura Ciocolatina
Prajitura Cafina
Prajitura Cafina
Monoportie Fistic si Zmeura
Monoportie Fistic si Zmeura
Monoportie Tonka
Monoportie Tonka
Tort Chocolate Delight 1.4 kg
Tort Duo-Mousse Visine 1.4 kg cu Stevie
Tort Framboisier 1.8 kg
Cookie Stevia (1 kg)_x000D_
</t>
  </si>
  <si>
    <t xml:space="preserve">Prajitura Cremshnit cu Stevie_x000D_
Prajitura Ecler Kafea Stevia_x000D_
Prajitura Tarta Capsune cu Stevie_x000D_
Prajitura Amandina_x000D_
Prajitura Savarina_x000D_
</t>
  </si>
  <si>
    <t xml:space="preserve">Trufe Stevia (1 kg)_x000D_
Tort Frambo 1.8 kg cu Stevia_x000D_
Prajitura Tarta de Mure cu Stevie_x000D_
Prajitura Tarta de Mure cu Stevie_x000D_
Prajitura Cremshnit cu Stevie_x000D_
Prajitura Cremshnit cu Stevie_x000D_
Felie Tarta cu Mere cu Stevie_x000D_
Felie Tarta cu Mere cu Stevie_x000D_
</t>
  </si>
  <si>
    <t xml:space="preserve">Prajitura Duo-Mousse Visine Stevia
Prajitura Duo-Mousse Visine Stevia
Monoportie Tonkka cu Stevie
Monoportie Tonkka cu Stevie
Prajitura Cremshnit cu Stevie
Prajitura Cremshnit cu Stevie
Platou Minipraji 5 Persoane
Platou Minipraji 5 Persoane
Prajitura Tarta Citron
Prajitura Tarta Citron
Prajitura Tarta Ciocolata
Prajitura Tarta Ciocolata
Prajitura Tarta Capsuni
Prajitura Tarta Capsuni
Prajitura Ecler Cocos
Prajitura Ecler Cocos
Prajitura Ecler Fistic
Prajitura Ecler Fistic
Prajitura Ecler Zmeura
Prajitura Ecler Zmeura
Prajitura Ecler Cafea
Prajitura Ecler Cafea
Prajitura Ecler Mango
Prajitura Ecler Mango
Prajitura Ecler Ciocolata 
Prajitura Ecler Ciocolata 
Prajitura Cremsnit
Prajitura Cremsnit
Prajitura Mont Blanc
Prajitura Mont Blanc
Prajitura Ciocolatina
Prajitura Ciocolatina
Prajitura Cafina
Prajitura Cafina
Prajitura Amandina
Prajitura Amandina
Monoportie Fistic si Zmeura
Monoportie Fistic si Zmeura
Monoportie Tonka
Monoportie Tonka
Tort Duo-Mousse Visine 1.4 kg cu Stevie
Tort Framboisier 1.4 kg
Tort Fistik si Zmeura 1.4 kg cu Stevia
</t>
  </si>
  <si>
    <t xml:space="preserve">Prajitura Cremshnit cu Stevie_x000D_
Prajitura Ecler Ciocolat Stevia_x000D_
Prajitura Ecler Fistik Stevia_x000D_
Prajitura Duo-Mousse Visine Stevia_x000D_
Monoportie Tonkka cu Stevie_x000D_
</t>
  </si>
  <si>
    <t xml:space="preserve">Prajitura Duo-Mousse Visine Stevia
Prajitura Duo-Mousse Visine Stevia
Monoportie Tonka
Monoportie Tonka
Prajitura Cremshnit cu Stevie
Prajitura Cremshnit cu Stevie
Platou Minipraji 5 Persoane
Platou Minipraji 5 Persoane
Prajitura Tarta Citron
Prajitura Tarta Citron
Prajitura Tarta Ciocolata
Prajitura Tarta Ciocolata
Prajitura Tarta Capsuni
Prajitura Tarta Capsuni
Prajitura Ecler Cocos
Prajitura Ecler Cocos
Prajitura Ecler Fistic
Prajitura Ecler Fistic
Prajitura Ecler Zmeura
Prajitura Ecler Zmeura
Prajitura Ecler Cafea
Prajitura Ecler Cafea
Prajitura Ecler Mango
Prajitura Ecler Mango
Prajitura Ecler Ciocolata 
Prajitura Ecler Ciocolata 
Prajitura Cremsnit
Prajitura Cremsnit
Prajitura Cremsnit
Prajitura Cremsnit
Prajitura Mont Blanc
Prajitura Mont Blanc
Prajitura Ciocolatina
Prajitura Ciocolatina
Prajitura Cafina
Prajitura Cafina
Prajitura Amandina
Prajitura Amandina
Monoportie Fistic si Zmeura
Monoportie Fistic si Zmeura
Monoportie Tonka
Monoportie Tonka
Prajitura Strawberry Cake
Prajitura Strawberry Cake
Golden Egg Delight Monoportie
Golden Egg Delight Monoportie
Tort Framboisier 1.4 kg
Tort Noisette 1.4 kg
Tort Ciocolata si Rom 1.4 kg
</t>
  </si>
  <si>
    <t xml:space="preserve">Tort Tonkka 1.4 kg cu Stevie_x000D_
Prajitura Cremshnit cu Stevie_x000D_
Prajitura Cremshnit cu Stevie_x000D_
Monoportie Tonkka cu Stevie_x000D_
Monoportie Tonkka cu Stevie_x000D_
</t>
  </si>
  <si>
    <t xml:space="preserve">Cozonac STEVIA_x000D_
Tort Tonkka 1.4 kg cu Stevie_x000D_
Prajitura Cremshnit cu Stevie_x000D_
Prajitura Cremshnit cu Stevie_x000D_
Monoportie Tonkka cu Stevie_x000D_
Monoportie Tonkka cu Stevie_x000D_
</t>
  </si>
  <si>
    <t xml:space="preserve">Cozonac STEVIA_x000D_
Tort Framboisier 1.4 kg_x000D_
Prajitura Cremshnit cu Stevie_x000D_
Prajitura Cremshnit cu Stevie_x000D_
Monoportie Fistic si Zmeura cu Stevie_x000D_
Monoportie Fistic si Zmeura cu Stevie_x000D_
</t>
  </si>
  <si>
    <t xml:space="preserve">Tort Tonkka 1.4 kg cu Stevie_x000D_
Prajitura Cremshnit cu Stevie_x000D_
Prajitura Cremshnit cu Stevie_x000D_
Monoportie Fistic si Zmeura cu Stevie_x000D_
Monoportie Fistic si Zmeura cu Stevie_x000D_
</t>
  </si>
  <si>
    <t xml:space="preserve">Cozonac STEVIA
Prajitura Cremshnit cu Stevie
Prajitura Cremshnit cu Stevie
Tort Frambo 1.4 kg cu Stevia
Monoportie Fistic si Zmeura cu Stevie
Monoportie Fistic si Zmeura cu Stevie
Pachet Sweet Christmas
Pachet Christmas Stevia_x000D_
</t>
  </si>
  <si>
    <t xml:space="preserve">Monoportie Tonkka cu Stevie_x000D_
Monoportie Tonkka cu Stevie_x000D_
Monoportie Fistic si Zmeura cu Stevie_x000D_
Monoportie Fistic si Zmeura cu Stevie_x000D_
Prajitura Cremshnit cu Stevie_x000D_
Prajitura Cremshnit cu Stevie_x000D_
Prajitura Tarta de Zmeura cu Stevie_x000D_
Prajitura Tarta de Zmeura cu Stevie_x000D_
Prajitura Tarta de Zmeura cu Stevie_x000D_
</t>
  </si>
  <si>
    <t xml:space="preserve">Tort Tonkka 1.4 kg cu Stevie
Prajitura Cremshnit cu Stevie
Prajitura Cremshnit cu Stevie
Monoportie Tonkka cu Stevie
Monoportie Tonkka cu Stevie
</t>
  </si>
  <si>
    <t xml:space="preserve">Tort Frambo 1.8 kg cu Stevia
Prajitura Tarta de Mure cu Stevie
Prajitura Tarta de Mure cu Stevie
Prajitura Cremshnit cu Stevie
Prajitura Cremshnit cu Stevie
Felie Tarta cu Mere cu Stevie
Felie Tarta cu Mere cu Stevie
Pachet stevia revelion
</t>
  </si>
  <si>
    <t xml:space="preserve">Cozonac STEVIA_x000D_
Tort Framboisier 1.4 kg_x000D_
Prajitura Cremshnit cu Stevie_x000D_
Prajitura Cremshnit cu Stevie_x000D_
Monoportie Fistic si Zmeura cu Stevie_x000D_
Monoportie Fistic si Zmeura cu Stevie_x000D_
Pachet Christmas Stevia_x000D_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</si>
</sst>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mm;@"/>
    <numFmt numFmtId="165" formatCode="h:mm;@"/>
    <numFmt numFmtId="166" formatCode="hh:mm:ss\ AM/PM"/>
    <numFmt numFmtId="167" formatCode="\€#,##0.00"/>
    <numFmt numFmtId="168" formatCode="dd/mm/yy;@"/>
  </numFmts>
  <fonts count="229" x14ac:knownFonts="1">
    <font>
      <sz val="11"/>
      <color theme="1"/>
      <name val="Calibri"/>
      <family val="2"/>
      <scheme val="minor"/>
    </font>
    <font>
      <b/>
      <sz val="11"/>
      <color theme="0"/>
      <name val="Calibri"/>
      <family val="2"/>
      <scheme val="minor"/>
    </font>
    <font>
      <b/>
      <sz val="11"/>
      <color theme="1"/>
      <name val="Calibri"/>
      <family val="2"/>
      <scheme val="minor"/>
    </font>
    <font>
      <b/>
      <sz val="11"/>
      <color rgb="FFFFFFFF"/>
      <name val="Calibri"/>
      <family val="2"/>
      <charset val="1"/>
    </font>
    <font>
      <b/>
      <sz val="11"/>
      <color rgb="FF000000"/>
      <name val="Calibri"/>
      <family val="2"/>
      <charset val="1"/>
    </font>
    <font>
      <b/>
      <sz val="11"/>
      <name val="Calibri"/>
      <family val="2"/>
      <charset val="1"/>
    </font>
    <font>
      <b/>
      <u/>
      <sz val="11"/>
      <color rgb="FF000000"/>
      <name val="Calibri"/>
      <family val="2"/>
      <charset val="1"/>
    </font>
    <font>
      <b/>
      <sz val="11"/>
      <color rgb="FF000000"/>
      <name val="Calibri"/>
      <family val="2"/>
    </font>
    <font>
      <b/>
      <u/>
      <sz val="11"/>
      <color rgb="FF000000"/>
      <name val="Calibri"/>
      <family val="2"/>
    </font>
    <font>
      <sz val="11"/>
      <color rgb="FF000000"/>
      <name val="Calibri"/>
      <family val="2"/>
      <charset val="1"/>
    </font>
    <font>
      <b/>
      <sz val="11"/>
      <color rgb="FF222222"/>
      <name val="Calibri"/>
      <family val="2"/>
      <scheme val="minor"/>
    </font>
    <font>
      <b/>
      <sz val="11"/>
      <color rgb="FF222222"/>
      <name val="Calibri"/>
      <family val="2"/>
      <charset val="1"/>
    </font>
    <font>
      <b/>
      <sz val="12"/>
      <color rgb="FF000000"/>
      <name val="Calibri"/>
      <family val="2"/>
      <charset val="1"/>
    </font>
    <font>
      <u/>
      <sz val="11"/>
      <color rgb="FF0563C1"/>
      <name val="Calibri"/>
      <family val="2"/>
      <charset val="1"/>
    </font>
    <font>
      <b/>
      <u/>
      <sz val="11"/>
      <color rgb="FF0563C1"/>
      <name val="Calibri"/>
      <family val="2"/>
      <charset val="1"/>
    </font>
    <font>
      <b/>
      <sz val="10"/>
      <color rgb="FF000000"/>
      <name val="Verdana"/>
      <family val="2"/>
      <charset val="1"/>
    </font>
    <font>
      <b/>
      <sz val="11"/>
      <color rgb="FF2E75B6"/>
      <name val="Calibri"/>
      <family val="2"/>
      <charset val="1"/>
    </font>
    <font>
      <b/>
      <i/>
      <sz val="11"/>
      <color rgb="FF000000"/>
      <name val="Calibri"/>
      <family val="2"/>
      <charset val="1"/>
    </font>
    <font>
      <b/>
      <sz val="14"/>
      <color rgb="FF000000"/>
      <name val="Calibri"/>
      <family val="2"/>
      <charset val="1"/>
    </font>
    <font>
      <sz val="11"/>
      <name val="Calibri"/>
      <family val="2"/>
      <charset val="1"/>
    </font>
    <font>
      <b/>
      <i/>
      <u/>
      <sz val="11"/>
      <color rgb="FF000000"/>
      <name val="Calibri"/>
      <family val="2"/>
      <charset val="1"/>
    </font>
    <font>
      <b/>
      <i/>
      <u/>
      <sz val="11"/>
      <name val="Calibri"/>
      <family val="2"/>
      <charset val="1"/>
    </font>
    <font>
      <u/>
      <sz val="11"/>
      <name val="Calibri"/>
      <family val="2"/>
      <charset val="1"/>
    </font>
    <font>
      <b/>
      <u/>
      <sz val="11"/>
      <name val="Calibri"/>
      <family val="2"/>
      <charset val="1"/>
    </font>
    <font>
      <b/>
      <i/>
      <sz val="11"/>
      <name val="Calibri"/>
      <family val="2"/>
      <charset val="1"/>
    </font>
    <font>
      <b/>
      <u/>
      <sz val="11"/>
      <color rgb="FF0000FF"/>
      <name val="Calibri"/>
      <family val="2"/>
      <charset val="1"/>
    </font>
    <font>
      <sz val="10"/>
      <color rgb="FF000000"/>
      <name val="Verdana"/>
      <family val="2"/>
      <charset val="1"/>
    </font>
    <font>
      <u/>
      <sz val="11"/>
      <color rgb="FF0000FF"/>
      <name val="Calibri"/>
      <family val="2"/>
      <charset val="1"/>
    </font>
    <font>
      <u/>
      <sz val="11"/>
      <color rgb="FF000000"/>
      <name val="Calibri"/>
      <family val="2"/>
      <charset val="1"/>
    </font>
    <font>
      <b/>
      <sz val="11"/>
      <color rgb="FFFF0000"/>
      <name val="Calibri"/>
      <family val="2"/>
      <charset val="1"/>
    </font>
    <font>
      <sz val="11"/>
      <color rgb="FFFFFFFF"/>
      <name val="Calibri"/>
      <family val="2"/>
      <charset val="1"/>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i/>
      <u/>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0"/>
      <color theme="1"/>
      <name val="Arial"/>
      <family val="2"/>
    </font>
    <font>
      <sz val="10"/>
      <color theme="1"/>
      <name val="Arial"/>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sz val="11"/>
      <color rgb="FF222222"/>
      <name val="Calibri"/>
      <family val="2"/>
      <scheme val="minor"/>
    </font>
    <font>
      <b/>
      <sz val="11"/>
      <color theme="1"/>
      <name val="Calibri"/>
      <family val="2"/>
      <scheme val="minor"/>
    </font>
    <font>
      <b/>
      <sz val="11"/>
      <color rgb="FF000000"/>
      <name val="Calibri"/>
      <family val="2"/>
    </font>
    <font>
      <b/>
      <sz val="11"/>
      <color theme="4" tint="-0.249977111117893"/>
      <name val="Calibri"/>
      <family val="2"/>
    </font>
    <font>
      <b/>
      <sz val="11"/>
      <color theme="1"/>
      <name val="Calibri"/>
      <family val="2"/>
      <scheme val="minor"/>
    </font>
    <font>
      <b/>
      <sz val="11"/>
      <color rgb="FF000000"/>
      <name val="Calibri"/>
      <family val="2"/>
    </font>
    <font>
      <u/>
      <sz val="11"/>
      <color theme="1"/>
      <name val="Calibri"/>
      <family val="2"/>
      <scheme val="minor"/>
    </font>
    <font>
      <b/>
      <sz val="11"/>
      <color theme="1"/>
      <name val="Calibri"/>
      <family val="2"/>
      <scheme val="minor"/>
    </font>
    <font>
      <b/>
      <sz val="11"/>
      <color rgb="FF000000"/>
      <name val="Calibri"/>
      <family val="2"/>
    </font>
    <font>
      <b/>
      <u/>
      <sz val="11"/>
      <color theme="1"/>
      <name val="Calibri"/>
      <family val="2"/>
      <scheme val="minor"/>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i/>
      <u/>
      <sz val="11"/>
      <color theme="1"/>
      <name val="Calibri"/>
      <family val="2"/>
      <scheme val="minor"/>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8"/>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0"/>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sz val="11"/>
      <color rgb="FF000000"/>
      <name val="Calibri"/>
      <family val="2"/>
    </font>
    <font>
      <sz val="8"/>
      <name val="Calibri"/>
      <family val="2"/>
      <scheme val="minor"/>
    </font>
    <font>
      <b/>
      <sz val="16"/>
      <color theme="0"/>
      <name val="Calibri"/>
      <family val="2"/>
      <scheme val="minor"/>
    </font>
    <font>
      <sz val="16"/>
      <color theme="1"/>
      <name val="Calibri"/>
      <family val="2"/>
      <scheme val="minor"/>
    </font>
    <font>
      <b/>
      <sz val="16"/>
      <color theme="1"/>
      <name val="Calibri"/>
      <family val="2"/>
      <scheme val="minor"/>
    </font>
    <font>
      <b/>
      <sz val="16"/>
      <color rgb="FF000000"/>
      <name val="Calibri"/>
      <family val="2"/>
    </font>
    <font>
      <b/>
      <u/>
      <sz val="16"/>
      <color rgb="FF000000"/>
      <name val="Calibri"/>
      <family val="2"/>
    </font>
    <font>
      <b/>
      <sz val="16"/>
      <color theme="1"/>
      <name val="Calibri"/>
      <family val="2"/>
      <scheme val="minor"/>
    </font>
    <font>
      <b/>
      <sz val="16"/>
      <color rgb="FF000000"/>
      <name val="Calibri"/>
      <family val="2"/>
    </font>
    <font>
      <b/>
      <sz val="16"/>
      <color theme="1"/>
      <name val="Calibri"/>
      <family val="2"/>
      <scheme val="minor"/>
    </font>
    <font>
      <b/>
      <sz val="16"/>
      <color rgb="FF000000"/>
      <name val="Calibri"/>
      <family val="2"/>
    </font>
    <font>
      <b/>
      <sz val="16"/>
      <color theme="1"/>
      <name val="Calibri"/>
      <family val="2"/>
      <scheme val="minor"/>
    </font>
    <font>
      <b/>
      <sz val="16"/>
      <color rgb="FF000000"/>
      <name val="Calibri"/>
      <family val="2"/>
    </font>
    <font>
      <b/>
      <sz val="16"/>
      <color theme="1"/>
      <name val="Calibri"/>
      <family val="2"/>
      <scheme val="minor"/>
    </font>
    <font>
      <b/>
      <sz val="16"/>
      <color rgb="FF000000"/>
      <name val="Calibri"/>
      <family val="2"/>
    </font>
    <font>
      <b/>
      <sz val="16"/>
      <color theme="1"/>
      <name val="Calibri"/>
      <family val="2"/>
      <scheme val="minor"/>
    </font>
    <font>
      <b/>
      <sz val="16"/>
      <color rgb="FF000000"/>
      <name val="Calibri"/>
      <family val="2"/>
    </font>
    <font>
      <b/>
      <sz val="16"/>
      <color theme="1"/>
      <name val="Calibri"/>
      <family val="2"/>
      <scheme val="minor"/>
    </font>
    <font>
      <b/>
      <sz val="16"/>
      <color rgb="FF000000"/>
      <name val="Calibri"/>
      <family val="2"/>
    </font>
    <font>
      <b/>
      <sz val="16"/>
      <color theme="1"/>
      <name val="Calibri"/>
      <family val="2"/>
      <scheme val="minor"/>
    </font>
    <font>
      <b/>
      <sz val="16"/>
      <color rgb="FF000000"/>
      <name val="Calibri"/>
      <family val="2"/>
    </font>
    <font>
      <b/>
      <sz val="11"/>
      <color rgb="FF000000"/>
      <name val="Calibri"/>
      <family val="2"/>
    </font>
    <font>
      <i/>
      <sz val="11"/>
      <color rgb="FF000000"/>
      <name val="Calibri"/>
      <family val="2"/>
    </font>
    <font>
      <b/>
      <sz val="11"/>
      <color rgb="FF000000"/>
      <name val="Calibri"/>
      <family val="2"/>
    </font>
    <font>
      <b/>
      <sz val="11"/>
      <color theme="1"/>
      <name val="Calibri Light"/>
      <family val="2"/>
      <scheme val="major"/>
    </font>
    <font>
      <b/>
      <sz val="11"/>
      <color rgb="FF000000"/>
      <name val="Calibri Light"/>
      <family val="2"/>
      <scheme val="major"/>
    </font>
    <font>
      <b/>
      <sz val="11"/>
      <color rgb="FF000000"/>
      <name val="Calibri"/>
      <family val="2"/>
    </font>
    <font>
      <b/>
      <sz val="11"/>
      <color rgb="FF000000"/>
      <name val="Calibri"/>
      <family val="2"/>
    </font>
    <font>
      <u/>
      <sz val="11"/>
      <color rgb="FF000000"/>
      <name val="Calibri"/>
      <family val="2"/>
    </font>
    <font>
      <b/>
      <sz val="11"/>
      <color rgb="FF000000"/>
      <name val="Calibri"/>
      <family val="2"/>
    </font>
    <font>
      <b/>
      <sz val="11"/>
      <color rgb="FF000000"/>
      <name val="Calibri"/>
      <family val="2"/>
    </font>
    <font>
      <b/>
      <sz val="11"/>
      <color rgb="FF000000"/>
      <name val="Calibri"/>
      <family val="2"/>
    </font>
    <font>
      <b/>
      <sz val="11"/>
      <color rgb="FF000000"/>
      <name val="Calibri"/>
      <family val="2"/>
    </font>
    <font>
      <b/>
      <sz val="11"/>
      <color rgb="FF000000"/>
      <name val="Calibri"/>
      <family val="2"/>
    </font>
    <font>
      <b/>
      <sz val="11"/>
      <color rgb="FF00B050"/>
      <name val="Calibri"/>
      <family val="2"/>
    </font>
    <font>
      <b/>
      <sz val="11"/>
      <color rgb="FFFF0000"/>
      <name val="Calibri"/>
      <family val="2"/>
    </font>
    <font>
      <b/>
      <sz val="11"/>
      <color rgb="FF000000"/>
      <name val="Calibri"/>
      <family val="2"/>
    </font>
    <font>
      <b/>
      <sz val="11"/>
      <color theme="0"/>
      <name val="Calibri"/>
      <family val="2"/>
      <scheme val="minor"/>
    </font>
    <font>
      <b/>
      <sz val="11"/>
      <color rgb="FF000000"/>
      <name val="Calibri"/>
      <family val="2"/>
    </font>
    <font>
      <b/>
      <sz val="11"/>
      <color rgb="FF000000"/>
      <name val="Calibri"/>
      <family val="2"/>
    </font>
    <font>
      <b/>
      <sz val="11"/>
      <color rgb="FF000000"/>
      <name val="Calibri"/>
      <family val="2"/>
    </font>
    <font>
      <b/>
      <sz val="11"/>
      <color theme="1"/>
      <name val="Calibri"/>
      <family val="2"/>
    </font>
    <font>
      <b/>
      <sz val="11"/>
      <color rgb="FF000000"/>
      <name val="Calibri"/>
      <family val="2"/>
    </font>
    <font>
      <b/>
      <sz val="11"/>
      <color rgb="FF000000"/>
      <name val="Calibri"/>
      <family val="2"/>
    </font>
    <font>
      <sz val="36"/>
      <color theme="1"/>
      <name val="Calibri"/>
      <family val="2"/>
      <scheme val="minor"/>
    </font>
    <font>
      <sz val="26"/>
      <color theme="1"/>
      <name val="Calibri"/>
      <family val="2"/>
      <scheme val="minor"/>
    </font>
    <font>
      <b/>
      <sz val="11"/>
      <color rgb="FF000000"/>
      <name val="Calibri"/>
      <family val="2"/>
    </font>
    <font>
      <b/>
      <sz val="11"/>
      <color rgb="FF000000"/>
      <name val="Calibri"/>
      <family val="2"/>
    </font>
    <font>
      <b/>
      <sz val="4"/>
      <color rgb="FF000000"/>
      <name val="Calibri"/>
      <family val="2"/>
    </font>
    <font>
      <b/>
      <sz val="4"/>
      <color theme="0"/>
      <name val="Calibri"/>
      <family val="2"/>
      <scheme val="minor"/>
    </font>
    <font>
      <sz val="4"/>
      <color theme="1"/>
      <name val="Calibri"/>
      <family val="2"/>
      <scheme val="minor"/>
    </font>
    <font>
      <b/>
      <sz val="14"/>
      <color theme="0"/>
      <name val="Calibri"/>
      <family val="2"/>
      <scheme val="minor"/>
    </font>
    <font>
      <b/>
      <sz val="11"/>
      <color rgb="FF000000"/>
      <name val="Calibri"/>
      <family val="2"/>
    </font>
    <font>
      <b/>
      <sz val="11"/>
      <color rgb="FF000000"/>
      <name val="Calibri"/>
      <family val="2"/>
    </font>
    <font>
      <b/>
      <sz val="11"/>
      <color rgb="FF000000"/>
      <name val="Calibri"/>
      <family val="2"/>
    </font>
    <font>
      <b/>
      <sz val="11"/>
      <color rgb="FF000000"/>
      <name val="Calibri"/>
      <family val="2"/>
    </font>
    <font>
      <sz val="28"/>
      <color theme="1"/>
      <name val="Calibri"/>
      <family val="2"/>
      <scheme val="minor"/>
    </font>
    <font>
      <b/>
      <sz val="11"/>
      <color rgb="FF162D3D"/>
      <name val="Calibri"/>
      <family val="2"/>
      <scheme val="minor"/>
    </font>
    <font>
      <sz val="11"/>
      <name val="Calibri"/>
      <family val="2"/>
      <scheme val="minor"/>
    </font>
    <font>
      <b/>
      <sz val="11"/>
      <name val="Calibri"/>
      <family val="2"/>
      <scheme val="minor"/>
    </font>
    <font>
      <b/>
      <sz val="4"/>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family val="2"/>
      <scheme val="minor"/>
    </font>
    <font>
      <b/>
      <sz val="11"/>
      <color rgb="FF000000"/>
      <name val="Calibri"/>
      <family val="2"/>
    </font>
    <font>
      <b/>
      <sz val="11"/>
      <color theme="1"/>
      <name val="Calibri"/>
      <scheme val="minor"/>
    </font>
    <font>
      <b/>
      <sz val="11"/>
      <color rgb="FF000000"/>
      <name val="Calibri"/>
    </font>
    <font>
      <b/>
      <sz val="4"/>
      <color theme="1"/>
      <name val="Calibri"/>
      <family val="2"/>
    </font>
  </fonts>
  <fills count="102">
    <fill>
      <patternFill patternType="none"/>
    </fill>
    <fill>
      <patternFill patternType="gray125"/>
    </fill>
    <fill>
      <patternFill patternType="solid">
        <fgColor rgb="FF2F5597"/>
        <bgColor rgb="FF2E75B6"/>
      </patternFill>
    </fill>
    <fill>
      <patternFill patternType="solid">
        <fgColor theme="8" tint="-0.249977111117893"/>
        <bgColor rgb="FF2E75B6"/>
      </patternFill>
    </fill>
    <fill>
      <patternFill patternType="solid">
        <fgColor theme="8" tint="-0.249977111117893"/>
        <bgColor indexed="64"/>
      </patternFill>
    </fill>
    <fill>
      <patternFill patternType="solid">
        <fgColor theme="9" tint="0.39997558519241921"/>
        <bgColor indexed="64"/>
      </patternFill>
    </fill>
    <fill>
      <patternFill patternType="solid">
        <fgColor rgb="FFF4B183"/>
        <bgColor rgb="FFFFB66C"/>
      </patternFill>
    </fill>
    <fill>
      <patternFill patternType="solid">
        <fgColor theme="9" tint="0.39997558519241921"/>
        <bgColor rgb="FFF10D0C"/>
      </patternFill>
    </fill>
    <fill>
      <patternFill patternType="solid">
        <fgColor rgb="FFFF0000"/>
        <bgColor rgb="FFF10D0C"/>
      </patternFill>
    </fill>
    <fill>
      <patternFill patternType="solid">
        <fgColor theme="4" tint="0.59999389629810485"/>
        <bgColor rgb="FFFFB66C"/>
      </patternFill>
    </fill>
    <fill>
      <patternFill patternType="solid">
        <fgColor theme="5" tint="0.39997558519241921"/>
        <bgColor indexed="64"/>
      </patternFill>
    </fill>
    <fill>
      <patternFill patternType="solid">
        <fgColor theme="5" tint="0.39997558519241921"/>
        <bgColor rgb="FFFFB66C"/>
      </patternFill>
    </fill>
    <fill>
      <patternFill patternType="solid">
        <fgColor rgb="FF92D050"/>
        <bgColor indexed="64"/>
      </patternFill>
    </fill>
    <fill>
      <patternFill patternType="solid">
        <fgColor theme="5" tint="0.39997558519241921"/>
        <bgColor rgb="FFF10D0C"/>
      </patternFill>
    </fill>
    <fill>
      <patternFill patternType="solid">
        <fgColor rgb="FFFF0000"/>
        <bgColor indexed="64"/>
      </patternFill>
    </fill>
    <fill>
      <patternFill patternType="solid">
        <fgColor rgb="FF9DC3E6"/>
        <bgColor rgb="FFB4C7E7"/>
      </patternFill>
    </fill>
    <fill>
      <patternFill patternType="solid">
        <fgColor theme="3" tint="0.59999389629810485"/>
        <bgColor indexed="64"/>
      </patternFill>
    </fill>
    <fill>
      <patternFill patternType="solid">
        <fgColor rgb="FFA9D18E"/>
        <bgColor rgb="FF92D050"/>
      </patternFill>
    </fill>
    <fill>
      <patternFill patternType="solid">
        <fgColor rgb="FFBDD7EE"/>
        <bgColor rgb="FFB9CDE5"/>
      </patternFill>
    </fill>
    <fill>
      <patternFill patternType="solid">
        <fgColor rgb="FFFFFFFF"/>
        <bgColor rgb="FFFFFFCC"/>
      </patternFill>
    </fill>
    <fill>
      <patternFill patternType="solid">
        <fgColor theme="9" tint="0.39997558519241921"/>
        <bgColor rgb="FFFFB66C"/>
      </patternFill>
    </fill>
    <fill>
      <patternFill patternType="solid">
        <fgColor theme="4" tint="0.39997558519241921"/>
        <bgColor indexed="64"/>
      </patternFill>
    </fill>
    <fill>
      <patternFill patternType="solid">
        <fgColor theme="9" tint="0.39997558519241921"/>
        <bgColor rgb="FFFFFFCC"/>
      </patternFill>
    </fill>
    <fill>
      <patternFill patternType="solid">
        <fgColor theme="4" tint="0.39997558519241921"/>
        <bgColor rgb="FFFFB66C"/>
      </patternFill>
    </fill>
    <fill>
      <patternFill patternType="solid">
        <fgColor theme="0"/>
        <bgColor rgb="FFFFFFCC"/>
      </patternFill>
    </fill>
    <fill>
      <patternFill patternType="solid">
        <fgColor theme="3" tint="0.59999389629810485"/>
        <bgColor rgb="FFFFFFCC"/>
      </patternFill>
    </fill>
    <fill>
      <patternFill patternType="solid">
        <fgColor rgb="FF00B050"/>
        <bgColor rgb="FF008080"/>
      </patternFill>
    </fill>
    <fill>
      <patternFill patternType="solid">
        <fgColor rgb="FFFFB66C"/>
        <bgColor rgb="FFF4B183"/>
      </patternFill>
    </fill>
    <fill>
      <patternFill patternType="solid">
        <fgColor rgb="FFFFC000"/>
        <bgColor rgb="FFFFB66C"/>
      </patternFill>
    </fill>
    <fill>
      <patternFill patternType="solid">
        <fgColor rgb="FFFFFF00"/>
        <bgColor rgb="FFFFF200"/>
      </patternFill>
    </fill>
    <fill>
      <patternFill patternType="solid">
        <fgColor rgb="FFF8CBAD"/>
        <bgColor rgb="FFFFCCCC"/>
      </patternFill>
    </fill>
    <fill>
      <patternFill patternType="solid">
        <fgColor rgb="FF92D050"/>
        <bgColor rgb="FFA9D18E"/>
      </patternFill>
    </fill>
    <fill>
      <patternFill patternType="solid">
        <fgColor rgb="FF8FAADC"/>
        <bgColor rgb="FF95B3D7"/>
      </patternFill>
    </fill>
    <fill>
      <patternFill patternType="solid">
        <fgColor rgb="FFB4C7E7"/>
        <bgColor rgb="FFB9CDE5"/>
      </patternFill>
    </fill>
    <fill>
      <patternFill patternType="solid">
        <fgColor rgb="FFFF9F9F"/>
        <bgColor rgb="FFF4B183"/>
      </patternFill>
    </fill>
    <fill>
      <patternFill patternType="solid">
        <fgColor rgb="FFFFF200"/>
        <bgColor rgb="FFFFFF00"/>
      </patternFill>
    </fill>
    <fill>
      <patternFill patternType="solid">
        <fgColor rgb="FF00B0F0"/>
        <bgColor rgb="FF008080"/>
      </patternFill>
    </fill>
    <fill>
      <patternFill patternType="solid">
        <fgColor rgb="FF70AD47"/>
        <bgColor rgb="FF92D050"/>
      </patternFill>
    </fill>
    <fill>
      <patternFill patternType="solid">
        <fgColor rgb="FFFFE699"/>
        <bgColor rgb="FFF8CBAD"/>
      </patternFill>
    </fill>
    <fill>
      <patternFill patternType="solid">
        <fgColor rgb="FFFFD7D7"/>
        <bgColor rgb="FFFFCCCC"/>
      </patternFill>
    </fill>
    <fill>
      <patternFill patternType="solid">
        <fgColor rgb="FFB9CDE5"/>
        <bgColor rgb="FFB4C7E7"/>
      </patternFill>
    </fill>
    <fill>
      <patternFill patternType="solid">
        <fgColor rgb="FFADB9CA"/>
        <bgColor rgb="FF95B3D7"/>
      </patternFill>
    </fill>
    <fill>
      <patternFill patternType="solid">
        <fgColor rgb="FF5B9BD5"/>
        <bgColor rgb="FF8FAADC"/>
      </patternFill>
    </fill>
    <fill>
      <patternFill patternType="solid">
        <fgColor rgb="FF8EB4E3"/>
        <bgColor rgb="FF95B3D7"/>
      </patternFill>
    </fill>
    <fill>
      <patternFill patternType="solid">
        <fgColor rgb="FFFAC090"/>
        <bgColor rgb="FFF4B183"/>
      </patternFill>
    </fill>
    <fill>
      <patternFill patternType="solid">
        <fgColor rgb="FF95B3D7"/>
        <bgColor rgb="FF8EB4E3"/>
      </patternFill>
    </fill>
    <fill>
      <patternFill patternType="solid">
        <fgColor rgb="FFF10D0C"/>
        <bgColor rgb="FFFF0000"/>
      </patternFill>
    </fill>
    <fill>
      <patternFill patternType="solid">
        <fgColor rgb="FF0D0D0D"/>
        <bgColor rgb="FF000000"/>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FFB66C"/>
      </patternFill>
    </fill>
    <fill>
      <patternFill patternType="solid">
        <fgColor rgb="FF00B050"/>
        <bgColor indexed="64"/>
      </patternFill>
    </fill>
    <fill>
      <patternFill patternType="solid">
        <fgColor theme="4" tint="0.79998168889431442"/>
        <bgColor indexed="64"/>
      </patternFill>
    </fill>
    <fill>
      <patternFill patternType="solid">
        <fgColor theme="5" tint="0.39997558519241921"/>
        <bgColor theme="4" tint="0.79998168889431442"/>
      </patternFill>
    </fill>
    <fill>
      <patternFill patternType="solid">
        <fgColor theme="7" tint="0.39997558519241921"/>
        <bgColor indexed="64"/>
      </patternFill>
    </fill>
    <fill>
      <patternFill patternType="solid">
        <fgColor theme="0"/>
        <bgColor indexed="64"/>
      </patternFill>
    </fill>
    <fill>
      <patternFill patternType="solid">
        <fgColor theme="4" tint="0.39997558519241921"/>
        <bgColor theme="4" tint="0.79998168889431442"/>
      </patternFill>
    </fill>
    <fill>
      <patternFill patternType="solid">
        <fgColor rgb="FF00B050"/>
        <bgColor theme="4" tint="0.79998168889431442"/>
      </patternFill>
    </fill>
    <fill>
      <patternFill patternType="solid">
        <fgColor rgb="FFFFFF00"/>
        <bgColor theme="4" tint="0.79998168889431442"/>
      </patternFill>
    </fill>
    <fill>
      <patternFill patternType="solid">
        <fgColor theme="5" tint="0.59999389629810485"/>
        <bgColor indexed="64"/>
      </patternFill>
    </fill>
    <fill>
      <patternFill patternType="solid">
        <fgColor rgb="FF00B0F0"/>
        <bgColor indexed="64"/>
      </patternFill>
    </fill>
    <fill>
      <patternFill patternType="solid">
        <fgColor rgb="FF00B0F0"/>
        <bgColor theme="4" tint="0.79998168889431442"/>
      </patternFill>
    </fill>
    <fill>
      <patternFill patternType="solid">
        <fgColor theme="5" tint="0.59999389629810485"/>
        <bgColor theme="4" tint="0.79998168889431442"/>
      </patternFill>
    </fill>
    <fill>
      <patternFill patternType="solid">
        <fgColor rgb="FFFF0000"/>
        <bgColor theme="4" tint="0.79998168889431442"/>
      </patternFill>
    </fill>
    <fill>
      <patternFill patternType="solid">
        <fgColor rgb="FF92D050"/>
        <bgColor theme="4" tint="0.79998168889431442"/>
      </patternFill>
    </fill>
    <fill>
      <patternFill patternType="solid">
        <fgColor theme="4" tint="0.39997558519241921"/>
        <bgColor rgb="FFB4C7E7"/>
      </patternFill>
    </fill>
    <fill>
      <patternFill patternType="solid">
        <fgColor theme="0"/>
        <bgColor theme="4" tint="0.79998168889431442"/>
      </patternFill>
    </fill>
    <fill>
      <patternFill patternType="solid">
        <fgColor rgb="FF7030A0"/>
        <bgColor theme="4" tint="0.79998168889431442"/>
      </patternFill>
    </fill>
    <fill>
      <patternFill patternType="solid">
        <fgColor rgb="FF7030A0"/>
        <bgColor indexed="64"/>
      </patternFill>
    </fill>
    <fill>
      <patternFill patternType="solid">
        <fgColor theme="4" tint="0.59999389629810485"/>
        <bgColor indexed="64"/>
      </patternFill>
    </fill>
    <fill>
      <patternFill patternType="solid">
        <fgColor rgb="FFFFC000"/>
        <bgColor indexed="64"/>
      </patternFill>
    </fill>
    <fill>
      <patternFill patternType="solid">
        <fgColor theme="4"/>
        <bgColor indexed="64"/>
      </patternFill>
    </fill>
    <fill>
      <patternFill patternType="solid">
        <fgColor theme="9"/>
        <bgColor indexed="64"/>
      </patternFill>
    </fill>
    <fill>
      <patternFill patternType="solid">
        <fgColor theme="5"/>
        <bgColor theme="4" tint="0.79998168889431442"/>
      </patternFill>
    </fill>
    <fill>
      <patternFill patternType="solid">
        <fgColor theme="5"/>
        <bgColor indexed="64"/>
      </patternFill>
    </fill>
    <fill>
      <patternFill patternType="solid">
        <fgColor rgb="FFC00000"/>
        <bgColor theme="4" tint="0.79998168889431442"/>
      </patternFill>
    </fill>
    <fill>
      <patternFill patternType="solid">
        <fgColor theme="7" tint="0.39997558519241921"/>
        <bgColor theme="4" tint="0.79998168889431442"/>
      </patternFill>
    </fill>
    <fill>
      <patternFill patternType="solid">
        <fgColor theme="4"/>
        <bgColor theme="4"/>
      </patternFill>
    </fill>
    <fill>
      <patternFill patternType="solid">
        <fgColor theme="7" tint="0.59999389629810485"/>
        <bgColor theme="4" tint="0.79998168889431442"/>
      </patternFill>
    </fill>
    <fill>
      <patternFill patternType="solid">
        <fgColor theme="7" tint="0.59999389629810485"/>
        <bgColor indexed="64"/>
      </patternFill>
    </fill>
    <fill>
      <patternFill patternType="solid">
        <fgColor rgb="FFDDEBF7"/>
        <bgColor rgb="FFDDEBF7"/>
      </patternFill>
    </fill>
    <fill>
      <patternFill patternType="solid">
        <fgColor rgb="FFFFFF00"/>
        <bgColor rgb="FFDDEBF7"/>
      </patternFill>
    </fill>
    <fill>
      <patternFill patternType="solid">
        <fgColor theme="5" tint="0.39997558519241921"/>
        <bgColor rgb="FFDDEBF7"/>
      </patternFill>
    </fill>
    <fill>
      <patternFill patternType="solid">
        <fgColor theme="7" tint="0.39997558519241921"/>
        <bgColor rgb="FFDDEBF7"/>
      </patternFill>
    </fill>
    <fill>
      <patternFill patternType="solid">
        <fgColor theme="5" tint="0.79998168889431442"/>
        <bgColor indexed="64"/>
      </patternFill>
    </fill>
    <fill>
      <patternFill patternType="solid">
        <fgColor rgb="FFFFC000"/>
        <bgColor theme="4" tint="0.79998168889431442"/>
      </patternFill>
    </fill>
    <fill>
      <patternFill patternType="solid">
        <fgColor theme="7"/>
        <bgColor theme="4" tint="0.79998168889431442"/>
      </patternFill>
    </fill>
    <fill>
      <patternFill patternType="solid">
        <fgColor theme="7"/>
        <bgColor indexed="64"/>
      </patternFill>
    </fill>
    <fill>
      <patternFill patternType="solid">
        <fgColor theme="7"/>
        <bgColor rgb="FFDDEBF7"/>
      </patternFill>
    </fill>
    <fill>
      <patternFill patternType="solid">
        <fgColor theme="5" tint="0.59999389629810485"/>
        <bgColor rgb="FFDDEBF7"/>
      </patternFill>
    </fill>
    <fill>
      <patternFill patternType="solid">
        <fgColor rgb="FFFF0000"/>
        <bgColor rgb="FFDDEBF7"/>
      </patternFill>
    </fill>
    <fill>
      <patternFill patternType="solid">
        <fgColor rgb="FFFFC000"/>
        <bgColor rgb="FFDDEBF7"/>
      </patternFill>
    </fill>
    <fill>
      <patternFill patternType="solid">
        <fgColor theme="9"/>
        <bgColor theme="4" tint="0.79998168889431442"/>
      </patternFill>
    </fill>
    <fill>
      <patternFill patternType="solid">
        <fgColor theme="5"/>
        <bgColor rgb="FFDDEBF7"/>
      </patternFill>
    </fill>
    <fill>
      <patternFill patternType="solid">
        <fgColor theme="1"/>
        <bgColor theme="4" tint="0.79998168889431442"/>
      </patternFill>
    </fill>
    <fill>
      <patternFill patternType="solid">
        <fgColor rgb="FFFF99FF"/>
        <bgColor indexed="64"/>
      </patternFill>
    </fill>
    <fill>
      <patternFill patternType="solid">
        <fgColor rgb="FFFF0066"/>
        <bgColor indexed="64"/>
      </patternFill>
    </fill>
    <fill>
      <patternFill patternType="solid">
        <fgColor rgb="FFFF33CC"/>
        <bgColor indexed="64"/>
      </patternFill>
    </fill>
    <fill>
      <patternFill patternType="solid">
        <fgColor rgb="FFFF33CC"/>
        <bgColor theme="4" tint="0.79998168889431442"/>
      </patternFill>
    </fill>
    <fill>
      <patternFill patternType="solid">
        <fgColor rgb="FFFF33CC"/>
        <bgColor rgb="FFDDEBF7"/>
      </patternFill>
    </fill>
    <fill>
      <patternFill patternType="solid">
        <fgColor theme="9" tint="0.59999389629810485"/>
        <bgColor indexed="64"/>
      </patternFill>
    </fill>
    <fill>
      <patternFill patternType="solid">
        <fgColor theme="0" tint="-0.249977111117893"/>
        <bgColor indexed="64"/>
      </patternFill>
    </fill>
  </fills>
  <borders count="4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style="medium">
        <color auto="1"/>
      </top>
      <bottom style="medium">
        <color auto="1"/>
      </bottom>
      <diagonal/>
    </border>
    <border>
      <left style="thin">
        <color auto="1"/>
      </left>
      <right/>
      <top style="thin">
        <color auto="1"/>
      </top>
      <bottom style="medium">
        <color auto="1"/>
      </bottom>
      <diagonal/>
    </border>
    <border>
      <left style="thin">
        <color auto="1"/>
      </left>
      <right style="thin">
        <color auto="1"/>
      </right>
      <top/>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theme="4" tint="0.39997558519241921"/>
      </bottom>
      <diagonal/>
    </border>
    <border>
      <left style="medium">
        <color rgb="FFCCCCCC"/>
      </left>
      <right style="medium">
        <color rgb="FFCCCCCC"/>
      </right>
      <top style="medium">
        <color rgb="FFCCCCCC"/>
      </top>
      <bottom style="medium">
        <color rgb="FFCCCCCC"/>
      </bottom>
      <diagonal/>
    </border>
    <border>
      <left/>
      <right style="thin">
        <color auto="1"/>
      </right>
      <top style="thin">
        <color auto="1"/>
      </top>
      <bottom style="thin">
        <color theme="4" tint="0.39997558519241921"/>
      </bottom>
      <diagonal/>
    </border>
    <border>
      <left style="thin">
        <color auto="1"/>
      </left>
      <right/>
      <top style="thin">
        <color auto="1"/>
      </top>
      <bottom style="thin">
        <color theme="4" tint="0.39997558519241921"/>
      </bottom>
      <diagonal/>
    </border>
    <border>
      <left style="thin">
        <color indexed="64"/>
      </left>
      <right style="thin">
        <color indexed="64"/>
      </right>
      <top/>
      <bottom style="thin">
        <color rgb="FF000000"/>
      </bottom>
      <diagonal/>
    </border>
    <border>
      <left style="thin">
        <color auto="1"/>
      </left>
      <right style="thin">
        <color auto="1"/>
      </right>
      <top style="thin">
        <color auto="1"/>
      </top>
      <bottom style="thin">
        <color rgb="FF000000"/>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thin">
        <color indexed="64"/>
      </right>
      <top/>
      <bottom/>
      <diagonal/>
    </border>
    <border>
      <left style="thin">
        <color indexed="64"/>
      </left>
      <right style="thin">
        <color indexed="64"/>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theme="1" tint="4.9989318521683403E-2"/>
      </left>
      <right style="thin">
        <color theme="1" tint="4.9989318521683403E-2"/>
      </right>
      <top style="thin">
        <color theme="1" tint="4.9989318521683403E-2"/>
      </top>
      <bottom style="thin">
        <color theme="1" tint="4.9989318521683403E-2"/>
      </bottom>
      <diagonal/>
    </border>
    <border>
      <left style="thin">
        <color theme="4" tint="0.39997558519241921"/>
      </left>
      <right style="thin">
        <color auto="1"/>
      </right>
      <top style="thin">
        <color auto="1"/>
      </top>
      <bottom style="thin">
        <color auto="1"/>
      </bottom>
      <diagonal/>
    </border>
  </borders>
  <cellStyleXfs count="3">
    <xf numFmtId="0" fontId="0" fillId="0" borderId="0"/>
    <xf numFmtId="0" fontId="9" fillId="0" borderId="0"/>
    <xf numFmtId="0" fontId="13" fillId="0" borderId="0" applyBorder="0" applyProtection="0"/>
  </cellStyleXfs>
  <cellXfs count="3255">
    <xf numFmtId="0" fontId="0" fillId="0" borderId="0" xfId="0"/>
    <xf numFmtId="0" fontId="0" fillId="0" borderId="0" xfId="0" applyAlignment="1">
      <alignment wrapText="1"/>
    </xf>
    <xf numFmtId="16" fontId="0" fillId="0" borderId="0" xfId="0" applyNumberFormat="1"/>
    <xf numFmtId="0" fontId="0" fillId="0" borderId="0" xfId="0" applyAlignment="1">
      <alignment horizontal="center"/>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20" fontId="7" fillId="0" borderId="1" xfId="0" applyNumberFormat="1" applyFont="1" applyBorder="1" applyAlignment="1">
      <alignment horizontal="center" vertical="center" wrapText="1"/>
    </xf>
    <xf numFmtId="0" fontId="7" fillId="0" borderId="1" xfId="0" applyFont="1" applyFill="1" applyBorder="1" applyAlignment="1">
      <alignment horizontal="center" vertical="center" wrapText="1"/>
    </xf>
    <xf numFmtId="16" fontId="2" fillId="10" borderId="1" xfId="0" applyNumberFormat="1" applyFont="1" applyFill="1" applyBorder="1" applyAlignment="1">
      <alignment horizontal="center" vertical="center"/>
    </xf>
    <xf numFmtId="0" fontId="7" fillId="11" borderId="1" xfId="0" applyFont="1" applyFill="1" applyBorder="1" applyAlignment="1">
      <alignment horizontal="center" vertical="center" wrapText="1"/>
    </xf>
    <xf numFmtId="0" fontId="7" fillId="10" borderId="1" xfId="0" applyFont="1" applyFill="1" applyBorder="1" applyAlignment="1">
      <alignment horizontal="center" vertical="center" wrapText="1"/>
    </xf>
    <xf numFmtId="20" fontId="7" fillId="11" borderId="1" xfId="0" applyNumberFormat="1" applyFont="1" applyFill="1" applyBorder="1" applyAlignment="1">
      <alignment horizontal="center" vertical="center" wrapText="1"/>
    </xf>
    <xf numFmtId="20" fontId="7" fillId="10" borderId="1" xfId="0" applyNumberFormat="1" applyFont="1" applyFill="1" applyBorder="1" applyAlignment="1">
      <alignment horizontal="center" vertical="center" wrapText="1"/>
    </xf>
    <xf numFmtId="0" fontId="9" fillId="0" borderId="0" xfId="1"/>
    <xf numFmtId="0" fontId="9" fillId="0" borderId="0" xfId="1" applyAlignment="1">
      <alignment wrapText="1"/>
    </xf>
    <xf numFmtId="0" fontId="4" fillId="0" borderId="0" xfId="1" applyFont="1" applyAlignment="1">
      <alignment horizontal="center" vertical="center" wrapText="1"/>
    </xf>
    <xf numFmtId="0" fontId="4" fillId="0" borderId="3" xfId="1" applyFont="1" applyBorder="1" applyAlignment="1">
      <alignment horizontal="center" vertical="center" wrapText="1"/>
    </xf>
    <xf numFmtId="0" fontId="4" fillId="0" borderId="1" xfId="1" applyFont="1" applyBorder="1" applyAlignment="1">
      <alignment horizontal="center" vertical="center" wrapText="1"/>
    </xf>
    <xf numFmtId="16" fontId="4" fillId="0" borderId="1" xfId="1" applyNumberFormat="1" applyFont="1" applyBorder="1" applyAlignment="1">
      <alignment horizontal="center" vertical="center" wrapText="1"/>
    </xf>
    <xf numFmtId="16" fontId="4" fillId="0" borderId="4" xfId="1" applyNumberFormat="1" applyFont="1" applyBorder="1" applyAlignment="1">
      <alignment horizontal="center" vertical="center" wrapText="1"/>
    </xf>
    <xf numFmtId="0" fontId="4" fillId="0" borderId="0" xfId="1" quotePrefix="1" applyFont="1" applyAlignment="1">
      <alignment horizontal="center" vertical="center" wrapText="1"/>
    </xf>
    <xf numFmtId="0" fontId="4" fillId="0" borderId="0" xfId="1" applyFont="1" applyBorder="1" applyAlignment="1">
      <alignment horizontal="center" vertical="center" wrapText="1"/>
    </xf>
    <xf numFmtId="0" fontId="4" fillId="0" borderId="2" xfId="1" applyFont="1" applyBorder="1" applyAlignment="1">
      <alignment horizontal="center" vertical="center" wrapText="1"/>
    </xf>
    <xf numFmtId="16" fontId="4" fillId="0" borderId="2" xfId="1" applyNumberFormat="1" applyFont="1" applyBorder="1" applyAlignment="1">
      <alignment horizontal="center" vertical="center" wrapText="1"/>
    </xf>
    <xf numFmtId="0" fontId="4" fillId="6" borderId="0" xfId="1" applyFont="1" applyFill="1" applyBorder="1" applyAlignment="1">
      <alignment horizontal="center" vertical="center" wrapText="1"/>
    </xf>
    <xf numFmtId="16" fontId="4" fillId="6" borderId="0" xfId="1" applyNumberFormat="1" applyFont="1" applyFill="1" applyBorder="1" applyAlignment="1">
      <alignment horizontal="center" vertical="center" wrapText="1"/>
    </xf>
    <xf numFmtId="20" fontId="4" fillId="0" borderId="1" xfId="1" applyNumberFormat="1" applyFont="1" applyBorder="1" applyAlignment="1">
      <alignment horizontal="center" vertical="center" wrapText="1"/>
    </xf>
    <xf numFmtId="0" fontId="4" fillId="8" borderId="2" xfId="1" applyFont="1" applyFill="1" applyBorder="1" applyAlignment="1">
      <alignment horizontal="center" vertical="center" wrapText="1"/>
    </xf>
    <xf numFmtId="2" fontId="4" fillId="6" borderId="1" xfId="1" applyNumberFormat="1" applyFont="1" applyFill="1" applyBorder="1" applyAlignment="1">
      <alignment horizontal="center" vertical="center" wrapText="1"/>
    </xf>
    <xf numFmtId="0" fontId="4" fillId="6" borderId="1" xfId="1" applyFont="1" applyFill="1" applyBorder="1" applyAlignment="1">
      <alignment horizontal="center" vertical="center" wrapText="1"/>
    </xf>
    <xf numFmtId="16" fontId="4" fillId="6" borderId="1" xfId="1" applyNumberFormat="1" applyFont="1" applyFill="1" applyBorder="1" applyAlignment="1">
      <alignment horizontal="center" vertical="center" wrapText="1"/>
    </xf>
    <xf numFmtId="20" fontId="4" fillId="6" borderId="1" xfId="1" applyNumberFormat="1" applyFont="1" applyFill="1" applyBorder="1" applyAlignment="1">
      <alignment horizontal="center" vertical="center" wrapText="1"/>
    </xf>
    <xf numFmtId="0" fontId="4" fillId="8" borderId="1" xfId="1" applyFont="1" applyFill="1" applyBorder="1" applyAlignment="1">
      <alignment horizontal="center" vertical="center" wrapText="1"/>
    </xf>
    <xf numFmtId="0" fontId="4" fillId="0" borderId="1" xfId="1" applyFont="1" applyFill="1" applyBorder="1" applyAlignment="1">
      <alignment horizontal="center" vertical="center" wrapText="1"/>
    </xf>
    <xf numFmtId="20" fontId="4" fillId="7" borderId="1" xfId="1" applyNumberFormat="1" applyFont="1" applyFill="1" applyBorder="1" applyAlignment="1">
      <alignment horizontal="center" vertical="center" wrapText="1"/>
    </xf>
    <xf numFmtId="0" fontId="4" fillId="7" borderId="1" xfId="1" applyFont="1" applyFill="1" applyBorder="1" applyAlignment="1">
      <alignment horizontal="center" vertical="center" wrapText="1"/>
    </xf>
    <xf numFmtId="16" fontId="4" fillId="7" borderId="1" xfId="1" applyNumberFormat="1" applyFont="1" applyFill="1" applyBorder="1" applyAlignment="1">
      <alignment horizontal="center" vertical="center" wrapText="1"/>
    </xf>
    <xf numFmtId="0" fontId="4" fillId="0" borderId="1" xfId="1" applyFont="1" applyBorder="1" applyAlignment="1" applyProtection="1">
      <alignment horizontal="center" vertical="center" wrapText="1"/>
    </xf>
    <xf numFmtId="16" fontId="5" fillId="6" borderId="1" xfId="1" applyNumberFormat="1" applyFont="1" applyFill="1" applyBorder="1" applyAlignment="1">
      <alignment horizontal="center" vertical="center" wrapText="1"/>
    </xf>
    <xf numFmtId="20" fontId="4" fillId="5" borderId="1" xfId="1" applyNumberFormat="1" applyFont="1" applyFill="1" applyBorder="1" applyAlignment="1">
      <alignment horizontal="center" vertical="center" wrapText="1"/>
    </xf>
    <xf numFmtId="0" fontId="4" fillId="5" borderId="1" xfId="1" applyFont="1" applyFill="1" applyBorder="1" applyAlignment="1">
      <alignment horizontal="center" vertical="center" wrapText="1"/>
    </xf>
    <xf numFmtId="16" fontId="4" fillId="5" borderId="1" xfId="1" applyNumberFormat="1" applyFont="1" applyFill="1" applyBorder="1" applyAlignment="1">
      <alignment horizontal="center" vertical="center" wrapText="1"/>
    </xf>
    <xf numFmtId="0" fontId="4" fillId="15" borderId="1" xfId="1" applyFont="1" applyFill="1" applyBorder="1" applyAlignment="1">
      <alignment horizontal="center" vertical="center" wrapText="1"/>
    </xf>
    <xf numFmtId="0" fontId="4" fillId="16" borderId="1" xfId="1" applyFont="1" applyFill="1" applyBorder="1" applyAlignment="1">
      <alignment horizontal="center" vertical="center" wrapText="1"/>
    </xf>
    <xf numFmtId="20" fontId="4" fillId="0" borderId="1" xfId="1" applyNumberFormat="1" applyFont="1" applyFill="1" applyBorder="1" applyAlignment="1">
      <alignment horizontal="center" vertical="center" wrapText="1"/>
    </xf>
    <xf numFmtId="0" fontId="10" fillId="0" borderId="1" xfId="1" applyFont="1" applyBorder="1" applyAlignment="1">
      <alignment horizontal="center" vertical="center" wrapText="1"/>
    </xf>
    <xf numFmtId="16" fontId="4" fillId="0" borderId="1" xfId="1" applyNumberFormat="1" applyFont="1" applyFill="1" applyBorder="1" applyAlignment="1">
      <alignment horizontal="center" vertical="center" wrapText="1"/>
    </xf>
    <xf numFmtId="16" fontId="4" fillId="0" borderId="4" xfId="1" applyNumberFormat="1" applyFont="1" applyFill="1" applyBorder="1" applyAlignment="1">
      <alignment horizontal="center" vertical="center" wrapText="1"/>
    </xf>
    <xf numFmtId="0" fontId="4" fillId="17" borderId="1" xfId="1" applyFont="1" applyFill="1" applyBorder="1" applyAlignment="1">
      <alignment horizontal="center" vertical="center" wrapText="1"/>
    </xf>
    <xf numFmtId="0" fontId="4" fillId="9" borderId="1" xfId="1" applyFont="1" applyFill="1" applyBorder="1" applyAlignment="1">
      <alignment horizontal="center" vertical="center" wrapText="1"/>
    </xf>
    <xf numFmtId="0" fontId="9" fillId="0" borderId="0" xfId="1" applyFill="1"/>
    <xf numFmtId="0" fontId="9" fillId="0" borderId="0" xfId="1" applyFill="1" applyAlignment="1">
      <alignment wrapText="1"/>
    </xf>
    <xf numFmtId="0" fontId="4" fillId="0" borderId="0" xfId="1" applyFont="1" applyFill="1" applyAlignment="1">
      <alignment horizontal="center" vertical="center" wrapText="1"/>
    </xf>
    <xf numFmtId="0" fontId="4" fillId="0" borderId="0" xfId="1" applyFont="1" applyFill="1" applyBorder="1" applyAlignment="1">
      <alignment horizontal="center" vertical="center" wrapText="1"/>
    </xf>
    <xf numFmtId="0" fontId="4" fillId="0" borderId="3" xfId="1" applyFont="1" applyBorder="1" applyAlignment="1" applyProtection="1">
      <alignment horizontal="center" vertical="center" wrapText="1"/>
    </xf>
    <xf numFmtId="0" fontId="4" fillId="18" borderId="1" xfId="1" applyFont="1" applyFill="1" applyBorder="1" applyAlignment="1">
      <alignment horizontal="center" vertical="center" wrapText="1"/>
    </xf>
    <xf numFmtId="0" fontId="4" fillId="0" borderId="5" xfId="1" applyFont="1" applyBorder="1" applyAlignment="1">
      <alignment horizontal="center" vertical="center" wrapText="1"/>
    </xf>
    <xf numFmtId="0" fontId="4" fillId="0" borderId="6" xfId="1" applyFont="1" applyBorder="1" applyAlignment="1">
      <alignment horizontal="center" vertical="center" wrapText="1"/>
    </xf>
    <xf numFmtId="0" fontId="4" fillId="15" borderId="6" xfId="1" applyFont="1" applyFill="1" applyBorder="1" applyAlignment="1">
      <alignment horizontal="center" vertical="center" wrapText="1"/>
    </xf>
    <xf numFmtId="20" fontId="4" fillId="0" borderId="6" xfId="1" applyNumberFormat="1" applyFont="1" applyBorder="1" applyAlignment="1">
      <alignment horizontal="center" vertical="center" wrapText="1"/>
    </xf>
    <xf numFmtId="16" fontId="4" fillId="0" borderId="6" xfId="1" applyNumberFormat="1" applyFont="1" applyBorder="1" applyAlignment="1">
      <alignment horizontal="center" vertical="center" wrapText="1"/>
    </xf>
    <xf numFmtId="16" fontId="4" fillId="0" borderId="7" xfId="1" applyNumberFormat="1" applyFont="1" applyBorder="1" applyAlignment="1">
      <alignment horizontal="center" vertical="center" wrapText="1"/>
    </xf>
    <xf numFmtId="0" fontId="4" fillId="19" borderId="1" xfId="1" applyFont="1" applyFill="1" applyBorder="1" applyAlignment="1">
      <alignment horizontal="center" vertical="center" wrapText="1"/>
    </xf>
    <xf numFmtId="16" fontId="4" fillId="19" borderId="1" xfId="1" applyNumberFormat="1" applyFont="1" applyFill="1" applyBorder="1" applyAlignment="1">
      <alignment horizontal="center" vertical="center" wrapText="1"/>
    </xf>
    <xf numFmtId="0" fontId="4" fillId="0" borderId="0" xfId="1" applyFont="1" applyBorder="1" applyAlignment="1">
      <alignment horizontal="center" vertical="center"/>
    </xf>
    <xf numFmtId="0" fontId="4" fillId="0" borderId="1" xfId="1" applyFont="1" applyBorder="1" applyAlignment="1">
      <alignment horizontal="center" vertical="center"/>
    </xf>
    <xf numFmtId="20" fontId="4" fillId="20" borderId="1" xfId="1" applyNumberFormat="1" applyFont="1" applyFill="1" applyBorder="1" applyAlignment="1">
      <alignment horizontal="center" vertical="center" wrapText="1"/>
    </xf>
    <xf numFmtId="0" fontId="4" fillId="20" borderId="1" xfId="1" applyFont="1" applyFill="1" applyBorder="1" applyAlignment="1">
      <alignment horizontal="center" vertical="center" wrapText="1"/>
    </xf>
    <xf numFmtId="16" fontId="4" fillId="20" borderId="1" xfId="1" applyNumberFormat="1" applyFont="1" applyFill="1" applyBorder="1" applyAlignment="1">
      <alignment horizontal="center" vertical="center"/>
    </xf>
    <xf numFmtId="16" fontId="4" fillId="5" borderId="1" xfId="1" applyNumberFormat="1" applyFont="1" applyFill="1" applyBorder="1" applyAlignment="1">
      <alignment horizontal="center" vertical="center"/>
    </xf>
    <xf numFmtId="0" fontId="4" fillId="21" borderId="1" xfId="1" applyFont="1" applyFill="1" applyBorder="1" applyAlignment="1">
      <alignment horizontal="center" vertical="center" wrapText="1"/>
    </xf>
    <xf numFmtId="16" fontId="4" fillId="20" borderId="1" xfId="1" applyNumberFormat="1" applyFont="1" applyFill="1" applyBorder="1" applyAlignment="1">
      <alignment horizontal="center" vertical="center" wrapText="1"/>
    </xf>
    <xf numFmtId="0" fontId="4" fillId="0" borderId="6" xfId="1" applyFont="1" applyFill="1" applyBorder="1" applyAlignment="1">
      <alignment horizontal="center" vertical="center" wrapText="1"/>
    </xf>
    <xf numFmtId="20" fontId="4" fillId="0" borderId="6" xfId="1" applyNumberFormat="1" applyFont="1" applyFill="1" applyBorder="1" applyAlignment="1">
      <alignment horizontal="center" vertical="center" wrapText="1"/>
    </xf>
    <xf numFmtId="16" fontId="4" fillId="0" borderId="6" xfId="1" applyNumberFormat="1" applyFont="1" applyFill="1" applyBorder="1" applyAlignment="1">
      <alignment horizontal="center" vertical="center" wrapText="1"/>
    </xf>
    <xf numFmtId="0" fontId="4" fillId="22" borderId="1" xfId="1" applyFont="1" applyFill="1" applyBorder="1" applyAlignment="1">
      <alignment horizontal="center" vertical="center" wrapText="1"/>
    </xf>
    <xf numFmtId="20" fontId="4" fillId="19" borderId="1" xfId="1" applyNumberFormat="1" applyFont="1" applyFill="1" applyBorder="1" applyAlignment="1">
      <alignment horizontal="center" vertical="center" wrapText="1"/>
    </xf>
    <xf numFmtId="0" fontId="4" fillId="19" borderId="0" xfId="1" applyFont="1" applyFill="1" applyBorder="1" applyAlignment="1">
      <alignment horizontal="center" vertical="center" wrapText="1"/>
    </xf>
    <xf numFmtId="0" fontId="4" fillId="0" borderId="8" xfId="1" applyFont="1" applyBorder="1" applyAlignment="1">
      <alignment horizontal="center" vertical="center" wrapText="1"/>
    </xf>
    <xf numFmtId="20" fontId="4" fillId="0" borderId="2" xfId="1" applyNumberFormat="1" applyFont="1" applyBorder="1" applyAlignment="1">
      <alignment horizontal="center" vertical="center" wrapText="1"/>
    </xf>
    <xf numFmtId="16" fontId="4" fillId="0" borderId="9" xfId="1" applyNumberFormat="1" applyFont="1" applyBorder="1" applyAlignment="1">
      <alignment horizontal="center" vertical="center" wrapText="1"/>
    </xf>
    <xf numFmtId="0" fontId="4" fillId="6" borderId="3" xfId="1" applyFont="1" applyFill="1" applyBorder="1" applyAlignment="1">
      <alignment horizontal="center" vertical="center" wrapText="1"/>
    </xf>
    <xf numFmtId="0" fontId="4" fillId="23" borderId="1" xfId="1" applyFont="1" applyFill="1" applyBorder="1" applyAlignment="1">
      <alignment horizontal="center" vertical="center" wrapText="1"/>
    </xf>
    <xf numFmtId="16" fontId="4" fillId="6" borderId="4" xfId="1" applyNumberFormat="1" applyFont="1" applyFill="1" applyBorder="1" applyAlignment="1">
      <alignment horizontal="center" vertical="center" wrapText="1"/>
    </xf>
    <xf numFmtId="0" fontId="4" fillId="10" borderId="3" xfId="1" applyFont="1" applyFill="1" applyBorder="1" applyAlignment="1">
      <alignment horizontal="center" vertical="center" wrapText="1"/>
    </xf>
    <xf numFmtId="0" fontId="4" fillId="10" borderId="1" xfId="1" applyFont="1" applyFill="1" applyBorder="1" applyAlignment="1">
      <alignment horizontal="center" vertical="center" wrapText="1"/>
    </xf>
    <xf numFmtId="16" fontId="4" fillId="10" borderId="1" xfId="1" applyNumberFormat="1" applyFont="1" applyFill="1" applyBorder="1" applyAlignment="1">
      <alignment horizontal="center" vertical="center" wrapText="1"/>
    </xf>
    <xf numFmtId="16" fontId="4" fillId="10" borderId="4" xfId="1" applyNumberFormat="1" applyFont="1" applyFill="1" applyBorder="1" applyAlignment="1">
      <alignment horizontal="center" vertical="center" wrapText="1"/>
    </xf>
    <xf numFmtId="0" fontId="4" fillId="19" borderId="3" xfId="1" applyFont="1" applyFill="1" applyBorder="1" applyAlignment="1">
      <alignment horizontal="center" vertical="center" wrapText="1"/>
    </xf>
    <xf numFmtId="0" fontId="4" fillId="24" borderId="1" xfId="1" applyFont="1" applyFill="1" applyBorder="1" applyAlignment="1">
      <alignment horizontal="center" vertical="center" wrapText="1"/>
    </xf>
    <xf numFmtId="166" fontId="4" fillId="6" borderId="1" xfId="1" applyNumberFormat="1" applyFont="1" applyFill="1" applyBorder="1" applyAlignment="1">
      <alignment horizontal="center" vertical="center" wrapText="1"/>
    </xf>
    <xf numFmtId="16" fontId="4" fillId="22" borderId="4" xfId="1" applyNumberFormat="1" applyFont="1" applyFill="1" applyBorder="1" applyAlignment="1">
      <alignment horizontal="center" vertical="center" wrapText="1"/>
    </xf>
    <xf numFmtId="0" fontId="4" fillId="25" borderId="1" xfId="1" applyFont="1" applyFill="1" applyBorder="1" applyAlignment="1">
      <alignment horizontal="center" vertical="center" wrapText="1"/>
    </xf>
    <xf numFmtId="166" fontId="4" fillId="19" borderId="1" xfId="1" applyNumberFormat="1" applyFont="1" applyFill="1" applyBorder="1" applyAlignment="1">
      <alignment horizontal="center" vertical="center" wrapText="1"/>
    </xf>
    <xf numFmtId="16" fontId="4" fillId="19" borderId="4" xfId="1" applyNumberFormat="1" applyFont="1" applyFill="1" applyBorder="1" applyAlignment="1">
      <alignment horizontal="center" vertical="center" wrapText="1"/>
    </xf>
    <xf numFmtId="0" fontId="4" fillId="26" borderId="0" xfId="1" applyFont="1" applyFill="1" applyBorder="1" applyAlignment="1">
      <alignment horizontal="center" vertical="center" wrapText="1"/>
    </xf>
    <xf numFmtId="20" fontId="4" fillId="0" borderId="0" xfId="1" applyNumberFormat="1" applyFont="1" applyBorder="1" applyAlignment="1">
      <alignment horizontal="center" vertical="center" wrapText="1"/>
    </xf>
    <xf numFmtId="16" fontId="4" fillId="0" borderId="0" xfId="1" applyNumberFormat="1" applyFont="1" applyBorder="1" applyAlignment="1">
      <alignment horizontal="center" vertical="center" wrapText="1"/>
    </xf>
    <xf numFmtId="0" fontId="4" fillId="15" borderId="2" xfId="1" applyFont="1" applyFill="1" applyBorder="1" applyAlignment="1">
      <alignment horizontal="center" vertical="center" wrapText="1"/>
    </xf>
    <xf numFmtId="0" fontId="4" fillId="12" borderId="1" xfId="1" applyFont="1" applyFill="1" applyBorder="1" applyAlignment="1">
      <alignment horizontal="center" vertical="center" wrapText="1"/>
    </xf>
    <xf numFmtId="0" fontId="4" fillId="26" borderId="1" xfId="1" applyFont="1" applyFill="1" applyBorder="1" applyAlignment="1">
      <alignment horizontal="center" vertical="center" wrapText="1"/>
    </xf>
    <xf numFmtId="0" fontId="6" fillId="0" borderId="1" xfId="1" applyFont="1" applyBorder="1" applyAlignment="1">
      <alignment horizontal="center" vertical="center" wrapText="1"/>
    </xf>
    <xf numFmtId="0" fontId="4" fillId="27" borderId="3" xfId="1" applyFont="1" applyFill="1" applyBorder="1" applyAlignment="1">
      <alignment horizontal="center" vertical="center" wrapText="1"/>
    </xf>
    <xf numFmtId="0" fontId="4" fillId="27" borderId="1" xfId="1" applyFont="1" applyFill="1" applyBorder="1" applyAlignment="1">
      <alignment horizontal="center" vertical="center" wrapText="1"/>
    </xf>
    <xf numFmtId="20" fontId="4" fillId="27" borderId="1" xfId="1" applyNumberFormat="1" applyFont="1" applyFill="1" applyBorder="1" applyAlignment="1">
      <alignment horizontal="center" vertical="center" wrapText="1"/>
    </xf>
    <xf numFmtId="16" fontId="4" fillId="27" borderId="1" xfId="1" applyNumberFormat="1" applyFont="1" applyFill="1" applyBorder="1" applyAlignment="1">
      <alignment horizontal="center" vertical="center" wrapText="1"/>
    </xf>
    <xf numFmtId="16" fontId="4" fillId="27" borderId="4" xfId="1" applyNumberFormat="1" applyFont="1" applyFill="1" applyBorder="1" applyAlignment="1">
      <alignment horizontal="center" vertical="center" wrapText="1"/>
    </xf>
    <xf numFmtId="0" fontId="4" fillId="6" borderId="0" xfId="1" applyFont="1" applyFill="1" applyAlignment="1">
      <alignment horizontal="center" vertical="center" wrapText="1"/>
    </xf>
    <xf numFmtId="0" fontId="9" fillId="6" borderId="0" xfId="1" applyFill="1" applyAlignment="1">
      <alignment wrapText="1"/>
    </xf>
    <xf numFmtId="0" fontId="5" fillId="0" borderId="1" xfId="1" applyFont="1" applyBorder="1" applyAlignment="1">
      <alignment horizontal="center" vertical="center" wrapText="1"/>
    </xf>
    <xf numFmtId="20" fontId="5" fillId="6" borderId="1" xfId="1" applyNumberFormat="1" applyFont="1" applyFill="1" applyBorder="1" applyAlignment="1">
      <alignment horizontal="center" vertical="center" wrapText="1"/>
    </xf>
    <xf numFmtId="0" fontId="5" fillId="6" borderId="1" xfId="1" applyFont="1" applyFill="1" applyBorder="1" applyAlignment="1">
      <alignment horizontal="center" vertical="center" wrapText="1"/>
    </xf>
    <xf numFmtId="2" fontId="4" fillId="0" borderId="1" xfId="1" applyNumberFormat="1" applyFont="1" applyBorder="1" applyAlignment="1">
      <alignment horizontal="center" vertical="center" wrapText="1"/>
    </xf>
    <xf numFmtId="0" fontId="4" fillId="0" borderId="0" xfId="1" applyFont="1" applyAlignment="1">
      <alignment horizontal="left" vertical="center" wrapText="1"/>
    </xf>
    <xf numFmtId="0" fontId="9" fillId="0" borderId="0" xfId="1" applyFont="1" applyAlignment="1">
      <alignment horizontal="center" vertical="center" wrapText="1"/>
    </xf>
    <xf numFmtId="2" fontId="4" fillId="0" borderId="0" xfId="1" applyNumberFormat="1" applyFont="1" applyAlignment="1">
      <alignment horizontal="center" vertical="center" wrapText="1"/>
    </xf>
    <xf numFmtId="2" fontId="9" fillId="0" borderId="0" xfId="1" applyNumberFormat="1" applyFont="1" applyAlignment="1">
      <alignment horizontal="center" vertical="center" wrapText="1"/>
    </xf>
    <xf numFmtId="0" fontId="3" fillId="2" borderId="1" xfId="1" applyFont="1" applyFill="1" applyBorder="1" applyAlignment="1">
      <alignment horizontal="center" vertical="center" wrapText="1"/>
    </xf>
    <xf numFmtId="165" fontId="3" fillId="2" borderId="1" xfId="1" applyNumberFormat="1" applyFont="1" applyFill="1" applyBorder="1" applyAlignment="1">
      <alignment horizontal="center" vertical="center" wrapText="1"/>
    </xf>
    <xf numFmtId="164" fontId="3" fillId="2" borderId="1" xfId="1" applyNumberFormat="1" applyFont="1" applyFill="1" applyBorder="1" applyAlignment="1">
      <alignment horizontal="center" vertical="center" wrapText="1"/>
    </xf>
    <xf numFmtId="0" fontId="4" fillId="0" borderId="0" xfId="1" applyFont="1" applyAlignment="1">
      <alignment horizontal="center" vertical="center"/>
    </xf>
    <xf numFmtId="0" fontId="4" fillId="0" borderId="2" xfId="1" applyFont="1" applyBorder="1" applyAlignment="1">
      <alignment horizontal="center" vertical="center"/>
    </xf>
    <xf numFmtId="0" fontId="4" fillId="6" borderId="2" xfId="1" applyFont="1" applyFill="1" applyBorder="1" applyAlignment="1">
      <alignment horizontal="center" vertical="center"/>
    </xf>
    <xf numFmtId="0" fontId="4" fillId="6" borderId="2" xfId="1" applyFont="1" applyFill="1" applyBorder="1" applyAlignment="1">
      <alignment horizontal="center" vertical="center" wrapText="1"/>
    </xf>
    <xf numFmtId="16" fontId="4" fillId="6" borderId="2" xfId="1" applyNumberFormat="1" applyFont="1" applyFill="1" applyBorder="1" applyAlignment="1">
      <alignment horizontal="center" vertical="center"/>
    </xf>
    <xf numFmtId="16" fontId="4" fillId="0" borderId="1" xfId="1" applyNumberFormat="1" applyFont="1" applyBorder="1" applyAlignment="1">
      <alignment horizontal="center" vertical="center"/>
    </xf>
    <xf numFmtId="16" fontId="4" fillId="0" borderId="2" xfId="1" applyNumberFormat="1" applyFont="1" applyBorder="1" applyAlignment="1">
      <alignment horizontal="center" vertical="center"/>
    </xf>
    <xf numFmtId="2" fontId="4" fillId="6" borderId="2" xfId="1" applyNumberFormat="1" applyFont="1" applyFill="1" applyBorder="1" applyAlignment="1">
      <alignment horizontal="center" vertical="center"/>
    </xf>
    <xf numFmtId="0" fontId="4" fillId="0" borderId="2" xfId="1" applyFont="1" applyBorder="1" applyAlignment="1" applyProtection="1">
      <alignment horizontal="center" vertical="center" wrapText="1"/>
    </xf>
    <xf numFmtId="20" fontId="4" fillId="6" borderId="2" xfId="1" applyNumberFormat="1" applyFont="1" applyFill="1" applyBorder="1" applyAlignment="1">
      <alignment horizontal="center" vertical="center" wrapText="1"/>
    </xf>
    <xf numFmtId="16" fontId="5" fillId="6" borderId="2" xfId="1" applyNumberFormat="1" applyFont="1" applyFill="1" applyBorder="1" applyAlignment="1">
      <alignment horizontal="center" vertical="center"/>
    </xf>
    <xf numFmtId="0" fontId="4" fillId="18" borderId="2" xfId="1" applyFont="1" applyFill="1" applyBorder="1" applyAlignment="1">
      <alignment horizontal="center" vertical="center" wrapText="1"/>
    </xf>
    <xf numFmtId="0" fontId="4" fillId="28" borderId="2" xfId="1" applyFont="1" applyFill="1" applyBorder="1" applyAlignment="1">
      <alignment horizontal="center" vertical="center" wrapText="1"/>
    </xf>
    <xf numFmtId="0" fontId="4" fillId="28" borderId="2" xfId="1" applyFont="1" applyFill="1" applyBorder="1" applyAlignment="1">
      <alignment horizontal="center" vertical="center"/>
    </xf>
    <xf numFmtId="16" fontId="4" fillId="28" borderId="2" xfId="1" applyNumberFormat="1" applyFont="1" applyFill="1" applyBorder="1" applyAlignment="1">
      <alignment horizontal="center" vertical="center"/>
    </xf>
    <xf numFmtId="0" fontId="5" fillId="0" borderId="1" xfId="1" applyFont="1" applyBorder="1" applyAlignment="1">
      <alignment horizontal="center" vertical="center"/>
    </xf>
    <xf numFmtId="0" fontId="5" fillId="0" borderId="2" xfId="1" applyFont="1" applyBorder="1" applyAlignment="1">
      <alignment horizontal="center" vertical="center"/>
    </xf>
    <xf numFmtId="0" fontId="5" fillId="0" borderId="2" xfId="1" applyFont="1" applyBorder="1" applyAlignment="1">
      <alignment horizontal="center" vertical="center" wrapText="1"/>
    </xf>
    <xf numFmtId="16" fontId="4" fillId="8" borderId="2" xfId="1" applyNumberFormat="1" applyFont="1" applyFill="1" applyBorder="1" applyAlignment="1">
      <alignment horizontal="center" vertical="center"/>
    </xf>
    <xf numFmtId="2" fontId="4" fillId="0" borderId="2" xfId="1" applyNumberFormat="1" applyFont="1" applyBorder="1" applyAlignment="1">
      <alignment horizontal="center" vertical="center"/>
    </xf>
    <xf numFmtId="20" fontId="4" fillId="0" borderId="2" xfId="1" applyNumberFormat="1" applyFont="1" applyBorder="1" applyAlignment="1">
      <alignment horizontal="center" vertical="center"/>
    </xf>
    <xf numFmtId="0" fontId="5" fillId="8" borderId="2" xfId="1" applyFont="1" applyFill="1" applyBorder="1" applyAlignment="1">
      <alignment horizontal="center" vertical="center" wrapText="1"/>
    </xf>
    <xf numFmtId="16" fontId="4" fillId="6" borderId="1" xfId="1" applyNumberFormat="1" applyFont="1" applyFill="1" applyBorder="1" applyAlignment="1">
      <alignment horizontal="center" vertical="center"/>
    </xf>
    <xf numFmtId="0" fontId="4" fillId="26" borderId="2" xfId="1" applyFont="1" applyFill="1" applyBorder="1" applyAlignment="1">
      <alignment horizontal="center" vertical="center"/>
    </xf>
    <xf numFmtId="0" fontId="4" fillId="26" borderId="1" xfId="1" applyFont="1" applyFill="1" applyBorder="1" applyAlignment="1">
      <alignment horizontal="center" vertical="center"/>
    </xf>
    <xf numFmtId="2" fontId="4" fillId="28" borderId="2" xfId="1" applyNumberFormat="1" applyFont="1" applyFill="1" applyBorder="1" applyAlignment="1">
      <alignment horizontal="center" vertical="center"/>
    </xf>
    <xf numFmtId="20" fontId="4" fillId="6" borderId="2" xfId="1" applyNumberFormat="1" applyFont="1" applyFill="1" applyBorder="1" applyAlignment="1">
      <alignment horizontal="center" vertical="center"/>
    </xf>
    <xf numFmtId="0" fontId="5" fillId="6" borderId="2" xfId="1" applyFont="1" applyFill="1" applyBorder="1" applyAlignment="1">
      <alignment horizontal="center" vertical="center" wrapText="1"/>
    </xf>
    <xf numFmtId="16" fontId="4" fillId="6" borderId="2" xfId="1" applyNumberFormat="1" applyFont="1" applyFill="1" applyBorder="1" applyAlignment="1">
      <alignment horizontal="center" vertical="center" wrapText="1"/>
    </xf>
    <xf numFmtId="0" fontId="5" fillId="15" borderId="1" xfId="1" applyFont="1" applyFill="1" applyBorder="1" applyAlignment="1">
      <alignment horizontal="center" vertical="center" wrapText="1"/>
    </xf>
    <xf numFmtId="0" fontId="4" fillId="29" borderId="2" xfId="1" applyFont="1" applyFill="1" applyBorder="1" applyAlignment="1">
      <alignment horizontal="center" vertical="center"/>
    </xf>
    <xf numFmtId="20" fontId="4" fillId="29" borderId="2" xfId="1" applyNumberFormat="1" applyFont="1" applyFill="1" applyBorder="1" applyAlignment="1">
      <alignment horizontal="center" vertical="center" wrapText="1"/>
    </xf>
    <xf numFmtId="0" fontId="4" fillId="29" borderId="2" xfId="1" applyFont="1" applyFill="1" applyBorder="1" applyAlignment="1">
      <alignment horizontal="center" vertical="center" wrapText="1"/>
    </xf>
    <xf numFmtId="16" fontId="4" fillId="29" borderId="2" xfId="1" applyNumberFormat="1" applyFont="1" applyFill="1" applyBorder="1" applyAlignment="1">
      <alignment horizontal="center" vertical="center"/>
    </xf>
    <xf numFmtId="0" fontId="4" fillId="0" borderId="3" xfId="1" applyFont="1" applyBorder="1" applyAlignment="1">
      <alignment horizontal="center" vertical="center"/>
    </xf>
    <xf numFmtId="16" fontId="4" fillId="0" borderId="4" xfId="1" applyNumberFormat="1" applyFont="1" applyBorder="1" applyAlignment="1">
      <alignment horizontal="center" vertical="center"/>
    </xf>
    <xf numFmtId="0" fontId="4" fillId="28" borderId="1" xfId="1" applyFont="1" applyFill="1" applyBorder="1" applyAlignment="1">
      <alignment horizontal="center" vertical="center"/>
    </xf>
    <xf numFmtId="0" fontId="4" fillId="6" borderId="1" xfId="1" applyFont="1" applyFill="1" applyBorder="1" applyAlignment="1">
      <alignment horizontal="center" vertical="center"/>
    </xf>
    <xf numFmtId="0" fontId="4" fillId="29" borderId="1" xfId="1" applyFont="1" applyFill="1" applyBorder="1" applyAlignment="1">
      <alignment horizontal="center" vertical="center"/>
    </xf>
    <xf numFmtId="0" fontId="4" fillId="29" borderId="1" xfId="1" applyFont="1" applyFill="1" applyBorder="1" applyAlignment="1" applyProtection="1">
      <alignment horizontal="center" vertical="center" wrapText="1"/>
    </xf>
    <xf numFmtId="0" fontId="4" fillId="29" borderId="1" xfId="1" applyFont="1" applyFill="1" applyBorder="1" applyAlignment="1">
      <alignment horizontal="center" vertical="center" wrapText="1"/>
    </xf>
    <xf numFmtId="20" fontId="4" fillId="29" borderId="1" xfId="1" applyNumberFormat="1" applyFont="1" applyFill="1" applyBorder="1" applyAlignment="1">
      <alignment horizontal="center" vertical="center" wrapText="1"/>
    </xf>
    <xf numFmtId="0" fontId="5" fillId="29" borderId="1" xfId="1" applyFont="1" applyFill="1" applyBorder="1" applyAlignment="1">
      <alignment horizontal="center" vertical="center" wrapText="1"/>
    </xf>
    <xf numFmtId="16" fontId="4" fillId="29" borderId="1" xfId="1" applyNumberFormat="1" applyFont="1" applyFill="1" applyBorder="1" applyAlignment="1">
      <alignment horizontal="center" vertical="center"/>
    </xf>
    <xf numFmtId="16" fontId="5" fillId="6" borderId="1" xfId="1" applyNumberFormat="1" applyFont="1" applyFill="1" applyBorder="1" applyAlignment="1">
      <alignment horizontal="center" vertical="center"/>
    </xf>
    <xf numFmtId="0" fontId="4" fillId="0" borderId="1" xfId="1" applyFont="1" applyBorder="1" applyAlignment="1" applyProtection="1">
      <alignment horizontal="center" vertical="center"/>
    </xf>
    <xf numFmtId="1" fontId="4" fillId="26" borderId="1" xfId="1" applyNumberFormat="1" applyFont="1" applyFill="1" applyBorder="1" applyAlignment="1" applyProtection="1">
      <alignment horizontal="center" vertical="center" wrapText="1"/>
    </xf>
    <xf numFmtId="20" fontId="4" fillId="6" borderId="1" xfId="1" applyNumberFormat="1" applyFont="1" applyFill="1" applyBorder="1" applyAlignment="1" applyProtection="1">
      <alignment horizontal="center" vertical="center" wrapText="1"/>
    </xf>
    <xf numFmtId="0" fontId="4" fillId="6" borderId="1" xfId="1" applyFont="1" applyFill="1" applyBorder="1" applyAlignment="1" applyProtection="1">
      <alignment horizontal="center" vertical="center" wrapText="1"/>
    </xf>
    <xf numFmtId="16" fontId="4" fillId="6" borderId="1" xfId="1" applyNumberFormat="1" applyFont="1" applyFill="1" applyBorder="1" applyAlignment="1" applyProtection="1">
      <alignment horizontal="center" vertical="center" wrapText="1"/>
    </xf>
    <xf numFmtId="16" fontId="4" fillId="0" borderId="1" xfId="1" applyNumberFormat="1" applyFont="1" applyBorder="1" applyAlignment="1" applyProtection="1">
      <alignment horizontal="center" vertical="center" wrapText="1"/>
    </xf>
    <xf numFmtId="0" fontId="4" fillId="15" borderId="1" xfId="1" applyFont="1" applyFill="1" applyBorder="1" applyAlignment="1" applyProtection="1">
      <alignment horizontal="center" vertical="center" wrapText="1"/>
    </xf>
    <xf numFmtId="1" fontId="4" fillId="28" borderId="1" xfId="1" applyNumberFormat="1" applyFont="1" applyFill="1" applyBorder="1" applyAlignment="1" applyProtection="1">
      <alignment horizontal="center" vertical="center" wrapText="1"/>
    </xf>
    <xf numFmtId="0" fontId="4" fillId="8" borderId="1" xfId="1" applyFont="1" applyFill="1" applyBorder="1" applyAlignment="1">
      <alignment horizontal="center" vertical="center"/>
    </xf>
    <xf numFmtId="16" fontId="5" fillId="0" borderId="1" xfId="1" applyNumberFormat="1" applyFont="1" applyBorder="1" applyAlignment="1">
      <alignment horizontal="center" vertical="center"/>
    </xf>
    <xf numFmtId="20" fontId="5" fillId="0" borderId="1" xfId="1" applyNumberFormat="1" applyFont="1" applyBorder="1" applyAlignment="1">
      <alignment horizontal="center" vertical="center" wrapText="1"/>
    </xf>
    <xf numFmtId="0" fontId="11" fillId="0" borderId="1" xfId="1" applyFont="1" applyBorder="1" applyAlignment="1">
      <alignment horizontal="center" vertical="center" wrapText="1"/>
    </xf>
    <xf numFmtId="20" fontId="4" fillId="0" borderId="1" xfId="1" applyNumberFormat="1" applyFont="1" applyBorder="1" applyAlignment="1">
      <alignment horizontal="center" vertical="center"/>
    </xf>
    <xf numFmtId="20" fontId="4" fillId="29" borderId="1" xfId="1" applyNumberFormat="1" applyFont="1" applyFill="1" applyBorder="1" applyAlignment="1" applyProtection="1">
      <alignment horizontal="center" vertical="center" wrapText="1"/>
    </xf>
    <xf numFmtId="16" fontId="4" fillId="29" borderId="1" xfId="1" applyNumberFormat="1" applyFont="1" applyFill="1" applyBorder="1" applyAlignment="1" applyProtection="1">
      <alignment horizontal="center" vertical="center"/>
    </xf>
    <xf numFmtId="1" fontId="4" fillId="26" borderId="1" xfId="1" applyNumberFormat="1" applyFont="1" applyFill="1" applyBorder="1" applyAlignment="1" applyProtection="1">
      <alignment horizontal="center" vertical="center"/>
    </xf>
    <xf numFmtId="20" fontId="4" fillId="30" borderId="1" xfId="1" applyNumberFormat="1" applyFont="1" applyFill="1" applyBorder="1" applyAlignment="1" applyProtection="1">
      <alignment horizontal="center" vertical="center" wrapText="1"/>
    </xf>
    <xf numFmtId="0" fontId="4" fillId="30" borderId="1" xfId="1" applyFont="1" applyFill="1" applyBorder="1" applyAlignment="1" applyProtection="1">
      <alignment horizontal="center" vertical="center" wrapText="1"/>
    </xf>
    <xf numFmtId="16" fontId="4" fillId="30" borderId="1" xfId="1" applyNumberFormat="1" applyFont="1" applyFill="1" applyBorder="1" applyAlignment="1" applyProtection="1">
      <alignment horizontal="center" vertical="center"/>
    </xf>
    <xf numFmtId="20" fontId="4" fillId="30" borderId="1" xfId="1" applyNumberFormat="1" applyFont="1" applyFill="1" applyBorder="1" applyAlignment="1">
      <alignment horizontal="center" vertical="center" wrapText="1"/>
    </xf>
    <xf numFmtId="0" fontId="4" fillId="30" borderId="1" xfId="1" applyFont="1" applyFill="1" applyBorder="1" applyAlignment="1">
      <alignment horizontal="center" vertical="center" wrapText="1"/>
    </xf>
    <xf numFmtId="16" fontId="4" fillId="30" borderId="1" xfId="1" applyNumberFormat="1" applyFont="1" applyFill="1" applyBorder="1" applyAlignment="1">
      <alignment horizontal="center" vertical="center"/>
    </xf>
    <xf numFmtId="1" fontId="4" fillId="26" borderId="1" xfId="1" applyNumberFormat="1" applyFont="1" applyFill="1" applyBorder="1" applyAlignment="1">
      <alignment horizontal="center" vertical="center"/>
    </xf>
    <xf numFmtId="0" fontId="4" fillId="0" borderId="0" xfId="1" applyFont="1" applyAlignment="1">
      <alignment horizontal="left" vertical="center"/>
    </xf>
    <xf numFmtId="2" fontId="4" fillId="0" borderId="0" xfId="1" applyNumberFormat="1" applyFont="1" applyAlignment="1">
      <alignment horizontal="center" vertical="center"/>
    </xf>
    <xf numFmtId="2" fontId="9" fillId="0" borderId="0" xfId="1" applyNumberFormat="1" applyFont="1" applyAlignment="1">
      <alignment horizontal="center" vertical="center"/>
    </xf>
    <xf numFmtId="2" fontId="4" fillId="0" borderId="1" xfId="1" applyNumberFormat="1" applyFont="1" applyBorder="1" applyAlignment="1">
      <alignment horizontal="center" vertical="center"/>
    </xf>
    <xf numFmtId="16" fontId="4" fillId="6" borderId="4" xfId="1" applyNumberFormat="1" applyFont="1" applyFill="1" applyBorder="1" applyAlignment="1">
      <alignment horizontal="center" vertical="center"/>
    </xf>
    <xf numFmtId="1" fontId="4" fillId="0" borderId="1" xfId="1" applyNumberFormat="1" applyFont="1" applyBorder="1" applyAlignment="1" applyProtection="1">
      <alignment horizontal="center" vertical="center" wrapText="1"/>
    </xf>
    <xf numFmtId="0" fontId="4" fillId="0" borderId="8" xfId="1" applyFont="1" applyBorder="1" applyAlignment="1">
      <alignment horizontal="center" vertical="center"/>
    </xf>
    <xf numFmtId="0" fontId="4" fillId="6" borderId="2" xfId="1" applyFont="1" applyFill="1" applyBorder="1" applyAlignment="1" applyProtection="1">
      <alignment horizontal="center" vertical="center" wrapText="1"/>
    </xf>
    <xf numFmtId="16" fontId="4" fillId="6" borderId="9" xfId="1" applyNumberFormat="1" applyFont="1" applyFill="1" applyBorder="1" applyAlignment="1">
      <alignment horizontal="center" vertical="center"/>
    </xf>
    <xf numFmtId="0" fontId="4" fillId="6" borderId="3" xfId="1" applyFont="1" applyFill="1" applyBorder="1" applyAlignment="1">
      <alignment horizontal="center" vertical="center"/>
    </xf>
    <xf numFmtId="16" fontId="4" fillId="0" borderId="9" xfId="1" applyNumberFormat="1" applyFont="1" applyBorder="1" applyAlignment="1">
      <alignment horizontal="center" vertical="center"/>
    </xf>
    <xf numFmtId="16" fontId="4" fillId="8" borderId="1" xfId="1" applyNumberFormat="1" applyFont="1" applyFill="1" applyBorder="1" applyAlignment="1">
      <alignment horizontal="center" vertical="center"/>
    </xf>
    <xf numFmtId="0" fontId="4" fillId="0" borderId="3" xfId="1" applyFont="1" applyBorder="1" applyAlignment="1" applyProtection="1">
      <alignment horizontal="center" vertical="center"/>
    </xf>
    <xf numFmtId="1" fontId="4" fillId="6" borderId="1" xfId="1" applyNumberFormat="1" applyFont="1" applyFill="1" applyBorder="1" applyAlignment="1" applyProtection="1">
      <alignment horizontal="center" vertical="center" wrapText="1"/>
    </xf>
    <xf numFmtId="16" fontId="4" fillId="0" borderId="4" xfId="1" applyNumberFormat="1" applyFont="1" applyBorder="1" applyAlignment="1" applyProtection="1">
      <alignment horizontal="center" vertical="center" wrapText="1"/>
    </xf>
    <xf numFmtId="16" fontId="4" fillId="29" borderId="4" xfId="1" applyNumberFormat="1" applyFont="1" applyFill="1" applyBorder="1" applyAlignment="1">
      <alignment horizontal="center" vertical="center"/>
    </xf>
    <xf numFmtId="16" fontId="4" fillId="30" borderId="4" xfId="1" applyNumberFormat="1" applyFont="1" applyFill="1" applyBorder="1" applyAlignment="1">
      <alignment horizontal="center" vertical="center"/>
    </xf>
    <xf numFmtId="0" fontId="4" fillId="26" borderId="3" xfId="1" applyFont="1" applyFill="1" applyBorder="1" applyAlignment="1">
      <alignment horizontal="center" vertical="center"/>
    </xf>
    <xf numFmtId="1" fontId="4" fillId="0" borderId="1" xfId="1" applyNumberFormat="1" applyFont="1" applyBorder="1" applyAlignment="1" applyProtection="1">
      <alignment horizontal="center" vertical="center"/>
    </xf>
    <xf numFmtId="49" fontId="4" fillId="0" borderId="1" xfId="1" applyNumberFormat="1" applyFont="1" applyBorder="1" applyAlignment="1">
      <alignment horizontal="center" vertical="center" wrapText="1"/>
    </xf>
    <xf numFmtId="0" fontId="4" fillId="15" borderId="1" xfId="1" applyFont="1" applyFill="1" applyBorder="1" applyAlignment="1">
      <alignment horizontal="center" vertical="center"/>
    </xf>
    <xf numFmtId="0" fontId="4" fillId="30" borderId="3" xfId="1" applyFont="1" applyFill="1" applyBorder="1" applyAlignment="1">
      <alignment horizontal="center" vertical="center"/>
    </xf>
    <xf numFmtId="0" fontId="4" fillId="30" borderId="1" xfId="1" applyFont="1" applyFill="1" applyBorder="1" applyAlignment="1">
      <alignment horizontal="center" vertical="center"/>
    </xf>
    <xf numFmtId="16" fontId="4" fillId="30" borderId="1" xfId="1" applyNumberFormat="1" applyFont="1" applyFill="1" applyBorder="1" applyAlignment="1" applyProtection="1">
      <alignment horizontal="center" vertical="center" wrapText="1"/>
    </xf>
    <xf numFmtId="20" fontId="4" fillId="0" borderId="1" xfId="1" applyNumberFormat="1" applyFont="1" applyBorder="1" applyAlignment="1" applyProtection="1">
      <alignment horizontal="center" vertical="center" wrapText="1"/>
    </xf>
    <xf numFmtId="2" fontId="4" fillId="26" borderId="1" xfId="1" applyNumberFormat="1" applyFont="1" applyFill="1" applyBorder="1" applyAlignment="1">
      <alignment horizontal="center" vertical="center"/>
    </xf>
    <xf numFmtId="0" fontId="5" fillId="30" borderId="1" xfId="1" applyFont="1" applyFill="1" applyBorder="1" applyAlignment="1">
      <alignment horizontal="center" vertical="center" wrapText="1"/>
    </xf>
    <xf numFmtId="16" fontId="4" fillId="30" borderId="1" xfId="1" applyNumberFormat="1" applyFont="1" applyFill="1" applyBorder="1" applyAlignment="1">
      <alignment horizontal="center" vertical="center" wrapText="1"/>
    </xf>
    <xf numFmtId="16" fontId="4" fillId="30" borderId="4" xfId="1" applyNumberFormat="1" applyFont="1" applyFill="1" applyBorder="1" applyAlignment="1" applyProtection="1">
      <alignment horizontal="center" vertical="center" wrapText="1"/>
    </xf>
    <xf numFmtId="16" fontId="9" fillId="30" borderId="4" xfId="1" applyNumberFormat="1" applyFont="1" applyFill="1" applyBorder="1" applyAlignment="1">
      <alignment horizontal="center" vertical="center"/>
    </xf>
    <xf numFmtId="0" fontId="4" fillId="26" borderId="1" xfId="1" applyFont="1" applyFill="1" applyBorder="1" applyAlignment="1" applyProtection="1">
      <alignment horizontal="center" vertical="center" wrapText="1"/>
    </xf>
    <xf numFmtId="20" fontId="4" fillId="30" borderId="1" xfId="1" applyNumberFormat="1" applyFont="1" applyFill="1" applyBorder="1" applyAlignment="1">
      <alignment horizontal="center" vertical="center"/>
    </xf>
    <xf numFmtId="16" fontId="9" fillId="0" borderId="4" xfId="1" applyNumberFormat="1" applyFont="1" applyBorder="1" applyAlignment="1">
      <alignment horizontal="center" vertical="center"/>
    </xf>
    <xf numFmtId="0" fontId="4" fillId="31" borderId="1" xfId="1" applyFont="1" applyFill="1" applyBorder="1" applyAlignment="1">
      <alignment horizontal="center" vertical="center"/>
    </xf>
    <xf numFmtId="0" fontId="4" fillId="32" borderId="1" xfId="1" applyFont="1" applyFill="1" applyBorder="1" applyAlignment="1">
      <alignment horizontal="center" vertical="center" wrapText="1"/>
    </xf>
    <xf numFmtId="0" fontId="5" fillId="32" borderId="1" xfId="1" applyFont="1" applyFill="1" applyBorder="1" applyAlignment="1">
      <alignment horizontal="center" vertical="center" wrapText="1"/>
    </xf>
    <xf numFmtId="16" fontId="4" fillId="0" borderId="1" xfId="1" applyNumberFormat="1" applyFont="1" applyBorder="1" applyAlignment="1" applyProtection="1">
      <alignment horizontal="center" vertical="center"/>
    </xf>
    <xf numFmtId="0" fontId="4" fillId="32" borderId="1" xfId="1" applyFont="1" applyFill="1" applyBorder="1" applyAlignment="1" applyProtection="1">
      <alignment horizontal="center" vertical="center" wrapText="1"/>
    </xf>
    <xf numFmtId="1" fontId="4" fillId="31" borderId="1" xfId="1" applyNumberFormat="1" applyFont="1" applyFill="1" applyBorder="1" applyAlignment="1" applyProtection="1">
      <alignment horizontal="center" vertical="center" wrapText="1"/>
    </xf>
    <xf numFmtId="0" fontId="4" fillId="33" borderId="1" xfId="1" applyFont="1" applyFill="1" applyBorder="1" applyAlignment="1">
      <alignment horizontal="center" vertical="center" wrapText="1"/>
    </xf>
    <xf numFmtId="0" fontId="4" fillId="18" borderId="1" xfId="1" applyFont="1" applyFill="1" applyBorder="1" applyAlignment="1" applyProtection="1">
      <alignment horizontal="center" vertical="center" wrapText="1"/>
    </xf>
    <xf numFmtId="1" fontId="4" fillId="30" borderId="1" xfId="1" applyNumberFormat="1" applyFont="1" applyFill="1" applyBorder="1" applyAlignment="1" applyProtection="1">
      <alignment horizontal="center" vertical="center" wrapText="1"/>
    </xf>
    <xf numFmtId="1" fontId="4" fillId="15" borderId="1" xfId="1" applyNumberFormat="1" applyFont="1" applyFill="1" applyBorder="1" applyAlignment="1" applyProtection="1">
      <alignment horizontal="center" vertical="center" wrapText="1"/>
    </xf>
    <xf numFmtId="2" fontId="5" fillId="26" borderId="1" xfId="1" applyNumberFormat="1" applyFont="1" applyFill="1" applyBorder="1" applyAlignment="1">
      <alignment horizontal="center" vertical="center"/>
    </xf>
    <xf numFmtId="20" fontId="5" fillId="30" borderId="1" xfId="1" applyNumberFormat="1" applyFont="1" applyFill="1" applyBorder="1" applyAlignment="1">
      <alignment horizontal="center" vertical="center" wrapText="1"/>
    </xf>
    <xf numFmtId="16" fontId="5" fillId="30" borderId="1" xfId="1" applyNumberFormat="1" applyFont="1" applyFill="1" applyBorder="1" applyAlignment="1">
      <alignment horizontal="center" vertical="center"/>
    </xf>
    <xf numFmtId="0" fontId="12" fillId="0" borderId="1" xfId="1" applyFont="1" applyBorder="1" applyAlignment="1">
      <alignment horizontal="center" vertical="center"/>
    </xf>
    <xf numFmtId="0" fontId="3" fillId="2" borderId="6" xfId="1" applyFont="1" applyFill="1" applyBorder="1" applyAlignment="1">
      <alignment horizontal="center" vertical="center" wrapText="1"/>
    </xf>
    <xf numFmtId="165" fontId="3" fillId="2" borderId="6" xfId="1" applyNumberFormat="1" applyFont="1" applyFill="1" applyBorder="1" applyAlignment="1">
      <alignment horizontal="center" vertical="center" wrapText="1"/>
    </xf>
    <xf numFmtId="164" fontId="3" fillId="2" borderId="6" xfId="1" applyNumberFormat="1" applyFont="1" applyFill="1" applyBorder="1" applyAlignment="1">
      <alignment horizontal="center" vertical="center" wrapText="1"/>
    </xf>
    <xf numFmtId="164" fontId="3" fillId="2" borderId="7" xfId="1" applyNumberFormat="1" applyFont="1" applyFill="1" applyBorder="1" applyAlignment="1">
      <alignment horizontal="center" vertical="center" wrapText="1"/>
    </xf>
    <xf numFmtId="0" fontId="4" fillId="8" borderId="0" xfId="1" applyFont="1" applyFill="1" applyBorder="1" applyAlignment="1">
      <alignment horizontal="center" vertical="center"/>
    </xf>
    <xf numFmtId="0" fontId="4" fillId="34" borderId="0" xfId="1" applyFont="1" applyFill="1" applyBorder="1" applyAlignment="1">
      <alignment horizontal="center" vertical="center" wrapText="1"/>
    </xf>
    <xf numFmtId="2" fontId="4" fillId="34" borderId="0" xfId="1" applyNumberFormat="1" applyFont="1" applyFill="1" applyBorder="1" applyAlignment="1">
      <alignment horizontal="center" vertical="center"/>
    </xf>
    <xf numFmtId="0" fontId="4" fillId="34" borderId="0" xfId="1" applyFont="1" applyFill="1" applyBorder="1" applyAlignment="1">
      <alignment horizontal="center" vertical="center"/>
    </xf>
    <xf numFmtId="16" fontId="4" fillId="34" borderId="0" xfId="1" applyNumberFormat="1" applyFont="1" applyFill="1" applyBorder="1" applyAlignment="1">
      <alignment horizontal="center" vertical="center"/>
    </xf>
    <xf numFmtId="0" fontId="14" fillId="34" borderId="0" xfId="2" applyFont="1" applyFill="1" applyBorder="1" applyAlignment="1" applyProtection="1">
      <alignment horizontal="center" vertical="center" wrapText="1"/>
    </xf>
    <xf numFmtId="49" fontId="15" fillId="34" borderId="0" xfId="1" applyNumberFormat="1" applyFont="1" applyFill="1" applyBorder="1" applyAlignment="1">
      <alignment horizontal="center" vertical="center"/>
    </xf>
    <xf numFmtId="0" fontId="15" fillId="34" borderId="0" xfId="1" applyFont="1" applyFill="1" applyBorder="1" applyAlignment="1">
      <alignment horizontal="center" vertical="center" wrapText="1"/>
    </xf>
    <xf numFmtId="2" fontId="4" fillId="0" borderId="0" xfId="1" applyNumberFormat="1" applyFont="1" applyBorder="1" applyAlignment="1">
      <alignment horizontal="center" vertical="center"/>
    </xf>
    <xf numFmtId="16" fontId="4" fillId="0" borderId="0" xfId="1" applyNumberFormat="1" applyFont="1" applyBorder="1" applyAlignment="1">
      <alignment horizontal="center" vertical="center"/>
    </xf>
    <xf numFmtId="20" fontId="4" fillId="0" borderId="0" xfId="1" applyNumberFormat="1" applyFont="1" applyBorder="1" applyAlignment="1">
      <alignment horizontal="center" vertical="center"/>
    </xf>
    <xf numFmtId="2" fontId="5" fillId="0" borderId="0" xfId="1" applyNumberFormat="1" applyFont="1" applyBorder="1" applyAlignment="1">
      <alignment horizontal="center" vertical="center"/>
    </xf>
    <xf numFmtId="16" fontId="5" fillId="0" borderId="0" xfId="1" applyNumberFormat="1" applyFont="1" applyBorder="1" applyAlignment="1">
      <alignment horizontal="center" vertical="center"/>
    </xf>
    <xf numFmtId="0" fontId="14" fillId="0" borderId="0" xfId="2" applyFont="1" applyBorder="1" applyAlignment="1" applyProtection="1">
      <alignment horizontal="center" vertical="center" wrapText="1"/>
    </xf>
    <xf numFmtId="49" fontId="15" fillId="0" borderId="0" xfId="1" applyNumberFormat="1" applyFont="1" applyBorder="1" applyAlignment="1">
      <alignment horizontal="center" vertical="center"/>
    </xf>
    <xf numFmtId="0" fontId="15" fillId="0" borderId="0" xfId="1" applyFont="1" applyBorder="1" applyAlignment="1">
      <alignment horizontal="center" vertical="center" wrapText="1"/>
    </xf>
    <xf numFmtId="0" fontId="4" fillId="30" borderId="0" xfId="1" applyFont="1" applyFill="1" applyBorder="1" applyAlignment="1">
      <alignment horizontal="center" vertical="center" wrapText="1"/>
    </xf>
    <xf numFmtId="0" fontId="4" fillId="30" borderId="0" xfId="1" applyFont="1" applyFill="1" applyBorder="1" applyAlignment="1">
      <alignment horizontal="center" vertical="center"/>
    </xf>
    <xf numFmtId="16" fontId="4" fillId="30" borderId="0" xfId="1" applyNumberFormat="1" applyFont="1" applyFill="1" applyBorder="1" applyAlignment="1">
      <alignment horizontal="center" vertical="center"/>
    </xf>
    <xf numFmtId="20" fontId="4" fillId="30" borderId="0" xfId="1" applyNumberFormat="1" applyFont="1" applyFill="1" applyBorder="1" applyAlignment="1">
      <alignment horizontal="center" vertical="center" wrapText="1"/>
    </xf>
    <xf numFmtId="49" fontId="4" fillId="30" borderId="0" xfId="1" applyNumberFormat="1" applyFont="1" applyFill="1" applyBorder="1" applyAlignment="1">
      <alignment horizontal="center" vertical="center"/>
    </xf>
    <xf numFmtId="0" fontId="4" fillId="35" borderId="0" xfId="1" applyFont="1" applyFill="1" applyAlignment="1">
      <alignment horizontal="center" vertical="center"/>
    </xf>
    <xf numFmtId="0" fontId="4" fillId="35" borderId="0" xfId="1" applyFont="1" applyFill="1" applyBorder="1" applyAlignment="1">
      <alignment horizontal="center" vertical="center"/>
    </xf>
    <xf numFmtId="0" fontId="4" fillId="35" borderId="0" xfId="1" applyFont="1" applyFill="1" applyBorder="1" applyAlignment="1">
      <alignment horizontal="center" vertical="center" wrapText="1"/>
    </xf>
    <xf numFmtId="2" fontId="4" fillId="35" borderId="0" xfId="1" applyNumberFormat="1" applyFont="1" applyFill="1" applyBorder="1" applyAlignment="1">
      <alignment horizontal="center" vertical="center"/>
    </xf>
    <xf numFmtId="16" fontId="4" fillId="35" borderId="0" xfId="1" applyNumberFormat="1" applyFont="1" applyFill="1" applyBorder="1" applyAlignment="1">
      <alignment horizontal="center" vertical="center"/>
    </xf>
    <xf numFmtId="0" fontId="4" fillId="26" borderId="0" xfId="1" applyFont="1" applyFill="1" applyAlignment="1">
      <alignment horizontal="center" vertical="center"/>
    </xf>
    <xf numFmtId="16" fontId="4" fillId="0" borderId="0" xfId="1" applyNumberFormat="1" applyFont="1" applyAlignment="1">
      <alignment horizontal="center" vertical="center"/>
    </xf>
    <xf numFmtId="20" fontId="4" fillId="0" borderId="0" xfId="1" applyNumberFormat="1" applyFont="1" applyAlignment="1">
      <alignment horizontal="center" vertical="center"/>
    </xf>
    <xf numFmtId="0" fontId="4" fillId="26" borderId="0" xfId="1" applyFont="1" applyFill="1" applyBorder="1" applyAlignment="1">
      <alignment horizontal="center" vertical="center"/>
    </xf>
    <xf numFmtId="2" fontId="4" fillId="26" borderId="0" xfId="1" applyNumberFormat="1" applyFont="1" applyFill="1" applyBorder="1" applyAlignment="1">
      <alignment horizontal="center" vertical="center"/>
    </xf>
    <xf numFmtId="0" fontId="4" fillId="15" borderId="0" xfId="1" applyFont="1" applyFill="1" applyBorder="1" applyAlignment="1">
      <alignment horizontal="center" vertical="center" wrapText="1"/>
    </xf>
    <xf numFmtId="0" fontId="5" fillId="0" borderId="0" xfId="1" applyFont="1" applyBorder="1" applyAlignment="1">
      <alignment horizontal="center" vertical="center" wrapText="1"/>
    </xf>
    <xf numFmtId="49" fontId="4" fillId="0" borderId="0" xfId="1" applyNumberFormat="1" applyFont="1" applyBorder="1" applyAlignment="1">
      <alignment horizontal="center" vertical="center" wrapText="1"/>
    </xf>
    <xf numFmtId="0" fontId="4" fillId="28" borderId="0" xfId="1" applyFont="1" applyFill="1" applyBorder="1" applyAlignment="1">
      <alignment horizontal="center" vertical="center"/>
    </xf>
    <xf numFmtId="2" fontId="4" fillId="28" borderId="0" xfId="1" applyNumberFormat="1" applyFont="1" applyFill="1" applyBorder="1" applyAlignment="1">
      <alignment horizontal="center" vertical="center"/>
    </xf>
    <xf numFmtId="0" fontId="4" fillId="28" borderId="0" xfId="1" applyFont="1" applyFill="1" applyBorder="1" applyAlignment="1">
      <alignment horizontal="center" vertical="center" wrapText="1"/>
    </xf>
    <xf numFmtId="0" fontId="5" fillId="28" borderId="0" xfId="1" applyFont="1" applyFill="1" applyBorder="1" applyAlignment="1">
      <alignment horizontal="center" vertical="center" wrapText="1"/>
    </xf>
    <xf numFmtId="20" fontId="4" fillId="28" borderId="0" xfId="1" applyNumberFormat="1" applyFont="1" applyFill="1" applyBorder="1" applyAlignment="1">
      <alignment horizontal="center" vertical="center" wrapText="1"/>
    </xf>
    <xf numFmtId="16" fontId="4" fillId="28" borderId="0" xfId="1" applyNumberFormat="1" applyFont="1" applyFill="1" applyBorder="1" applyAlignment="1">
      <alignment horizontal="center" vertical="center"/>
    </xf>
    <xf numFmtId="49" fontId="4" fillId="28" borderId="0" xfId="1" applyNumberFormat="1" applyFont="1" applyFill="1" applyBorder="1" applyAlignment="1">
      <alignment horizontal="center" vertical="center" wrapText="1"/>
    </xf>
    <xf numFmtId="0" fontId="4" fillId="28" borderId="1" xfId="1" applyFont="1" applyFill="1" applyBorder="1" applyAlignment="1">
      <alignment horizontal="center" vertical="center" wrapText="1"/>
    </xf>
    <xf numFmtId="0" fontId="4" fillId="36" borderId="1" xfId="1" applyFont="1" applyFill="1" applyBorder="1" applyAlignment="1">
      <alignment horizontal="center" vertical="center" wrapText="1"/>
    </xf>
    <xf numFmtId="20" fontId="4" fillId="36" borderId="1" xfId="1" applyNumberFormat="1" applyFont="1" applyFill="1" applyBorder="1" applyAlignment="1">
      <alignment horizontal="center" vertical="center"/>
    </xf>
    <xf numFmtId="16" fontId="4" fillId="36" borderId="1" xfId="1" applyNumberFormat="1" applyFont="1" applyFill="1" applyBorder="1" applyAlignment="1">
      <alignment horizontal="center" vertical="center"/>
    </xf>
    <xf numFmtId="0" fontId="4" fillId="36" borderId="1" xfId="1" applyFont="1" applyFill="1" applyBorder="1" applyAlignment="1">
      <alignment horizontal="center" vertical="center"/>
    </xf>
    <xf numFmtId="20" fontId="4" fillId="28" borderId="1" xfId="1" applyNumberFormat="1" applyFont="1" applyFill="1" applyBorder="1" applyAlignment="1">
      <alignment horizontal="center" vertical="center"/>
    </xf>
    <xf numFmtId="16" fontId="4" fillId="28" borderId="1" xfId="1" applyNumberFormat="1" applyFont="1" applyFill="1" applyBorder="1" applyAlignment="1">
      <alignment horizontal="center" vertical="center"/>
    </xf>
    <xf numFmtId="20" fontId="4" fillId="28" borderId="1" xfId="1" applyNumberFormat="1" applyFont="1" applyFill="1" applyBorder="1" applyAlignment="1">
      <alignment horizontal="center" vertical="center" wrapText="1"/>
    </xf>
    <xf numFmtId="16" fontId="4" fillId="28" borderId="4" xfId="1" applyNumberFormat="1" applyFont="1" applyFill="1" applyBorder="1" applyAlignment="1">
      <alignment horizontal="center" vertical="center"/>
    </xf>
    <xf numFmtId="0" fontId="4" fillId="28" borderId="0" xfId="1" applyFont="1" applyFill="1" applyAlignment="1">
      <alignment horizontal="center" vertical="center"/>
    </xf>
    <xf numFmtId="0" fontId="13" fillId="0" borderId="1" xfId="2" applyFont="1" applyBorder="1" applyProtection="1"/>
    <xf numFmtId="0" fontId="4" fillId="8" borderId="2" xfId="1" applyFont="1" applyFill="1" applyBorder="1" applyAlignment="1">
      <alignment horizontal="center" vertical="center"/>
    </xf>
    <xf numFmtId="0" fontId="5" fillId="36" borderId="1" xfId="1" applyFont="1" applyFill="1" applyBorder="1" applyAlignment="1">
      <alignment horizontal="center" vertical="center" wrapText="1"/>
    </xf>
    <xf numFmtId="49" fontId="4" fillId="36" borderId="1" xfId="1" applyNumberFormat="1" applyFont="1" applyFill="1" applyBorder="1" applyAlignment="1">
      <alignment horizontal="center" vertical="center" wrapText="1"/>
    </xf>
    <xf numFmtId="16" fontId="4" fillId="36" borderId="4" xfId="1" applyNumberFormat="1" applyFont="1" applyFill="1" applyBorder="1" applyAlignment="1">
      <alignment horizontal="center" vertical="center"/>
    </xf>
    <xf numFmtId="20" fontId="4" fillId="36" borderId="1" xfId="1" applyNumberFormat="1" applyFont="1" applyFill="1" applyBorder="1" applyAlignment="1">
      <alignment horizontal="center" vertical="center" wrapText="1"/>
    </xf>
    <xf numFmtId="49" fontId="4" fillId="30" borderId="1" xfId="1" applyNumberFormat="1" applyFont="1" applyFill="1" applyBorder="1" applyAlignment="1">
      <alignment horizontal="center" vertical="center" wrapText="1"/>
    </xf>
    <xf numFmtId="2" fontId="4" fillId="26" borderId="1" xfId="1" applyNumberFormat="1" applyFont="1" applyFill="1" applyBorder="1" applyAlignment="1">
      <alignment horizontal="center" vertical="center" wrapText="1"/>
    </xf>
    <xf numFmtId="0" fontId="4" fillId="36" borderId="4" xfId="1" applyFont="1" applyFill="1" applyBorder="1" applyAlignment="1">
      <alignment horizontal="center" vertical="center" wrapText="1"/>
    </xf>
    <xf numFmtId="16" fontId="4" fillId="36" borderId="0" xfId="1" applyNumberFormat="1" applyFont="1" applyFill="1" applyBorder="1" applyAlignment="1">
      <alignment horizontal="center" vertical="center"/>
    </xf>
    <xf numFmtId="0" fontId="9" fillId="0" borderId="1" xfId="1" applyFont="1" applyBorder="1" applyAlignment="1">
      <alignment horizontal="center" vertical="center" wrapText="1"/>
    </xf>
    <xf numFmtId="2" fontId="4" fillId="37" borderId="1" xfId="1" applyNumberFormat="1" applyFont="1" applyFill="1" applyBorder="1" applyAlignment="1">
      <alignment horizontal="center" vertical="center"/>
    </xf>
    <xf numFmtId="49" fontId="4" fillId="0" borderId="1" xfId="1" applyNumberFormat="1" applyFont="1" applyBorder="1" applyAlignment="1">
      <alignment horizontal="center" vertical="center"/>
    </xf>
    <xf numFmtId="20" fontId="4" fillId="29" borderId="1" xfId="1" applyNumberFormat="1" applyFont="1" applyFill="1" applyBorder="1" applyAlignment="1">
      <alignment horizontal="center" vertical="center"/>
    </xf>
    <xf numFmtId="0" fontId="4" fillId="37" borderId="1" xfId="1" applyFont="1" applyFill="1" applyBorder="1" applyAlignment="1">
      <alignment horizontal="center" vertical="center"/>
    </xf>
    <xf numFmtId="20" fontId="4" fillId="6" borderId="1" xfId="1" applyNumberFormat="1" applyFont="1" applyFill="1" applyBorder="1" applyAlignment="1">
      <alignment horizontal="center" vertical="center"/>
    </xf>
    <xf numFmtId="20" fontId="4" fillId="30" borderId="0" xfId="1" applyNumberFormat="1" applyFont="1" applyFill="1" applyBorder="1" applyAlignment="1">
      <alignment horizontal="center" vertical="center"/>
    </xf>
    <xf numFmtId="2" fontId="4" fillId="28" borderId="1" xfId="1" applyNumberFormat="1" applyFont="1" applyFill="1" applyBorder="1" applyAlignment="1">
      <alignment horizontal="center" vertical="center"/>
    </xf>
    <xf numFmtId="2" fontId="5" fillId="37" borderId="1" xfId="1" applyNumberFormat="1" applyFont="1" applyFill="1" applyBorder="1" applyAlignment="1">
      <alignment horizontal="center" vertical="center"/>
    </xf>
    <xf numFmtId="49" fontId="4" fillId="30" borderId="1" xfId="1" applyNumberFormat="1" applyFont="1" applyFill="1" applyBorder="1" applyAlignment="1">
      <alignment horizontal="center" vertical="center"/>
    </xf>
    <xf numFmtId="2" fontId="4" fillId="33" borderId="1" xfId="1" applyNumberFormat="1" applyFont="1" applyFill="1" applyBorder="1" applyAlignment="1">
      <alignment horizontal="center" vertical="center"/>
    </xf>
    <xf numFmtId="49" fontId="4" fillId="36" borderId="1" xfId="1" applyNumberFormat="1" applyFont="1" applyFill="1" applyBorder="1" applyAlignment="1">
      <alignment horizontal="center" vertical="center"/>
    </xf>
    <xf numFmtId="0" fontId="5" fillId="8" borderId="0" xfId="1" applyFont="1" applyFill="1" applyAlignment="1">
      <alignment horizontal="center" vertical="center"/>
    </xf>
    <xf numFmtId="0" fontId="5" fillId="8" borderId="1" xfId="1" applyFont="1" applyFill="1" applyBorder="1" applyAlignment="1">
      <alignment horizontal="center" vertical="center"/>
    </xf>
    <xf numFmtId="0" fontId="5" fillId="8" borderId="1" xfId="1" applyFont="1" applyFill="1" applyBorder="1" applyAlignment="1">
      <alignment horizontal="center" vertical="center" wrapText="1"/>
    </xf>
    <xf numFmtId="2" fontId="5" fillId="8" borderId="1" xfId="1" applyNumberFormat="1" applyFont="1" applyFill="1" applyBorder="1" applyAlignment="1">
      <alignment horizontal="center" vertical="center"/>
    </xf>
    <xf numFmtId="20" fontId="5" fillId="8" borderId="1" xfId="1" applyNumberFormat="1" applyFont="1" applyFill="1" applyBorder="1" applyAlignment="1">
      <alignment horizontal="center" vertical="center"/>
    </xf>
    <xf numFmtId="16" fontId="5" fillId="8" borderId="1" xfId="1" applyNumberFormat="1" applyFont="1" applyFill="1" applyBorder="1" applyAlignment="1">
      <alignment horizontal="center" vertical="center"/>
    </xf>
    <xf numFmtId="49" fontId="5" fillId="8" borderId="1" xfId="1" applyNumberFormat="1" applyFont="1" applyFill="1" applyBorder="1" applyAlignment="1">
      <alignment horizontal="center" vertical="center"/>
    </xf>
    <xf numFmtId="16" fontId="5" fillId="8" borderId="4" xfId="1" applyNumberFormat="1" applyFont="1" applyFill="1" applyBorder="1" applyAlignment="1">
      <alignment horizontal="center" vertical="center"/>
    </xf>
    <xf numFmtId="49" fontId="4" fillId="29" borderId="1" xfId="1" applyNumberFormat="1" applyFont="1" applyFill="1" applyBorder="1" applyAlignment="1">
      <alignment horizontal="center" vertical="center"/>
    </xf>
    <xf numFmtId="0" fontId="5" fillId="33" borderId="1" xfId="1" applyFont="1" applyFill="1" applyBorder="1" applyAlignment="1">
      <alignment horizontal="center" vertical="center" wrapText="1"/>
    </xf>
    <xf numFmtId="20" fontId="4" fillId="33" borderId="1" xfId="1" applyNumberFormat="1" applyFont="1" applyFill="1" applyBorder="1" applyAlignment="1">
      <alignment horizontal="center" vertical="center" wrapText="1"/>
    </xf>
    <xf numFmtId="16" fontId="4" fillId="33" borderId="1" xfId="1" applyNumberFormat="1" applyFont="1" applyFill="1" applyBorder="1" applyAlignment="1">
      <alignment horizontal="center" vertical="center"/>
    </xf>
    <xf numFmtId="49" fontId="4" fillId="33" borderId="1" xfId="1" applyNumberFormat="1" applyFont="1" applyFill="1" applyBorder="1" applyAlignment="1">
      <alignment horizontal="center" vertical="center"/>
    </xf>
    <xf numFmtId="16" fontId="4" fillId="33" borderId="4" xfId="1" applyNumberFormat="1" applyFont="1" applyFill="1" applyBorder="1" applyAlignment="1">
      <alignment horizontal="center" vertical="center"/>
    </xf>
    <xf numFmtId="0" fontId="5" fillId="19" borderId="1" xfId="1" applyFont="1" applyFill="1" applyBorder="1" applyAlignment="1">
      <alignment horizontal="center" vertical="center" wrapText="1"/>
    </xf>
    <xf numFmtId="16" fontId="4" fillId="19" borderId="1" xfId="1" applyNumberFormat="1" applyFont="1" applyFill="1" applyBorder="1" applyAlignment="1">
      <alignment horizontal="center" vertical="center"/>
    </xf>
    <xf numFmtId="49" fontId="4" fillId="19" borderId="1" xfId="1" applyNumberFormat="1" applyFont="1" applyFill="1" applyBorder="1" applyAlignment="1">
      <alignment horizontal="center" vertical="center"/>
    </xf>
    <xf numFmtId="16" fontId="4" fillId="19" borderId="4" xfId="1" applyNumberFormat="1" applyFont="1" applyFill="1" applyBorder="1" applyAlignment="1">
      <alignment horizontal="center" vertical="center"/>
    </xf>
    <xf numFmtId="0" fontId="4" fillId="19" borderId="1" xfId="1" applyFont="1" applyFill="1" applyBorder="1" applyAlignment="1">
      <alignment wrapText="1"/>
    </xf>
    <xf numFmtId="20" fontId="4" fillId="19" borderId="1" xfId="1" applyNumberFormat="1" applyFont="1" applyFill="1" applyBorder="1" applyAlignment="1">
      <alignment horizontal="center" vertical="center"/>
    </xf>
    <xf numFmtId="0" fontId="6" fillId="32" borderId="1" xfId="1" applyFont="1" applyFill="1" applyBorder="1" applyAlignment="1">
      <alignment horizontal="center" vertical="center" wrapText="1"/>
    </xf>
    <xf numFmtId="49" fontId="4" fillId="19" borderId="1" xfId="1" applyNumberFormat="1" applyFont="1" applyFill="1" applyBorder="1" applyAlignment="1">
      <alignment horizontal="center" vertical="center" wrapText="1"/>
    </xf>
    <xf numFmtId="0" fontId="4" fillId="19" borderId="1" xfId="1" applyFont="1" applyFill="1" applyBorder="1" applyAlignment="1">
      <alignment horizontal="center" vertical="center"/>
    </xf>
    <xf numFmtId="49" fontId="4" fillId="0" borderId="2" xfId="1" applyNumberFormat="1" applyFont="1" applyBorder="1" applyAlignment="1">
      <alignment horizontal="center" vertical="center"/>
    </xf>
    <xf numFmtId="16" fontId="5" fillId="0" borderId="2" xfId="1" applyNumberFormat="1" applyFont="1" applyBorder="1" applyAlignment="1">
      <alignment horizontal="center" vertical="center"/>
    </xf>
    <xf numFmtId="0" fontId="14" fillId="0" borderId="2" xfId="2" applyFont="1" applyBorder="1" applyAlignment="1" applyProtection="1">
      <alignment horizontal="center" vertical="center" wrapText="1"/>
    </xf>
    <xf numFmtId="49" fontId="15" fillId="0" borderId="2" xfId="1" applyNumberFormat="1" applyFont="1" applyBorder="1" applyAlignment="1">
      <alignment horizontal="center" vertical="center"/>
    </xf>
    <xf numFmtId="0" fontId="15" fillId="0" borderId="2" xfId="1" applyFont="1" applyBorder="1" applyAlignment="1">
      <alignment horizontal="center" vertical="center" wrapText="1"/>
    </xf>
    <xf numFmtId="2" fontId="5" fillId="0" borderId="1" xfId="1" applyNumberFormat="1" applyFont="1" applyBorder="1" applyAlignment="1">
      <alignment horizontal="center" vertical="center"/>
    </xf>
    <xf numFmtId="0" fontId="18" fillId="0" borderId="0" xfId="1" applyFont="1" applyAlignment="1">
      <alignment horizontal="left" vertical="center"/>
    </xf>
    <xf numFmtId="0" fontId="9" fillId="29" borderId="0" xfId="1" applyFill="1"/>
    <xf numFmtId="0" fontId="9" fillId="0" borderId="0" xfId="1" applyBorder="1"/>
    <xf numFmtId="0" fontId="9" fillId="0" borderId="1" xfId="1" applyFont="1" applyBorder="1"/>
    <xf numFmtId="0" fontId="9" fillId="0" borderId="10" xfId="1" applyBorder="1"/>
    <xf numFmtId="0" fontId="9" fillId="0" borderId="11" xfId="1" applyFont="1" applyBorder="1"/>
    <xf numFmtId="0" fontId="9" fillId="0" borderId="11" xfId="1" applyFont="1" applyBorder="1" applyAlignment="1">
      <alignment horizontal="right"/>
    </xf>
    <xf numFmtId="16" fontId="9" fillId="0" borderId="12" xfId="1" applyNumberFormat="1" applyBorder="1"/>
    <xf numFmtId="0" fontId="9" fillId="0" borderId="13" xfId="1" applyBorder="1"/>
    <xf numFmtId="0" fontId="9" fillId="0" borderId="1" xfId="1" applyFont="1" applyBorder="1" applyAlignment="1">
      <alignment horizontal="right"/>
    </xf>
    <xf numFmtId="16" fontId="9" fillId="0" borderId="14" xfId="1" applyNumberFormat="1" applyBorder="1"/>
    <xf numFmtId="2" fontId="19" fillId="0" borderId="1" xfId="1" applyNumberFormat="1" applyFont="1" applyBorder="1" applyAlignment="1">
      <alignment horizontal="right"/>
    </xf>
    <xf numFmtId="16" fontId="9" fillId="0" borderId="1" xfId="1" applyNumberFormat="1" applyFont="1" applyBorder="1"/>
    <xf numFmtId="16" fontId="9" fillId="0" borderId="1" xfId="1" applyNumberFormat="1" applyBorder="1"/>
    <xf numFmtId="0" fontId="4" fillId="0" borderId="0" xfId="1" applyFont="1"/>
    <xf numFmtId="0" fontId="9" fillId="0" borderId="15" xfId="1" applyBorder="1"/>
    <xf numFmtId="0" fontId="9" fillId="0" borderId="16" xfId="1" applyFont="1" applyBorder="1"/>
    <xf numFmtId="0" fontId="9" fillId="0" borderId="16" xfId="1" applyFont="1" applyBorder="1" applyAlignment="1">
      <alignment horizontal="right"/>
    </xf>
    <xf numFmtId="16" fontId="9" fillId="0" borderId="17" xfId="1" applyNumberFormat="1" applyBorder="1"/>
    <xf numFmtId="0" fontId="9" fillId="0" borderId="0" xfId="1" applyBorder="1" applyAlignment="1">
      <alignment horizontal="center"/>
    </xf>
    <xf numFmtId="0" fontId="9" fillId="0" borderId="18" xfId="1" applyBorder="1" applyAlignment="1">
      <alignment horizontal="center"/>
    </xf>
    <xf numFmtId="0" fontId="9" fillId="0" borderId="19" xfId="1" applyBorder="1" applyAlignment="1">
      <alignment horizontal="center"/>
    </xf>
    <xf numFmtId="0" fontId="9" fillId="0" borderId="20" xfId="1" applyFont="1" applyBorder="1" applyAlignment="1">
      <alignment horizontal="center"/>
    </xf>
    <xf numFmtId="0" fontId="9" fillId="0" borderId="10" xfId="1" applyBorder="1" applyAlignment="1">
      <alignment horizontal="center"/>
    </xf>
    <xf numFmtId="0" fontId="9" fillId="0" borderId="11" xfId="1" applyBorder="1" applyAlignment="1">
      <alignment horizontal="center"/>
    </xf>
    <xf numFmtId="0" fontId="4" fillId="0" borderId="12" xfId="1" applyFont="1" applyBorder="1" applyAlignment="1">
      <alignment horizontal="center"/>
    </xf>
    <xf numFmtId="0" fontId="9" fillId="0" borderId="13" xfId="1" applyBorder="1" applyAlignment="1">
      <alignment horizontal="center"/>
    </xf>
    <xf numFmtId="0" fontId="9" fillId="0" borderId="1" xfId="1" applyBorder="1" applyAlignment="1">
      <alignment horizontal="center"/>
    </xf>
    <xf numFmtId="0" fontId="4" fillId="0" borderId="14" xfId="1" applyFont="1" applyBorder="1" applyAlignment="1">
      <alignment horizontal="center"/>
    </xf>
    <xf numFmtId="0" fontId="19" fillId="38" borderId="0" xfId="1" applyFont="1" applyFill="1" applyBorder="1" applyAlignment="1">
      <alignment horizontal="center"/>
    </xf>
    <xf numFmtId="0" fontId="19" fillId="38" borderId="13" xfId="1" applyFont="1" applyFill="1" applyBorder="1" applyAlignment="1">
      <alignment horizontal="center"/>
    </xf>
    <xf numFmtId="0" fontId="19" fillId="38" borderId="1" xfId="1" applyFont="1" applyFill="1" applyBorder="1" applyAlignment="1">
      <alignment horizontal="center"/>
    </xf>
    <xf numFmtId="0" fontId="9" fillId="0" borderId="21" xfId="1" applyBorder="1" applyAlignment="1">
      <alignment horizontal="center"/>
    </xf>
    <xf numFmtId="0" fontId="9" fillId="0" borderId="6" xfId="1" applyBorder="1" applyAlignment="1">
      <alignment horizontal="center"/>
    </xf>
    <xf numFmtId="0" fontId="4" fillId="0" borderId="22" xfId="1" applyFont="1" applyBorder="1" applyAlignment="1">
      <alignment horizontal="center"/>
    </xf>
    <xf numFmtId="0" fontId="4" fillId="0" borderId="0" xfId="1" applyFont="1" applyBorder="1" applyAlignment="1">
      <alignment horizontal="center"/>
    </xf>
    <xf numFmtId="0" fontId="4" fillId="0" borderId="18" xfId="1" applyFont="1" applyBorder="1" applyAlignment="1">
      <alignment horizontal="center"/>
    </xf>
    <xf numFmtId="0" fontId="4" fillId="0" borderId="19" xfId="1" applyFont="1" applyBorder="1" applyAlignment="1">
      <alignment horizontal="center"/>
    </xf>
    <xf numFmtId="0" fontId="4" fillId="0" borderId="20" xfId="1" applyFont="1" applyBorder="1" applyAlignment="1">
      <alignment horizontal="center"/>
    </xf>
    <xf numFmtId="0" fontId="9" fillId="0" borderId="23" xfId="1" applyBorder="1" applyAlignment="1">
      <alignment horizontal="center"/>
    </xf>
    <xf numFmtId="0" fontId="9" fillId="32" borderId="1" xfId="1" applyFill="1" applyBorder="1"/>
    <xf numFmtId="0" fontId="9" fillId="32" borderId="1" xfId="1" applyFill="1" applyBorder="1" applyAlignment="1">
      <alignment horizontal="center"/>
    </xf>
    <xf numFmtId="0" fontId="9" fillId="0" borderId="24" xfId="1" applyBorder="1" applyAlignment="1">
      <alignment horizontal="center"/>
    </xf>
    <xf numFmtId="0" fontId="9" fillId="0" borderId="3" xfId="1" applyBorder="1" applyAlignment="1">
      <alignment horizontal="center"/>
    </xf>
    <xf numFmtId="0" fontId="19" fillId="38" borderId="3" xfId="1" applyFont="1" applyFill="1" applyBorder="1" applyAlignment="1">
      <alignment horizontal="center"/>
    </xf>
    <xf numFmtId="0" fontId="9" fillId="0" borderId="5" xfId="1" applyBorder="1" applyAlignment="1">
      <alignment horizontal="center"/>
    </xf>
    <xf numFmtId="0" fontId="4" fillId="32" borderId="1" xfId="1" applyFont="1" applyFill="1" applyBorder="1" applyAlignment="1">
      <alignment horizontal="center"/>
    </xf>
    <xf numFmtId="0" fontId="4" fillId="0" borderId="23" xfId="1" applyFont="1" applyBorder="1" applyAlignment="1">
      <alignment horizontal="center"/>
    </xf>
    <xf numFmtId="0" fontId="9" fillId="0" borderId="1" xfId="1" applyBorder="1" applyAlignment="1">
      <alignment horizontal="center" vertical="center"/>
    </xf>
    <xf numFmtId="0" fontId="9" fillId="0" borderId="0" xfId="1" applyFont="1" applyAlignment="1">
      <alignment horizontal="center"/>
    </xf>
    <xf numFmtId="16" fontId="9" fillId="0" borderId="0" xfId="1" applyNumberFormat="1"/>
    <xf numFmtId="0" fontId="4" fillId="0" borderId="1" xfId="1" applyFont="1" applyBorder="1" applyAlignment="1">
      <alignment horizontal="center"/>
    </xf>
    <xf numFmtId="16" fontId="9" fillId="0" borderId="0" xfId="1" applyNumberFormat="1" applyAlignment="1">
      <alignment horizontal="center"/>
    </xf>
    <xf numFmtId="0" fontId="4" fillId="0" borderId="0" xfId="1" applyFont="1" applyAlignment="1">
      <alignment horizontal="center"/>
    </xf>
    <xf numFmtId="0" fontId="4" fillId="0" borderId="9" xfId="1" applyFont="1" applyBorder="1" applyAlignment="1">
      <alignment horizontal="center" vertical="center"/>
    </xf>
    <xf numFmtId="0" fontId="4" fillId="0" borderId="4" xfId="1" applyFont="1" applyBorder="1" applyAlignment="1">
      <alignment horizontal="center" vertical="center"/>
    </xf>
    <xf numFmtId="0" fontId="5" fillId="35" borderId="1" xfId="1" applyFont="1" applyFill="1" applyBorder="1" applyAlignment="1">
      <alignment horizontal="center" vertical="center" wrapText="1"/>
    </xf>
    <xf numFmtId="20" fontId="4" fillId="35" borderId="1" xfId="1" applyNumberFormat="1" applyFont="1" applyFill="1" applyBorder="1" applyAlignment="1">
      <alignment horizontal="center" vertical="center"/>
    </xf>
    <xf numFmtId="16" fontId="4" fillId="35" borderId="1" xfId="1" applyNumberFormat="1" applyFont="1" applyFill="1" applyBorder="1" applyAlignment="1">
      <alignment horizontal="center" vertical="center"/>
    </xf>
    <xf numFmtId="0" fontId="4" fillId="35" borderId="1" xfId="1" applyFont="1" applyFill="1" applyBorder="1" applyAlignment="1">
      <alignment horizontal="center" vertical="center" wrapText="1"/>
    </xf>
    <xf numFmtId="49" fontId="4" fillId="35" borderId="1" xfId="1" applyNumberFormat="1" applyFont="1" applyFill="1" applyBorder="1" applyAlignment="1">
      <alignment horizontal="center" vertical="center"/>
    </xf>
    <xf numFmtId="16" fontId="4" fillId="35" borderId="4" xfId="1" applyNumberFormat="1" applyFont="1" applyFill="1" applyBorder="1" applyAlignment="1">
      <alignment horizontal="center" vertical="center"/>
    </xf>
    <xf numFmtId="0" fontId="5" fillId="26" borderId="1" xfId="1" applyFont="1" applyFill="1" applyBorder="1" applyAlignment="1">
      <alignment horizontal="center" vertical="center"/>
    </xf>
    <xf numFmtId="0" fontId="4" fillId="35" borderId="1" xfId="1" applyFont="1" applyFill="1" applyBorder="1" applyAlignment="1">
      <alignment horizontal="center" vertical="center"/>
    </xf>
    <xf numFmtId="2" fontId="4" fillId="32" borderId="1" xfId="1" applyNumberFormat="1" applyFont="1" applyFill="1" applyBorder="1" applyAlignment="1">
      <alignment horizontal="center" vertical="center" wrapText="1"/>
    </xf>
    <xf numFmtId="0" fontId="4" fillId="39" borderId="1" xfId="1" applyFont="1" applyFill="1" applyBorder="1" applyAlignment="1">
      <alignment horizontal="center" vertical="center" wrapText="1"/>
    </xf>
    <xf numFmtId="0" fontId="4" fillId="39" borderId="2" xfId="1" applyFont="1" applyFill="1" applyBorder="1" applyAlignment="1">
      <alignment horizontal="center" vertical="center" wrapText="1"/>
    </xf>
    <xf numFmtId="20" fontId="4" fillId="39" borderId="2" xfId="1" applyNumberFormat="1" applyFont="1" applyFill="1" applyBorder="1" applyAlignment="1">
      <alignment horizontal="center" vertical="center"/>
    </xf>
    <xf numFmtId="16" fontId="5" fillId="39" borderId="2" xfId="1" applyNumberFormat="1" applyFont="1" applyFill="1" applyBorder="1" applyAlignment="1">
      <alignment horizontal="center" vertical="center"/>
    </xf>
    <xf numFmtId="0" fontId="14" fillId="39" borderId="2" xfId="2" applyFont="1" applyFill="1" applyBorder="1" applyAlignment="1" applyProtection="1">
      <alignment horizontal="center" vertical="center" wrapText="1"/>
    </xf>
    <xf numFmtId="49" fontId="15" fillId="39" borderId="2" xfId="1" applyNumberFormat="1" applyFont="1" applyFill="1" applyBorder="1" applyAlignment="1">
      <alignment horizontal="center" vertical="center"/>
    </xf>
    <xf numFmtId="0" fontId="15" fillId="39" borderId="2" xfId="1" applyFont="1" applyFill="1" applyBorder="1" applyAlignment="1">
      <alignment horizontal="center" vertical="center" wrapText="1"/>
    </xf>
    <xf numFmtId="16" fontId="4" fillId="39" borderId="9" xfId="1" applyNumberFormat="1" applyFont="1" applyFill="1" applyBorder="1" applyAlignment="1">
      <alignment horizontal="center" vertical="center"/>
    </xf>
    <xf numFmtId="0" fontId="4" fillId="32" borderId="2" xfId="1" applyFont="1" applyFill="1" applyBorder="1" applyAlignment="1">
      <alignment horizontal="center" vertical="center" wrapText="1"/>
    </xf>
    <xf numFmtId="20" fontId="4" fillId="32" borderId="2" xfId="1" applyNumberFormat="1" applyFont="1" applyFill="1" applyBorder="1" applyAlignment="1">
      <alignment horizontal="center" vertical="center"/>
    </xf>
    <xf numFmtId="16" fontId="5" fillId="32" borderId="2" xfId="1" applyNumberFormat="1" applyFont="1" applyFill="1" applyBorder="1" applyAlignment="1">
      <alignment horizontal="center" vertical="center"/>
    </xf>
    <xf numFmtId="0" fontId="14" fillId="32" borderId="2" xfId="2" applyFont="1" applyFill="1" applyBorder="1" applyAlignment="1" applyProtection="1">
      <alignment horizontal="center" vertical="center" wrapText="1"/>
    </xf>
    <xf numFmtId="49" fontId="15" fillId="32" borderId="2" xfId="1" applyNumberFormat="1" applyFont="1" applyFill="1" applyBorder="1" applyAlignment="1">
      <alignment horizontal="center" vertical="center"/>
    </xf>
    <xf numFmtId="0" fontId="15" fillId="32" borderId="2" xfId="1" applyFont="1" applyFill="1" applyBorder="1" applyAlignment="1">
      <alignment horizontal="center" vertical="center" wrapText="1"/>
    </xf>
    <xf numFmtId="16" fontId="4" fillId="32" borderId="9" xfId="1" applyNumberFormat="1" applyFont="1" applyFill="1" applyBorder="1" applyAlignment="1">
      <alignment horizontal="center" vertical="center"/>
    </xf>
    <xf numFmtId="0" fontId="4" fillId="35" borderId="2" xfId="1" applyFont="1" applyFill="1" applyBorder="1" applyAlignment="1">
      <alignment horizontal="center" vertical="center" wrapText="1"/>
    </xf>
    <xf numFmtId="20" fontId="4" fillId="35" borderId="2" xfId="1" applyNumberFormat="1" applyFont="1" applyFill="1" applyBorder="1" applyAlignment="1">
      <alignment horizontal="center" vertical="center"/>
    </xf>
    <xf numFmtId="16" fontId="5" fillId="35" borderId="2" xfId="1" applyNumberFormat="1" applyFont="1" applyFill="1" applyBorder="1" applyAlignment="1">
      <alignment horizontal="center" vertical="center"/>
    </xf>
    <xf numFmtId="0" fontId="14" fillId="35" borderId="2" xfId="2" applyFont="1" applyFill="1" applyBorder="1" applyAlignment="1" applyProtection="1">
      <alignment horizontal="center" vertical="center" wrapText="1"/>
    </xf>
    <xf numFmtId="49" fontId="15" fillId="35" borderId="2" xfId="1" applyNumberFormat="1" applyFont="1" applyFill="1" applyBorder="1" applyAlignment="1">
      <alignment horizontal="center" vertical="center"/>
    </xf>
    <xf numFmtId="0" fontId="15" fillId="35" borderId="2" xfId="1" applyFont="1" applyFill="1" applyBorder="1" applyAlignment="1">
      <alignment horizontal="center" vertical="center" wrapText="1"/>
    </xf>
    <xf numFmtId="16" fontId="4" fillId="35" borderId="9" xfId="1" applyNumberFormat="1" applyFont="1" applyFill="1" applyBorder="1" applyAlignment="1">
      <alignment horizontal="center" vertical="center"/>
    </xf>
    <xf numFmtId="0" fontId="12" fillId="35" borderId="2" xfId="1" applyFont="1" applyFill="1" applyBorder="1" applyAlignment="1">
      <alignment horizontal="center" vertical="center" wrapText="1"/>
    </xf>
    <xf numFmtId="0" fontId="4" fillId="40" borderId="1" xfId="1" applyFont="1" applyFill="1" applyBorder="1" applyAlignment="1">
      <alignment horizontal="center" vertical="center" wrapText="1"/>
    </xf>
    <xf numFmtId="2" fontId="5" fillId="40" borderId="1" xfId="1" applyNumberFormat="1" applyFont="1" applyFill="1" applyBorder="1" applyAlignment="1">
      <alignment horizontal="center" vertical="center"/>
    </xf>
    <xf numFmtId="0" fontId="5" fillId="41" borderId="1" xfId="1" applyFont="1" applyFill="1" applyBorder="1" applyAlignment="1">
      <alignment horizontal="center" vertical="center" wrapText="1"/>
    </xf>
    <xf numFmtId="20" fontId="5" fillId="0" borderId="2" xfId="1" applyNumberFormat="1" applyFont="1" applyBorder="1" applyAlignment="1">
      <alignment horizontal="center" vertical="center"/>
    </xf>
    <xf numFmtId="0" fontId="13" fillId="0" borderId="2" xfId="2" applyBorder="1" applyAlignment="1" applyProtection="1">
      <alignment wrapText="1"/>
    </xf>
    <xf numFmtId="49" fontId="5" fillId="0" borderId="2" xfId="1" applyNumberFormat="1" applyFont="1" applyBorder="1" applyAlignment="1">
      <alignment horizontal="center" vertical="center"/>
    </xf>
    <xf numFmtId="16" fontId="5" fillId="0" borderId="9" xfId="1" applyNumberFormat="1" applyFont="1" applyBorder="1" applyAlignment="1">
      <alignment horizontal="center" vertical="center"/>
    </xf>
    <xf numFmtId="20" fontId="5" fillId="0" borderId="1" xfId="1" applyNumberFormat="1" applyFont="1" applyBorder="1" applyAlignment="1">
      <alignment horizontal="center" vertical="center"/>
    </xf>
    <xf numFmtId="0" fontId="13" fillId="0" borderId="1" xfId="2" applyFont="1" applyBorder="1" applyAlignment="1" applyProtection="1">
      <alignment wrapText="1"/>
    </xf>
    <xf numFmtId="49" fontId="5" fillId="0" borderId="1" xfId="1" applyNumberFormat="1" applyFont="1" applyBorder="1" applyAlignment="1">
      <alignment horizontal="center" vertical="center"/>
    </xf>
    <xf numFmtId="16" fontId="5" fillId="0" borderId="4" xfId="1" applyNumberFormat="1" applyFont="1" applyBorder="1" applyAlignment="1">
      <alignment horizontal="center" vertical="center"/>
    </xf>
    <xf numFmtId="0" fontId="22" fillId="0" borderId="1" xfId="1" applyFont="1" applyBorder="1" applyAlignment="1">
      <alignment horizontal="center" vertical="center" wrapText="1"/>
    </xf>
    <xf numFmtId="0" fontId="5" fillId="34" borderId="1" xfId="1" applyFont="1" applyFill="1" applyBorder="1" applyAlignment="1">
      <alignment horizontal="center" vertical="center" wrapText="1"/>
    </xf>
    <xf numFmtId="2" fontId="5" fillId="34" borderId="1" xfId="1" applyNumberFormat="1" applyFont="1" applyFill="1" applyBorder="1" applyAlignment="1">
      <alignment horizontal="center" vertical="center"/>
    </xf>
    <xf numFmtId="0" fontId="6" fillId="0" borderId="2" xfId="2" applyFont="1" applyBorder="1" applyAlignment="1" applyProtection="1">
      <alignment horizontal="center" vertical="center" wrapText="1"/>
    </xf>
    <xf numFmtId="0" fontId="15" fillId="0" borderId="2" xfId="1" applyFont="1" applyBorder="1" applyAlignment="1">
      <alignment horizontal="center" vertical="center"/>
    </xf>
    <xf numFmtId="0" fontId="5" fillId="15" borderId="2" xfId="1" applyFont="1" applyFill="1" applyBorder="1" applyAlignment="1">
      <alignment horizontal="center" vertical="center" wrapText="1"/>
    </xf>
    <xf numFmtId="2" fontId="4" fillId="26" borderId="2" xfId="1" applyNumberFormat="1" applyFont="1" applyFill="1" applyBorder="1" applyAlignment="1">
      <alignment horizontal="center" vertical="center"/>
    </xf>
    <xf numFmtId="0" fontId="5" fillId="18" borderId="2" xfId="1" applyFont="1" applyFill="1" applyBorder="1" applyAlignment="1">
      <alignment horizontal="center" vertical="center" wrapText="1"/>
    </xf>
    <xf numFmtId="2" fontId="5" fillId="26" borderId="2" xfId="1" applyNumberFormat="1" applyFont="1" applyFill="1" applyBorder="1" applyAlignment="1">
      <alignment horizontal="center" vertical="center"/>
    </xf>
    <xf numFmtId="165" fontId="5" fillId="0" borderId="2" xfId="1" applyNumberFormat="1" applyFont="1" applyBorder="1" applyAlignment="1">
      <alignment horizontal="center" vertical="center"/>
    </xf>
    <xf numFmtId="164" fontId="5" fillId="0" borderId="2" xfId="1" applyNumberFormat="1" applyFont="1" applyBorder="1" applyAlignment="1">
      <alignment horizontal="center" vertical="center"/>
    </xf>
    <xf numFmtId="164" fontId="5" fillId="0" borderId="9" xfId="1" applyNumberFormat="1" applyFont="1" applyBorder="1" applyAlignment="1">
      <alignment horizontal="center" vertical="center"/>
    </xf>
    <xf numFmtId="165" fontId="5" fillId="0" borderId="1" xfId="1" applyNumberFormat="1" applyFont="1" applyBorder="1" applyAlignment="1">
      <alignment horizontal="center" vertical="center"/>
    </xf>
    <xf numFmtId="164" fontId="5" fillId="0" borderId="1" xfId="1" applyNumberFormat="1" applyFont="1" applyBorder="1" applyAlignment="1">
      <alignment horizontal="center" vertical="center"/>
    </xf>
    <xf numFmtId="0" fontId="14" fillId="0" borderId="1" xfId="2" applyFont="1" applyBorder="1" applyAlignment="1" applyProtection="1">
      <alignment horizontal="center" vertical="center" wrapText="1"/>
    </xf>
    <xf numFmtId="164" fontId="5" fillId="0" borderId="4" xfId="1" applyNumberFormat="1" applyFont="1" applyBorder="1" applyAlignment="1">
      <alignment horizontal="center" vertical="center"/>
    </xf>
    <xf numFmtId="0" fontId="5" fillId="18" borderId="1" xfId="1" applyFont="1" applyFill="1" applyBorder="1" applyAlignment="1">
      <alignment horizontal="center" vertical="center" wrapText="1"/>
    </xf>
    <xf numFmtId="2" fontId="5" fillId="36" borderId="1" xfId="1" applyNumberFormat="1" applyFont="1" applyFill="1" applyBorder="1" applyAlignment="1">
      <alignment horizontal="center" vertical="center"/>
    </xf>
    <xf numFmtId="0" fontId="15" fillId="0" borderId="1" xfId="1" applyFont="1" applyBorder="1" applyAlignment="1">
      <alignment horizontal="center" vertical="center"/>
    </xf>
    <xf numFmtId="0" fontId="15" fillId="0" borderId="1" xfId="1" applyFont="1" applyBorder="1" applyAlignment="1">
      <alignment horizontal="center" vertical="center" wrapText="1"/>
    </xf>
    <xf numFmtId="0" fontId="4" fillId="42" borderId="1" xfId="1" applyFont="1" applyFill="1" applyBorder="1" applyAlignment="1">
      <alignment horizontal="center" vertical="center" wrapText="1"/>
    </xf>
    <xf numFmtId="0" fontId="5" fillId="15" borderId="4" xfId="1" applyFont="1" applyFill="1" applyBorder="1" applyAlignment="1">
      <alignment horizontal="center" wrapText="1"/>
    </xf>
    <xf numFmtId="2" fontId="5" fillId="26" borderId="2" xfId="1" applyNumberFormat="1" applyFont="1" applyFill="1" applyBorder="1" applyAlignment="1">
      <alignment horizontal="center"/>
    </xf>
    <xf numFmtId="2" fontId="5" fillId="26" borderId="1" xfId="1" applyNumberFormat="1" applyFont="1" applyFill="1" applyBorder="1" applyAlignment="1">
      <alignment horizontal="center"/>
    </xf>
    <xf numFmtId="0" fontId="5" fillId="26" borderId="7" xfId="1" applyFont="1" applyFill="1" applyBorder="1" applyAlignment="1">
      <alignment horizontal="center" vertical="center" wrapText="1"/>
    </xf>
    <xf numFmtId="0" fontId="5" fillId="0" borderId="4" xfId="1" applyFont="1" applyBorder="1" applyAlignment="1">
      <alignment horizontal="center" vertical="center" wrapText="1"/>
    </xf>
    <xf numFmtId="49" fontId="5" fillId="0" borderId="1" xfId="1" applyNumberFormat="1" applyFont="1" applyBorder="1" applyAlignment="1">
      <alignment horizontal="center" vertical="center" wrapText="1"/>
    </xf>
    <xf numFmtId="0" fontId="23" fillId="0" borderId="1" xfId="2" applyFont="1" applyBorder="1" applyAlignment="1" applyProtection="1">
      <alignment horizontal="center" vertical="center" wrapText="1"/>
    </xf>
    <xf numFmtId="0" fontId="5" fillId="40" borderId="1" xfId="1" applyFont="1" applyFill="1" applyBorder="1" applyAlignment="1">
      <alignment horizontal="center" vertical="center" wrapText="1"/>
    </xf>
    <xf numFmtId="0" fontId="5" fillId="15" borderId="1" xfId="1" applyFont="1" applyFill="1" applyBorder="1" applyAlignment="1">
      <alignment horizontal="center" wrapText="1"/>
    </xf>
    <xf numFmtId="0" fontId="5" fillId="0" borderId="1" xfId="1" applyFont="1" applyBorder="1" applyAlignment="1">
      <alignment horizontal="center" wrapText="1"/>
    </xf>
    <xf numFmtId="0" fontId="5" fillId="40" borderId="1" xfId="1" applyFont="1" applyFill="1" applyBorder="1" applyAlignment="1">
      <alignment vertical="center" wrapText="1"/>
    </xf>
    <xf numFmtId="2" fontId="5" fillId="26" borderId="0" xfId="1" applyNumberFormat="1" applyFont="1" applyFill="1" applyAlignment="1">
      <alignment vertical="center"/>
    </xf>
    <xf numFmtId="0" fontId="5" fillId="0" borderId="1" xfId="1" applyFont="1" applyBorder="1" applyAlignment="1">
      <alignment vertical="center" wrapText="1"/>
    </xf>
    <xf numFmtId="2" fontId="4" fillId="40" borderId="1" xfId="1" applyNumberFormat="1" applyFont="1" applyFill="1" applyBorder="1" applyAlignment="1">
      <alignment horizontal="center" vertical="center"/>
    </xf>
    <xf numFmtId="0" fontId="4" fillId="18" borderId="6" xfId="1" applyFont="1" applyFill="1" applyBorder="1" applyAlignment="1">
      <alignment horizontal="center" vertical="center" wrapText="1"/>
    </xf>
    <xf numFmtId="2" fontId="4" fillId="26" borderId="6" xfId="1" applyNumberFormat="1" applyFont="1" applyFill="1" applyBorder="1" applyAlignment="1">
      <alignment horizontal="center" vertical="center"/>
    </xf>
    <xf numFmtId="0" fontId="5" fillId="43" borderId="1" xfId="1" applyFont="1" applyFill="1" applyBorder="1" applyAlignment="1">
      <alignment horizontal="center" vertical="center" wrapText="1"/>
    </xf>
    <xf numFmtId="0" fontId="5" fillId="18" borderId="1" xfId="1" applyFont="1" applyFill="1" applyBorder="1" applyAlignment="1">
      <alignment horizontal="center" wrapText="1"/>
    </xf>
    <xf numFmtId="0" fontId="25" fillId="0" borderId="1" xfId="2" applyFont="1" applyBorder="1" applyAlignment="1" applyProtection="1">
      <alignment horizontal="center" vertical="center" wrapText="1"/>
    </xf>
    <xf numFmtId="49" fontId="14" fillId="0" borderId="1" xfId="2" applyNumberFormat="1" applyFont="1" applyBorder="1" applyAlignment="1" applyProtection="1">
      <alignment horizontal="center" vertical="center"/>
    </xf>
    <xf numFmtId="0" fontId="4" fillId="18" borderId="1" xfId="1" applyFont="1" applyFill="1" applyBorder="1" applyAlignment="1">
      <alignment horizontal="center" wrapText="1"/>
    </xf>
    <xf numFmtId="2" fontId="4" fillId="26" borderId="1" xfId="1" applyNumberFormat="1" applyFont="1" applyFill="1" applyBorder="1" applyAlignment="1">
      <alignment horizontal="center"/>
    </xf>
    <xf numFmtId="165" fontId="4" fillId="0" borderId="1" xfId="1" applyNumberFormat="1" applyFont="1" applyBorder="1" applyAlignment="1">
      <alignment horizontal="center" vertical="center"/>
    </xf>
    <xf numFmtId="164" fontId="4" fillId="0" borderId="1" xfId="1" applyNumberFormat="1" applyFont="1" applyBorder="1" applyAlignment="1">
      <alignment horizontal="center" vertical="center"/>
    </xf>
    <xf numFmtId="164" fontId="4" fillId="0" borderId="4" xfId="1" applyNumberFormat="1" applyFont="1" applyBorder="1" applyAlignment="1">
      <alignment horizontal="center" vertical="center"/>
    </xf>
    <xf numFmtId="2" fontId="5" fillId="33" borderId="1" xfId="1" applyNumberFormat="1" applyFont="1" applyFill="1" applyBorder="1" applyAlignment="1">
      <alignment horizontal="center" vertical="center"/>
    </xf>
    <xf numFmtId="0" fontId="3" fillId="2" borderId="5" xfId="1" applyFont="1" applyFill="1" applyBorder="1" applyAlignment="1">
      <alignment horizontal="center" vertical="center"/>
    </xf>
    <xf numFmtId="0" fontId="18" fillId="0" borderId="0" xfId="1" applyFont="1" applyAlignment="1">
      <alignment horizontal="center" vertical="center"/>
    </xf>
    <xf numFmtId="0" fontId="9" fillId="0" borderId="0" xfId="1" applyAlignment="1">
      <alignment horizontal="center" wrapText="1"/>
    </xf>
    <xf numFmtId="0" fontId="9" fillId="8" borderId="0" xfId="1" applyFill="1" applyAlignment="1">
      <alignment horizontal="center"/>
    </xf>
    <xf numFmtId="0" fontId="5" fillId="26" borderId="1" xfId="1" applyFont="1" applyFill="1" applyBorder="1" applyAlignment="1">
      <alignment horizontal="center"/>
    </xf>
    <xf numFmtId="0" fontId="9" fillId="29" borderId="0" xfId="1" applyFont="1" applyFill="1" applyAlignment="1">
      <alignment horizontal="center" wrapText="1"/>
    </xf>
    <xf numFmtId="2" fontId="9" fillId="29" borderId="0" xfId="1" applyNumberFormat="1" applyFill="1" applyAlignment="1">
      <alignment horizontal="center"/>
    </xf>
    <xf numFmtId="0" fontId="9" fillId="29" borderId="0" xfId="1" applyFill="1" applyAlignment="1">
      <alignment horizontal="center"/>
    </xf>
    <xf numFmtId="16" fontId="9" fillId="29" borderId="0" xfId="1" applyNumberFormat="1" applyFill="1" applyAlignment="1">
      <alignment horizontal="center"/>
    </xf>
    <xf numFmtId="0" fontId="13" fillId="29" borderId="0" xfId="2" applyFont="1" applyFill="1" applyBorder="1" applyAlignment="1" applyProtection="1">
      <alignment horizontal="center"/>
    </xf>
    <xf numFmtId="49" fontId="26" fillId="29" borderId="0" xfId="1" applyNumberFormat="1" applyFont="1" applyFill="1" applyAlignment="1">
      <alignment horizontal="center" vertical="center"/>
    </xf>
    <xf numFmtId="0" fontId="26" fillId="29" borderId="0" xfId="1" applyFont="1" applyFill="1" applyAlignment="1">
      <alignment horizontal="center" vertical="center"/>
    </xf>
    <xf numFmtId="0" fontId="19" fillId="0" borderId="0" xfId="1" applyFont="1" applyAlignment="1">
      <alignment horizontal="center"/>
    </xf>
    <xf numFmtId="0" fontId="19" fillId="29" borderId="0" xfId="1" applyFont="1" applyFill="1" applyAlignment="1">
      <alignment horizontal="center" wrapText="1"/>
    </xf>
    <xf numFmtId="2" fontId="19" fillId="29" borderId="0" xfId="1" applyNumberFormat="1" applyFont="1" applyFill="1" applyAlignment="1">
      <alignment horizontal="center"/>
    </xf>
    <xf numFmtId="0" fontId="19" fillId="29" borderId="0" xfId="1" applyFont="1" applyFill="1" applyAlignment="1">
      <alignment horizontal="center"/>
    </xf>
    <xf numFmtId="16" fontId="19" fillId="29" borderId="0" xfId="1" applyNumberFormat="1" applyFont="1" applyFill="1" applyAlignment="1">
      <alignment horizontal="center"/>
    </xf>
    <xf numFmtId="0" fontId="4" fillId="19" borderId="0" xfId="1" applyFont="1" applyFill="1" applyAlignment="1">
      <alignment horizontal="center"/>
    </xf>
    <xf numFmtId="49" fontId="19" fillId="29" borderId="0" xfId="1" applyNumberFormat="1" applyFont="1" applyFill="1" applyAlignment="1">
      <alignment horizontal="center"/>
    </xf>
    <xf numFmtId="0" fontId="5" fillId="0" borderId="1" xfId="1" applyFont="1" applyBorder="1" applyAlignment="1">
      <alignment horizontal="center"/>
    </xf>
    <xf numFmtId="2" fontId="4" fillId="28" borderId="1" xfId="1" applyNumberFormat="1" applyFont="1" applyFill="1" applyBorder="1" applyAlignment="1">
      <alignment horizontal="center"/>
    </xf>
    <xf numFmtId="0" fontId="4" fillId="0" borderId="1" xfId="1" applyFont="1" applyBorder="1" applyAlignment="1">
      <alignment horizontal="center" wrapText="1"/>
    </xf>
    <xf numFmtId="20" fontId="4" fillId="0" borderId="1" xfId="1" applyNumberFormat="1" applyFont="1" applyBorder="1" applyAlignment="1">
      <alignment horizontal="center"/>
    </xf>
    <xf numFmtId="16" fontId="5" fillId="0" borderId="1" xfId="1" applyNumberFormat="1" applyFont="1" applyBorder="1" applyAlignment="1">
      <alignment horizontal="center"/>
    </xf>
    <xf numFmtId="0" fontId="14" fillId="0" borderId="1" xfId="2" applyFont="1" applyBorder="1" applyAlignment="1" applyProtection="1">
      <alignment horizontal="center"/>
    </xf>
    <xf numFmtId="0" fontId="15" fillId="0" borderId="1" xfId="1" applyFont="1" applyBorder="1" applyAlignment="1">
      <alignment horizontal="center"/>
    </xf>
    <xf numFmtId="0" fontId="15" fillId="0" borderId="1" xfId="1" applyFont="1" applyBorder="1" applyAlignment="1">
      <alignment horizontal="center" wrapText="1"/>
    </xf>
    <xf numFmtId="16" fontId="4" fillId="0" borderId="1" xfId="1" applyNumberFormat="1" applyFont="1" applyBorder="1" applyAlignment="1">
      <alignment horizontal="center"/>
    </xf>
    <xf numFmtId="0" fontId="5" fillId="0" borderId="0" xfId="1" applyFont="1" applyAlignment="1">
      <alignment horizontal="center"/>
    </xf>
    <xf numFmtId="0" fontId="5" fillId="29" borderId="1" xfId="1" applyFont="1" applyFill="1" applyBorder="1" applyAlignment="1">
      <alignment horizontal="center"/>
    </xf>
    <xf numFmtId="2" fontId="5" fillId="0" borderId="1" xfId="1" applyNumberFormat="1" applyFont="1" applyBorder="1" applyAlignment="1">
      <alignment horizontal="center"/>
    </xf>
    <xf numFmtId="165" fontId="5" fillId="0" borderId="1" xfId="1" applyNumberFormat="1" applyFont="1" applyBorder="1" applyAlignment="1">
      <alignment horizontal="center"/>
    </xf>
    <xf numFmtId="164" fontId="5" fillId="0" borderId="1" xfId="1" applyNumberFormat="1" applyFont="1" applyBorder="1" applyAlignment="1">
      <alignment horizontal="center"/>
    </xf>
    <xf numFmtId="49" fontId="5" fillId="0" borderId="1" xfId="1" applyNumberFormat="1" applyFont="1" applyBorder="1" applyAlignment="1">
      <alignment horizontal="center"/>
    </xf>
    <xf numFmtId="0" fontId="4" fillId="29" borderId="1" xfId="1" applyFont="1" applyFill="1" applyBorder="1" applyAlignment="1">
      <alignment horizontal="center"/>
    </xf>
    <xf numFmtId="2" fontId="5" fillId="28" borderId="1" xfId="1" applyNumberFormat="1" applyFont="1" applyFill="1" applyBorder="1" applyAlignment="1">
      <alignment horizontal="center"/>
    </xf>
    <xf numFmtId="0" fontId="9" fillId="42" borderId="1" xfId="1" applyFont="1" applyFill="1" applyBorder="1" applyAlignment="1">
      <alignment horizontal="center" wrapText="1"/>
    </xf>
    <xf numFmtId="0" fontId="9" fillId="42" borderId="1" xfId="1" applyFill="1" applyBorder="1" applyAlignment="1">
      <alignment horizontal="center"/>
    </xf>
    <xf numFmtId="20" fontId="9" fillId="42" borderId="1" xfId="1" applyNumberFormat="1" applyFill="1" applyBorder="1" applyAlignment="1">
      <alignment horizontal="center"/>
    </xf>
    <xf numFmtId="16" fontId="9" fillId="42" borderId="1" xfId="1" applyNumberFormat="1" applyFill="1" applyBorder="1" applyAlignment="1">
      <alignment horizontal="center"/>
    </xf>
    <xf numFmtId="16" fontId="9" fillId="0" borderId="1" xfId="1" applyNumberFormat="1" applyBorder="1" applyAlignment="1">
      <alignment horizontal="center"/>
    </xf>
    <xf numFmtId="0" fontId="9" fillId="0" borderId="1" xfId="1" applyFont="1" applyBorder="1" applyAlignment="1">
      <alignment horizontal="center" wrapText="1"/>
    </xf>
    <xf numFmtId="2" fontId="4" fillId="0" borderId="1" xfId="1" applyNumberFormat="1" applyFont="1" applyBorder="1" applyAlignment="1">
      <alignment horizontal="center"/>
    </xf>
    <xf numFmtId="20" fontId="4" fillId="35" borderId="1" xfId="1" applyNumberFormat="1" applyFont="1" applyFill="1" applyBorder="1" applyAlignment="1">
      <alignment horizontal="center"/>
    </xf>
    <xf numFmtId="16" fontId="4" fillId="35" borderId="1" xfId="1" applyNumberFormat="1" applyFont="1" applyFill="1" applyBorder="1" applyAlignment="1">
      <alignment horizontal="center"/>
    </xf>
    <xf numFmtId="0" fontId="4" fillId="35" borderId="1" xfId="1" applyFont="1" applyFill="1" applyBorder="1" applyAlignment="1">
      <alignment horizontal="center" wrapText="1"/>
    </xf>
    <xf numFmtId="0" fontId="4" fillId="35" borderId="1" xfId="1" applyFont="1" applyFill="1" applyBorder="1" applyAlignment="1">
      <alignment horizontal="center"/>
    </xf>
    <xf numFmtId="0" fontId="5" fillId="29" borderId="6" xfId="1" applyFont="1" applyFill="1" applyBorder="1" applyAlignment="1">
      <alignment horizontal="center"/>
    </xf>
    <xf numFmtId="0" fontId="5" fillId="0" borderId="6" xfId="1" applyFont="1" applyBorder="1" applyAlignment="1">
      <alignment horizontal="center" wrapText="1"/>
    </xf>
    <xf numFmtId="2" fontId="5" fillId="26" borderId="6" xfId="1" applyNumberFormat="1" applyFont="1" applyFill="1" applyBorder="1" applyAlignment="1">
      <alignment horizontal="center"/>
    </xf>
    <xf numFmtId="165" fontId="5" fillId="35" borderId="6" xfId="1" applyNumberFormat="1" applyFont="1" applyFill="1" applyBorder="1" applyAlignment="1">
      <alignment horizontal="center"/>
    </xf>
    <xf numFmtId="164" fontId="5" fillId="35" borderId="6" xfId="1" applyNumberFormat="1" applyFont="1" applyFill="1" applyBorder="1" applyAlignment="1">
      <alignment horizontal="center"/>
    </xf>
    <xf numFmtId="0" fontId="5" fillId="35" borderId="6" xfId="1" applyFont="1" applyFill="1" applyBorder="1" applyAlignment="1">
      <alignment horizontal="center" wrapText="1"/>
    </xf>
    <xf numFmtId="0" fontId="14" fillId="35" borderId="6" xfId="2" applyFont="1" applyFill="1" applyBorder="1" applyAlignment="1" applyProtection="1">
      <alignment horizontal="center"/>
    </xf>
    <xf numFmtId="49" fontId="5" fillId="35" borderId="6" xfId="1" applyNumberFormat="1" applyFont="1" applyFill="1" applyBorder="1" applyAlignment="1">
      <alignment horizontal="center"/>
    </xf>
    <xf numFmtId="0" fontId="5" fillId="35" borderId="6" xfId="1" applyFont="1" applyFill="1" applyBorder="1" applyAlignment="1">
      <alignment horizontal="center"/>
    </xf>
    <xf numFmtId="0" fontId="5" fillId="44" borderId="1" xfId="1" applyFont="1" applyFill="1" applyBorder="1" applyAlignment="1">
      <alignment horizontal="center" wrapText="1"/>
    </xf>
    <xf numFmtId="165" fontId="5" fillId="19" borderId="1" xfId="1" applyNumberFormat="1" applyFont="1" applyFill="1" applyBorder="1" applyAlignment="1">
      <alignment horizontal="center"/>
    </xf>
    <xf numFmtId="164" fontId="5" fillId="19" borderId="1" xfId="1" applyNumberFormat="1" applyFont="1" applyFill="1" applyBorder="1" applyAlignment="1">
      <alignment horizontal="center"/>
    </xf>
    <xf numFmtId="0" fontId="5" fillId="19" borderId="1" xfId="1" applyFont="1" applyFill="1" applyBorder="1" applyAlignment="1">
      <alignment horizontal="center" wrapText="1"/>
    </xf>
    <xf numFmtId="0" fontId="13" fillId="19" borderId="1" xfId="2" applyFont="1" applyFill="1" applyBorder="1" applyAlignment="1" applyProtection="1">
      <alignment horizontal="center"/>
    </xf>
    <xf numFmtId="49" fontId="5" fillId="19" borderId="1" xfId="1" applyNumberFormat="1" applyFont="1" applyFill="1" applyBorder="1" applyAlignment="1">
      <alignment horizontal="center"/>
    </xf>
    <xf numFmtId="0" fontId="5" fillId="19" borderId="1" xfId="1" applyFont="1" applyFill="1" applyBorder="1" applyAlignment="1">
      <alignment horizontal="center"/>
    </xf>
    <xf numFmtId="0" fontId="5" fillId="8" borderId="1" xfId="1" applyFont="1" applyFill="1" applyBorder="1" applyAlignment="1">
      <alignment horizontal="center" wrapText="1"/>
    </xf>
    <xf numFmtId="2" fontId="5" fillId="8" borderId="1" xfId="1" applyNumberFormat="1" applyFont="1" applyFill="1" applyBorder="1" applyAlignment="1">
      <alignment horizontal="center"/>
    </xf>
    <xf numFmtId="0" fontId="4" fillId="19" borderId="1" xfId="1" applyFont="1" applyFill="1" applyBorder="1" applyAlignment="1">
      <alignment horizontal="center"/>
    </xf>
    <xf numFmtId="0" fontId="5" fillId="26" borderId="2" xfId="1" applyFont="1" applyFill="1" applyBorder="1" applyAlignment="1">
      <alignment horizontal="center"/>
    </xf>
    <xf numFmtId="0" fontId="5" fillId="8" borderId="4" xfId="1" applyFont="1" applyFill="1" applyBorder="1" applyAlignment="1">
      <alignment horizontal="center" wrapText="1"/>
    </xf>
    <xf numFmtId="2" fontId="5" fillId="8" borderId="2" xfId="1" applyNumberFormat="1" applyFont="1" applyFill="1" applyBorder="1" applyAlignment="1">
      <alignment horizontal="center"/>
    </xf>
    <xf numFmtId="0" fontId="5" fillId="44" borderId="2" xfId="1" applyFont="1" applyFill="1" applyBorder="1" applyAlignment="1">
      <alignment horizontal="center" wrapText="1"/>
    </xf>
    <xf numFmtId="165" fontId="5" fillId="19" borderId="2" xfId="1" applyNumberFormat="1" applyFont="1" applyFill="1" applyBorder="1" applyAlignment="1">
      <alignment horizontal="center"/>
    </xf>
    <xf numFmtId="164" fontId="5" fillId="19" borderId="2" xfId="1" applyNumberFormat="1" applyFont="1" applyFill="1" applyBorder="1" applyAlignment="1">
      <alignment horizontal="center"/>
    </xf>
    <xf numFmtId="0" fontId="4" fillId="19" borderId="2" xfId="1" applyFont="1" applyFill="1" applyBorder="1" applyAlignment="1">
      <alignment horizontal="center" wrapText="1"/>
    </xf>
    <xf numFmtId="0" fontId="13" fillId="19" borderId="2" xfId="2" applyFont="1" applyFill="1" applyBorder="1" applyAlignment="1" applyProtection="1">
      <alignment horizontal="center"/>
    </xf>
    <xf numFmtId="49" fontId="4" fillId="19" borderId="2" xfId="1" applyNumberFormat="1" applyFont="1" applyFill="1" applyBorder="1" applyAlignment="1">
      <alignment horizontal="center" vertical="center"/>
    </xf>
    <xf numFmtId="0" fontId="5" fillId="19" borderId="2" xfId="1" applyFont="1" applyFill="1" applyBorder="1" applyAlignment="1">
      <alignment horizontal="center"/>
    </xf>
    <xf numFmtId="0" fontId="4" fillId="19" borderId="1" xfId="1" applyFont="1" applyFill="1" applyBorder="1" applyAlignment="1">
      <alignment horizontal="center" wrapText="1"/>
    </xf>
    <xf numFmtId="0" fontId="5" fillId="26" borderId="6" xfId="1" applyFont="1" applyFill="1" applyBorder="1" applyAlignment="1">
      <alignment horizontal="center"/>
    </xf>
    <xf numFmtId="0" fontId="5" fillId="8" borderId="7" xfId="1" applyFont="1" applyFill="1" applyBorder="1" applyAlignment="1">
      <alignment horizontal="center" wrapText="1"/>
    </xf>
    <xf numFmtId="0" fontId="5" fillId="29" borderId="2" xfId="1" applyFont="1" applyFill="1" applyBorder="1" applyAlignment="1">
      <alignment horizontal="center"/>
    </xf>
    <xf numFmtId="0" fontId="5" fillId="0" borderId="4" xfId="1" applyFont="1" applyBorder="1" applyAlignment="1">
      <alignment horizontal="center" wrapText="1"/>
    </xf>
    <xf numFmtId="0" fontId="5" fillId="43" borderId="1" xfId="1" applyFont="1" applyFill="1" applyBorder="1" applyAlignment="1">
      <alignment horizontal="center" wrapText="1"/>
    </xf>
    <xf numFmtId="49" fontId="5" fillId="19" borderId="1" xfId="1" applyNumberFormat="1" applyFont="1" applyFill="1" applyBorder="1" applyAlignment="1">
      <alignment horizontal="center" wrapText="1"/>
    </xf>
    <xf numFmtId="0" fontId="22" fillId="19" borderId="1" xfId="2" applyFont="1" applyFill="1" applyBorder="1" applyAlignment="1" applyProtection="1">
      <alignment horizontal="center"/>
    </xf>
    <xf numFmtId="0" fontId="5" fillId="0" borderId="2" xfId="1" applyFont="1" applyBorder="1" applyAlignment="1">
      <alignment horizontal="center" wrapText="1"/>
    </xf>
    <xf numFmtId="165" fontId="5" fillId="0" borderId="2" xfId="1" applyNumberFormat="1" applyFont="1" applyBorder="1" applyAlignment="1">
      <alignment horizontal="center"/>
    </xf>
    <xf numFmtId="164" fontId="5" fillId="0" borderId="2" xfId="1" applyNumberFormat="1" applyFont="1" applyBorder="1" applyAlignment="1">
      <alignment horizontal="center"/>
    </xf>
    <xf numFmtId="0" fontId="4" fillId="0" borderId="2" xfId="1" applyFont="1" applyBorder="1" applyAlignment="1">
      <alignment horizontal="center"/>
    </xf>
    <xf numFmtId="49" fontId="5" fillId="0" borderId="2" xfId="1" applyNumberFormat="1" applyFont="1" applyBorder="1" applyAlignment="1">
      <alignment horizontal="center"/>
    </xf>
    <xf numFmtId="0" fontId="5" fillId="0" borderId="2" xfId="1" applyFont="1" applyBorder="1" applyAlignment="1">
      <alignment horizontal="center"/>
    </xf>
    <xf numFmtId="0" fontId="4" fillId="8" borderId="0" xfId="1" applyFont="1" applyFill="1" applyAlignment="1">
      <alignment horizontal="center"/>
    </xf>
    <xf numFmtId="0" fontId="5" fillId="45" borderId="1" xfId="1" applyFont="1" applyFill="1" applyBorder="1" applyAlignment="1">
      <alignment horizontal="center" wrapText="1"/>
    </xf>
    <xf numFmtId="165" fontId="5" fillId="45" borderId="1" xfId="1" applyNumberFormat="1" applyFont="1" applyFill="1" applyBorder="1" applyAlignment="1">
      <alignment horizontal="center"/>
    </xf>
    <xf numFmtId="164" fontId="5" fillId="45" borderId="1" xfId="1" applyNumberFormat="1" applyFont="1" applyFill="1" applyBorder="1" applyAlignment="1">
      <alignment horizontal="center"/>
    </xf>
    <xf numFmtId="0" fontId="4" fillId="45" borderId="1" xfId="1" applyFont="1" applyFill="1" applyBorder="1" applyAlignment="1">
      <alignment horizontal="center" wrapText="1"/>
    </xf>
    <xf numFmtId="0" fontId="4" fillId="45" borderId="1" xfId="1" applyFont="1" applyFill="1" applyBorder="1" applyAlignment="1">
      <alignment horizontal="center"/>
    </xf>
    <xf numFmtId="49" fontId="5" fillId="45" borderId="1" xfId="1" applyNumberFormat="1" applyFont="1" applyFill="1" applyBorder="1" applyAlignment="1">
      <alignment horizontal="center"/>
    </xf>
    <xf numFmtId="0" fontId="5" fillId="45" borderId="1" xfId="1" applyFont="1" applyFill="1" applyBorder="1" applyAlignment="1">
      <alignment horizontal="center"/>
    </xf>
    <xf numFmtId="0" fontId="9" fillId="26" borderId="1" xfId="1" applyFill="1" applyBorder="1" applyAlignment="1">
      <alignment horizontal="center"/>
    </xf>
    <xf numFmtId="0" fontId="9" fillId="43" borderId="1" xfId="1" applyFont="1" applyFill="1" applyBorder="1" applyAlignment="1">
      <alignment horizontal="center" wrapText="1"/>
    </xf>
    <xf numFmtId="20" fontId="9" fillId="43" borderId="1" xfId="1" applyNumberFormat="1" applyFont="1" applyFill="1" applyBorder="1" applyAlignment="1">
      <alignment horizontal="center"/>
    </xf>
    <xf numFmtId="16" fontId="5" fillId="43" borderId="1" xfId="1" applyNumberFormat="1" applyFont="1" applyFill="1" applyBorder="1" applyAlignment="1">
      <alignment horizontal="center"/>
    </xf>
    <xf numFmtId="0" fontId="9" fillId="43" borderId="1" xfId="1" applyFill="1" applyBorder="1" applyAlignment="1">
      <alignment horizontal="center"/>
    </xf>
    <xf numFmtId="49" fontId="9" fillId="43" borderId="1" xfId="1" applyNumberFormat="1" applyFont="1" applyFill="1" applyBorder="1" applyAlignment="1">
      <alignment horizontal="center"/>
    </xf>
    <xf numFmtId="0" fontId="4" fillId="43" borderId="1" xfId="1" applyFont="1" applyFill="1" applyBorder="1" applyAlignment="1">
      <alignment horizontal="center" wrapText="1"/>
    </xf>
    <xf numFmtId="16" fontId="9" fillId="43" borderId="1" xfId="1" applyNumberFormat="1" applyFill="1" applyBorder="1" applyAlignment="1">
      <alignment horizontal="center"/>
    </xf>
    <xf numFmtId="0" fontId="5" fillId="40" borderId="1" xfId="1" applyFont="1" applyFill="1" applyBorder="1" applyAlignment="1">
      <alignment horizontal="center" wrapText="1"/>
    </xf>
    <xf numFmtId="165" fontId="5" fillId="43" borderId="1" xfId="1" applyNumberFormat="1" applyFont="1" applyFill="1" applyBorder="1" applyAlignment="1">
      <alignment horizontal="center"/>
    </xf>
    <xf numFmtId="164" fontId="5" fillId="43" borderId="1" xfId="1" applyNumberFormat="1" applyFont="1" applyFill="1" applyBorder="1" applyAlignment="1">
      <alignment horizontal="center"/>
    </xf>
    <xf numFmtId="0" fontId="4" fillId="43" borderId="1" xfId="1" applyFont="1" applyFill="1" applyBorder="1" applyAlignment="1">
      <alignment horizontal="center"/>
    </xf>
    <xf numFmtId="49" fontId="5" fillId="43" borderId="1" xfId="1" applyNumberFormat="1" applyFont="1" applyFill="1" applyBorder="1" applyAlignment="1">
      <alignment horizontal="center"/>
    </xf>
    <xf numFmtId="0" fontId="5" fillId="43" borderId="1" xfId="1" applyFont="1" applyFill="1" applyBorder="1" applyAlignment="1">
      <alignment horizontal="center"/>
    </xf>
    <xf numFmtId="20" fontId="5" fillId="0" borderId="1" xfId="1" applyNumberFormat="1" applyFont="1" applyBorder="1" applyAlignment="1">
      <alignment horizontal="center"/>
    </xf>
    <xf numFmtId="49" fontId="5" fillId="43" borderId="1" xfId="1" applyNumberFormat="1" applyFont="1" applyFill="1" applyBorder="1" applyAlignment="1">
      <alignment horizontal="center" wrapText="1"/>
    </xf>
    <xf numFmtId="0" fontId="22" fillId="43" borderId="1" xfId="2" applyFont="1" applyFill="1" applyBorder="1" applyAlignment="1" applyProtection="1">
      <alignment horizontal="center"/>
    </xf>
    <xf numFmtId="2" fontId="5" fillId="26" borderId="0" xfId="1" applyNumberFormat="1" applyFont="1" applyFill="1" applyAlignment="1">
      <alignment horizontal="center"/>
    </xf>
    <xf numFmtId="0" fontId="5" fillId="0" borderId="0" xfId="1" applyFont="1" applyAlignment="1">
      <alignment horizontal="center" wrapText="1"/>
    </xf>
    <xf numFmtId="165" fontId="5" fillId="0" borderId="0" xfId="1" applyNumberFormat="1" applyFont="1" applyAlignment="1">
      <alignment horizontal="center"/>
    </xf>
    <xf numFmtId="164" fontId="5" fillId="0" borderId="0" xfId="1" applyNumberFormat="1" applyFont="1" applyAlignment="1">
      <alignment horizontal="center"/>
    </xf>
    <xf numFmtId="0" fontId="4" fillId="19" borderId="6" xfId="1" applyFont="1" applyFill="1" applyBorder="1" applyAlignment="1">
      <alignment horizontal="center"/>
    </xf>
    <xf numFmtId="49" fontId="5" fillId="0" borderId="0" xfId="1" applyNumberFormat="1" applyFont="1" applyAlignment="1">
      <alignment horizontal="center"/>
    </xf>
    <xf numFmtId="49" fontId="5" fillId="0" borderId="1" xfId="1" applyNumberFormat="1" applyFont="1" applyBorder="1" applyAlignment="1">
      <alignment horizontal="center" wrapText="1"/>
    </xf>
    <xf numFmtId="0" fontId="22" fillId="0" borderId="1" xfId="2" applyFont="1" applyBorder="1" applyAlignment="1" applyProtection="1">
      <alignment horizontal="center"/>
    </xf>
    <xf numFmtId="49" fontId="5" fillId="45" borderId="1" xfId="1" applyNumberFormat="1" applyFont="1" applyFill="1" applyBorder="1" applyAlignment="1">
      <alignment horizontal="center" wrapText="1"/>
    </xf>
    <xf numFmtId="0" fontId="22" fillId="45" borderId="1" xfId="2" applyFont="1" applyFill="1" applyBorder="1" applyAlignment="1" applyProtection="1">
      <alignment horizontal="center"/>
    </xf>
    <xf numFmtId="0" fontId="9" fillId="40" borderId="1" xfId="1" applyFill="1" applyBorder="1" applyAlignment="1">
      <alignment horizontal="center"/>
    </xf>
    <xf numFmtId="0" fontId="9" fillId="18" borderId="1" xfId="1" applyFont="1" applyFill="1" applyBorder="1" applyAlignment="1">
      <alignment horizontal="center" wrapText="1"/>
    </xf>
    <xf numFmtId="0" fontId="9" fillId="28" borderId="1" xfId="1" applyFill="1" applyBorder="1" applyAlignment="1">
      <alignment horizontal="center"/>
    </xf>
    <xf numFmtId="20" fontId="9" fillId="0" borderId="1" xfId="1" applyNumberFormat="1" applyBorder="1" applyAlignment="1">
      <alignment horizontal="center"/>
    </xf>
    <xf numFmtId="0" fontId="9" fillId="18" borderId="6" xfId="1" applyFont="1" applyFill="1" applyBorder="1" applyAlignment="1">
      <alignment horizontal="center" wrapText="1"/>
    </xf>
    <xf numFmtId="0" fontId="9" fillId="28" borderId="6" xfId="1" applyFill="1" applyBorder="1" applyAlignment="1">
      <alignment horizontal="center"/>
    </xf>
    <xf numFmtId="0" fontId="9" fillId="0" borderId="6" xfId="1" applyFont="1" applyBorder="1" applyAlignment="1">
      <alignment horizontal="center" wrapText="1"/>
    </xf>
    <xf numFmtId="20" fontId="9" fillId="0" borderId="6" xfId="1" applyNumberFormat="1" applyBorder="1" applyAlignment="1">
      <alignment horizontal="center"/>
    </xf>
    <xf numFmtId="16" fontId="5" fillId="0" borderId="6" xfId="1" applyNumberFormat="1" applyFont="1" applyBorder="1" applyAlignment="1">
      <alignment horizontal="center"/>
    </xf>
    <xf numFmtId="16" fontId="9" fillId="0" borderId="6" xfId="1" applyNumberFormat="1" applyBorder="1" applyAlignment="1">
      <alignment horizontal="center"/>
    </xf>
    <xf numFmtId="0" fontId="5" fillId="33" borderId="2" xfId="1" applyFont="1" applyFill="1" applyBorder="1" applyAlignment="1">
      <alignment horizontal="center" wrapText="1"/>
    </xf>
    <xf numFmtId="2" fontId="5" fillId="33" borderId="2" xfId="1" applyNumberFormat="1" applyFont="1" applyFill="1" applyBorder="1" applyAlignment="1">
      <alignment horizontal="center"/>
    </xf>
    <xf numFmtId="165" fontId="5" fillId="44" borderId="2" xfId="1" applyNumberFormat="1" applyFont="1" applyFill="1" applyBorder="1" applyAlignment="1">
      <alignment horizontal="center"/>
    </xf>
    <xf numFmtId="164" fontId="5" fillId="44" borderId="2" xfId="1" applyNumberFormat="1" applyFont="1" applyFill="1" applyBorder="1" applyAlignment="1">
      <alignment horizontal="center"/>
    </xf>
    <xf numFmtId="0" fontId="4" fillId="44" borderId="2" xfId="1" applyFont="1" applyFill="1" applyBorder="1" applyAlignment="1">
      <alignment horizontal="center"/>
    </xf>
    <xf numFmtId="49" fontId="5" fillId="44" borderId="2" xfId="1" applyNumberFormat="1" applyFont="1" applyFill="1" applyBorder="1" applyAlignment="1">
      <alignment horizontal="center"/>
    </xf>
    <xf numFmtId="0" fontId="5" fillId="44" borderId="2" xfId="1" applyFont="1" applyFill="1" applyBorder="1" applyAlignment="1">
      <alignment horizontal="center"/>
    </xf>
    <xf numFmtId="165" fontId="5" fillId="44" borderId="1" xfId="1" applyNumberFormat="1" applyFont="1" applyFill="1" applyBorder="1" applyAlignment="1">
      <alignment horizontal="center"/>
    </xf>
    <xf numFmtId="164" fontId="5" fillId="44" borderId="1" xfId="1" applyNumberFormat="1" applyFont="1" applyFill="1" applyBorder="1" applyAlignment="1">
      <alignment horizontal="center"/>
    </xf>
    <xf numFmtId="0" fontId="4" fillId="44" borderId="1" xfId="1" applyFont="1" applyFill="1" applyBorder="1" applyAlignment="1">
      <alignment horizontal="center"/>
    </xf>
    <xf numFmtId="49" fontId="5" fillId="44" borderId="1" xfId="1" applyNumberFormat="1" applyFont="1" applyFill="1" applyBorder="1" applyAlignment="1">
      <alignment horizontal="center"/>
    </xf>
    <xf numFmtId="0" fontId="5" fillId="44" borderId="1" xfId="1" applyFont="1" applyFill="1" applyBorder="1" applyAlignment="1">
      <alignment horizontal="center"/>
    </xf>
    <xf numFmtId="0" fontId="5" fillId="29" borderId="1" xfId="1" applyFont="1" applyFill="1" applyBorder="1" applyAlignment="1">
      <alignment horizontal="center" wrapText="1"/>
    </xf>
    <xf numFmtId="165" fontId="5" fillId="35" borderId="1" xfId="1" applyNumberFormat="1" applyFont="1" applyFill="1" applyBorder="1" applyAlignment="1">
      <alignment horizontal="center"/>
    </xf>
    <xf numFmtId="164" fontId="5" fillId="35" borderId="1" xfId="1" applyNumberFormat="1" applyFont="1" applyFill="1" applyBorder="1" applyAlignment="1">
      <alignment horizontal="center"/>
    </xf>
    <xf numFmtId="49" fontId="5" fillId="35" borderId="1" xfId="1" applyNumberFormat="1" applyFont="1" applyFill="1" applyBorder="1" applyAlignment="1">
      <alignment horizontal="center"/>
    </xf>
    <xf numFmtId="0" fontId="5" fillId="35" borderId="1" xfId="1" applyFont="1" applyFill="1" applyBorder="1" applyAlignment="1">
      <alignment horizontal="center"/>
    </xf>
    <xf numFmtId="164" fontId="5" fillId="29" borderId="1" xfId="1" applyNumberFormat="1" applyFont="1" applyFill="1" applyBorder="1" applyAlignment="1">
      <alignment horizontal="center"/>
    </xf>
    <xf numFmtId="165" fontId="5" fillId="29" borderId="1" xfId="1" applyNumberFormat="1" applyFont="1" applyFill="1" applyBorder="1" applyAlignment="1">
      <alignment horizontal="center" wrapText="1"/>
    </xf>
    <xf numFmtId="49" fontId="5" fillId="29" borderId="1" xfId="1" applyNumberFormat="1" applyFont="1" applyFill="1" applyBorder="1" applyAlignment="1">
      <alignment horizontal="center"/>
    </xf>
    <xf numFmtId="165" fontId="5" fillId="44" borderId="1" xfId="1" applyNumberFormat="1" applyFont="1" applyFill="1" applyBorder="1" applyAlignment="1">
      <alignment horizontal="center" wrapText="1"/>
    </xf>
    <xf numFmtId="165" fontId="5" fillId="29" borderId="1" xfId="1" applyNumberFormat="1" applyFont="1" applyFill="1" applyBorder="1" applyAlignment="1">
      <alignment horizontal="center"/>
    </xf>
    <xf numFmtId="2" fontId="5" fillId="26" borderId="1" xfId="1" applyNumberFormat="1" applyFont="1" applyFill="1" applyBorder="1" applyAlignment="1">
      <alignment horizontal="center" wrapText="1"/>
    </xf>
    <xf numFmtId="0" fontId="5" fillId="19" borderId="0" xfId="1" applyFont="1" applyFill="1" applyAlignment="1">
      <alignment horizontal="center"/>
    </xf>
    <xf numFmtId="0" fontId="4" fillId="19" borderId="2" xfId="1" applyFont="1" applyFill="1" applyBorder="1" applyAlignment="1">
      <alignment horizontal="center"/>
    </xf>
    <xf numFmtId="49" fontId="5" fillId="19" borderId="2" xfId="1" applyNumberFormat="1" applyFont="1" applyFill="1" applyBorder="1" applyAlignment="1">
      <alignment horizontal="center"/>
    </xf>
    <xf numFmtId="2" fontId="5" fillId="0" borderId="0" xfId="1" applyNumberFormat="1" applyFont="1" applyAlignment="1">
      <alignment horizontal="center"/>
    </xf>
    <xf numFmtId="0" fontId="19" fillId="8" borderId="0" xfId="1" applyFont="1" applyFill="1" applyAlignment="1">
      <alignment horizontal="center"/>
    </xf>
    <xf numFmtId="0" fontId="27" fillId="19" borderId="1" xfId="2" applyFont="1" applyFill="1" applyBorder="1" applyAlignment="1" applyProtection="1">
      <alignment horizontal="center"/>
    </xf>
    <xf numFmtId="0" fontId="4" fillId="26" borderId="1" xfId="1" applyFont="1" applyFill="1" applyBorder="1" applyAlignment="1">
      <alignment horizontal="center"/>
    </xf>
    <xf numFmtId="16" fontId="5" fillId="19" borderId="1" xfId="1" applyNumberFormat="1" applyFont="1" applyFill="1" applyBorder="1" applyAlignment="1">
      <alignment horizontal="center"/>
    </xf>
    <xf numFmtId="49" fontId="4" fillId="19" borderId="1" xfId="1" applyNumberFormat="1" applyFont="1" applyFill="1" applyBorder="1" applyAlignment="1">
      <alignment horizontal="center"/>
    </xf>
    <xf numFmtId="0" fontId="19" fillId="36" borderId="0" xfId="1" applyFont="1" applyFill="1" applyAlignment="1">
      <alignment horizontal="center"/>
    </xf>
    <xf numFmtId="20" fontId="4" fillId="19" borderId="1" xfId="1" applyNumberFormat="1" applyFont="1" applyFill="1" applyBorder="1" applyAlignment="1">
      <alignment horizontal="center"/>
    </xf>
    <xf numFmtId="16" fontId="4" fillId="19" borderId="1" xfId="1" applyNumberFormat="1" applyFont="1" applyFill="1" applyBorder="1" applyAlignment="1">
      <alignment horizontal="center"/>
    </xf>
    <xf numFmtId="49" fontId="14" fillId="19" borderId="1" xfId="2" applyNumberFormat="1" applyFont="1" applyFill="1" applyBorder="1" applyAlignment="1" applyProtection="1">
      <alignment horizontal="center"/>
    </xf>
    <xf numFmtId="165" fontId="4" fillId="19" borderId="1" xfId="1" applyNumberFormat="1" applyFont="1" applyFill="1" applyBorder="1" applyAlignment="1">
      <alignment horizontal="center"/>
    </xf>
    <xf numFmtId="164" fontId="4" fillId="19" borderId="1" xfId="1" applyNumberFormat="1" applyFont="1" applyFill="1" applyBorder="1" applyAlignment="1">
      <alignment horizontal="center"/>
    </xf>
    <xf numFmtId="164" fontId="4" fillId="0" borderId="1" xfId="1" applyNumberFormat="1" applyFont="1" applyBorder="1" applyAlignment="1">
      <alignment horizontal="center"/>
    </xf>
    <xf numFmtId="0" fontId="27" fillId="0" borderId="1" xfId="2" applyFont="1" applyBorder="1" applyAlignment="1" applyProtection="1">
      <alignment horizontal="center"/>
    </xf>
    <xf numFmtId="0" fontId="4" fillId="28" borderId="1" xfId="1" applyFont="1" applyFill="1" applyBorder="1" applyAlignment="1">
      <alignment horizontal="center"/>
    </xf>
    <xf numFmtId="165" fontId="5" fillId="19" borderId="0" xfId="1" applyNumberFormat="1" applyFont="1" applyFill="1" applyAlignment="1">
      <alignment horizontal="center"/>
    </xf>
    <xf numFmtId="0" fontId="5" fillId="19" borderId="0" xfId="1" applyFont="1" applyFill="1" applyAlignment="1">
      <alignment horizontal="center" wrapText="1"/>
    </xf>
    <xf numFmtId="0" fontId="22" fillId="19" borderId="0" xfId="2" applyFont="1" applyFill="1" applyBorder="1" applyAlignment="1" applyProtection="1">
      <alignment horizontal="center"/>
    </xf>
    <xf numFmtId="49" fontId="5" fillId="19" borderId="0" xfId="1" applyNumberFormat="1" applyFont="1" applyFill="1" applyAlignment="1">
      <alignment horizontal="center"/>
    </xf>
    <xf numFmtId="164" fontId="5" fillId="35" borderId="0" xfId="1" applyNumberFormat="1" applyFont="1" applyFill="1" applyAlignment="1">
      <alignment horizontal="center"/>
    </xf>
    <xf numFmtId="164" fontId="4" fillId="35" borderId="1" xfId="1" applyNumberFormat="1" applyFont="1" applyFill="1" applyBorder="1" applyAlignment="1">
      <alignment horizontal="center"/>
    </xf>
    <xf numFmtId="16" fontId="9" fillId="19" borderId="1" xfId="1" applyNumberFormat="1" applyFill="1" applyBorder="1" applyAlignment="1">
      <alignment horizontal="center"/>
    </xf>
    <xf numFmtId="20" fontId="9" fillId="19" borderId="1" xfId="1" applyNumberFormat="1" applyFill="1" applyBorder="1" applyAlignment="1">
      <alignment horizontal="center"/>
    </xf>
    <xf numFmtId="0" fontId="9" fillId="19" borderId="1" xfId="1" applyFont="1" applyFill="1" applyBorder="1" applyAlignment="1">
      <alignment horizontal="center" wrapText="1"/>
    </xf>
    <xf numFmtId="0" fontId="9" fillId="19" borderId="1" xfId="1" applyFont="1" applyFill="1" applyBorder="1" applyAlignment="1">
      <alignment horizontal="center"/>
    </xf>
    <xf numFmtId="0" fontId="9" fillId="19" borderId="0" xfId="1" applyFill="1" applyAlignment="1">
      <alignment horizontal="center"/>
    </xf>
    <xf numFmtId="16" fontId="9" fillId="35" borderId="1" xfId="1" applyNumberFormat="1" applyFill="1" applyBorder="1" applyAlignment="1">
      <alignment horizontal="center"/>
    </xf>
    <xf numFmtId="2" fontId="5" fillId="33" borderId="1" xfId="1" applyNumberFormat="1" applyFont="1" applyFill="1" applyBorder="1" applyAlignment="1">
      <alignment horizontal="center"/>
    </xf>
    <xf numFmtId="164" fontId="5" fillId="35" borderId="2" xfId="1" applyNumberFormat="1" applyFont="1" applyFill="1" applyBorder="1" applyAlignment="1">
      <alignment horizontal="center"/>
    </xf>
    <xf numFmtId="0" fontId="5" fillId="8" borderId="1" xfId="1" applyFont="1" applyFill="1" applyBorder="1" applyAlignment="1">
      <alignment horizontal="center"/>
    </xf>
    <xf numFmtId="0" fontId="19" fillId="46" borderId="0" xfId="1" applyFont="1" applyFill="1" applyAlignment="1">
      <alignment horizontal="center"/>
    </xf>
    <xf numFmtId="0" fontId="9" fillId="35" borderId="0" xfId="1" applyFill="1" applyAlignment="1">
      <alignment horizontal="center"/>
    </xf>
    <xf numFmtId="20" fontId="9" fillId="19" borderId="0" xfId="1" applyNumberFormat="1" applyFill="1" applyAlignment="1">
      <alignment horizontal="center"/>
    </xf>
    <xf numFmtId="16" fontId="9" fillId="19" borderId="0" xfId="1" applyNumberFormat="1" applyFill="1" applyAlignment="1">
      <alignment horizontal="center"/>
    </xf>
    <xf numFmtId="0" fontId="9" fillId="19" borderId="25" xfId="1" applyFont="1" applyFill="1" applyBorder="1" applyAlignment="1">
      <alignment horizontal="center" wrapText="1"/>
    </xf>
    <xf numFmtId="0" fontId="19" fillId="35" borderId="0" xfId="1" applyFont="1" applyFill="1" applyAlignment="1">
      <alignment horizontal="center"/>
    </xf>
    <xf numFmtId="20" fontId="5" fillId="19" borderId="1" xfId="1" applyNumberFormat="1" applyFont="1" applyFill="1" applyBorder="1" applyAlignment="1">
      <alignment horizontal="center"/>
    </xf>
    <xf numFmtId="164" fontId="5" fillId="19" borderId="0" xfId="1" applyNumberFormat="1" applyFont="1" applyFill="1" applyAlignment="1">
      <alignment horizontal="center"/>
    </xf>
    <xf numFmtId="0" fontId="5" fillId="19" borderId="25" xfId="1" applyFont="1" applyFill="1" applyBorder="1" applyAlignment="1">
      <alignment horizontal="center" wrapText="1"/>
    </xf>
    <xf numFmtId="0" fontId="19" fillId="0" borderId="1" xfId="1" applyFont="1" applyBorder="1" applyAlignment="1">
      <alignment horizontal="center"/>
    </xf>
    <xf numFmtId="0" fontId="19" fillId="26" borderId="1" xfId="1" applyFont="1" applyFill="1" applyBorder="1" applyAlignment="1">
      <alignment horizontal="center"/>
    </xf>
    <xf numFmtId="0" fontId="19" fillId="0" borderId="1" xfId="1" applyFont="1" applyBorder="1" applyAlignment="1">
      <alignment horizontal="center" wrapText="1"/>
    </xf>
    <xf numFmtId="165" fontId="19" fillId="19" borderId="1" xfId="1" applyNumberFormat="1" applyFont="1" applyFill="1" applyBorder="1" applyAlignment="1">
      <alignment horizontal="center"/>
    </xf>
    <xf numFmtId="164" fontId="19" fillId="19" borderId="1" xfId="1" applyNumberFormat="1" applyFont="1" applyFill="1" applyBorder="1" applyAlignment="1">
      <alignment horizontal="center"/>
    </xf>
    <xf numFmtId="0" fontId="19" fillId="19" borderId="1" xfId="1" applyFont="1" applyFill="1" applyBorder="1" applyAlignment="1">
      <alignment horizontal="center" wrapText="1"/>
    </xf>
    <xf numFmtId="49" fontId="19" fillId="19" borderId="1" xfId="1" applyNumberFormat="1" applyFont="1" applyFill="1" applyBorder="1" applyAlignment="1">
      <alignment horizontal="center"/>
    </xf>
    <xf numFmtId="0" fontId="19" fillId="19" borderId="1" xfId="1" applyFont="1" applyFill="1" applyBorder="1" applyAlignment="1">
      <alignment horizontal="center"/>
    </xf>
    <xf numFmtId="0" fontId="19" fillId="19" borderId="0" xfId="1" applyFont="1" applyFill="1" applyAlignment="1">
      <alignment horizontal="center"/>
    </xf>
    <xf numFmtId="0" fontId="5" fillId="0" borderId="25" xfId="1" applyFont="1" applyBorder="1" applyAlignment="1">
      <alignment horizontal="center" wrapText="1"/>
    </xf>
    <xf numFmtId="2" fontId="5" fillId="26" borderId="25" xfId="1" applyNumberFormat="1" applyFont="1" applyFill="1" applyBorder="1" applyAlignment="1">
      <alignment horizontal="center"/>
    </xf>
    <xf numFmtId="165" fontId="5" fillId="19" borderId="25" xfId="1" applyNumberFormat="1" applyFont="1" applyFill="1" applyBorder="1" applyAlignment="1">
      <alignment horizontal="center"/>
    </xf>
    <xf numFmtId="164" fontId="5" fillId="19" borderId="25" xfId="1" applyNumberFormat="1" applyFont="1" applyFill="1" applyBorder="1" applyAlignment="1">
      <alignment horizontal="center"/>
    </xf>
    <xf numFmtId="0" fontId="22" fillId="19" borderId="25" xfId="2" applyFont="1" applyFill="1" applyBorder="1" applyAlignment="1" applyProtection="1">
      <alignment horizontal="center"/>
    </xf>
    <xf numFmtId="49" fontId="5" fillId="19" borderId="25" xfId="1" applyNumberFormat="1" applyFont="1" applyFill="1" applyBorder="1" applyAlignment="1">
      <alignment horizontal="center"/>
    </xf>
    <xf numFmtId="0" fontId="5" fillId="19" borderId="25" xfId="1" applyFont="1" applyFill="1" applyBorder="1" applyAlignment="1">
      <alignment horizontal="center"/>
    </xf>
    <xf numFmtId="2" fontId="4" fillId="19" borderId="1" xfId="1" applyNumberFormat="1" applyFont="1" applyFill="1" applyBorder="1" applyAlignment="1">
      <alignment horizontal="center"/>
    </xf>
    <xf numFmtId="49" fontId="9" fillId="19" borderId="1" xfId="1" applyNumberFormat="1" applyFont="1" applyFill="1" applyBorder="1" applyAlignment="1">
      <alignment horizontal="center"/>
    </xf>
    <xf numFmtId="2" fontId="9" fillId="19" borderId="1" xfId="1" applyNumberFormat="1" applyFont="1" applyFill="1" applyBorder="1" applyAlignment="1">
      <alignment horizontal="center"/>
    </xf>
    <xf numFmtId="0" fontId="9" fillId="33" borderId="0" xfId="1" applyFill="1" applyAlignment="1">
      <alignment horizontal="center"/>
    </xf>
    <xf numFmtId="49" fontId="9" fillId="19" borderId="0" xfId="1" applyNumberFormat="1" applyFill="1" applyAlignment="1">
      <alignment horizontal="center"/>
    </xf>
    <xf numFmtId="0" fontId="9" fillId="0" borderId="2" xfId="1" applyBorder="1" applyAlignment="1">
      <alignment horizontal="center"/>
    </xf>
    <xf numFmtId="0" fontId="9" fillId="0" borderId="2" xfId="1" applyFont="1" applyBorder="1" applyAlignment="1">
      <alignment horizontal="center" wrapText="1"/>
    </xf>
    <xf numFmtId="0" fontId="9" fillId="26" borderId="2" xfId="1" applyFill="1" applyBorder="1" applyAlignment="1">
      <alignment horizontal="center"/>
    </xf>
    <xf numFmtId="0" fontId="9" fillId="19" borderId="2" xfId="1" applyFont="1" applyFill="1" applyBorder="1" applyAlignment="1">
      <alignment horizontal="center"/>
    </xf>
    <xf numFmtId="16" fontId="9" fillId="19" borderId="2" xfId="1" applyNumberFormat="1" applyFill="1" applyBorder="1" applyAlignment="1">
      <alignment horizontal="center"/>
    </xf>
    <xf numFmtId="0" fontId="9" fillId="19" borderId="2" xfId="1" applyFont="1" applyFill="1" applyBorder="1" applyAlignment="1">
      <alignment horizontal="center" wrapText="1"/>
    </xf>
    <xf numFmtId="49" fontId="9" fillId="19" borderId="2" xfId="1" applyNumberFormat="1" applyFont="1" applyFill="1" applyBorder="1" applyAlignment="1">
      <alignment horizontal="center"/>
    </xf>
    <xf numFmtId="20" fontId="9" fillId="19" borderId="2" xfId="1" applyNumberFormat="1" applyFill="1" applyBorder="1" applyAlignment="1">
      <alignment horizontal="center"/>
    </xf>
    <xf numFmtId="0" fontId="4" fillId="0" borderId="2" xfId="1" applyFont="1" applyBorder="1" applyAlignment="1">
      <alignment horizontal="center" wrapText="1"/>
    </xf>
    <xf numFmtId="2" fontId="4" fillId="26" borderId="2" xfId="1" applyNumberFormat="1" applyFont="1" applyFill="1" applyBorder="1" applyAlignment="1">
      <alignment horizontal="center"/>
    </xf>
    <xf numFmtId="20" fontId="4" fillId="19" borderId="2" xfId="1" applyNumberFormat="1" applyFont="1" applyFill="1" applyBorder="1" applyAlignment="1">
      <alignment horizontal="center"/>
    </xf>
    <xf numFmtId="16" fontId="4" fillId="19" borderId="2" xfId="1" applyNumberFormat="1" applyFont="1" applyFill="1" applyBorder="1" applyAlignment="1">
      <alignment horizontal="center"/>
    </xf>
    <xf numFmtId="49" fontId="4" fillId="19" borderId="2" xfId="1" applyNumberFormat="1" applyFont="1" applyFill="1" applyBorder="1" applyAlignment="1">
      <alignment horizontal="center"/>
    </xf>
    <xf numFmtId="2" fontId="4" fillId="19" borderId="2" xfId="1" applyNumberFormat="1" applyFont="1" applyFill="1" applyBorder="1" applyAlignment="1">
      <alignment horizontal="center"/>
    </xf>
    <xf numFmtId="165" fontId="4" fillId="19" borderId="2" xfId="1" applyNumberFormat="1" applyFont="1" applyFill="1" applyBorder="1" applyAlignment="1">
      <alignment horizontal="center"/>
    </xf>
    <xf numFmtId="164" fontId="4" fillId="19" borderId="2" xfId="1" applyNumberFormat="1" applyFont="1" applyFill="1" applyBorder="1" applyAlignment="1">
      <alignment horizontal="center"/>
    </xf>
    <xf numFmtId="49" fontId="4" fillId="19" borderId="1" xfId="1" applyNumberFormat="1" applyFont="1" applyFill="1" applyBorder="1" applyAlignment="1">
      <alignment horizontal="center" wrapText="1"/>
    </xf>
    <xf numFmtId="165" fontId="4" fillId="0" borderId="2" xfId="1" applyNumberFormat="1" applyFont="1" applyBorder="1" applyAlignment="1">
      <alignment horizontal="center"/>
    </xf>
    <xf numFmtId="2" fontId="5" fillId="19" borderId="1" xfId="1" applyNumberFormat="1" applyFont="1" applyFill="1" applyBorder="1" applyAlignment="1">
      <alignment horizontal="center"/>
    </xf>
    <xf numFmtId="0" fontId="23" fillId="19" borderId="1" xfId="2" applyFont="1" applyFill="1" applyBorder="1" applyAlignment="1" applyProtection="1">
      <alignment horizontal="center"/>
    </xf>
    <xf numFmtId="0" fontId="13" fillId="0" borderId="1" xfId="2" applyFont="1" applyBorder="1" applyAlignment="1" applyProtection="1">
      <alignment horizontal="center"/>
    </xf>
    <xf numFmtId="165" fontId="4" fillId="0" borderId="1" xfId="1" applyNumberFormat="1" applyFont="1" applyBorder="1" applyAlignment="1">
      <alignment horizontal="center"/>
    </xf>
    <xf numFmtId="49" fontId="4" fillId="0" borderId="1" xfId="1" applyNumberFormat="1" applyFont="1" applyBorder="1" applyAlignment="1">
      <alignment horizontal="center"/>
    </xf>
    <xf numFmtId="0" fontId="14" fillId="19" borderId="1" xfId="2" applyFont="1" applyFill="1" applyBorder="1" applyAlignment="1" applyProtection="1">
      <alignment horizontal="center"/>
    </xf>
    <xf numFmtId="2" fontId="9" fillId="19" borderId="0" xfId="1" applyNumberFormat="1" applyFill="1" applyAlignment="1">
      <alignment horizontal="center"/>
    </xf>
    <xf numFmtId="0" fontId="13" fillId="19" borderId="0" xfId="2" applyFill="1" applyBorder="1" applyAlignment="1" applyProtection="1">
      <alignment horizontal="center"/>
    </xf>
    <xf numFmtId="0" fontId="4" fillId="19" borderId="0" xfId="1" applyFont="1" applyFill="1" applyAlignment="1">
      <alignment horizontal="center" wrapText="1"/>
    </xf>
    <xf numFmtId="167" fontId="9" fillId="19" borderId="0" xfId="1" applyNumberFormat="1" applyFill="1" applyAlignment="1">
      <alignment horizontal="center"/>
    </xf>
    <xf numFmtId="0" fontId="28" fillId="19" borderId="1" xfId="2" applyFont="1" applyFill="1" applyBorder="1" applyAlignment="1" applyProtection="1">
      <alignment horizontal="center"/>
    </xf>
    <xf numFmtId="167" fontId="9" fillId="0" borderId="0" xfId="1" applyNumberFormat="1" applyAlignment="1">
      <alignment horizontal="center"/>
    </xf>
    <xf numFmtId="49" fontId="4" fillId="19" borderId="0" xfId="1" applyNumberFormat="1" applyFont="1" applyFill="1" applyAlignment="1">
      <alignment horizontal="center"/>
    </xf>
    <xf numFmtId="167" fontId="9" fillId="19" borderId="0" xfId="1" applyNumberFormat="1" applyFill="1" applyAlignment="1">
      <alignment horizontal="center" vertical="top"/>
    </xf>
    <xf numFmtId="0" fontId="4" fillId="19" borderId="0" xfId="1" applyFont="1" applyFill="1" applyAlignment="1">
      <alignment horizontal="center" vertical="top"/>
    </xf>
    <xf numFmtId="0" fontId="9" fillId="0" borderId="1" xfId="1" applyFont="1" applyBorder="1" applyAlignment="1">
      <alignment horizontal="center" vertical="top" wrapText="1"/>
    </xf>
    <xf numFmtId="0" fontId="9" fillId="0" borderId="26" xfId="1" applyBorder="1" applyAlignment="1">
      <alignment horizontal="center"/>
    </xf>
    <xf numFmtId="0" fontId="3" fillId="47" borderId="5" xfId="1" applyFont="1" applyFill="1" applyBorder="1" applyAlignment="1">
      <alignment horizontal="center" vertical="center"/>
    </xf>
    <xf numFmtId="0" fontId="3" fillId="47" borderId="6" xfId="1" applyFont="1" applyFill="1" applyBorder="1" applyAlignment="1">
      <alignment horizontal="center" vertical="center"/>
    </xf>
    <xf numFmtId="165" fontId="3" fillId="47" borderId="6" xfId="1" applyNumberFormat="1" applyFont="1" applyFill="1" applyBorder="1" applyAlignment="1">
      <alignment horizontal="center" vertical="center"/>
    </xf>
    <xf numFmtId="164" fontId="3" fillId="47" borderId="6" xfId="1" applyNumberFormat="1" applyFont="1" applyFill="1" applyBorder="1" applyAlignment="1">
      <alignment horizontal="center" vertical="center"/>
    </xf>
    <xf numFmtId="0" fontId="3" fillId="47" borderId="7" xfId="1" applyFont="1" applyFill="1" applyBorder="1" applyAlignment="1">
      <alignment horizontal="center" vertical="center"/>
    </xf>
    <xf numFmtId="0" fontId="3" fillId="47" borderId="27" xfId="1" applyFont="1" applyFill="1" applyBorder="1" applyAlignment="1">
      <alignment horizontal="center" vertical="center"/>
    </xf>
    <xf numFmtId="164" fontId="3" fillId="47" borderId="7" xfId="1" applyNumberFormat="1" applyFont="1" applyFill="1" applyBorder="1" applyAlignment="1">
      <alignment horizontal="center" vertical="center"/>
    </xf>
    <xf numFmtId="165" fontId="9" fillId="0" borderId="0" xfId="1" applyNumberFormat="1"/>
    <xf numFmtId="164" fontId="9" fillId="0" borderId="0" xfId="1" applyNumberFormat="1"/>
    <xf numFmtId="49" fontId="9" fillId="0" borderId="0" xfId="1" applyNumberFormat="1"/>
    <xf numFmtId="165" fontId="9" fillId="0" borderId="0" xfId="1" applyNumberFormat="1" applyFont="1" applyAlignment="1">
      <alignment horizontal="center"/>
    </xf>
    <xf numFmtId="49" fontId="9" fillId="0" borderId="0" xfId="1" applyNumberFormat="1" applyAlignment="1">
      <alignment horizontal="center"/>
    </xf>
    <xf numFmtId="164" fontId="9" fillId="0" borderId="0" xfId="1" applyNumberFormat="1" applyAlignment="1">
      <alignment horizontal="center"/>
    </xf>
    <xf numFmtId="0" fontId="19" fillId="0" borderId="6" xfId="1" applyFont="1" applyBorder="1" applyAlignment="1">
      <alignment horizontal="center"/>
    </xf>
    <xf numFmtId="0" fontId="9" fillId="19" borderId="0" xfId="1" applyFill="1"/>
    <xf numFmtId="165" fontId="9" fillId="19" borderId="1" xfId="1" applyNumberFormat="1" applyFont="1" applyFill="1" applyBorder="1" applyAlignment="1">
      <alignment horizontal="center"/>
    </xf>
    <xf numFmtId="164" fontId="9" fillId="19" borderId="1" xfId="1" applyNumberFormat="1" applyFont="1" applyFill="1" applyBorder="1" applyAlignment="1">
      <alignment horizontal="center"/>
    </xf>
    <xf numFmtId="0" fontId="9" fillId="19" borderId="25" xfId="1" applyFont="1" applyFill="1" applyBorder="1" applyAlignment="1">
      <alignment horizontal="center"/>
    </xf>
    <xf numFmtId="165" fontId="9" fillId="19" borderId="1" xfId="1" applyNumberFormat="1" applyFont="1" applyFill="1" applyBorder="1"/>
    <xf numFmtId="164" fontId="9" fillId="19" borderId="1" xfId="1" applyNumberFormat="1" applyFill="1" applyBorder="1"/>
    <xf numFmtId="0" fontId="9" fillId="19" borderId="0" xfId="1" applyFont="1" applyFill="1" applyAlignment="1">
      <alignment wrapText="1"/>
    </xf>
    <xf numFmtId="164" fontId="9" fillId="19" borderId="0" xfId="1" applyNumberFormat="1" applyFill="1"/>
    <xf numFmtId="167" fontId="9" fillId="19" borderId="0" xfId="1" applyNumberFormat="1" applyFill="1" applyAlignment="1">
      <alignment horizontal="left"/>
    </xf>
    <xf numFmtId="0" fontId="4" fillId="19" borderId="0" xfId="1" applyFont="1" applyFill="1"/>
    <xf numFmtId="0" fontId="9" fillId="19" borderId="1" xfId="1" applyFill="1" applyBorder="1"/>
    <xf numFmtId="165" fontId="9" fillId="19" borderId="2" xfId="1" applyNumberFormat="1" applyFill="1" applyBorder="1" applyAlignment="1">
      <alignment horizontal="center"/>
    </xf>
    <xf numFmtId="164" fontId="9" fillId="19" borderId="2" xfId="1" applyNumberFormat="1" applyFill="1" applyBorder="1" applyAlignment="1">
      <alignment horizontal="center"/>
    </xf>
    <xf numFmtId="165" fontId="9" fillId="0" borderId="1" xfId="1" applyNumberFormat="1" applyBorder="1" applyAlignment="1">
      <alignment horizontal="center"/>
    </xf>
    <xf numFmtId="49" fontId="9" fillId="0" borderId="1" xfId="1" applyNumberFormat="1" applyFont="1" applyBorder="1" applyAlignment="1">
      <alignment horizontal="center"/>
    </xf>
    <xf numFmtId="164" fontId="9" fillId="0" borderId="1" xfId="1" applyNumberFormat="1" applyBorder="1" applyAlignment="1">
      <alignment horizontal="center"/>
    </xf>
    <xf numFmtId="0" fontId="9" fillId="19" borderId="6" xfId="1" applyFont="1" applyFill="1" applyBorder="1" applyAlignment="1">
      <alignment horizontal="center"/>
    </xf>
    <xf numFmtId="165" fontId="9" fillId="19" borderId="6" xfId="1" applyNumberFormat="1" applyFill="1" applyBorder="1" applyAlignment="1">
      <alignment horizontal="center"/>
    </xf>
    <xf numFmtId="164" fontId="9" fillId="19" borderId="0" xfId="1" applyNumberFormat="1" applyFont="1" applyFill="1" applyAlignment="1">
      <alignment horizontal="center"/>
    </xf>
    <xf numFmtId="165" fontId="9" fillId="19" borderId="0" xfId="1" applyNumberFormat="1" applyFont="1" applyFill="1" applyAlignment="1">
      <alignment horizontal="center"/>
    </xf>
    <xf numFmtId="0" fontId="9" fillId="19" borderId="0" xfId="1" applyFont="1" applyFill="1" applyAlignment="1">
      <alignment horizontal="center" wrapText="1"/>
    </xf>
    <xf numFmtId="2" fontId="9" fillId="19" borderId="2" xfId="1" applyNumberFormat="1" applyFill="1" applyBorder="1" applyAlignment="1">
      <alignment horizontal="center"/>
    </xf>
    <xf numFmtId="0" fontId="9" fillId="35" borderId="0" xfId="1" applyFill="1"/>
    <xf numFmtId="2" fontId="9" fillId="0" borderId="2" xfId="1" applyNumberFormat="1" applyBorder="1" applyAlignment="1">
      <alignment horizontal="center"/>
    </xf>
    <xf numFmtId="165" fontId="9" fillId="0" borderId="2" xfId="1" applyNumberFormat="1" applyBorder="1" applyAlignment="1">
      <alignment horizontal="center"/>
    </xf>
    <xf numFmtId="164" fontId="9" fillId="0" borderId="2" xfId="1" applyNumberFormat="1" applyBorder="1" applyAlignment="1">
      <alignment horizontal="center"/>
    </xf>
    <xf numFmtId="2" fontId="9" fillId="0" borderId="1" xfId="1" applyNumberFormat="1" applyBorder="1" applyAlignment="1">
      <alignment horizontal="center"/>
    </xf>
    <xf numFmtId="167" fontId="9" fillId="0" borderId="0" xfId="1" applyNumberFormat="1" applyAlignment="1">
      <alignment horizontal="left"/>
    </xf>
    <xf numFmtId="167" fontId="9" fillId="0" borderId="0" xfId="1" applyNumberFormat="1" applyAlignment="1">
      <alignment horizontal="left" vertical="top"/>
    </xf>
    <xf numFmtId="0" fontId="4" fillId="0" borderId="0" xfId="1" applyFont="1" applyAlignment="1">
      <alignment vertical="top"/>
    </xf>
    <xf numFmtId="0" fontId="9" fillId="0" borderId="0" xfId="1" applyAlignment="1">
      <alignment vertical="top"/>
    </xf>
    <xf numFmtId="0" fontId="19" fillId="26" borderId="1" xfId="1" applyFont="1" applyFill="1" applyBorder="1" applyAlignment="1">
      <alignment horizontal="center" vertical="top"/>
    </xf>
    <xf numFmtId="0" fontId="9" fillId="0" borderId="1" xfId="1" applyFont="1" applyBorder="1" applyAlignment="1">
      <alignment horizontal="center" vertical="top"/>
    </xf>
    <xf numFmtId="2" fontId="9" fillId="0" borderId="1" xfId="1" applyNumberFormat="1" applyBorder="1" applyAlignment="1">
      <alignment horizontal="center" vertical="top"/>
    </xf>
    <xf numFmtId="165" fontId="9" fillId="0" borderId="1" xfId="1" applyNumberFormat="1" applyBorder="1" applyAlignment="1">
      <alignment horizontal="center" vertical="top"/>
    </xf>
    <xf numFmtId="164" fontId="9" fillId="0" borderId="1" xfId="1" applyNumberFormat="1" applyBorder="1" applyAlignment="1">
      <alignment horizontal="center" vertical="top"/>
    </xf>
    <xf numFmtId="164" fontId="9" fillId="0" borderId="0" xfId="1" applyNumberFormat="1" applyAlignment="1">
      <alignment horizontal="center" vertical="top"/>
    </xf>
    <xf numFmtId="164" fontId="4" fillId="0" borderId="0" xfId="1" applyNumberFormat="1" applyFont="1" applyAlignment="1">
      <alignment horizontal="center" vertical="center"/>
    </xf>
    <xf numFmtId="0" fontId="9" fillId="0" borderId="26" xfId="1" applyBorder="1"/>
    <xf numFmtId="164" fontId="4" fillId="0" borderId="3" xfId="1" applyNumberFormat="1" applyFont="1" applyBorder="1" applyAlignment="1">
      <alignment horizontal="center" vertical="center"/>
    </xf>
    <xf numFmtId="168" fontId="9" fillId="0" borderId="0" xfId="1" applyNumberFormat="1"/>
    <xf numFmtId="168" fontId="9" fillId="0" borderId="0" xfId="1" applyNumberFormat="1" applyFont="1" applyAlignment="1">
      <alignment horizontal="center"/>
    </xf>
    <xf numFmtId="0" fontId="19" fillId="37" borderId="1" xfId="1" applyFont="1" applyFill="1" applyBorder="1" applyAlignment="1">
      <alignment horizontal="center"/>
    </xf>
    <xf numFmtId="20" fontId="9" fillId="0" borderId="0" xfId="1" applyNumberFormat="1" applyAlignment="1">
      <alignment horizontal="center"/>
    </xf>
    <xf numFmtId="168" fontId="4" fillId="0" borderId="0" xfId="1" applyNumberFormat="1" applyFont="1" applyAlignment="1">
      <alignment horizontal="center"/>
    </xf>
    <xf numFmtId="0" fontId="9" fillId="0" borderId="0" xfId="1" applyAlignment="1">
      <alignment horizontal="left"/>
    </xf>
    <xf numFmtId="0" fontId="30" fillId="0" borderId="0" xfId="1" applyFont="1" applyAlignment="1">
      <alignment horizontal="center"/>
    </xf>
    <xf numFmtId="0" fontId="4" fillId="0" borderId="3" xfId="1" applyFont="1" applyBorder="1" applyAlignment="1">
      <alignment horizontal="center"/>
    </xf>
    <xf numFmtId="14" fontId="9" fillId="0" borderId="0" xfId="1" applyNumberFormat="1"/>
    <xf numFmtId="16" fontId="2" fillId="10" borderId="4" xfId="0" applyNumberFormat="1" applyFont="1" applyFill="1" applyBorder="1" applyAlignment="1">
      <alignment horizontal="center" vertical="center"/>
    </xf>
    <xf numFmtId="0" fontId="7" fillId="0" borderId="3" xfId="0" applyFont="1" applyBorder="1" applyAlignment="1">
      <alignment horizontal="center" vertical="center" wrapText="1"/>
    </xf>
    <xf numFmtId="0" fontId="7" fillId="0" borderId="3" xfId="0" applyFont="1" applyBorder="1" applyAlignment="1" applyProtection="1">
      <alignment horizontal="center" vertical="center" wrapText="1"/>
    </xf>
    <xf numFmtId="0" fontId="7" fillId="0" borderId="3" xfId="0" applyFont="1" applyFill="1" applyBorder="1" applyAlignment="1">
      <alignment horizontal="center" vertical="center" wrapText="1"/>
    </xf>
    <xf numFmtId="0" fontId="1" fillId="4" borderId="7" xfId="0" applyFont="1" applyFill="1" applyBorder="1" applyAlignment="1">
      <alignment horizontal="center" vertical="center" wrapText="1"/>
    </xf>
    <xf numFmtId="0" fontId="1" fillId="3" borderId="6" xfId="0" applyFont="1" applyFill="1" applyBorder="1" applyAlignment="1">
      <alignment horizontal="center" vertical="center"/>
    </xf>
    <xf numFmtId="0" fontId="1" fillId="3" borderId="6" xfId="0" applyFont="1" applyFill="1" applyBorder="1" applyAlignment="1">
      <alignment horizontal="center" vertical="center" wrapText="1"/>
    </xf>
    <xf numFmtId="16" fontId="1" fillId="3" borderId="6" xfId="0" applyNumberFormat="1" applyFont="1" applyFill="1" applyBorder="1" applyAlignment="1">
      <alignment horizontal="center" vertical="center" wrapText="1"/>
    </xf>
    <xf numFmtId="165" fontId="1" fillId="3" borderId="6" xfId="0" applyNumberFormat="1" applyFont="1" applyFill="1" applyBorder="1" applyAlignment="1">
      <alignment horizontal="center" vertical="center" wrapText="1"/>
    </xf>
    <xf numFmtId="0" fontId="1" fillId="4" borderId="5" xfId="0" applyFont="1" applyFill="1" applyBorder="1" applyAlignment="1">
      <alignment horizontal="center" vertical="center" wrapText="1"/>
    </xf>
    <xf numFmtId="0" fontId="7" fillId="48" borderId="1" xfId="0" applyFont="1" applyFill="1" applyBorder="1" applyAlignment="1">
      <alignment horizontal="center" vertical="center"/>
    </xf>
    <xf numFmtId="0" fontId="7" fillId="48" borderId="1" xfId="0" applyFont="1" applyFill="1" applyBorder="1" applyAlignment="1">
      <alignment horizontal="center" vertical="center" wrapText="1"/>
    </xf>
    <xf numFmtId="16" fontId="2" fillId="48" borderId="1" xfId="0" applyNumberFormat="1" applyFont="1" applyFill="1" applyBorder="1" applyAlignment="1">
      <alignment horizontal="center" vertical="center"/>
    </xf>
    <xf numFmtId="0" fontId="7" fillId="10" borderId="2" xfId="0" applyFont="1" applyFill="1" applyBorder="1" applyAlignment="1">
      <alignment horizontal="center" vertical="center" wrapText="1"/>
    </xf>
    <xf numFmtId="16" fontId="33" fillId="10" borderId="1" xfId="0" applyNumberFormat="1" applyFont="1" applyFill="1" applyBorder="1" applyAlignment="1">
      <alignment horizontal="center" vertical="center"/>
    </xf>
    <xf numFmtId="20" fontId="34" fillId="10" borderId="1" xfId="0" applyNumberFormat="1" applyFont="1" applyFill="1" applyBorder="1" applyAlignment="1">
      <alignment horizontal="center" vertical="center" wrapText="1"/>
    </xf>
    <xf numFmtId="0" fontId="34" fillId="0" borderId="1" xfId="0" applyFont="1" applyBorder="1" applyAlignment="1">
      <alignment horizontal="center" vertical="center" wrapText="1"/>
    </xf>
    <xf numFmtId="16" fontId="7" fillId="10" borderId="1" xfId="0" applyNumberFormat="1" applyFont="1" applyFill="1" applyBorder="1" applyAlignment="1">
      <alignment horizontal="center" vertical="center" wrapText="1"/>
    </xf>
    <xf numFmtId="16" fontId="7" fillId="0" borderId="1" xfId="0" applyNumberFormat="1" applyFont="1" applyBorder="1" applyAlignment="1">
      <alignment horizontal="center" vertical="center" wrapText="1"/>
    </xf>
    <xf numFmtId="16" fontId="2" fillId="0" borderId="9" xfId="0" applyNumberFormat="1" applyFont="1" applyBorder="1" applyAlignment="1">
      <alignment horizontal="center" vertical="center"/>
    </xf>
    <xf numFmtId="0" fontId="7" fillId="0" borderId="2" xfId="0" applyFont="1" applyBorder="1" applyAlignment="1">
      <alignment horizontal="center" vertical="center" wrapText="1"/>
    </xf>
    <xf numFmtId="16" fontId="2" fillId="0" borderId="2" xfId="0" applyNumberFormat="1" applyFont="1" applyBorder="1" applyAlignment="1">
      <alignment horizontal="center" vertical="center"/>
    </xf>
    <xf numFmtId="0" fontId="7" fillId="0" borderId="2" xfId="0" applyFont="1" applyFill="1" applyBorder="1" applyAlignment="1">
      <alignment horizontal="center" vertical="center" wrapText="1"/>
    </xf>
    <xf numFmtId="0" fontId="7" fillId="0" borderId="8" xfId="0" applyFont="1" applyBorder="1" applyAlignment="1">
      <alignment horizontal="center" vertical="center" wrapText="1"/>
    </xf>
    <xf numFmtId="16" fontId="2" fillId="10" borderId="9" xfId="0" applyNumberFormat="1" applyFont="1" applyFill="1" applyBorder="1" applyAlignment="1">
      <alignment horizontal="center" vertical="center"/>
    </xf>
    <xf numFmtId="16" fontId="33" fillId="10" borderId="4" xfId="0" applyNumberFormat="1" applyFont="1" applyFill="1" applyBorder="1" applyAlignment="1">
      <alignment horizontal="center" vertical="center"/>
    </xf>
    <xf numFmtId="0" fontId="32" fillId="10" borderId="1" xfId="0" applyFont="1" applyFill="1" applyBorder="1" applyAlignment="1">
      <alignment horizontal="center" vertical="center" wrapText="1"/>
    </xf>
    <xf numFmtId="16" fontId="2" fillId="10" borderId="2" xfId="0" applyNumberFormat="1" applyFont="1" applyFill="1" applyBorder="1" applyAlignment="1">
      <alignment horizontal="center" vertical="center"/>
    </xf>
    <xf numFmtId="16" fontId="31" fillId="10" borderId="1" xfId="0" applyNumberFormat="1" applyFont="1" applyFill="1" applyBorder="1" applyAlignment="1">
      <alignment horizontal="center" vertical="center"/>
    </xf>
    <xf numFmtId="16" fontId="32" fillId="10" borderId="1" xfId="0" applyNumberFormat="1" applyFont="1" applyFill="1" applyBorder="1" applyAlignment="1">
      <alignment horizontal="center" vertical="center" wrapText="1"/>
    </xf>
    <xf numFmtId="20" fontId="7" fillId="0" borderId="1" xfId="0" applyNumberFormat="1" applyFont="1" applyFill="1" applyBorder="1" applyAlignment="1">
      <alignment horizontal="center" vertical="center" wrapText="1"/>
    </xf>
    <xf numFmtId="20" fontId="32" fillId="10" borderId="1" xfId="0" applyNumberFormat="1" applyFont="1" applyFill="1" applyBorder="1" applyAlignment="1">
      <alignment horizontal="center" vertical="center" wrapText="1"/>
    </xf>
    <xf numFmtId="0" fontId="32" fillId="0" borderId="1" xfId="0" applyFont="1" applyFill="1" applyBorder="1" applyAlignment="1">
      <alignment horizontal="center" vertical="center" wrapText="1"/>
    </xf>
    <xf numFmtId="0" fontId="7" fillId="48" borderId="3" xfId="0" applyFont="1" applyFill="1" applyBorder="1" applyAlignment="1">
      <alignment horizontal="center" vertical="center" wrapText="1"/>
    </xf>
    <xf numFmtId="16" fontId="35" fillId="0" borderId="4" xfId="0" applyNumberFormat="1" applyFont="1" applyBorder="1" applyAlignment="1">
      <alignment horizontal="center" vertical="center"/>
    </xf>
    <xf numFmtId="0" fontId="36" fillId="0" borderId="1" xfId="0" applyFont="1" applyBorder="1" applyAlignment="1">
      <alignment horizontal="center" vertical="center" wrapText="1"/>
    </xf>
    <xf numFmtId="16" fontId="35" fillId="0" borderId="1" xfId="0" applyNumberFormat="1" applyFont="1" applyBorder="1" applyAlignment="1">
      <alignment horizontal="center" vertical="center"/>
    </xf>
    <xf numFmtId="20" fontId="36" fillId="0" borderId="1" xfId="0" applyNumberFormat="1" applyFont="1" applyBorder="1" applyAlignment="1">
      <alignment horizontal="center" vertical="center" wrapText="1"/>
    </xf>
    <xf numFmtId="0" fontId="36" fillId="0" borderId="1" xfId="0" applyFont="1" applyFill="1" applyBorder="1" applyAlignment="1">
      <alignment horizontal="center" vertical="center" wrapText="1"/>
    </xf>
    <xf numFmtId="0" fontId="36" fillId="0" borderId="3" xfId="0" applyFont="1" applyBorder="1" applyAlignment="1">
      <alignment horizontal="center" vertical="center" wrapText="1"/>
    </xf>
    <xf numFmtId="20" fontId="36" fillId="10" borderId="1" xfId="0" applyNumberFormat="1" applyFont="1" applyFill="1" applyBorder="1" applyAlignment="1">
      <alignment horizontal="center" vertical="center" wrapText="1"/>
    </xf>
    <xf numFmtId="16" fontId="36" fillId="0" borderId="1" xfId="0" applyNumberFormat="1" applyFont="1" applyBorder="1" applyAlignment="1">
      <alignment horizontal="center" vertical="center" wrapText="1"/>
    </xf>
    <xf numFmtId="16" fontId="35" fillId="10" borderId="4" xfId="0" applyNumberFormat="1" applyFont="1" applyFill="1" applyBorder="1" applyAlignment="1">
      <alignment horizontal="center" vertical="center"/>
    </xf>
    <xf numFmtId="16" fontId="35" fillId="10" borderId="1" xfId="0" applyNumberFormat="1" applyFont="1" applyFill="1" applyBorder="1" applyAlignment="1">
      <alignment horizontal="center" vertical="center"/>
    </xf>
    <xf numFmtId="0" fontId="7" fillId="21" borderId="1" xfId="0" applyFont="1" applyFill="1" applyBorder="1" applyAlignment="1">
      <alignment horizontal="center" vertical="center" wrapText="1"/>
    </xf>
    <xf numFmtId="0" fontId="36" fillId="21" borderId="1" xfId="0" applyFont="1" applyFill="1" applyBorder="1" applyAlignment="1">
      <alignment horizontal="center" vertical="center" wrapText="1"/>
    </xf>
    <xf numFmtId="16" fontId="2" fillId="48" borderId="4" xfId="0" applyNumberFormat="1" applyFont="1" applyFill="1" applyBorder="1" applyAlignment="1">
      <alignment horizontal="center" vertical="center"/>
    </xf>
    <xf numFmtId="0" fontId="7" fillId="13" borderId="1" xfId="0" applyFont="1" applyFill="1" applyBorder="1" applyAlignment="1">
      <alignment horizontal="center" vertical="center" wrapText="1"/>
    </xf>
    <xf numFmtId="20" fontId="7" fillId="13" borderId="1" xfId="0" applyNumberFormat="1" applyFont="1" applyFill="1" applyBorder="1" applyAlignment="1">
      <alignment horizontal="center" vertical="center" wrapText="1"/>
    </xf>
    <xf numFmtId="0" fontId="36" fillId="0" borderId="2" xfId="0" applyFont="1" applyBorder="1" applyAlignment="1">
      <alignment horizontal="center" vertical="center" wrapText="1"/>
    </xf>
    <xf numFmtId="0" fontId="36" fillId="0" borderId="2" xfId="0" applyFont="1" applyFill="1" applyBorder="1" applyAlignment="1">
      <alignment horizontal="center" vertical="center" wrapText="1"/>
    </xf>
    <xf numFmtId="0" fontId="36" fillId="0" borderId="8" xfId="0" applyFont="1" applyBorder="1" applyAlignment="1">
      <alignment horizontal="center" vertical="center" wrapText="1"/>
    </xf>
    <xf numFmtId="16" fontId="35" fillId="49" borderId="4" xfId="0" applyNumberFormat="1" applyFont="1" applyFill="1" applyBorder="1" applyAlignment="1">
      <alignment horizontal="center" vertical="center"/>
    </xf>
    <xf numFmtId="0" fontId="36" fillId="50" borderId="1" xfId="0" applyFont="1" applyFill="1" applyBorder="1" applyAlignment="1">
      <alignment horizontal="center" vertical="center" wrapText="1"/>
    </xf>
    <xf numFmtId="16" fontId="35" fillId="49" borderId="1" xfId="0" applyNumberFormat="1" applyFont="1" applyFill="1" applyBorder="1" applyAlignment="1">
      <alignment horizontal="center" vertical="center"/>
    </xf>
    <xf numFmtId="16" fontId="35" fillId="10" borderId="9" xfId="0" applyNumberFormat="1" applyFont="1" applyFill="1" applyBorder="1" applyAlignment="1">
      <alignment horizontal="center" vertical="center"/>
    </xf>
    <xf numFmtId="16" fontId="35" fillId="0" borderId="9" xfId="0" applyNumberFormat="1" applyFont="1" applyBorder="1" applyAlignment="1">
      <alignment horizontal="center" vertical="center"/>
    </xf>
    <xf numFmtId="16" fontId="35" fillId="0" borderId="2" xfId="0" applyNumberFormat="1" applyFont="1" applyBorder="1" applyAlignment="1">
      <alignment horizontal="center" vertical="center"/>
    </xf>
    <xf numFmtId="16" fontId="36" fillId="0" borderId="2" xfId="0" applyNumberFormat="1" applyFont="1" applyBorder="1" applyAlignment="1">
      <alignment horizontal="center" vertical="center" wrapText="1"/>
    </xf>
    <xf numFmtId="20" fontId="7" fillId="0" borderId="2" xfId="0" applyNumberFormat="1" applyFont="1" applyBorder="1" applyAlignment="1">
      <alignment horizontal="center" vertical="center" wrapText="1"/>
    </xf>
    <xf numFmtId="0" fontId="0" fillId="0" borderId="0" xfId="0" applyFill="1"/>
    <xf numFmtId="16" fontId="7" fillId="10" borderId="2" xfId="0" applyNumberFormat="1" applyFont="1" applyFill="1" applyBorder="1" applyAlignment="1">
      <alignment horizontal="center" vertical="center" wrapText="1"/>
    </xf>
    <xf numFmtId="0" fontId="7" fillId="0" borderId="8" xfId="0" applyFont="1" applyFill="1" applyBorder="1" applyAlignment="1">
      <alignment horizontal="center" vertical="center" wrapText="1"/>
    </xf>
    <xf numFmtId="0" fontId="36" fillId="51" borderId="1" xfId="0" applyFont="1" applyFill="1" applyBorder="1" applyAlignment="1">
      <alignment horizontal="center" vertical="center" wrapText="1"/>
    </xf>
    <xf numFmtId="0" fontId="7" fillId="51" borderId="1" xfId="0" applyFont="1" applyFill="1" applyBorder="1" applyAlignment="1">
      <alignment horizontal="center" vertical="center" wrapText="1"/>
    </xf>
    <xf numFmtId="0" fontId="34" fillId="51" borderId="1" xfId="0" applyFont="1" applyFill="1" applyBorder="1" applyAlignment="1">
      <alignment horizontal="center" vertical="center" wrapText="1"/>
    </xf>
    <xf numFmtId="16" fontId="7" fillId="0" borderId="2" xfId="0" applyNumberFormat="1" applyFont="1" applyBorder="1" applyAlignment="1">
      <alignment horizontal="center" vertical="center" wrapText="1"/>
    </xf>
    <xf numFmtId="0" fontId="7" fillId="48" borderId="2" xfId="0" applyFont="1" applyFill="1" applyBorder="1" applyAlignment="1">
      <alignment horizontal="center" vertical="center"/>
    </xf>
    <xf numFmtId="0" fontId="7" fillId="48" borderId="2" xfId="0" applyFont="1" applyFill="1" applyBorder="1" applyAlignment="1">
      <alignment horizontal="center" vertical="center" wrapText="1"/>
    </xf>
    <xf numFmtId="0" fontId="7" fillId="48" borderId="8" xfId="0" applyFont="1" applyFill="1" applyBorder="1" applyAlignment="1">
      <alignment horizontal="center" vertical="center" wrapText="1"/>
    </xf>
    <xf numFmtId="0" fontId="40" fillId="0" borderId="2" xfId="0" applyFont="1" applyBorder="1" applyAlignment="1">
      <alignment horizontal="center" vertical="center" wrapText="1"/>
    </xf>
    <xf numFmtId="0" fontId="40" fillId="0" borderId="2" xfId="0" applyFont="1" applyFill="1" applyBorder="1" applyAlignment="1">
      <alignment horizontal="center" vertical="center" wrapText="1"/>
    </xf>
    <xf numFmtId="0" fontId="40" fillId="0" borderId="8" xfId="0" applyFont="1" applyBorder="1" applyAlignment="1">
      <alignment horizontal="center" vertical="center" wrapText="1"/>
    </xf>
    <xf numFmtId="0" fontId="40" fillId="0" borderId="1" xfId="0" applyFont="1" applyFill="1" applyBorder="1" applyAlignment="1">
      <alignment horizontal="center" vertical="center" wrapText="1"/>
    </xf>
    <xf numFmtId="20" fontId="40" fillId="0" borderId="1" xfId="0" applyNumberFormat="1" applyFont="1" applyFill="1" applyBorder="1" applyAlignment="1">
      <alignment horizontal="center" vertical="center" wrapText="1"/>
    </xf>
    <xf numFmtId="16" fontId="7" fillId="0" borderId="1" xfId="0" applyNumberFormat="1" applyFont="1" applyFill="1" applyBorder="1" applyAlignment="1">
      <alignment horizontal="center" vertical="center" wrapText="1"/>
    </xf>
    <xf numFmtId="16" fontId="2" fillId="0" borderId="4" xfId="0" applyNumberFormat="1" applyFont="1" applyFill="1" applyBorder="1" applyAlignment="1">
      <alignment horizontal="center" vertical="center"/>
    </xf>
    <xf numFmtId="16" fontId="2" fillId="0" borderId="1" xfId="0" applyNumberFormat="1" applyFont="1" applyFill="1" applyBorder="1" applyAlignment="1">
      <alignment horizontal="center" vertical="center"/>
    </xf>
    <xf numFmtId="16" fontId="2" fillId="0" borderId="9" xfId="0" applyNumberFormat="1" applyFont="1" applyFill="1" applyBorder="1" applyAlignment="1">
      <alignment horizontal="center" vertical="center"/>
    </xf>
    <xf numFmtId="0" fontId="40" fillId="0" borderId="1" xfId="0" applyFont="1" applyBorder="1" applyAlignment="1">
      <alignment horizontal="center" vertical="center" wrapText="1"/>
    </xf>
    <xf numFmtId="16" fontId="40" fillId="0" borderId="1" xfId="0" applyNumberFormat="1" applyFont="1" applyBorder="1" applyAlignment="1">
      <alignment horizontal="center" vertical="center" wrapText="1"/>
    </xf>
    <xf numFmtId="20" fontId="40" fillId="0" borderId="1" xfId="0" applyNumberFormat="1" applyFont="1" applyBorder="1" applyAlignment="1">
      <alignment horizontal="center" vertical="center" wrapText="1"/>
    </xf>
    <xf numFmtId="16" fontId="39" fillId="0" borderId="9" xfId="0" applyNumberFormat="1" applyFont="1" applyFill="1" applyBorder="1" applyAlignment="1">
      <alignment horizontal="center" vertical="center"/>
    </xf>
    <xf numFmtId="0" fontId="38" fillId="0" borderId="1" xfId="0" applyFont="1" applyBorder="1" applyAlignment="1">
      <alignment horizontal="center" vertical="center" wrapText="1"/>
    </xf>
    <xf numFmtId="16" fontId="37" fillId="0" borderId="1" xfId="0" applyNumberFormat="1" applyFont="1" applyBorder="1" applyAlignment="1">
      <alignment horizontal="center" vertical="center"/>
    </xf>
    <xf numFmtId="16" fontId="39" fillId="0" borderId="2" xfId="0" applyNumberFormat="1" applyFont="1" applyFill="1" applyBorder="1" applyAlignment="1">
      <alignment horizontal="center" vertical="center"/>
    </xf>
    <xf numFmtId="16" fontId="38" fillId="0" borderId="1" xfId="0" applyNumberFormat="1" applyFont="1" applyBorder="1" applyAlignment="1">
      <alignment horizontal="center" vertical="center" wrapText="1"/>
    </xf>
    <xf numFmtId="20" fontId="7" fillId="0" borderId="2" xfId="1" applyNumberFormat="1" applyFont="1" applyFill="1" applyBorder="1" applyAlignment="1">
      <alignment horizontal="center" vertical="center" wrapText="1"/>
    </xf>
    <xf numFmtId="20" fontId="38" fillId="0" borderId="1" xfId="0" applyNumberFormat="1" applyFont="1" applyBorder="1" applyAlignment="1">
      <alignment horizontal="center" vertical="center" wrapText="1"/>
    </xf>
    <xf numFmtId="0" fontId="38" fillId="0" borderId="3" xfId="0" applyFont="1" applyBorder="1" applyAlignment="1">
      <alignment horizontal="center" vertical="center" wrapText="1"/>
    </xf>
    <xf numFmtId="16" fontId="39" fillId="0" borderId="9" xfId="0" applyNumberFormat="1" applyFont="1" applyBorder="1" applyAlignment="1">
      <alignment horizontal="center" vertical="center"/>
    </xf>
    <xf numFmtId="16" fontId="39" fillId="0" borderId="2" xfId="0" applyNumberFormat="1" applyFont="1" applyBorder="1" applyAlignment="1">
      <alignment horizontal="center" vertical="center"/>
    </xf>
    <xf numFmtId="16" fontId="40" fillId="0" borderId="2" xfId="0" applyNumberFormat="1" applyFont="1" applyBorder="1" applyAlignment="1">
      <alignment horizontal="center" vertical="center" wrapText="1"/>
    </xf>
    <xf numFmtId="20" fontId="40" fillId="0" borderId="2" xfId="0" applyNumberFormat="1" applyFont="1" applyBorder="1" applyAlignment="1">
      <alignment horizontal="center" vertical="center" wrapText="1"/>
    </xf>
    <xf numFmtId="0" fontId="40" fillId="0" borderId="2" xfId="1" applyFont="1" applyFill="1" applyBorder="1" applyAlignment="1">
      <alignment horizontal="center" vertical="center" wrapText="1"/>
    </xf>
    <xf numFmtId="20" fontId="40" fillId="0" borderId="2" xfId="0" applyNumberFormat="1" applyFont="1" applyFill="1" applyBorder="1" applyAlignment="1">
      <alignment horizontal="center" vertical="center" wrapText="1"/>
    </xf>
    <xf numFmtId="20" fontId="7" fillId="0" borderId="2" xfId="0" applyNumberFormat="1" applyFont="1" applyFill="1" applyBorder="1" applyAlignment="1">
      <alignment horizontal="center" vertical="center" wrapText="1"/>
    </xf>
    <xf numFmtId="0" fontId="40" fillId="21" borderId="2" xfId="0" applyFont="1" applyFill="1" applyBorder="1" applyAlignment="1">
      <alignment horizontal="center" vertical="center" wrapText="1"/>
    </xf>
    <xf numFmtId="16" fontId="39" fillId="0" borderId="1" xfId="0" applyNumberFormat="1" applyFont="1" applyBorder="1" applyAlignment="1">
      <alignment horizontal="center" vertical="center"/>
    </xf>
    <xf numFmtId="16" fontId="39" fillId="0" borderId="4" xfId="0" applyNumberFormat="1" applyFont="1" applyFill="1" applyBorder="1" applyAlignment="1">
      <alignment horizontal="center" vertical="center"/>
    </xf>
    <xf numFmtId="16" fontId="39" fillId="0" borderId="1" xfId="0" applyNumberFormat="1" applyFont="1" applyFill="1" applyBorder="1" applyAlignment="1">
      <alignment horizontal="center" vertical="center"/>
    </xf>
    <xf numFmtId="16" fontId="2" fillId="0" borderId="4" xfId="0" applyNumberFormat="1" applyFont="1" applyBorder="1" applyAlignment="1">
      <alignment horizontal="center" vertical="center"/>
    </xf>
    <xf numFmtId="16" fontId="2" fillId="0" borderId="1" xfId="0" applyNumberFormat="1" applyFont="1" applyBorder="1" applyAlignment="1">
      <alignment horizontal="center" vertical="center"/>
    </xf>
    <xf numFmtId="16" fontId="41" fillId="0" borderId="9" xfId="0" applyNumberFormat="1" applyFont="1" applyBorder="1" applyAlignment="1">
      <alignment horizontal="center" vertical="center"/>
    </xf>
    <xf numFmtId="16" fontId="41" fillId="0" borderId="2" xfId="0" applyNumberFormat="1" applyFont="1" applyBorder="1" applyAlignment="1">
      <alignment horizontal="center" vertical="center"/>
    </xf>
    <xf numFmtId="16" fontId="35" fillId="0" borderId="9" xfId="0" applyNumberFormat="1" applyFont="1" applyFill="1" applyBorder="1" applyAlignment="1">
      <alignment horizontal="center" vertical="center"/>
    </xf>
    <xf numFmtId="16" fontId="35" fillId="0" borderId="2" xfId="0" applyNumberFormat="1" applyFont="1" applyFill="1" applyBorder="1" applyAlignment="1">
      <alignment horizontal="center" vertical="center"/>
    </xf>
    <xf numFmtId="20" fontId="7" fillId="10" borderId="2" xfId="0" applyNumberFormat="1" applyFont="1" applyFill="1" applyBorder="1" applyAlignment="1">
      <alignment horizontal="center" vertical="center" wrapText="1"/>
    </xf>
    <xf numFmtId="20" fontId="36" fillId="0" borderId="2" xfId="0" applyNumberFormat="1" applyFont="1" applyFill="1" applyBorder="1" applyAlignment="1">
      <alignment horizontal="center" vertical="center" wrapText="1"/>
    </xf>
    <xf numFmtId="0" fontId="7" fillId="21" borderId="2" xfId="0" applyFont="1" applyFill="1" applyBorder="1" applyAlignment="1">
      <alignment horizontal="center" vertical="center" wrapText="1"/>
    </xf>
    <xf numFmtId="16" fontId="39" fillId="0" borderId="4" xfId="0" applyNumberFormat="1" applyFont="1" applyBorder="1" applyAlignment="1">
      <alignment horizontal="center" vertical="center"/>
    </xf>
    <xf numFmtId="16" fontId="37" fillId="0" borderId="4" xfId="0" applyNumberFormat="1" applyFont="1" applyBorder="1" applyAlignment="1">
      <alignment horizontal="center" vertical="center"/>
    </xf>
    <xf numFmtId="0" fontId="7" fillId="14" borderId="2" xfId="0" applyFont="1" applyFill="1" applyBorder="1" applyAlignment="1">
      <alignment horizontal="center" vertical="center" wrapText="1"/>
    </xf>
    <xf numFmtId="16" fontId="7" fillId="0" borderId="2" xfId="0" applyNumberFormat="1" applyFont="1" applyFill="1" applyBorder="1" applyAlignment="1">
      <alignment horizontal="center" vertical="center" wrapText="1"/>
    </xf>
    <xf numFmtId="0" fontId="40" fillId="0" borderId="3" xfId="0" applyFont="1" applyBorder="1" applyAlignment="1">
      <alignment horizontal="center" vertical="center" wrapText="1"/>
    </xf>
    <xf numFmtId="16" fontId="44" fillId="0" borderId="9" xfId="0" applyNumberFormat="1" applyFont="1" applyFill="1" applyBorder="1" applyAlignment="1">
      <alignment horizontal="center" vertical="center"/>
    </xf>
    <xf numFmtId="16" fontId="44" fillId="0" borderId="2" xfId="0" applyNumberFormat="1" applyFont="1" applyFill="1" applyBorder="1" applyAlignment="1">
      <alignment horizontal="center" vertical="center"/>
    </xf>
    <xf numFmtId="16" fontId="31" fillId="0" borderId="4" xfId="0" applyNumberFormat="1" applyFont="1" applyBorder="1" applyAlignment="1">
      <alignment horizontal="center" vertical="center"/>
    </xf>
    <xf numFmtId="16" fontId="35" fillId="48" borderId="9" xfId="0" applyNumberFormat="1" applyFont="1" applyFill="1" applyBorder="1" applyAlignment="1">
      <alignment horizontal="center" vertical="center"/>
    </xf>
    <xf numFmtId="16" fontId="2" fillId="48" borderId="9" xfId="0" applyNumberFormat="1" applyFont="1" applyFill="1" applyBorder="1" applyAlignment="1">
      <alignment horizontal="center" vertical="center"/>
    </xf>
    <xf numFmtId="16" fontId="2" fillId="14" borderId="9" xfId="0" applyNumberFormat="1" applyFont="1" applyFill="1" applyBorder="1" applyAlignment="1">
      <alignment horizontal="center" vertical="center"/>
    </xf>
    <xf numFmtId="0" fontId="7" fillId="0" borderId="2" xfId="0" applyFont="1" applyBorder="1" applyAlignment="1">
      <alignment horizontal="center" vertical="center"/>
    </xf>
    <xf numFmtId="0" fontId="45" fillId="0" borderId="1" xfId="0" applyFont="1" applyBorder="1" applyAlignment="1">
      <alignment horizontal="center" vertical="center" wrapText="1"/>
    </xf>
    <xf numFmtId="16" fontId="33" fillId="0" borderId="1" xfId="0" applyNumberFormat="1" applyFont="1" applyBorder="1" applyAlignment="1">
      <alignment horizontal="center" vertical="center"/>
    </xf>
    <xf numFmtId="16" fontId="34" fillId="0" borderId="1" xfId="0" applyNumberFormat="1" applyFont="1" applyBorder="1" applyAlignment="1">
      <alignment horizontal="center" vertical="center" wrapText="1"/>
    </xf>
    <xf numFmtId="20" fontId="45" fillId="0" borderId="2" xfId="0" applyNumberFormat="1" applyFont="1" applyFill="1" applyBorder="1" applyAlignment="1">
      <alignment horizontal="center" vertical="center" wrapText="1"/>
    </xf>
    <xf numFmtId="20" fontId="42" fillId="0" borderId="2" xfId="0" applyNumberFormat="1" applyFont="1" applyBorder="1" applyAlignment="1">
      <alignment horizontal="center" vertical="center" wrapText="1"/>
    </xf>
    <xf numFmtId="20" fontId="34" fillId="0" borderId="1" xfId="0" applyNumberFormat="1" applyFont="1" applyBorder="1" applyAlignment="1">
      <alignment horizontal="center" vertical="center" wrapText="1"/>
    </xf>
    <xf numFmtId="0" fontId="42" fillId="0" borderId="2" xfId="0" applyFont="1" applyFill="1" applyBorder="1" applyAlignment="1">
      <alignment horizontal="center" vertical="center" wrapText="1"/>
    </xf>
    <xf numFmtId="0" fontId="34" fillId="0" borderId="1" xfId="0" applyFont="1" applyFill="1" applyBorder="1" applyAlignment="1">
      <alignment horizontal="center" vertical="center" wrapText="1"/>
    </xf>
    <xf numFmtId="0" fontId="36" fillId="0" borderId="3" xfId="0" applyFont="1" applyBorder="1" applyAlignment="1" applyProtection="1">
      <alignment horizontal="center" vertical="center" wrapText="1"/>
    </xf>
    <xf numFmtId="16" fontId="44" fillId="0" borderId="4" xfId="0" applyNumberFormat="1" applyFont="1" applyBorder="1" applyAlignment="1">
      <alignment horizontal="center" vertical="center"/>
    </xf>
    <xf numFmtId="16" fontId="44" fillId="0" borderId="1" xfId="0" applyNumberFormat="1" applyFont="1" applyBorder="1" applyAlignment="1">
      <alignment horizontal="center" vertical="center"/>
    </xf>
    <xf numFmtId="0" fontId="36" fillId="12" borderId="2" xfId="0" applyFont="1" applyFill="1" applyBorder="1" applyAlignment="1">
      <alignment horizontal="center" vertical="center" wrapText="1"/>
    </xf>
    <xf numFmtId="0" fontId="36" fillId="12" borderId="1" xfId="0" applyFont="1" applyFill="1" applyBorder="1" applyAlignment="1">
      <alignment horizontal="center" vertical="center" wrapText="1"/>
    </xf>
    <xf numFmtId="1" fontId="7" fillId="12" borderId="2" xfId="0" applyNumberFormat="1" applyFont="1" applyFill="1" applyBorder="1" applyAlignment="1">
      <alignment horizontal="center" vertical="center" wrapText="1"/>
    </xf>
    <xf numFmtId="0" fontId="7" fillId="12" borderId="2" xfId="0" applyFont="1" applyFill="1" applyBorder="1" applyAlignment="1">
      <alignment horizontal="center" vertical="center" wrapText="1"/>
    </xf>
    <xf numFmtId="16" fontId="44" fillId="10" borderId="9" xfId="0" applyNumberFormat="1" applyFont="1" applyFill="1" applyBorder="1" applyAlignment="1">
      <alignment horizontal="center" vertical="center"/>
    </xf>
    <xf numFmtId="0" fontId="45" fillId="10" borderId="2" xfId="0" applyFont="1" applyFill="1" applyBorder="1" applyAlignment="1">
      <alignment horizontal="center" vertical="center" wrapText="1"/>
    </xf>
    <xf numFmtId="16" fontId="44" fillId="10" borderId="4" xfId="0" applyNumberFormat="1" applyFont="1" applyFill="1" applyBorder="1" applyAlignment="1">
      <alignment horizontal="center" vertical="center"/>
    </xf>
    <xf numFmtId="16" fontId="44" fillId="10" borderId="1" xfId="0" applyNumberFormat="1" applyFont="1" applyFill="1" applyBorder="1" applyAlignment="1">
      <alignment horizontal="center" vertical="center"/>
    </xf>
    <xf numFmtId="0" fontId="47" fillId="0" borderId="1" xfId="0" applyFont="1" applyBorder="1" applyAlignment="1">
      <alignment horizontal="center" vertical="center" wrapText="1"/>
    </xf>
    <xf numFmtId="16" fontId="46" fillId="0" borderId="1" xfId="0" applyNumberFormat="1" applyFont="1" applyBorder="1" applyAlignment="1">
      <alignment horizontal="center" vertical="center"/>
    </xf>
    <xf numFmtId="0" fontId="47" fillId="0" borderId="1" xfId="0" applyFont="1" applyFill="1" applyBorder="1" applyAlignment="1">
      <alignment horizontal="center" vertical="center" wrapText="1"/>
    </xf>
    <xf numFmtId="16" fontId="46" fillId="0" borderId="9" xfId="0" applyNumberFormat="1" applyFont="1" applyBorder="1" applyAlignment="1">
      <alignment horizontal="center" vertical="center"/>
    </xf>
    <xf numFmtId="0" fontId="47" fillId="0" borderId="2" xfId="0" applyFont="1" applyBorder="1" applyAlignment="1">
      <alignment horizontal="center" vertical="center" wrapText="1"/>
    </xf>
    <xf numFmtId="16" fontId="46" fillId="0" borderId="2" xfId="0" applyNumberFormat="1" applyFont="1" applyBorder="1" applyAlignment="1">
      <alignment horizontal="center" vertical="center"/>
    </xf>
    <xf numFmtId="16" fontId="47" fillId="0" borderId="2" xfId="0" applyNumberFormat="1" applyFont="1" applyBorder="1" applyAlignment="1">
      <alignment horizontal="center" vertical="center" wrapText="1"/>
    </xf>
    <xf numFmtId="0" fontId="47" fillId="0" borderId="2" xfId="0" applyFont="1" applyFill="1" applyBorder="1" applyAlignment="1">
      <alignment horizontal="center" vertical="center" wrapText="1"/>
    </xf>
    <xf numFmtId="0" fontId="47" fillId="0" borderId="8" xfId="0" applyFont="1" applyBorder="1" applyAlignment="1">
      <alignment horizontal="center" vertical="center" wrapText="1"/>
    </xf>
    <xf numFmtId="20" fontId="45" fillId="10" borderId="1" xfId="0" applyNumberFormat="1" applyFont="1" applyFill="1" applyBorder="1" applyAlignment="1">
      <alignment horizontal="center" vertical="center" wrapText="1"/>
    </xf>
    <xf numFmtId="20" fontId="47" fillId="10" borderId="1" xfId="0" applyNumberFormat="1" applyFont="1" applyFill="1" applyBorder="1" applyAlignment="1">
      <alignment horizontal="center" vertical="center" wrapText="1"/>
    </xf>
    <xf numFmtId="16" fontId="48" fillId="0" borderId="9" xfId="0" applyNumberFormat="1" applyFont="1" applyBorder="1" applyAlignment="1">
      <alignment horizontal="center" vertical="center"/>
    </xf>
    <xf numFmtId="0" fontId="49" fillId="0" borderId="2" xfId="0" applyFont="1" applyBorder="1" applyAlignment="1">
      <alignment horizontal="center" vertical="center" wrapText="1"/>
    </xf>
    <xf numFmtId="16" fontId="48" fillId="0" borderId="2" xfId="0" applyNumberFormat="1" applyFont="1" applyBorder="1" applyAlignment="1">
      <alignment horizontal="center" vertical="center"/>
    </xf>
    <xf numFmtId="16" fontId="49" fillId="0" borderId="2" xfId="0" applyNumberFormat="1" applyFont="1" applyBorder="1" applyAlignment="1">
      <alignment horizontal="center" vertical="center" wrapText="1"/>
    </xf>
    <xf numFmtId="0" fontId="49" fillId="0" borderId="2" xfId="0" applyFont="1" applyFill="1" applyBorder="1" applyAlignment="1">
      <alignment horizontal="center" vertical="center" wrapText="1"/>
    </xf>
    <xf numFmtId="0" fontId="49" fillId="0" borderId="8" xfId="0" applyFont="1" applyBorder="1" applyAlignment="1">
      <alignment horizontal="center" vertical="center" wrapText="1"/>
    </xf>
    <xf numFmtId="20" fontId="49" fillId="0" borderId="2" xfId="0" applyNumberFormat="1" applyFont="1" applyBorder="1" applyAlignment="1">
      <alignment horizontal="center" vertical="center" wrapText="1"/>
    </xf>
    <xf numFmtId="0" fontId="7" fillId="12" borderId="1" xfId="0" applyFont="1" applyFill="1" applyBorder="1" applyAlignment="1">
      <alignment horizontal="center" vertical="center" wrapText="1"/>
    </xf>
    <xf numFmtId="16" fontId="50" fillId="10" borderId="9" xfId="0" applyNumberFormat="1" applyFont="1" applyFill="1" applyBorder="1" applyAlignment="1">
      <alignment horizontal="center" vertical="center"/>
    </xf>
    <xf numFmtId="16" fontId="50" fillId="10" borderId="2" xfId="0" applyNumberFormat="1" applyFont="1" applyFill="1" applyBorder="1" applyAlignment="1">
      <alignment horizontal="center" vertical="center"/>
    </xf>
    <xf numFmtId="20" fontId="51" fillId="10" borderId="2" xfId="0" applyNumberFormat="1" applyFont="1" applyFill="1" applyBorder="1" applyAlignment="1">
      <alignment horizontal="center" vertical="center" wrapText="1"/>
    </xf>
    <xf numFmtId="0" fontId="51" fillId="0" borderId="2" xfId="0" applyFont="1" applyFill="1" applyBorder="1" applyAlignment="1">
      <alignment horizontal="center" vertical="center" wrapText="1"/>
    </xf>
    <xf numFmtId="16" fontId="50" fillId="0" borderId="9" xfId="0" applyNumberFormat="1" applyFont="1" applyBorder="1" applyAlignment="1">
      <alignment horizontal="center" vertical="center"/>
    </xf>
    <xf numFmtId="16" fontId="50" fillId="0" borderId="2" xfId="0" applyNumberFormat="1" applyFont="1" applyBorder="1" applyAlignment="1">
      <alignment horizontal="center" vertical="center"/>
    </xf>
    <xf numFmtId="20" fontId="47" fillId="0" borderId="2" xfId="0" applyNumberFormat="1" applyFont="1" applyBorder="1" applyAlignment="1">
      <alignment horizontal="center" vertical="center" wrapText="1"/>
    </xf>
    <xf numFmtId="16" fontId="52" fillId="0" borderId="2" xfId="0" applyNumberFormat="1" applyFont="1" applyFill="1" applyBorder="1" applyAlignment="1">
      <alignment horizontal="center" vertical="center" wrapText="1"/>
    </xf>
    <xf numFmtId="0" fontId="54" fillId="0" borderId="2" xfId="0" applyFont="1" applyFill="1" applyBorder="1" applyAlignment="1">
      <alignment horizontal="center" vertical="center" wrapText="1"/>
    </xf>
    <xf numFmtId="16" fontId="53" fillId="53" borderId="9" xfId="0" applyNumberFormat="1" applyFont="1" applyFill="1" applyBorder="1" applyAlignment="1">
      <alignment horizontal="center" vertical="center"/>
    </xf>
    <xf numFmtId="0" fontId="7" fillId="53" borderId="2" xfId="0" applyFont="1" applyFill="1" applyBorder="1" applyAlignment="1">
      <alignment horizontal="center" vertical="center" wrapText="1"/>
    </xf>
    <xf numFmtId="16" fontId="53" fillId="53" borderId="2" xfId="0" applyNumberFormat="1" applyFont="1" applyFill="1" applyBorder="1" applyAlignment="1">
      <alignment horizontal="center" vertical="center"/>
    </xf>
    <xf numFmtId="16" fontId="53" fillId="0" borderId="9" xfId="0" applyNumberFormat="1" applyFont="1" applyBorder="1" applyAlignment="1">
      <alignment horizontal="center" vertical="center"/>
    </xf>
    <xf numFmtId="0" fontId="54" fillId="0" borderId="2" xfId="0" applyFont="1" applyBorder="1" applyAlignment="1">
      <alignment horizontal="center" vertical="center" wrapText="1"/>
    </xf>
    <xf numFmtId="16" fontId="44" fillId="10" borderId="2" xfId="0" applyNumberFormat="1" applyFont="1" applyFill="1" applyBorder="1" applyAlignment="1">
      <alignment horizontal="center" vertical="center"/>
    </xf>
    <xf numFmtId="16" fontId="2" fillId="48" borderId="2" xfId="0" applyNumberFormat="1" applyFont="1" applyFill="1" applyBorder="1" applyAlignment="1">
      <alignment horizontal="center" vertical="center"/>
    </xf>
    <xf numFmtId="20" fontId="45" fillId="10" borderId="2" xfId="0" applyNumberFormat="1" applyFont="1" applyFill="1" applyBorder="1" applyAlignment="1">
      <alignment horizontal="center" vertical="center" wrapText="1"/>
    </xf>
    <xf numFmtId="0" fontId="54" fillId="0" borderId="8" xfId="0" applyFont="1" applyBorder="1" applyAlignment="1">
      <alignment horizontal="center" vertical="center" wrapText="1"/>
    </xf>
    <xf numFmtId="16" fontId="39" fillId="10" borderId="9" xfId="0" applyNumberFormat="1" applyFont="1" applyFill="1" applyBorder="1" applyAlignment="1">
      <alignment horizontal="center" vertical="center"/>
    </xf>
    <xf numFmtId="16" fontId="47" fillId="0" borderId="1" xfId="0" applyNumberFormat="1" applyFont="1" applyBorder="1" applyAlignment="1">
      <alignment horizontal="center" vertical="center" wrapText="1"/>
    </xf>
    <xf numFmtId="16" fontId="55" fillId="0" borderId="9" xfId="0" applyNumberFormat="1" applyFont="1" applyBorder="1" applyAlignment="1">
      <alignment horizontal="center" vertical="center"/>
    </xf>
    <xf numFmtId="0" fontId="56" fillId="0" borderId="2" xfId="0" applyFont="1" applyBorder="1" applyAlignment="1">
      <alignment horizontal="center" vertical="center" wrapText="1"/>
    </xf>
    <xf numFmtId="16" fontId="55" fillId="0" borderId="2" xfId="0" applyNumberFormat="1" applyFont="1" applyBorder="1" applyAlignment="1">
      <alignment horizontal="center" vertical="center"/>
    </xf>
    <xf numFmtId="16" fontId="56" fillId="0" borderId="2" xfId="0" applyNumberFormat="1" applyFont="1" applyBorder="1" applyAlignment="1">
      <alignment horizontal="center" vertical="center" wrapText="1"/>
    </xf>
    <xf numFmtId="0" fontId="56" fillId="0" borderId="2" xfId="0" applyFont="1" applyFill="1" applyBorder="1" applyAlignment="1">
      <alignment horizontal="center" vertical="center" wrapText="1"/>
    </xf>
    <xf numFmtId="0" fontId="56" fillId="0" borderId="8" xfId="0" applyFont="1" applyBorder="1" applyAlignment="1">
      <alignment horizontal="center" vertical="center" wrapText="1"/>
    </xf>
    <xf numFmtId="20" fontId="56" fillId="0" borderId="2" xfId="0" applyNumberFormat="1" applyFont="1" applyBorder="1" applyAlignment="1">
      <alignment horizontal="center" vertical="center" wrapText="1"/>
    </xf>
    <xf numFmtId="16" fontId="55" fillId="10" borderId="9" xfId="0" applyNumberFormat="1" applyFont="1" applyFill="1" applyBorder="1" applyAlignment="1">
      <alignment horizontal="center" vertical="center"/>
    </xf>
    <xf numFmtId="0" fontId="56" fillId="10" borderId="2" xfId="0" applyFont="1" applyFill="1" applyBorder="1" applyAlignment="1">
      <alignment horizontal="center" vertical="center" wrapText="1"/>
    </xf>
    <xf numFmtId="16" fontId="55" fillId="10" borderId="2" xfId="0" applyNumberFormat="1" applyFont="1" applyFill="1" applyBorder="1" applyAlignment="1">
      <alignment horizontal="center" vertical="center"/>
    </xf>
    <xf numFmtId="16" fontId="56" fillId="10" borderId="2" xfId="0" applyNumberFormat="1" applyFont="1" applyFill="1" applyBorder="1" applyAlignment="1">
      <alignment horizontal="center" vertical="center" wrapText="1"/>
    </xf>
    <xf numFmtId="20" fontId="56" fillId="10" borderId="2" xfId="0" applyNumberFormat="1" applyFont="1" applyFill="1" applyBorder="1" applyAlignment="1">
      <alignment horizontal="center" vertical="center" wrapText="1"/>
    </xf>
    <xf numFmtId="0" fontId="56" fillId="0" borderId="1" xfId="0" applyFont="1" applyFill="1" applyBorder="1" applyAlignment="1">
      <alignment horizontal="center" vertical="center" wrapText="1"/>
    </xf>
    <xf numFmtId="0" fontId="56" fillId="0" borderId="1" xfId="0" applyFont="1" applyBorder="1" applyAlignment="1">
      <alignment horizontal="center" vertical="center" wrapText="1"/>
    </xf>
    <xf numFmtId="0" fontId="56" fillId="0" borderId="3" xfId="0" applyFont="1" applyBorder="1" applyAlignment="1">
      <alignment horizontal="center" vertical="center" wrapText="1"/>
    </xf>
    <xf numFmtId="16" fontId="55" fillId="0" borderId="4" xfId="0" applyNumberFormat="1" applyFont="1" applyBorder="1" applyAlignment="1">
      <alignment horizontal="center" vertical="center"/>
    </xf>
    <xf numFmtId="16" fontId="55" fillId="0" borderId="1" xfId="0" applyNumberFormat="1" applyFont="1" applyBorder="1" applyAlignment="1">
      <alignment horizontal="center" vertical="center"/>
    </xf>
    <xf numFmtId="20" fontId="56" fillId="0" borderId="1" xfId="0" applyNumberFormat="1" applyFont="1" applyBorder="1" applyAlignment="1">
      <alignment horizontal="center" vertical="center" wrapText="1"/>
    </xf>
    <xf numFmtId="16" fontId="56" fillId="0" borderId="1" xfId="0" applyNumberFormat="1" applyFont="1" applyBorder="1" applyAlignment="1">
      <alignment horizontal="center" vertical="center" wrapText="1"/>
    </xf>
    <xf numFmtId="16" fontId="55" fillId="54" borderId="9" xfId="0" applyNumberFormat="1" applyFont="1" applyFill="1" applyBorder="1" applyAlignment="1">
      <alignment horizontal="center" vertical="center"/>
    </xf>
    <xf numFmtId="16" fontId="50" fillId="48" borderId="9" xfId="0" applyNumberFormat="1" applyFont="1" applyFill="1" applyBorder="1" applyAlignment="1">
      <alignment horizontal="center" vertical="center"/>
    </xf>
    <xf numFmtId="16" fontId="50" fillId="48" borderId="2" xfId="0" applyNumberFormat="1" applyFont="1" applyFill="1" applyBorder="1" applyAlignment="1">
      <alignment horizontal="center" vertical="center"/>
    </xf>
    <xf numFmtId="20" fontId="51" fillId="48" borderId="2" xfId="0" applyNumberFormat="1" applyFont="1" applyFill="1" applyBorder="1" applyAlignment="1">
      <alignment horizontal="center" vertical="center" wrapText="1"/>
    </xf>
    <xf numFmtId="0" fontId="51" fillId="48" borderId="2" xfId="0" applyFont="1" applyFill="1" applyBorder="1" applyAlignment="1">
      <alignment horizontal="center" vertical="center" wrapText="1"/>
    </xf>
    <xf numFmtId="16" fontId="35" fillId="10" borderId="2" xfId="0" applyNumberFormat="1" applyFont="1" applyFill="1" applyBorder="1" applyAlignment="1">
      <alignment horizontal="center" vertical="center"/>
    </xf>
    <xf numFmtId="20" fontId="7" fillId="53" borderId="2" xfId="0" applyNumberFormat="1" applyFont="1" applyFill="1" applyBorder="1" applyAlignment="1">
      <alignment horizontal="center" vertical="center" wrapText="1"/>
    </xf>
    <xf numFmtId="0" fontId="7" fillId="0" borderId="28" xfId="0" applyFont="1" applyFill="1" applyBorder="1" applyAlignment="1">
      <alignment horizontal="center" vertical="center" wrapText="1"/>
    </xf>
    <xf numFmtId="16" fontId="55" fillId="0" borderId="9" xfId="0" applyNumberFormat="1" applyFont="1" applyFill="1" applyBorder="1" applyAlignment="1">
      <alignment horizontal="center" vertical="center"/>
    </xf>
    <xf numFmtId="16" fontId="55" fillId="14" borderId="9" xfId="0" applyNumberFormat="1" applyFont="1" applyFill="1" applyBorder="1" applyAlignment="1">
      <alignment horizontal="center" vertical="center"/>
    </xf>
    <xf numFmtId="16" fontId="7" fillId="48" borderId="2" xfId="0" applyNumberFormat="1" applyFont="1" applyFill="1" applyBorder="1" applyAlignment="1">
      <alignment horizontal="center" vertical="center" wrapText="1"/>
    </xf>
    <xf numFmtId="20" fontId="7" fillId="48" borderId="2" xfId="0" applyNumberFormat="1" applyFont="1" applyFill="1" applyBorder="1" applyAlignment="1">
      <alignment horizontal="center" vertical="center" wrapText="1"/>
    </xf>
    <xf numFmtId="16" fontId="35" fillId="0" borderId="4" xfId="0" applyNumberFormat="1" applyFont="1" applyFill="1" applyBorder="1" applyAlignment="1">
      <alignment horizontal="center" vertical="center"/>
    </xf>
    <xf numFmtId="16" fontId="57" fillId="0" borderId="9" xfId="0" applyNumberFormat="1" applyFont="1" applyBorder="1" applyAlignment="1">
      <alignment horizontal="center" vertical="center"/>
    </xf>
    <xf numFmtId="16" fontId="57" fillId="10" borderId="9" xfId="0" applyNumberFormat="1" applyFont="1" applyFill="1" applyBorder="1" applyAlignment="1">
      <alignment horizontal="center" vertical="center"/>
    </xf>
    <xf numFmtId="0" fontId="7" fillId="0" borderId="2" xfId="0" applyFont="1" applyFill="1" applyBorder="1" applyAlignment="1">
      <alignment horizontal="center" vertical="center"/>
    </xf>
    <xf numFmtId="0" fontId="7" fillId="49" borderId="2" xfId="0" applyFont="1" applyFill="1" applyBorder="1" applyAlignment="1">
      <alignment horizontal="center" vertical="center" wrapText="1"/>
    </xf>
    <xf numFmtId="16" fontId="35" fillId="0" borderId="1" xfId="0" applyNumberFormat="1" applyFont="1" applyFill="1" applyBorder="1" applyAlignment="1">
      <alignment horizontal="center" vertical="center"/>
    </xf>
    <xf numFmtId="16" fontId="2" fillId="0" borderId="2" xfId="0" applyNumberFormat="1" applyFont="1" applyFill="1" applyBorder="1" applyAlignment="1">
      <alignment horizontal="center" vertical="center"/>
    </xf>
    <xf numFmtId="16" fontId="57" fillId="10" borderId="2" xfId="0" applyNumberFormat="1" applyFont="1" applyFill="1" applyBorder="1" applyAlignment="1">
      <alignment horizontal="center" vertical="center"/>
    </xf>
    <xf numFmtId="20" fontId="36" fillId="0" borderId="1" xfId="0" applyNumberFormat="1" applyFont="1" applyFill="1" applyBorder="1" applyAlignment="1">
      <alignment horizontal="center" vertical="center" wrapText="1"/>
    </xf>
    <xf numFmtId="20" fontId="36" fillId="10" borderId="2" xfId="0" applyNumberFormat="1" applyFont="1" applyFill="1" applyBorder="1" applyAlignment="1">
      <alignment horizontal="center" vertical="center" wrapText="1"/>
    </xf>
    <xf numFmtId="0" fontId="58" fillId="0" borderId="2" xfId="0" applyFont="1" applyBorder="1" applyAlignment="1">
      <alignment horizontal="center" vertical="center" wrapText="1"/>
    </xf>
    <xf numFmtId="0" fontId="58" fillId="10" borderId="2" xfId="0" applyFont="1" applyFill="1" applyBorder="1" applyAlignment="1">
      <alignment horizontal="center" vertical="center" wrapText="1"/>
    </xf>
    <xf numFmtId="20" fontId="36" fillId="0" borderId="2" xfId="0" applyNumberFormat="1" applyFont="1" applyBorder="1" applyAlignment="1">
      <alignment horizontal="center" vertical="center" wrapText="1"/>
    </xf>
    <xf numFmtId="20" fontId="58" fillId="0" borderId="2" xfId="0" applyNumberFormat="1" applyFont="1" applyBorder="1" applyAlignment="1">
      <alignment horizontal="center" vertical="center" wrapText="1"/>
    </xf>
    <xf numFmtId="0" fontId="58" fillId="0" borderId="2" xfId="0" applyFont="1" applyFill="1" applyBorder="1" applyAlignment="1">
      <alignment horizontal="center" vertical="center" wrapText="1"/>
    </xf>
    <xf numFmtId="0" fontId="36" fillId="48" borderId="2" xfId="0" applyFont="1" applyFill="1" applyBorder="1" applyAlignment="1">
      <alignment horizontal="center" vertical="center" wrapText="1"/>
    </xf>
    <xf numFmtId="16" fontId="35" fillId="48" borderId="2" xfId="0" applyNumberFormat="1" applyFont="1" applyFill="1" applyBorder="1" applyAlignment="1">
      <alignment horizontal="center" vertical="center"/>
    </xf>
    <xf numFmtId="16" fontId="53" fillId="10" borderId="2" xfId="0" applyNumberFormat="1" applyFont="1" applyFill="1" applyBorder="1" applyAlignment="1">
      <alignment horizontal="center" vertical="center"/>
    </xf>
    <xf numFmtId="0" fontId="36" fillId="48" borderId="8" xfId="0" applyFont="1" applyFill="1" applyBorder="1" applyAlignment="1">
      <alignment horizontal="center" vertical="center" wrapText="1"/>
    </xf>
    <xf numFmtId="16" fontId="59" fillId="0" borderId="9" xfId="0" applyNumberFormat="1" applyFont="1" applyBorder="1" applyAlignment="1">
      <alignment horizontal="center" vertical="center"/>
    </xf>
    <xf numFmtId="0" fontId="60" fillId="0" borderId="2" xfId="0" applyFont="1" applyBorder="1" applyAlignment="1">
      <alignment horizontal="center" vertical="center" wrapText="1"/>
    </xf>
    <xf numFmtId="16" fontId="59" fillId="0" borderId="2" xfId="0" applyNumberFormat="1" applyFont="1" applyBorder="1" applyAlignment="1">
      <alignment horizontal="center" vertical="center"/>
    </xf>
    <xf numFmtId="16" fontId="60" fillId="0" borderId="2" xfId="0" applyNumberFormat="1" applyFont="1" applyBorder="1" applyAlignment="1">
      <alignment horizontal="center" vertical="center" wrapText="1"/>
    </xf>
    <xf numFmtId="0" fontId="60" fillId="0" borderId="2" xfId="0" applyFont="1" applyFill="1" applyBorder="1" applyAlignment="1">
      <alignment horizontal="center" vertical="center" wrapText="1"/>
    </xf>
    <xf numFmtId="0" fontId="60" fillId="0" borderId="8" xfId="0" applyFont="1" applyBorder="1" applyAlignment="1">
      <alignment horizontal="center" vertical="center" wrapText="1"/>
    </xf>
    <xf numFmtId="20" fontId="60" fillId="0" borderId="2" xfId="0" applyNumberFormat="1" applyFont="1" applyBorder="1" applyAlignment="1">
      <alignment horizontal="center" vertical="center" wrapText="1"/>
    </xf>
    <xf numFmtId="16" fontId="59" fillId="10" borderId="9" xfId="0" applyNumberFormat="1" applyFont="1" applyFill="1" applyBorder="1" applyAlignment="1">
      <alignment horizontal="center" vertical="center"/>
    </xf>
    <xf numFmtId="0" fontId="56" fillId="12" borderId="1" xfId="0" applyFont="1" applyFill="1" applyBorder="1" applyAlignment="1">
      <alignment horizontal="center" vertical="center" wrapText="1"/>
    </xf>
    <xf numFmtId="0" fontId="56" fillId="12" borderId="2" xfId="0" applyFont="1" applyFill="1" applyBorder="1" applyAlignment="1">
      <alignment horizontal="center" vertical="center" wrapText="1"/>
    </xf>
    <xf numFmtId="0" fontId="54" fillId="12" borderId="2" xfId="0" applyFont="1" applyFill="1" applyBorder="1" applyAlignment="1">
      <alignment horizontal="center" vertical="center" wrapText="1"/>
    </xf>
    <xf numFmtId="16" fontId="65" fillId="0" borderId="9" xfId="0" applyNumberFormat="1" applyFont="1" applyBorder="1" applyAlignment="1">
      <alignment horizontal="center" vertical="center"/>
    </xf>
    <xf numFmtId="16" fontId="65" fillId="10" borderId="9" xfId="0" applyNumberFormat="1" applyFont="1" applyFill="1" applyBorder="1" applyAlignment="1">
      <alignment horizontal="center" vertical="center"/>
    </xf>
    <xf numFmtId="16" fontId="63" fillId="10" borderId="9" xfId="0" applyNumberFormat="1" applyFont="1" applyFill="1" applyBorder="1" applyAlignment="1">
      <alignment horizontal="center" vertical="center"/>
    </xf>
    <xf numFmtId="16" fontId="61" fillId="0" borderId="9" xfId="0" applyNumberFormat="1" applyFont="1" applyBorder="1" applyAlignment="1">
      <alignment horizontal="center" vertical="center"/>
    </xf>
    <xf numFmtId="16" fontId="65" fillId="0" borderId="2" xfId="0" applyNumberFormat="1" applyFont="1" applyBorder="1" applyAlignment="1">
      <alignment horizontal="center" vertical="center"/>
    </xf>
    <xf numFmtId="16" fontId="64" fillId="10" borderId="2" xfId="0" applyNumberFormat="1" applyFont="1" applyFill="1" applyBorder="1" applyAlignment="1">
      <alignment horizontal="center" vertical="center" wrapText="1"/>
    </xf>
    <xf numFmtId="0" fontId="64" fillId="10" borderId="2" xfId="0" applyFont="1" applyFill="1" applyBorder="1" applyAlignment="1">
      <alignment horizontal="center" vertical="center" wrapText="1"/>
    </xf>
    <xf numFmtId="20" fontId="64" fillId="0" borderId="2" xfId="0" applyNumberFormat="1" applyFont="1" applyBorder="1" applyAlignment="1">
      <alignment horizontal="center" vertical="center" wrapText="1"/>
    </xf>
    <xf numFmtId="0" fontId="64" fillId="0" borderId="2" xfId="0" applyFont="1" applyFill="1" applyBorder="1" applyAlignment="1">
      <alignment horizontal="center" vertical="center" wrapText="1"/>
    </xf>
    <xf numFmtId="20" fontId="7" fillId="55" borderId="2" xfId="0" applyNumberFormat="1" applyFont="1" applyFill="1" applyBorder="1" applyAlignment="1">
      <alignment horizontal="center" vertical="center" wrapText="1"/>
    </xf>
    <xf numFmtId="0" fontId="60" fillId="10" borderId="1" xfId="0" applyFont="1" applyFill="1" applyBorder="1" applyAlignment="1">
      <alignment horizontal="center" vertical="center" wrapText="1"/>
    </xf>
    <xf numFmtId="16" fontId="59" fillId="10" borderId="1" xfId="0" applyNumberFormat="1" applyFont="1" applyFill="1" applyBorder="1" applyAlignment="1">
      <alignment horizontal="center" vertical="center"/>
    </xf>
    <xf numFmtId="16" fontId="63" fillId="10" borderId="2" xfId="0" applyNumberFormat="1" applyFont="1" applyFill="1" applyBorder="1" applyAlignment="1">
      <alignment horizontal="center" vertical="center"/>
    </xf>
    <xf numFmtId="20" fontId="66" fillId="0" borderId="2" xfId="0" applyNumberFormat="1" applyFont="1" applyBorder="1" applyAlignment="1">
      <alignment horizontal="center" vertical="center" wrapText="1"/>
    </xf>
    <xf numFmtId="16" fontId="67" fillId="10" borderId="9" xfId="0" applyNumberFormat="1" applyFont="1" applyFill="1" applyBorder="1" applyAlignment="1">
      <alignment horizontal="center" vertical="center"/>
    </xf>
    <xf numFmtId="0" fontId="56" fillId="54" borderId="1" xfId="0" applyFont="1" applyFill="1" applyBorder="1" applyAlignment="1">
      <alignment horizontal="center" vertical="center" wrapText="1"/>
    </xf>
    <xf numFmtId="0" fontId="40" fillId="10" borderId="1" xfId="0" applyFont="1" applyFill="1" applyBorder="1" applyAlignment="1">
      <alignment horizontal="center" vertical="center" wrapText="1"/>
    </xf>
    <xf numFmtId="16" fontId="65" fillId="10" borderId="2" xfId="0" applyNumberFormat="1" applyFont="1" applyFill="1" applyBorder="1" applyAlignment="1">
      <alignment horizontal="center" vertical="center"/>
    </xf>
    <xf numFmtId="16" fontId="55" fillId="54" borderId="1" xfId="0" applyNumberFormat="1" applyFont="1" applyFill="1" applyBorder="1" applyAlignment="1">
      <alignment horizontal="center" vertical="center"/>
    </xf>
    <xf numFmtId="16" fontId="67" fillId="10" borderId="2" xfId="0" applyNumberFormat="1" applyFont="1" applyFill="1" applyBorder="1" applyAlignment="1">
      <alignment horizontal="center" vertical="center"/>
    </xf>
    <xf numFmtId="16" fontId="39" fillId="10" borderId="1" xfId="0" applyNumberFormat="1" applyFont="1" applyFill="1" applyBorder="1" applyAlignment="1">
      <alignment horizontal="center" vertical="center"/>
    </xf>
    <xf numFmtId="16" fontId="56" fillId="54" borderId="1" xfId="0" applyNumberFormat="1" applyFont="1" applyFill="1" applyBorder="1" applyAlignment="1">
      <alignment horizontal="center" vertical="center" wrapText="1"/>
    </xf>
    <xf numFmtId="0" fontId="68" fillId="10" borderId="2" xfId="0" applyFont="1" applyFill="1" applyBorder="1" applyAlignment="1">
      <alignment horizontal="center" vertical="center" wrapText="1"/>
    </xf>
    <xf numFmtId="20" fontId="66" fillId="10" borderId="2" xfId="0" applyNumberFormat="1" applyFont="1" applyFill="1" applyBorder="1" applyAlignment="1">
      <alignment horizontal="center" vertical="center" wrapText="1"/>
    </xf>
    <xf numFmtId="0" fontId="66" fillId="0" borderId="2" xfId="0" applyFont="1" applyFill="1" applyBorder="1" applyAlignment="1">
      <alignment horizontal="center" vertical="center" wrapText="1"/>
    </xf>
    <xf numFmtId="0" fontId="68" fillId="0" borderId="2" xfId="0" applyFont="1" applyBorder="1" applyAlignment="1">
      <alignment horizontal="center" vertical="center" wrapText="1"/>
    </xf>
    <xf numFmtId="0" fontId="68" fillId="0" borderId="8" xfId="0" applyFont="1" applyBorder="1" applyAlignment="1">
      <alignment horizontal="center" vertical="center" wrapText="1"/>
    </xf>
    <xf numFmtId="16" fontId="60" fillId="10" borderId="2" xfId="0" applyNumberFormat="1" applyFont="1" applyFill="1" applyBorder="1" applyAlignment="1">
      <alignment horizontal="center" vertical="center" wrapText="1"/>
    </xf>
    <xf numFmtId="20" fontId="60" fillId="10" borderId="2" xfId="0" applyNumberFormat="1" applyFont="1" applyFill="1" applyBorder="1" applyAlignment="1">
      <alignment horizontal="center" vertical="center" wrapText="1"/>
    </xf>
    <xf numFmtId="20" fontId="64" fillId="10" borderId="2" xfId="0" applyNumberFormat="1" applyFont="1" applyFill="1" applyBorder="1" applyAlignment="1">
      <alignment horizontal="center" vertical="center" wrapText="1"/>
    </xf>
    <xf numFmtId="16" fontId="69" fillId="48" borderId="9" xfId="0" applyNumberFormat="1" applyFont="1" applyFill="1" applyBorder="1" applyAlignment="1">
      <alignment horizontal="center" vertical="center"/>
    </xf>
    <xf numFmtId="0" fontId="70" fillId="48" borderId="2" xfId="0" applyFont="1" applyFill="1" applyBorder="1" applyAlignment="1">
      <alignment horizontal="center" vertical="center" wrapText="1"/>
    </xf>
    <xf numFmtId="16" fontId="70" fillId="52" borderId="2" xfId="0" applyNumberFormat="1" applyFont="1" applyFill="1" applyBorder="1" applyAlignment="1">
      <alignment horizontal="center" vertical="center" wrapText="1"/>
    </xf>
    <xf numFmtId="20" fontId="70" fillId="52" borderId="2" xfId="0" applyNumberFormat="1" applyFont="1" applyFill="1" applyBorder="1" applyAlignment="1">
      <alignment horizontal="center" vertical="center" wrapText="1"/>
    </xf>
    <xf numFmtId="0" fontId="70" fillId="0" borderId="2" xfId="0" applyFont="1" applyFill="1" applyBorder="1" applyAlignment="1">
      <alignment horizontal="center" vertical="center" wrapText="1"/>
    </xf>
    <xf numFmtId="0" fontId="70" fillId="48" borderId="8" xfId="0" applyFont="1" applyFill="1" applyBorder="1" applyAlignment="1">
      <alignment horizontal="center" vertical="center" wrapText="1"/>
    </xf>
    <xf numFmtId="16" fontId="69" fillId="0" borderId="9" xfId="0" applyNumberFormat="1" applyFont="1" applyBorder="1" applyAlignment="1">
      <alignment horizontal="center" vertical="center"/>
    </xf>
    <xf numFmtId="0" fontId="40" fillId="10" borderId="2" xfId="0" applyFont="1" applyFill="1" applyBorder="1" applyAlignment="1">
      <alignment horizontal="center" vertical="center" wrapText="1"/>
    </xf>
    <xf numFmtId="16" fontId="39" fillId="10" borderId="2" xfId="0" applyNumberFormat="1" applyFont="1" applyFill="1" applyBorder="1" applyAlignment="1">
      <alignment horizontal="center" vertical="center"/>
    </xf>
    <xf numFmtId="0" fontId="70" fillId="0" borderId="2" xfId="0" applyFont="1" applyBorder="1" applyAlignment="1">
      <alignment horizontal="center" vertical="center" wrapText="1"/>
    </xf>
    <xf numFmtId="0" fontId="70" fillId="0" borderId="8" xfId="0" applyFont="1" applyBorder="1" applyAlignment="1">
      <alignment horizontal="center" vertical="center" wrapText="1"/>
    </xf>
    <xf numFmtId="16" fontId="69" fillId="0" borderId="2" xfId="0" applyNumberFormat="1" applyFont="1" applyBorder="1" applyAlignment="1">
      <alignment horizontal="center" vertical="center"/>
    </xf>
    <xf numFmtId="16" fontId="70" fillId="0" borderId="2" xfId="0" applyNumberFormat="1" applyFont="1" applyBorder="1" applyAlignment="1">
      <alignment horizontal="center" vertical="center" wrapText="1"/>
    </xf>
    <xf numFmtId="0" fontId="7" fillId="14" borderId="1" xfId="0" applyFont="1" applyFill="1" applyBorder="1" applyAlignment="1">
      <alignment horizontal="center" vertical="center" wrapText="1"/>
    </xf>
    <xf numFmtId="0" fontId="60" fillId="0" borderId="1" xfId="0" applyFont="1" applyBorder="1" applyAlignment="1">
      <alignment horizontal="center" vertical="center" wrapText="1"/>
    </xf>
    <xf numFmtId="16" fontId="46" fillId="10" borderId="9" xfId="0" applyNumberFormat="1" applyFont="1" applyFill="1" applyBorder="1" applyAlignment="1">
      <alignment horizontal="center" vertical="center"/>
    </xf>
    <xf numFmtId="16" fontId="50" fillId="0" borderId="4" xfId="0" applyNumberFormat="1" applyFont="1" applyBorder="1" applyAlignment="1">
      <alignment horizontal="center" vertical="center"/>
    </xf>
    <xf numFmtId="16" fontId="57" fillId="0" borderId="9" xfId="0" applyNumberFormat="1" applyFont="1" applyFill="1" applyBorder="1" applyAlignment="1">
      <alignment horizontal="center" vertical="center"/>
    </xf>
    <xf numFmtId="0" fontId="47" fillId="10" borderId="2" xfId="0" applyFont="1" applyFill="1" applyBorder="1" applyAlignment="1">
      <alignment horizontal="center" vertical="center" wrapText="1"/>
    </xf>
    <xf numFmtId="16" fontId="46" fillId="10" borderId="2" xfId="0" applyNumberFormat="1" applyFont="1" applyFill="1" applyBorder="1" applyAlignment="1">
      <alignment horizontal="center" vertical="center"/>
    </xf>
    <xf numFmtId="16" fontId="50" fillId="0" borderId="1" xfId="0" applyNumberFormat="1" applyFont="1" applyBorder="1" applyAlignment="1">
      <alignment horizontal="center" vertical="center"/>
    </xf>
    <xf numFmtId="16" fontId="54" fillId="0" borderId="2" xfId="0" applyNumberFormat="1" applyFont="1" applyBorder="1" applyAlignment="1">
      <alignment horizontal="center" vertical="center" wrapText="1"/>
    </xf>
    <xf numFmtId="20" fontId="54" fillId="0" borderId="2" xfId="0" applyNumberFormat="1" applyFont="1" applyBorder="1" applyAlignment="1">
      <alignment horizontal="center" vertical="center" wrapText="1"/>
    </xf>
    <xf numFmtId="2" fontId="7" fillId="0" borderId="1" xfId="0" applyNumberFormat="1" applyFont="1" applyFill="1" applyBorder="1" applyAlignment="1">
      <alignment horizontal="center" vertical="center" wrapText="1"/>
    </xf>
    <xf numFmtId="0" fontId="66" fillId="12" borderId="2" xfId="0" applyFont="1" applyFill="1" applyBorder="1" applyAlignment="1">
      <alignment horizontal="center" vertical="center" wrapText="1"/>
    </xf>
    <xf numFmtId="0" fontId="40" fillId="12" borderId="1" xfId="0" applyFont="1" applyFill="1" applyBorder="1" applyAlignment="1">
      <alignment horizontal="center" vertical="center" wrapText="1"/>
    </xf>
    <xf numFmtId="16" fontId="41" fillId="0" borderId="1" xfId="0" applyNumberFormat="1" applyFont="1" applyBorder="1" applyAlignment="1">
      <alignment horizontal="center" vertical="center"/>
    </xf>
    <xf numFmtId="0" fontId="45" fillId="10" borderId="1" xfId="0" applyFont="1" applyFill="1" applyBorder="1" applyAlignment="1">
      <alignment horizontal="center" vertical="center" wrapText="1"/>
    </xf>
    <xf numFmtId="16" fontId="53" fillId="0" borderId="2" xfId="0" applyNumberFormat="1" applyFont="1" applyBorder="1" applyAlignment="1">
      <alignment horizontal="center" vertical="center"/>
    </xf>
    <xf numFmtId="0" fontId="42" fillId="0" borderId="1" xfId="0" applyFont="1" applyBorder="1" applyAlignment="1">
      <alignment horizontal="center" vertical="center" wrapText="1"/>
    </xf>
    <xf numFmtId="20" fontId="47" fillId="0" borderId="2" xfId="0" applyNumberFormat="1" applyFont="1" applyFill="1" applyBorder="1" applyAlignment="1">
      <alignment horizontal="center" vertical="center" wrapText="1"/>
    </xf>
    <xf numFmtId="20" fontId="47" fillId="0" borderId="1" xfId="0" applyNumberFormat="1" applyFont="1" applyBorder="1" applyAlignment="1">
      <alignment horizontal="center" vertical="center" wrapText="1"/>
    </xf>
    <xf numFmtId="20" fontId="70" fillId="0" borderId="2" xfId="0" applyNumberFormat="1" applyFont="1" applyBorder="1" applyAlignment="1">
      <alignment horizontal="center" vertical="center" wrapText="1"/>
    </xf>
    <xf numFmtId="0" fontId="70" fillId="12" borderId="2" xfId="0" applyFont="1" applyFill="1" applyBorder="1" applyAlignment="1">
      <alignment horizontal="center" vertical="center" wrapText="1"/>
    </xf>
    <xf numFmtId="0" fontId="70" fillId="21" borderId="2" xfId="0" applyFont="1" applyFill="1" applyBorder="1" applyAlignment="1">
      <alignment horizontal="center" vertical="center" wrapText="1"/>
    </xf>
    <xf numFmtId="0" fontId="72" fillId="0" borderId="2" xfId="0" applyFont="1" applyBorder="1" applyAlignment="1">
      <alignment horizontal="center" vertical="center" wrapText="1"/>
    </xf>
    <xf numFmtId="0" fontId="72" fillId="0" borderId="2" xfId="0" applyFont="1" applyFill="1" applyBorder="1" applyAlignment="1">
      <alignment horizontal="center" vertical="center" wrapText="1"/>
    </xf>
    <xf numFmtId="0" fontId="72" fillId="0" borderId="8" xfId="0" applyFont="1" applyBorder="1" applyAlignment="1">
      <alignment horizontal="center" vertical="center" wrapText="1"/>
    </xf>
    <xf numFmtId="20" fontId="72" fillId="0" borderId="2" xfId="0" applyNumberFormat="1" applyFont="1" applyBorder="1" applyAlignment="1">
      <alignment horizontal="center" vertical="center" wrapText="1"/>
    </xf>
    <xf numFmtId="16" fontId="71" fillId="10" borderId="9" xfId="0" applyNumberFormat="1" applyFont="1" applyFill="1" applyBorder="1" applyAlignment="1">
      <alignment horizontal="center" vertical="center"/>
    </xf>
    <xf numFmtId="0" fontId="72" fillId="10" borderId="2" xfId="0" applyFont="1" applyFill="1" applyBorder="1" applyAlignment="1">
      <alignment horizontal="center" vertical="center" wrapText="1"/>
    </xf>
    <xf numFmtId="16" fontId="71" fillId="10" borderId="2" xfId="0" applyNumberFormat="1" applyFont="1" applyFill="1" applyBorder="1" applyAlignment="1">
      <alignment horizontal="center" vertical="center"/>
    </xf>
    <xf numFmtId="16" fontId="72" fillId="10" borderId="2" xfId="0" applyNumberFormat="1" applyFont="1" applyFill="1" applyBorder="1" applyAlignment="1">
      <alignment horizontal="center" vertical="center" wrapText="1"/>
    </xf>
    <xf numFmtId="16" fontId="71" fillId="48" borderId="9" xfId="0" applyNumberFormat="1" applyFont="1" applyFill="1" applyBorder="1" applyAlignment="1">
      <alignment horizontal="center" vertical="center"/>
    </xf>
    <xf numFmtId="0" fontId="72" fillId="48" borderId="2" xfId="0" applyFont="1" applyFill="1" applyBorder="1" applyAlignment="1">
      <alignment horizontal="center" vertical="center" wrapText="1"/>
    </xf>
    <xf numFmtId="16" fontId="71" fillId="48" borderId="2" xfId="0" applyNumberFormat="1" applyFont="1" applyFill="1" applyBorder="1" applyAlignment="1">
      <alignment horizontal="center" vertical="center"/>
    </xf>
    <xf numFmtId="16" fontId="59" fillId="0" borderId="4" xfId="0" applyNumberFormat="1" applyFont="1" applyBorder="1" applyAlignment="1">
      <alignment horizontal="center" vertical="center"/>
    </xf>
    <xf numFmtId="16" fontId="53" fillId="0" borderId="4" xfId="0" applyNumberFormat="1" applyFont="1" applyBorder="1" applyAlignment="1">
      <alignment horizontal="center" vertical="center"/>
    </xf>
    <xf numFmtId="16" fontId="46" fillId="0" borderId="4" xfId="0" applyNumberFormat="1" applyFont="1" applyBorder="1" applyAlignment="1">
      <alignment horizontal="center" vertical="center"/>
    </xf>
    <xf numFmtId="16" fontId="46" fillId="0" borderId="4" xfId="0" applyNumberFormat="1" applyFont="1" applyFill="1" applyBorder="1" applyAlignment="1">
      <alignment horizontal="center" vertical="center"/>
    </xf>
    <xf numFmtId="16" fontId="33" fillId="0" borderId="4" xfId="0" applyNumberFormat="1" applyFont="1" applyBorder="1" applyAlignment="1">
      <alignment horizontal="center" vertical="center"/>
    </xf>
    <xf numFmtId="16" fontId="48" fillId="0" borderId="4" xfId="0" applyNumberFormat="1" applyFont="1" applyBorder="1" applyAlignment="1">
      <alignment horizontal="center" vertical="center"/>
    </xf>
    <xf numFmtId="16" fontId="39" fillId="10" borderId="4" xfId="0" applyNumberFormat="1" applyFont="1" applyFill="1" applyBorder="1" applyAlignment="1">
      <alignment horizontal="center" vertical="center"/>
    </xf>
    <xf numFmtId="16" fontId="53" fillId="10" borderId="9" xfId="0" applyNumberFormat="1" applyFont="1" applyFill="1" applyBorder="1" applyAlignment="1">
      <alignment horizontal="center" vertical="center"/>
    </xf>
    <xf numFmtId="0" fontId="36" fillId="10" borderId="1" xfId="0" applyFont="1" applyFill="1" applyBorder="1" applyAlignment="1">
      <alignment horizontal="center" vertical="center" wrapText="1"/>
    </xf>
    <xf numFmtId="0" fontId="7" fillId="11" borderId="2" xfId="0" applyFont="1" applyFill="1" applyBorder="1" applyAlignment="1">
      <alignment horizontal="center" vertical="center" wrapText="1"/>
    </xf>
    <xf numFmtId="0" fontId="49" fillId="0" borderId="1" xfId="0" applyFont="1" applyBorder="1" applyAlignment="1">
      <alignment horizontal="center" vertical="center" wrapText="1"/>
    </xf>
    <xf numFmtId="0" fontId="56" fillId="14" borderId="1" xfId="0" applyFont="1" applyFill="1" applyBorder="1" applyAlignment="1">
      <alignment horizontal="center" vertical="center" wrapText="1"/>
    </xf>
    <xf numFmtId="0" fontId="54" fillId="10" borderId="2" xfId="0" applyFont="1" applyFill="1" applyBorder="1" applyAlignment="1">
      <alignment horizontal="center" vertical="center" wrapText="1"/>
    </xf>
    <xf numFmtId="0" fontId="7" fillId="10" borderId="1" xfId="0" applyFont="1" applyFill="1" applyBorder="1" applyAlignment="1">
      <alignment horizontal="center" vertical="center"/>
    </xf>
    <xf numFmtId="0" fontId="7" fillId="13" borderId="2" xfId="0" applyFont="1" applyFill="1" applyBorder="1" applyAlignment="1">
      <alignment horizontal="center" vertical="center" wrapText="1"/>
    </xf>
    <xf numFmtId="0" fontId="7" fillId="52" borderId="2" xfId="0" applyFont="1" applyFill="1" applyBorder="1" applyAlignment="1">
      <alignment horizontal="center" vertical="center" wrapText="1"/>
    </xf>
    <xf numFmtId="0" fontId="36" fillId="14" borderId="1" xfId="0" applyFont="1" applyFill="1" applyBorder="1" applyAlignment="1">
      <alignment horizontal="center" vertical="center" wrapText="1"/>
    </xf>
    <xf numFmtId="16" fontId="59" fillId="0" borderId="1" xfId="0" applyNumberFormat="1" applyFont="1" applyBorder="1" applyAlignment="1">
      <alignment horizontal="center" vertical="center"/>
    </xf>
    <xf numFmtId="16" fontId="2" fillId="52" borderId="2" xfId="0" applyNumberFormat="1" applyFont="1" applyFill="1" applyBorder="1" applyAlignment="1">
      <alignment horizontal="center" vertical="center"/>
    </xf>
    <xf numFmtId="16" fontId="2" fillId="14" borderId="2" xfId="0" applyNumberFormat="1" applyFont="1" applyFill="1" applyBorder="1" applyAlignment="1">
      <alignment horizontal="center" vertical="center"/>
    </xf>
    <xf numFmtId="16" fontId="46" fillId="0" borderId="1" xfId="0" applyNumberFormat="1" applyFont="1" applyFill="1" applyBorder="1" applyAlignment="1">
      <alignment horizontal="center" vertical="center"/>
    </xf>
    <xf numFmtId="16" fontId="48" fillId="0" borderId="1" xfId="0" applyNumberFormat="1" applyFont="1" applyBorder="1" applyAlignment="1">
      <alignment horizontal="center" vertical="center"/>
    </xf>
    <xf numFmtId="16" fontId="55" fillId="14" borderId="1" xfId="0" applyNumberFormat="1" applyFont="1" applyFill="1" applyBorder="1" applyAlignment="1">
      <alignment horizontal="center" vertical="center"/>
    </xf>
    <xf numFmtId="16" fontId="61" fillId="0" borderId="2" xfId="0" applyNumberFormat="1" applyFont="1" applyBorder="1" applyAlignment="1">
      <alignment horizontal="center" vertical="center"/>
    </xf>
    <xf numFmtId="16" fontId="7" fillId="52" borderId="2" xfId="0" applyNumberFormat="1" applyFont="1" applyFill="1" applyBorder="1" applyAlignment="1">
      <alignment horizontal="center" vertical="center" wrapText="1"/>
    </xf>
    <xf numFmtId="16" fontId="7" fillId="14" borderId="2" xfId="0" applyNumberFormat="1" applyFont="1" applyFill="1" applyBorder="1" applyAlignment="1">
      <alignment horizontal="center" vertical="center" wrapText="1"/>
    </xf>
    <xf numFmtId="16" fontId="7" fillId="48" borderId="1" xfId="0" applyNumberFormat="1" applyFont="1" applyFill="1" applyBorder="1" applyAlignment="1">
      <alignment horizontal="center" vertical="center" wrapText="1"/>
    </xf>
    <xf numFmtId="16" fontId="36" fillId="10" borderId="1" xfId="0" applyNumberFormat="1" applyFont="1" applyFill="1" applyBorder="1" applyAlignment="1">
      <alignment horizontal="center" vertical="center" wrapText="1"/>
    </xf>
    <xf numFmtId="16" fontId="56" fillId="14" borderId="1" xfId="0" applyNumberFormat="1" applyFont="1" applyFill="1" applyBorder="1" applyAlignment="1">
      <alignment horizontal="center" vertical="center" wrapText="1"/>
    </xf>
    <xf numFmtId="16" fontId="45" fillId="10" borderId="1" xfId="0" applyNumberFormat="1" applyFont="1" applyFill="1" applyBorder="1" applyAlignment="1">
      <alignment horizontal="center" vertical="center" wrapText="1"/>
    </xf>
    <xf numFmtId="20" fontId="7" fillId="52" borderId="2" xfId="0" applyNumberFormat="1" applyFont="1" applyFill="1" applyBorder="1" applyAlignment="1">
      <alignment horizontal="center" vertical="center" wrapText="1"/>
    </xf>
    <xf numFmtId="20" fontId="7" fillId="48" borderId="1" xfId="0" applyNumberFormat="1" applyFont="1" applyFill="1" applyBorder="1" applyAlignment="1">
      <alignment horizontal="center" vertical="center" wrapText="1"/>
    </xf>
    <xf numFmtId="20" fontId="49" fillId="0" borderId="1" xfId="0" applyNumberFormat="1" applyFont="1" applyBorder="1" applyAlignment="1">
      <alignment horizontal="center" vertical="center" wrapText="1"/>
    </xf>
    <xf numFmtId="20" fontId="62" fillId="0" borderId="2" xfId="0" applyNumberFormat="1" applyFont="1" applyBorder="1" applyAlignment="1">
      <alignment horizontal="center" vertical="center" wrapText="1"/>
    </xf>
    <xf numFmtId="20" fontId="47" fillId="10" borderId="2" xfId="0" applyNumberFormat="1" applyFont="1" applyFill="1" applyBorder="1" applyAlignment="1">
      <alignment horizontal="center" vertical="center" wrapText="1"/>
    </xf>
    <xf numFmtId="20" fontId="47" fillId="0" borderId="1" xfId="0" applyNumberFormat="1" applyFont="1" applyFill="1" applyBorder="1" applyAlignment="1">
      <alignment horizontal="center" vertical="center" wrapText="1"/>
    </xf>
    <xf numFmtId="20" fontId="7" fillId="11" borderId="2" xfId="0" applyNumberFormat="1" applyFont="1" applyFill="1" applyBorder="1" applyAlignment="1">
      <alignment horizontal="center" vertical="center" wrapText="1"/>
    </xf>
    <xf numFmtId="0" fontId="40" fillId="12" borderId="2" xfId="0" applyFont="1" applyFill="1" applyBorder="1" applyAlignment="1">
      <alignment horizontal="center" vertical="center" wrapText="1"/>
    </xf>
    <xf numFmtId="0" fontId="38" fillId="12" borderId="1" xfId="0" applyFont="1" applyFill="1" applyBorder="1" applyAlignment="1">
      <alignment horizontal="center" vertical="center" wrapText="1"/>
    </xf>
    <xf numFmtId="0" fontId="45" fillId="12" borderId="2" xfId="0" applyFont="1" applyFill="1" applyBorder="1" applyAlignment="1">
      <alignment horizontal="center" vertical="center" wrapText="1"/>
    </xf>
    <xf numFmtId="0" fontId="47" fillId="51" borderId="1" xfId="0" applyFont="1" applyFill="1" applyBorder="1" applyAlignment="1">
      <alignment horizontal="center" vertical="center" wrapText="1"/>
    </xf>
    <xf numFmtId="0" fontId="49" fillId="0" borderId="1" xfId="0" applyFont="1" applyFill="1" applyBorder="1" applyAlignment="1">
      <alignment horizontal="center" vertical="center" wrapText="1"/>
    </xf>
    <xf numFmtId="0" fontId="62" fillId="12" borderId="2" xfId="0" applyFont="1" applyFill="1" applyBorder="1" applyAlignment="1">
      <alignment horizontal="center" vertical="center" wrapText="1"/>
    </xf>
    <xf numFmtId="0" fontId="45" fillId="0" borderId="1" xfId="0" applyFont="1" applyFill="1" applyBorder="1" applyAlignment="1">
      <alignment horizontal="center" vertical="center" wrapText="1"/>
    </xf>
    <xf numFmtId="0" fontId="56" fillId="21" borderId="2" xfId="0" applyFont="1" applyFill="1" applyBorder="1" applyAlignment="1">
      <alignment horizontal="center" vertical="center" wrapText="1"/>
    </xf>
    <xf numFmtId="0" fontId="40" fillId="21" borderId="1" xfId="0" applyFont="1" applyFill="1" applyBorder="1" applyAlignment="1">
      <alignment horizontal="center" vertical="center" wrapText="1"/>
    </xf>
    <xf numFmtId="0" fontId="45" fillId="21" borderId="1" xfId="0" applyFont="1" applyFill="1" applyBorder="1" applyAlignment="1">
      <alignment horizontal="center" vertical="center" wrapText="1"/>
    </xf>
    <xf numFmtId="0" fontId="68" fillId="0" borderId="1" xfId="0" applyFont="1" applyBorder="1" applyAlignment="1">
      <alignment horizontal="center" vertical="center" wrapText="1"/>
    </xf>
    <xf numFmtId="0" fontId="60" fillId="0" borderId="3" xfId="0" applyFont="1" applyBorder="1" applyAlignment="1">
      <alignment horizontal="center" vertical="center" wrapText="1"/>
    </xf>
    <xf numFmtId="0" fontId="32" fillId="0" borderId="1" xfId="0" applyFont="1" applyBorder="1" applyAlignment="1">
      <alignment horizontal="center" vertical="center" wrapText="1"/>
    </xf>
    <xf numFmtId="0" fontId="34" fillId="0" borderId="3" xfId="0" applyFont="1" applyBorder="1" applyAlignment="1">
      <alignment horizontal="center" vertical="center" wrapText="1"/>
    </xf>
    <xf numFmtId="0" fontId="49" fillId="0" borderId="3" xfId="0" applyFont="1" applyBorder="1" applyAlignment="1">
      <alignment horizontal="center" vertical="center" wrapText="1"/>
    </xf>
    <xf numFmtId="0" fontId="62" fillId="0" borderId="8" xfId="0" applyFont="1" applyBorder="1" applyAlignment="1">
      <alignment horizontal="center" vertical="center" wrapText="1"/>
    </xf>
    <xf numFmtId="0" fontId="7" fillId="0" borderId="8" xfId="0" applyFont="1" applyFill="1" applyBorder="1" applyAlignment="1" applyProtection="1">
      <alignment horizontal="center" vertical="center" wrapText="1"/>
    </xf>
    <xf numFmtId="0" fontId="45" fillId="0" borderId="3" xfId="0" applyFont="1" applyBorder="1" applyAlignment="1">
      <alignment horizontal="center" vertical="center" wrapText="1"/>
    </xf>
    <xf numFmtId="0" fontId="72" fillId="0" borderId="1" xfId="0" applyFont="1" applyBorder="1" applyAlignment="1">
      <alignment horizontal="center" vertical="center" wrapText="1"/>
    </xf>
    <xf numFmtId="20" fontId="72" fillId="10" borderId="2" xfId="0" applyNumberFormat="1" applyFont="1" applyFill="1" applyBorder="1" applyAlignment="1">
      <alignment horizontal="center" vertical="center" wrapText="1"/>
    </xf>
    <xf numFmtId="16" fontId="71" fillId="0" borderId="9" xfId="0" applyNumberFormat="1" applyFont="1" applyBorder="1" applyAlignment="1">
      <alignment horizontal="center" vertical="center"/>
    </xf>
    <xf numFmtId="16" fontId="71" fillId="0" borderId="2" xfId="0" applyNumberFormat="1" applyFont="1" applyBorder="1" applyAlignment="1">
      <alignment horizontal="center" vertical="center"/>
    </xf>
    <xf numFmtId="16" fontId="72" fillId="0" borderId="2" xfId="0" applyNumberFormat="1" applyFont="1" applyBorder="1" applyAlignment="1">
      <alignment horizontal="center" vertical="center" wrapText="1"/>
    </xf>
    <xf numFmtId="16" fontId="71" fillId="10" borderId="4" xfId="0" applyNumberFormat="1" applyFont="1" applyFill="1" applyBorder="1" applyAlignment="1">
      <alignment horizontal="center" vertical="center"/>
    </xf>
    <xf numFmtId="16" fontId="71" fillId="10" borderId="1" xfId="0" applyNumberFormat="1" applyFont="1" applyFill="1" applyBorder="1" applyAlignment="1">
      <alignment horizontal="center" vertical="center"/>
    </xf>
    <xf numFmtId="0" fontId="72" fillId="0" borderId="1" xfId="0" applyFont="1" applyFill="1" applyBorder="1" applyAlignment="1">
      <alignment horizontal="center" vertical="center" wrapText="1"/>
    </xf>
    <xf numFmtId="0" fontId="72" fillId="0" borderId="3" xfId="0" applyFont="1" applyBorder="1" applyAlignment="1">
      <alignment horizontal="center" vertical="center" wrapText="1"/>
    </xf>
    <xf numFmtId="0" fontId="74" fillId="0" borderId="2" xfId="0" applyFont="1" applyBorder="1" applyAlignment="1">
      <alignment horizontal="center" vertical="center" wrapText="1"/>
    </xf>
    <xf numFmtId="16" fontId="74" fillId="0" borderId="2" xfId="0" applyNumberFormat="1" applyFont="1" applyBorder="1" applyAlignment="1">
      <alignment horizontal="center" vertical="center" wrapText="1"/>
    </xf>
    <xf numFmtId="0" fontId="74" fillId="0" borderId="2" xfId="0" applyFont="1" applyFill="1" applyBorder="1" applyAlignment="1">
      <alignment horizontal="center" vertical="center" wrapText="1"/>
    </xf>
    <xf numFmtId="0" fontId="74" fillId="0" borderId="8" xfId="0" applyFont="1" applyBorder="1" applyAlignment="1">
      <alignment horizontal="center" vertical="center" wrapText="1"/>
    </xf>
    <xf numFmtId="20" fontId="74" fillId="0" borderId="2" xfId="0" applyNumberFormat="1" applyFont="1" applyBorder="1" applyAlignment="1">
      <alignment horizontal="center" vertical="center" wrapText="1"/>
    </xf>
    <xf numFmtId="16" fontId="71" fillId="0" borderId="1" xfId="0" applyNumberFormat="1" applyFont="1" applyBorder="1" applyAlignment="1">
      <alignment horizontal="center" vertical="center"/>
    </xf>
    <xf numFmtId="16" fontId="72" fillId="0" borderId="1" xfId="0" applyNumberFormat="1" applyFont="1" applyBorder="1" applyAlignment="1">
      <alignment horizontal="center" vertical="center" wrapText="1"/>
    </xf>
    <xf numFmtId="0" fontId="74" fillId="21" borderId="2" xfId="0" applyFont="1" applyFill="1" applyBorder="1" applyAlignment="1">
      <alignment horizontal="center" vertical="center" wrapText="1"/>
    </xf>
    <xf numFmtId="0" fontId="74" fillId="10" borderId="1" xfId="0" applyFont="1" applyFill="1" applyBorder="1" applyAlignment="1">
      <alignment horizontal="center" vertical="center" wrapText="1"/>
    </xf>
    <xf numFmtId="16" fontId="73" fillId="10" borderId="1" xfId="0" applyNumberFormat="1" applyFont="1" applyFill="1" applyBorder="1" applyAlignment="1">
      <alignment horizontal="center" vertical="center"/>
    </xf>
    <xf numFmtId="20" fontId="74" fillId="10" borderId="1" xfId="0" applyNumberFormat="1" applyFont="1" applyFill="1" applyBorder="1" applyAlignment="1">
      <alignment horizontal="center" vertical="center" wrapText="1"/>
    </xf>
    <xf numFmtId="20" fontId="74" fillId="0" borderId="1" xfId="0" applyNumberFormat="1" applyFont="1" applyBorder="1" applyAlignment="1">
      <alignment horizontal="center" vertical="center" wrapText="1"/>
    </xf>
    <xf numFmtId="0" fontId="74" fillId="0" borderId="1" xfId="0" applyFont="1" applyFill="1" applyBorder="1" applyAlignment="1">
      <alignment horizontal="center" vertical="center" wrapText="1"/>
    </xf>
    <xf numFmtId="0" fontId="74" fillId="0" borderId="1" xfId="0" applyFont="1" applyBorder="1" applyAlignment="1">
      <alignment horizontal="center" vertical="center" wrapText="1"/>
    </xf>
    <xf numFmtId="16" fontId="71" fillId="0" borderId="4" xfId="0" applyNumberFormat="1" applyFont="1" applyBorder="1" applyAlignment="1">
      <alignment horizontal="center" vertical="center"/>
    </xf>
    <xf numFmtId="16" fontId="73" fillId="10" borderId="4" xfId="0" applyNumberFormat="1" applyFont="1" applyFill="1" applyBorder="1" applyAlignment="1">
      <alignment horizontal="center" vertical="center"/>
    </xf>
    <xf numFmtId="0" fontId="74" fillId="0" borderId="3" xfId="0" applyFont="1" applyBorder="1" applyAlignment="1">
      <alignment horizontal="center" vertical="center" wrapText="1"/>
    </xf>
    <xf numFmtId="16" fontId="73" fillId="48" borderId="9" xfId="0" applyNumberFormat="1" applyFont="1" applyFill="1" applyBorder="1" applyAlignment="1">
      <alignment horizontal="center" vertical="center"/>
    </xf>
    <xf numFmtId="0" fontId="74" fillId="48" borderId="2" xfId="0" applyFont="1" applyFill="1" applyBorder="1" applyAlignment="1">
      <alignment horizontal="center" vertical="center" wrapText="1"/>
    </xf>
    <xf numFmtId="16" fontId="73" fillId="48" borderId="2" xfId="0" applyNumberFormat="1" applyFont="1" applyFill="1" applyBorder="1" applyAlignment="1">
      <alignment horizontal="center" vertical="center"/>
    </xf>
    <xf numFmtId="16" fontId="74" fillId="0" borderId="1" xfId="0" applyNumberFormat="1" applyFont="1" applyBorder="1" applyAlignment="1">
      <alignment horizontal="center" vertical="center" wrapText="1"/>
    </xf>
    <xf numFmtId="20" fontId="74" fillId="48" borderId="2" xfId="0" applyNumberFormat="1" applyFont="1" applyFill="1" applyBorder="1" applyAlignment="1">
      <alignment horizontal="center" vertical="center" wrapText="1"/>
    </xf>
    <xf numFmtId="0" fontId="72" fillId="21" borderId="2" xfId="0" applyFont="1" applyFill="1" applyBorder="1" applyAlignment="1">
      <alignment horizontal="center" vertical="center" wrapText="1"/>
    </xf>
    <xf numFmtId="20" fontId="72" fillId="10" borderId="1" xfId="0" applyNumberFormat="1" applyFont="1" applyFill="1" applyBorder="1" applyAlignment="1">
      <alignment horizontal="center" vertical="center" wrapText="1"/>
    </xf>
    <xf numFmtId="20" fontId="72" fillId="0" borderId="1" xfId="0" applyNumberFormat="1" applyFont="1" applyBorder="1" applyAlignment="1">
      <alignment horizontal="center" vertical="center" wrapText="1"/>
    </xf>
    <xf numFmtId="16" fontId="73" fillId="10" borderId="9" xfId="0" applyNumberFormat="1" applyFont="1" applyFill="1" applyBorder="1" applyAlignment="1">
      <alignment horizontal="center" vertical="center"/>
    </xf>
    <xf numFmtId="0" fontId="74" fillId="10" borderId="2" xfId="0" applyFont="1" applyFill="1" applyBorder="1" applyAlignment="1">
      <alignment horizontal="center" vertical="center" wrapText="1"/>
    </xf>
    <xf numFmtId="16" fontId="73" fillId="10" borderId="2" xfId="0" applyNumberFormat="1" applyFont="1" applyFill="1" applyBorder="1" applyAlignment="1">
      <alignment horizontal="center" vertical="center"/>
    </xf>
    <xf numFmtId="16" fontId="74" fillId="10" borderId="2" xfId="0" applyNumberFormat="1" applyFont="1" applyFill="1" applyBorder="1" applyAlignment="1">
      <alignment horizontal="center" vertical="center" wrapText="1"/>
    </xf>
    <xf numFmtId="20" fontId="74" fillId="10" borderId="2" xfId="0" applyNumberFormat="1" applyFont="1" applyFill="1" applyBorder="1" applyAlignment="1">
      <alignment horizontal="center" vertical="center" wrapText="1"/>
    </xf>
    <xf numFmtId="0" fontId="72" fillId="10" borderId="1" xfId="0" applyFont="1" applyFill="1" applyBorder="1" applyAlignment="1">
      <alignment horizontal="center" vertical="center" wrapText="1"/>
    </xf>
    <xf numFmtId="16" fontId="73" fillId="0" borderId="9" xfId="0" applyNumberFormat="1" applyFont="1" applyFill="1" applyBorder="1" applyAlignment="1">
      <alignment horizontal="center" vertical="center"/>
    </xf>
    <xf numFmtId="16" fontId="73" fillId="0" borderId="2" xfId="0" applyNumberFormat="1" applyFont="1" applyFill="1" applyBorder="1" applyAlignment="1">
      <alignment horizontal="center" vertical="center"/>
    </xf>
    <xf numFmtId="16" fontId="74" fillId="0" borderId="2" xfId="0" applyNumberFormat="1" applyFont="1" applyFill="1" applyBorder="1" applyAlignment="1">
      <alignment horizontal="center" vertical="center" wrapText="1"/>
    </xf>
    <xf numFmtId="20" fontId="74" fillId="0" borderId="2" xfId="0" applyNumberFormat="1" applyFont="1" applyFill="1" applyBorder="1" applyAlignment="1">
      <alignment horizontal="center" vertical="center" wrapText="1"/>
    </xf>
    <xf numFmtId="0" fontId="74" fillId="0" borderId="8" xfId="0" applyFont="1" applyFill="1" applyBorder="1" applyAlignment="1">
      <alignment horizontal="center" vertical="center" wrapText="1"/>
    </xf>
    <xf numFmtId="16" fontId="2" fillId="48" borderId="1" xfId="0" applyNumberFormat="1" applyFont="1" applyFill="1" applyBorder="1" applyAlignment="1">
      <alignment horizontal="center" vertical="center"/>
    </xf>
    <xf numFmtId="0" fontId="74" fillId="48" borderId="8" xfId="0" applyFont="1" applyFill="1" applyBorder="1" applyAlignment="1">
      <alignment horizontal="center" vertical="center" wrapText="1"/>
    </xf>
    <xf numFmtId="0" fontId="74" fillId="48" borderId="1" xfId="0" applyFont="1" applyFill="1" applyBorder="1" applyAlignment="1">
      <alignment horizontal="center" vertical="center" wrapText="1"/>
    </xf>
    <xf numFmtId="16" fontId="73" fillId="48" borderId="1" xfId="0" applyNumberFormat="1" applyFont="1" applyFill="1" applyBorder="1" applyAlignment="1">
      <alignment horizontal="center" vertical="center"/>
    </xf>
    <xf numFmtId="16" fontId="73" fillId="0" borderId="4" xfId="0" applyNumberFormat="1" applyFont="1" applyBorder="1" applyAlignment="1">
      <alignment horizontal="center" vertical="center"/>
    </xf>
    <xf numFmtId="16" fontId="73" fillId="0" borderId="1" xfId="0" applyNumberFormat="1" applyFont="1" applyBorder="1" applyAlignment="1">
      <alignment horizontal="center" vertical="center"/>
    </xf>
    <xf numFmtId="0" fontId="7" fillId="54" borderId="1" xfId="0" applyFont="1" applyFill="1" applyBorder="1" applyAlignment="1">
      <alignment horizontal="center" vertical="center" wrapText="1"/>
    </xf>
    <xf numFmtId="0" fontId="74" fillId="12" borderId="2" xfId="0" applyFont="1" applyFill="1" applyBorder="1" applyAlignment="1">
      <alignment horizontal="center" vertical="center" wrapText="1"/>
    </xf>
    <xf numFmtId="0" fontId="74" fillId="48" borderId="3" xfId="0" applyFont="1" applyFill="1" applyBorder="1" applyAlignment="1">
      <alignment horizontal="center" vertical="center" wrapText="1"/>
    </xf>
    <xf numFmtId="16" fontId="73" fillId="0" borderId="9" xfId="0" applyNumberFormat="1" applyFont="1" applyBorder="1" applyAlignment="1">
      <alignment horizontal="center" vertical="center"/>
    </xf>
    <xf numFmtId="16" fontId="73" fillId="0" borderId="2" xfId="0" applyNumberFormat="1" applyFont="1" applyBorder="1" applyAlignment="1">
      <alignment horizontal="center" vertical="center"/>
    </xf>
    <xf numFmtId="0" fontId="76" fillId="0" borderId="1" xfId="0" applyFont="1" applyFill="1" applyBorder="1" applyAlignment="1">
      <alignment horizontal="center" vertical="center" wrapText="1"/>
    </xf>
    <xf numFmtId="0" fontId="76" fillId="0" borderId="2" xfId="0" applyFont="1" applyBorder="1" applyAlignment="1">
      <alignment horizontal="center" vertical="center" wrapText="1"/>
    </xf>
    <xf numFmtId="0" fontId="76" fillId="0" borderId="2" xfId="0" applyFont="1" applyFill="1" applyBorder="1" applyAlignment="1">
      <alignment horizontal="center" vertical="center" wrapText="1"/>
    </xf>
    <xf numFmtId="0" fontId="76" fillId="0" borderId="8" xfId="0" applyFont="1" applyBorder="1" applyAlignment="1">
      <alignment horizontal="center" vertical="center" wrapText="1"/>
    </xf>
    <xf numFmtId="16" fontId="75" fillId="10" borderId="9" xfId="0" applyNumberFormat="1" applyFont="1" applyFill="1" applyBorder="1" applyAlignment="1">
      <alignment horizontal="center" vertical="center"/>
    </xf>
    <xf numFmtId="0" fontId="76" fillId="10" borderId="2" xfId="0" applyFont="1" applyFill="1" applyBorder="1" applyAlignment="1">
      <alignment horizontal="center" vertical="center" wrapText="1"/>
    </xf>
    <xf numFmtId="16" fontId="75" fillId="10" borderId="2" xfId="0" applyNumberFormat="1" applyFont="1" applyFill="1" applyBorder="1" applyAlignment="1">
      <alignment horizontal="center" vertical="center"/>
    </xf>
    <xf numFmtId="16" fontId="75" fillId="48" borderId="9" xfId="0" applyNumberFormat="1" applyFont="1" applyFill="1" applyBorder="1" applyAlignment="1">
      <alignment horizontal="center" vertical="center"/>
    </xf>
    <xf numFmtId="0" fontId="76" fillId="48" borderId="2" xfId="0" applyFont="1" applyFill="1" applyBorder="1" applyAlignment="1">
      <alignment horizontal="center" vertical="center" wrapText="1"/>
    </xf>
    <xf numFmtId="16" fontId="75" fillId="48" borderId="2" xfId="0" applyNumberFormat="1" applyFont="1" applyFill="1" applyBorder="1" applyAlignment="1">
      <alignment horizontal="center" vertical="center"/>
    </xf>
    <xf numFmtId="0" fontId="76" fillId="48" borderId="8" xfId="0" applyFont="1" applyFill="1" applyBorder="1" applyAlignment="1">
      <alignment horizontal="center" vertical="center" wrapText="1"/>
    </xf>
    <xf numFmtId="16" fontId="76" fillId="10" borderId="2" xfId="0" applyNumberFormat="1" applyFont="1" applyFill="1" applyBorder="1" applyAlignment="1">
      <alignment horizontal="center" vertical="center" wrapText="1"/>
    </xf>
    <xf numFmtId="20" fontId="76" fillId="10" borderId="2" xfId="0" applyNumberFormat="1" applyFont="1" applyFill="1" applyBorder="1" applyAlignment="1">
      <alignment horizontal="center" vertical="center" wrapText="1"/>
    </xf>
    <xf numFmtId="16" fontId="75" fillId="0" borderId="9" xfId="0" applyNumberFormat="1" applyFont="1" applyBorder="1" applyAlignment="1">
      <alignment horizontal="center" vertical="center"/>
    </xf>
    <xf numFmtId="16" fontId="75" fillId="0" borderId="2" xfId="0" applyNumberFormat="1" applyFont="1" applyBorder="1" applyAlignment="1">
      <alignment horizontal="center" vertical="center"/>
    </xf>
    <xf numFmtId="16" fontId="76" fillId="0" borderId="2" xfId="0" applyNumberFormat="1" applyFont="1" applyBorder="1" applyAlignment="1">
      <alignment horizontal="center" vertical="center" wrapText="1"/>
    </xf>
    <xf numFmtId="20" fontId="76" fillId="0" borderId="2" xfId="0" applyNumberFormat="1" applyFont="1" applyBorder="1" applyAlignment="1">
      <alignment horizontal="center" vertical="center" wrapText="1"/>
    </xf>
    <xf numFmtId="20" fontId="40" fillId="10" borderId="2" xfId="0" applyNumberFormat="1" applyFont="1" applyFill="1" applyBorder="1" applyAlignment="1">
      <alignment horizontal="center" vertical="center" wrapText="1"/>
    </xf>
    <xf numFmtId="0" fontId="70" fillId="52" borderId="2" xfId="0" applyFont="1" applyFill="1" applyBorder="1" applyAlignment="1">
      <alignment horizontal="center" vertical="center" wrapText="1"/>
    </xf>
    <xf numFmtId="16" fontId="69" fillId="52" borderId="2" xfId="0" applyNumberFormat="1" applyFont="1" applyFill="1" applyBorder="1" applyAlignment="1">
      <alignment horizontal="center" vertical="center"/>
    </xf>
    <xf numFmtId="20" fontId="76" fillId="48" borderId="2" xfId="0" applyNumberFormat="1" applyFont="1" applyFill="1" applyBorder="1" applyAlignment="1">
      <alignment horizontal="center" vertical="center" wrapText="1"/>
    </xf>
    <xf numFmtId="16" fontId="75" fillId="0" borderId="4" xfId="0" applyNumberFormat="1" applyFont="1" applyBorder="1" applyAlignment="1">
      <alignment horizontal="center" vertical="center"/>
    </xf>
    <xf numFmtId="0" fontId="76" fillId="0" borderId="1" xfId="0" applyFont="1" applyBorder="1" applyAlignment="1">
      <alignment horizontal="center" vertical="center" wrapText="1"/>
    </xf>
    <xf numFmtId="16" fontId="75" fillId="0" borderId="1" xfId="0" applyNumberFormat="1" applyFont="1" applyBorder="1" applyAlignment="1">
      <alignment horizontal="center" vertical="center"/>
    </xf>
    <xf numFmtId="20" fontId="74" fillId="48" borderId="1" xfId="0" applyNumberFormat="1" applyFont="1" applyFill="1" applyBorder="1" applyAlignment="1">
      <alignment horizontal="center" vertical="center" wrapText="1"/>
    </xf>
    <xf numFmtId="20" fontId="76" fillId="0" borderId="1" xfId="0" applyNumberFormat="1" applyFont="1" applyBorder="1" applyAlignment="1">
      <alignment horizontal="center" vertical="center" wrapText="1"/>
    </xf>
    <xf numFmtId="0" fontId="76" fillId="0" borderId="3" xfId="0" applyFont="1" applyBorder="1" applyAlignment="1">
      <alignment horizontal="center" vertical="center" wrapText="1"/>
    </xf>
    <xf numFmtId="0" fontId="76" fillId="12" borderId="2" xfId="0" applyFont="1" applyFill="1" applyBorder="1" applyAlignment="1">
      <alignment horizontal="center" vertical="center" wrapText="1"/>
    </xf>
    <xf numFmtId="0" fontId="78" fillId="0" borderId="2" xfId="0" applyFont="1" applyBorder="1" applyAlignment="1">
      <alignment horizontal="center" vertical="center" wrapText="1"/>
    </xf>
    <xf numFmtId="16" fontId="78" fillId="0" borderId="2" xfId="0" applyNumberFormat="1" applyFont="1" applyBorder="1" applyAlignment="1">
      <alignment horizontal="center" vertical="center" wrapText="1"/>
    </xf>
    <xf numFmtId="0" fontId="78" fillId="0" borderId="2" xfId="0" applyFont="1" applyFill="1" applyBorder="1" applyAlignment="1">
      <alignment horizontal="center" vertical="center" wrapText="1"/>
    </xf>
    <xf numFmtId="0" fontId="78" fillId="0" borderId="8" xfId="0" applyFont="1" applyBorder="1" applyAlignment="1">
      <alignment horizontal="center" vertical="center" wrapText="1"/>
    </xf>
    <xf numFmtId="20" fontId="78" fillId="0" borderId="2" xfId="0" applyNumberFormat="1" applyFont="1" applyBorder="1" applyAlignment="1">
      <alignment horizontal="center" vertical="center" wrapText="1"/>
    </xf>
    <xf numFmtId="0" fontId="78" fillId="48" borderId="2" xfId="0" applyFont="1" applyFill="1" applyBorder="1" applyAlignment="1">
      <alignment horizontal="center" vertical="center" wrapText="1"/>
    </xf>
    <xf numFmtId="16" fontId="77" fillId="48" borderId="2" xfId="0" applyNumberFormat="1" applyFont="1" applyFill="1" applyBorder="1" applyAlignment="1">
      <alignment horizontal="center" vertical="center"/>
    </xf>
    <xf numFmtId="0" fontId="78" fillId="48" borderId="8" xfId="0" applyFont="1" applyFill="1" applyBorder="1" applyAlignment="1">
      <alignment horizontal="center" vertical="center" wrapText="1"/>
    </xf>
    <xf numFmtId="16" fontId="77" fillId="10" borderId="9" xfId="0" applyNumberFormat="1" applyFont="1" applyFill="1" applyBorder="1" applyAlignment="1">
      <alignment horizontal="center" vertical="center"/>
    </xf>
    <xf numFmtId="0" fontId="78" fillId="10" borderId="2" xfId="0" applyFont="1" applyFill="1" applyBorder="1" applyAlignment="1">
      <alignment horizontal="center" vertical="center" wrapText="1"/>
    </xf>
    <xf numFmtId="16" fontId="77" fillId="10" borderId="2" xfId="0" applyNumberFormat="1" applyFont="1" applyFill="1" applyBorder="1" applyAlignment="1">
      <alignment horizontal="center" vertical="center"/>
    </xf>
    <xf numFmtId="16" fontId="78" fillId="10" borderId="2" xfId="0" applyNumberFormat="1" applyFont="1" applyFill="1" applyBorder="1" applyAlignment="1">
      <alignment horizontal="center" vertical="center" wrapText="1"/>
    </xf>
    <xf numFmtId="20" fontId="78" fillId="10" borderId="2" xfId="0" applyNumberFormat="1" applyFont="1" applyFill="1" applyBorder="1" applyAlignment="1">
      <alignment horizontal="center" vertical="center" wrapText="1"/>
    </xf>
    <xf numFmtId="16" fontId="75" fillId="53" borderId="2" xfId="0" applyNumberFormat="1" applyFont="1" applyFill="1" applyBorder="1" applyAlignment="1">
      <alignment horizontal="center" vertical="center"/>
    </xf>
    <xf numFmtId="0" fontId="78" fillId="21" borderId="2" xfId="0" applyFont="1" applyFill="1" applyBorder="1" applyAlignment="1">
      <alignment horizontal="center" vertical="center" wrapText="1"/>
    </xf>
    <xf numFmtId="0" fontId="7" fillId="56" borderId="2" xfId="0" applyFont="1" applyFill="1" applyBorder="1" applyAlignment="1">
      <alignment horizontal="center" vertical="center" wrapText="1"/>
    </xf>
    <xf numFmtId="0" fontId="79" fillId="0" borderId="29" xfId="0" applyFont="1" applyBorder="1" applyAlignment="1"/>
    <xf numFmtId="0" fontId="80" fillId="0" borderId="29" xfId="0" applyFont="1" applyBorder="1" applyAlignment="1"/>
    <xf numFmtId="0" fontId="80" fillId="0" borderId="29" xfId="0" applyFont="1" applyBorder="1" applyAlignment="1">
      <alignment horizontal="right"/>
    </xf>
    <xf numFmtId="0" fontId="79" fillId="0" borderId="29" xfId="0" applyFont="1" applyBorder="1" applyAlignment="1">
      <alignment horizontal="right"/>
    </xf>
    <xf numFmtId="16" fontId="75" fillId="10" borderId="4" xfId="0" applyNumberFormat="1" applyFont="1" applyFill="1" applyBorder="1" applyAlignment="1">
      <alignment horizontal="center" vertical="center"/>
    </xf>
    <xf numFmtId="0" fontId="76" fillId="10" borderId="1" xfId="0" applyFont="1" applyFill="1" applyBorder="1" applyAlignment="1">
      <alignment horizontal="center" vertical="center" wrapText="1"/>
    </xf>
    <xf numFmtId="16" fontId="75" fillId="10" borderId="1" xfId="0" applyNumberFormat="1" applyFont="1" applyFill="1" applyBorder="1" applyAlignment="1">
      <alignment horizontal="center" vertical="center"/>
    </xf>
    <xf numFmtId="0" fontId="76" fillId="48" borderId="1" xfId="0" applyFont="1" applyFill="1" applyBorder="1" applyAlignment="1">
      <alignment horizontal="center" vertical="center" wrapText="1"/>
    </xf>
    <xf numFmtId="16" fontId="75" fillId="48" borderId="1" xfId="0" applyNumberFormat="1" applyFont="1" applyFill="1" applyBorder="1" applyAlignment="1">
      <alignment horizontal="center" vertical="center"/>
    </xf>
    <xf numFmtId="0" fontId="74" fillId="12" borderId="1" xfId="0" applyFont="1" applyFill="1" applyBorder="1" applyAlignment="1">
      <alignment horizontal="center" vertical="center" wrapText="1"/>
    </xf>
    <xf numFmtId="0" fontId="78" fillId="0" borderId="1" xfId="0" applyFont="1" applyFill="1" applyBorder="1" applyAlignment="1">
      <alignment horizontal="center" vertical="center" wrapText="1"/>
    </xf>
    <xf numFmtId="0" fontId="76" fillId="48" borderId="3" xfId="0" applyFont="1" applyFill="1" applyBorder="1" applyAlignment="1">
      <alignment horizontal="center" vertical="center" wrapText="1"/>
    </xf>
    <xf numFmtId="0" fontId="78" fillId="0" borderId="1" xfId="0" applyFont="1" applyBorder="1" applyAlignment="1">
      <alignment horizontal="center" vertical="center" wrapText="1"/>
    </xf>
    <xf numFmtId="16" fontId="78" fillId="0" borderId="1" xfId="0" applyNumberFormat="1" applyFont="1" applyBorder="1" applyAlignment="1">
      <alignment horizontal="center" vertical="center" wrapText="1"/>
    </xf>
    <xf numFmtId="0" fontId="78" fillId="0" borderId="3" xfId="0" applyFont="1" applyBorder="1" applyAlignment="1">
      <alignment horizontal="center" vertical="center" wrapText="1"/>
    </xf>
    <xf numFmtId="20" fontId="78" fillId="0" borderId="1" xfId="0" applyNumberFormat="1" applyFont="1" applyBorder="1" applyAlignment="1">
      <alignment horizontal="center" vertical="center" wrapText="1"/>
    </xf>
    <xf numFmtId="16" fontId="77" fillId="0" borderId="9" xfId="0" applyNumberFormat="1" applyFont="1" applyBorder="1" applyAlignment="1">
      <alignment horizontal="center" vertical="center"/>
    </xf>
    <xf numFmtId="16" fontId="77" fillId="0" borderId="2" xfId="0" applyNumberFormat="1" applyFont="1" applyBorder="1" applyAlignment="1">
      <alignment horizontal="center" vertical="center"/>
    </xf>
    <xf numFmtId="0" fontId="74" fillId="51" borderId="2" xfId="0" applyFont="1" applyFill="1" applyBorder="1" applyAlignment="1">
      <alignment horizontal="center" vertical="center" wrapText="1"/>
    </xf>
    <xf numFmtId="0" fontId="78" fillId="51" borderId="2" xfId="0" applyFont="1" applyFill="1" applyBorder="1" applyAlignment="1">
      <alignment horizontal="center" vertical="center" wrapText="1"/>
    </xf>
    <xf numFmtId="0" fontId="40" fillId="51" borderId="2" xfId="0" applyFont="1" applyFill="1" applyBorder="1" applyAlignment="1">
      <alignment horizontal="center" vertical="center" wrapText="1"/>
    </xf>
    <xf numFmtId="0" fontId="76" fillId="51" borderId="2" xfId="0" applyFont="1" applyFill="1" applyBorder="1" applyAlignment="1">
      <alignment horizontal="center" vertical="center" wrapText="1"/>
    </xf>
    <xf numFmtId="16" fontId="77" fillId="10" borderId="4" xfId="0" applyNumberFormat="1" applyFont="1" applyFill="1" applyBorder="1" applyAlignment="1">
      <alignment horizontal="center" vertical="center"/>
    </xf>
    <xf numFmtId="0" fontId="78" fillId="10" borderId="1" xfId="0" applyFont="1" applyFill="1" applyBorder="1" applyAlignment="1">
      <alignment horizontal="center" vertical="center" wrapText="1"/>
    </xf>
    <xf numFmtId="16" fontId="77" fillId="0" borderId="4" xfId="0" applyNumberFormat="1" applyFont="1" applyBorder="1" applyAlignment="1">
      <alignment horizontal="center" vertical="center"/>
    </xf>
    <xf numFmtId="20" fontId="78" fillId="10" borderId="1" xfId="0" applyNumberFormat="1" applyFont="1" applyFill="1" applyBorder="1" applyAlignment="1">
      <alignment horizontal="center" vertical="center" wrapText="1"/>
    </xf>
    <xf numFmtId="16" fontId="77" fillId="0" borderId="1" xfId="0" applyNumberFormat="1" applyFont="1" applyBorder="1" applyAlignment="1">
      <alignment horizontal="center" vertical="center"/>
    </xf>
    <xf numFmtId="0" fontId="76" fillId="21" borderId="2" xfId="0" applyFont="1" applyFill="1" applyBorder="1" applyAlignment="1">
      <alignment horizontal="center" vertical="center" wrapText="1"/>
    </xf>
    <xf numFmtId="16" fontId="81" fillId="0" borderId="4" xfId="0" applyNumberFormat="1" applyFont="1" applyBorder="1" applyAlignment="1">
      <alignment horizontal="center" vertical="center"/>
    </xf>
    <xf numFmtId="16" fontId="81" fillId="0" borderId="1" xfId="0" applyNumberFormat="1" applyFont="1" applyBorder="1" applyAlignment="1">
      <alignment horizontal="center" vertical="center"/>
    </xf>
    <xf numFmtId="0" fontId="82" fillId="0" borderId="1" xfId="0" applyFont="1" applyBorder="1" applyAlignment="1">
      <alignment horizontal="center" vertical="center" wrapText="1"/>
    </xf>
    <xf numFmtId="0" fontId="82" fillId="0" borderId="1" xfId="0" applyFont="1" applyFill="1" applyBorder="1" applyAlignment="1">
      <alignment horizontal="center" vertical="center" wrapText="1"/>
    </xf>
    <xf numFmtId="0" fontId="82" fillId="0" borderId="3" xfId="0" applyFont="1" applyBorder="1" applyAlignment="1">
      <alignment horizontal="center" vertical="center" wrapText="1"/>
    </xf>
    <xf numFmtId="16" fontId="81" fillId="0" borderId="9" xfId="0" applyNumberFormat="1" applyFont="1" applyBorder="1" applyAlignment="1">
      <alignment horizontal="center" vertical="center"/>
    </xf>
    <xf numFmtId="0" fontId="82" fillId="0" borderId="2" xfId="0" applyFont="1" applyBorder="1" applyAlignment="1">
      <alignment horizontal="center" vertical="center" wrapText="1"/>
    </xf>
    <xf numFmtId="16" fontId="81" fillId="0" borderId="2" xfId="0" applyNumberFormat="1" applyFont="1" applyBorder="1" applyAlignment="1">
      <alignment horizontal="center" vertical="center"/>
    </xf>
    <xf numFmtId="16" fontId="82" fillId="0" borderId="2" xfId="0" applyNumberFormat="1" applyFont="1" applyBorder="1" applyAlignment="1">
      <alignment horizontal="center" vertical="center" wrapText="1"/>
    </xf>
    <xf numFmtId="0" fontId="82" fillId="0" borderId="2" xfId="0" applyFont="1" applyFill="1" applyBorder="1" applyAlignment="1">
      <alignment horizontal="center" vertical="center" wrapText="1"/>
    </xf>
    <xf numFmtId="0" fontId="82" fillId="0" borderId="8" xfId="0" applyFont="1" applyBorder="1" applyAlignment="1">
      <alignment horizontal="center" vertical="center" wrapText="1"/>
    </xf>
    <xf numFmtId="20" fontId="82" fillId="0" borderId="2" xfId="0" applyNumberFormat="1" applyFont="1" applyBorder="1" applyAlignment="1">
      <alignment horizontal="center" vertical="center" wrapText="1"/>
    </xf>
    <xf numFmtId="0" fontId="82" fillId="48" borderId="2" xfId="0" applyFont="1" applyFill="1" applyBorder="1" applyAlignment="1">
      <alignment horizontal="center" vertical="center" wrapText="1"/>
    </xf>
    <xf numFmtId="20" fontId="82" fillId="48" borderId="2" xfId="0" applyNumberFormat="1" applyFont="1" applyFill="1" applyBorder="1" applyAlignment="1">
      <alignment horizontal="center" vertical="center" wrapText="1"/>
    </xf>
    <xf numFmtId="20" fontId="82" fillId="0" borderId="1" xfId="0" applyNumberFormat="1" applyFont="1" applyBorder="1" applyAlignment="1">
      <alignment horizontal="center" vertical="center" wrapText="1"/>
    </xf>
    <xf numFmtId="0" fontId="82" fillId="21" borderId="2" xfId="0" applyFont="1" applyFill="1" applyBorder="1" applyAlignment="1">
      <alignment horizontal="center" vertical="center" wrapText="1"/>
    </xf>
    <xf numFmtId="0" fontId="7" fillId="51" borderId="2" xfId="0" applyFont="1" applyFill="1" applyBorder="1" applyAlignment="1">
      <alignment horizontal="center" vertical="center" wrapText="1"/>
    </xf>
    <xf numFmtId="0" fontId="82" fillId="21" borderId="1" xfId="0" applyFont="1" applyFill="1" applyBorder="1" applyAlignment="1">
      <alignment horizontal="center" vertical="center" wrapText="1"/>
    </xf>
    <xf numFmtId="0" fontId="84" fillId="0" borderId="1" xfId="0" applyFont="1" applyBorder="1" applyAlignment="1">
      <alignment horizontal="center" vertical="center" wrapText="1"/>
    </xf>
    <xf numFmtId="20" fontId="84" fillId="0" borderId="1" xfId="0" applyNumberFormat="1" applyFont="1" applyBorder="1" applyAlignment="1">
      <alignment horizontal="center" vertical="center" wrapText="1"/>
    </xf>
    <xf numFmtId="0" fontId="84" fillId="0" borderId="1" xfId="0" applyFont="1" applyFill="1" applyBorder="1" applyAlignment="1">
      <alignment horizontal="center" vertical="center" wrapText="1"/>
    </xf>
    <xf numFmtId="16" fontId="84" fillId="0" borderId="1" xfId="0" applyNumberFormat="1" applyFont="1" applyBorder="1" applyAlignment="1">
      <alignment horizontal="center" vertical="center" wrapText="1"/>
    </xf>
    <xf numFmtId="0" fontId="84" fillId="0" borderId="3" xfId="0" applyFont="1" applyBorder="1" applyAlignment="1">
      <alignment horizontal="center" vertical="center" wrapText="1"/>
    </xf>
    <xf numFmtId="0" fontId="84" fillId="0" borderId="2" xfId="0" applyFont="1" applyBorder="1" applyAlignment="1">
      <alignment horizontal="center" vertical="center" wrapText="1"/>
    </xf>
    <xf numFmtId="16" fontId="83" fillId="0" borderId="2" xfId="0" applyNumberFormat="1" applyFont="1" applyBorder="1" applyAlignment="1">
      <alignment horizontal="center" vertical="center"/>
    </xf>
    <xf numFmtId="16" fontId="84" fillId="0" borderId="2" xfId="0" applyNumberFormat="1" applyFont="1" applyBorder="1" applyAlignment="1">
      <alignment horizontal="center" vertical="center" wrapText="1"/>
    </xf>
    <xf numFmtId="0" fontId="84" fillId="0" borderId="2" xfId="0" applyFont="1" applyFill="1" applyBorder="1" applyAlignment="1">
      <alignment horizontal="center" vertical="center" wrapText="1"/>
    </xf>
    <xf numFmtId="0" fontId="84" fillId="0" borderId="8" xfId="0" applyFont="1" applyBorder="1" applyAlignment="1">
      <alignment horizontal="center" vertical="center" wrapText="1"/>
    </xf>
    <xf numFmtId="20" fontId="84" fillId="0" borderId="2" xfId="0" applyNumberFormat="1" applyFont="1" applyBorder="1" applyAlignment="1">
      <alignment horizontal="center" vertical="center" wrapText="1"/>
    </xf>
    <xf numFmtId="16" fontId="83" fillId="0" borderId="9" xfId="0" applyNumberFormat="1" applyFont="1" applyBorder="1" applyAlignment="1">
      <alignment horizontal="center" vertical="center"/>
    </xf>
    <xf numFmtId="0" fontId="84" fillId="48" borderId="2" xfId="0" applyFont="1" applyFill="1" applyBorder="1" applyAlignment="1">
      <alignment horizontal="center" vertical="center" wrapText="1"/>
    </xf>
    <xf numFmtId="0" fontId="84" fillId="21" borderId="2" xfId="0" applyFont="1" applyFill="1" applyBorder="1" applyAlignment="1">
      <alignment horizontal="center" vertical="center" wrapText="1"/>
    </xf>
    <xf numFmtId="16" fontId="83" fillId="10" borderId="4" xfId="0" applyNumberFormat="1" applyFont="1" applyFill="1" applyBorder="1" applyAlignment="1">
      <alignment horizontal="center" vertical="center"/>
    </xf>
    <xf numFmtId="0" fontId="84" fillId="10" borderId="1" xfId="0" applyFont="1" applyFill="1" applyBorder="1" applyAlignment="1">
      <alignment horizontal="center" vertical="center" wrapText="1"/>
    </xf>
    <xf numFmtId="16" fontId="83" fillId="10" borderId="1" xfId="0" applyNumberFormat="1" applyFont="1" applyFill="1" applyBorder="1" applyAlignment="1">
      <alignment horizontal="center" vertical="center"/>
    </xf>
    <xf numFmtId="20" fontId="84" fillId="10" borderId="1" xfId="0" applyNumberFormat="1" applyFont="1" applyFill="1" applyBorder="1" applyAlignment="1">
      <alignment horizontal="center" vertical="center" wrapText="1"/>
    </xf>
    <xf numFmtId="16" fontId="83" fillId="0" borderId="4" xfId="0" applyNumberFormat="1" applyFont="1" applyFill="1" applyBorder="1" applyAlignment="1">
      <alignment horizontal="center" vertical="center"/>
    </xf>
    <xf numFmtId="16" fontId="83" fillId="0" borderId="1" xfId="0" applyNumberFormat="1" applyFont="1" applyFill="1" applyBorder="1" applyAlignment="1">
      <alignment horizontal="center" vertical="center"/>
    </xf>
    <xf numFmtId="16" fontId="84" fillId="0" borderId="1" xfId="0" applyNumberFormat="1" applyFont="1" applyFill="1" applyBorder="1" applyAlignment="1">
      <alignment horizontal="center" vertical="center" wrapText="1"/>
    </xf>
    <xf numFmtId="20" fontId="84" fillId="0" borderId="1" xfId="0" applyNumberFormat="1" applyFont="1" applyFill="1" applyBorder="1" applyAlignment="1">
      <alignment horizontal="center" vertical="center" wrapText="1"/>
    </xf>
    <xf numFmtId="16" fontId="83" fillId="48" borderId="9" xfId="0" applyNumberFormat="1" applyFont="1" applyFill="1" applyBorder="1" applyAlignment="1">
      <alignment horizontal="center" vertical="center"/>
    </xf>
    <xf numFmtId="16" fontId="83" fillId="48" borderId="2" xfId="0" applyNumberFormat="1" applyFont="1" applyFill="1" applyBorder="1" applyAlignment="1">
      <alignment horizontal="center" vertical="center"/>
    </xf>
    <xf numFmtId="0" fontId="84" fillId="48" borderId="8" xfId="0" applyFont="1" applyFill="1" applyBorder="1" applyAlignment="1">
      <alignment horizontal="center" vertical="center" wrapText="1"/>
    </xf>
    <xf numFmtId="16" fontId="83" fillId="10" borderId="9" xfId="0" applyNumberFormat="1" applyFont="1" applyFill="1" applyBorder="1" applyAlignment="1">
      <alignment horizontal="center" vertical="center"/>
    </xf>
    <xf numFmtId="0" fontId="84" fillId="10" borderId="2" xfId="0" applyFont="1" applyFill="1" applyBorder="1" applyAlignment="1">
      <alignment horizontal="center" vertical="center" wrapText="1"/>
    </xf>
    <xf numFmtId="16" fontId="83" fillId="10" borderId="2" xfId="0" applyNumberFormat="1" applyFont="1" applyFill="1" applyBorder="1" applyAlignment="1">
      <alignment horizontal="center" vertical="center"/>
    </xf>
    <xf numFmtId="0" fontId="4" fillId="18" borderId="6" xfId="1" applyFont="1" applyFill="1" applyBorder="1" applyAlignment="1">
      <alignment horizontal="center" vertical="center"/>
    </xf>
    <xf numFmtId="0" fontId="4" fillId="18" borderId="1" xfId="1" applyFont="1" applyFill="1" applyBorder="1" applyAlignment="1">
      <alignment horizontal="center" vertical="center"/>
    </xf>
    <xf numFmtId="0" fontId="4" fillId="42" borderId="1" xfId="1" applyFont="1" applyFill="1" applyBorder="1" applyAlignment="1">
      <alignment horizontal="center" vertical="center"/>
    </xf>
    <xf numFmtId="0" fontId="14" fillId="0" borderId="1" xfId="2" applyFont="1" applyBorder="1" applyAlignment="1" applyProtection="1">
      <alignment horizontal="center" vertical="center"/>
    </xf>
    <xf numFmtId="0" fontId="5" fillId="18" borderId="1" xfId="1" applyFont="1" applyFill="1" applyBorder="1" applyAlignment="1">
      <alignment horizontal="center" vertical="center"/>
    </xf>
    <xf numFmtId="0" fontId="13" fillId="0" borderId="1" xfId="2" applyFont="1" applyBorder="1" applyAlignment="1" applyProtection="1"/>
    <xf numFmtId="0" fontId="5" fillId="15" borderId="1" xfId="1" applyFont="1" applyFill="1" applyBorder="1" applyAlignment="1">
      <alignment horizontal="center" vertical="center"/>
    </xf>
    <xf numFmtId="0" fontId="5" fillId="35" borderId="1" xfId="1" applyFont="1" applyFill="1" applyBorder="1" applyAlignment="1">
      <alignment horizontal="center" vertical="center"/>
    </xf>
    <xf numFmtId="2" fontId="4" fillId="32" borderId="1" xfId="1" applyNumberFormat="1" applyFont="1" applyFill="1" applyBorder="1" applyAlignment="1">
      <alignment horizontal="center" vertical="center"/>
    </xf>
    <xf numFmtId="2" fontId="0" fillId="0" borderId="0" xfId="0" applyNumberFormat="1"/>
    <xf numFmtId="0" fontId="5" fillId="0" borderId="6" xfId="1" applyFont="1" applyBorder="1" applyAlignment="1">
      <alignment horizontal="center"/>
    </xf>
    <xf numFmtId="2" fontId="4" fillId="32" borderId="0" xfId="1" applyNumberFormat="1" applyFont="1" applyFill="1" applyBorder="1" applyAlignment="1">
      <alignment horizontal="center" vertical="center"/>
    </xf>
    <xf numFmtId="0" fontId="9" fillId="0" borderId="0" xfId="1" applyAlignment="1">
      <alignment horizontal="center"/>
    </xf>
    <xf numFmtId="0" fontId="0" fillId="0" borderId="0" xfId="0" applyFont="1"/>
    <xf numFmtId="0" fontId="2" fillId="0" borderId="1" xfId="0" applyFont="1" applyBorder="1" applyAlignment="1">
      <alignment horizontal="left"/>
    </xf>
    <xf numFmtId="0" fontId="0" fillId="0" borderId="1" xfId="0" applyFont="1" applyBorder="1" applyAlignment="1">
      <alignment horizontal="left"/>
    </xf>
    <xf numFmtId="0" fontId="0" fillId="0" borderId="1" xfId="0" applyFont="1" applyBorder="1" applyAlignment="1">
      <alignment horizontal="right"/>
    </xf>
    <xf numFmtId="0" fontId="85" fillId="0" borderId="1" xfId="0" applyFont="1" applyBorder="1" applyAlignment="1">
      <alignment horizontal="left"/>
    </xf>
    <xf numFmtId="0" fontId="10" fillId="0" borderId="1" xfId="0" applyFont="1" applyBorder="1" applyAlignment="1">
      <alignment horizontal="left"/>
    </xf>
    <xf numFmtId="0" fontId="0" fillId="0" borderId="1" xfId="0" applyFont="1" applyBorder="1"/>
    <xf numFmtId="0" fontId="0" fillId="0" borderId="2" xfId="0" applyFont="1" applyBorder="1"/>
    <xf numFmtId="10" fontId="0" fillId="0" borderId="1" xfId="0" applyNumberFormat="1" applyFont="1" applyBorder="1"/>
    <xf numFmtId="0" fontId="2" fillId="0" borderId="1" xfId="0" applyFont="1" applyBorder="1" applyAlignment="1">
      <alignment horizontal="right"/>
    </xf>
    <xf numFmtId="16" fontId="71" fillId="0" borderId="9" xfId="0" applyNumberFormat="1" applyFont="1" applyFill="1" applyBorder="1" applyAlignment="1">
      <alignment horizontal="center" vertical="center"/>
    </xf>
    <xf numFmtId="16" fontId="73" fillId="53" borderId="9" xfId="0" applyNumberFormat="1" applyFont="1" applyFill="1" applyBorder="1" applyAlignment="1">
      <alignment horizontal="center" vertical="center"/>
    </xf>
    <xf numFmtId="0" fontId="78" fillId="48" borderId="1" xfId="0" applyFont="1" applyFill="1" applyBorder="1" applyAlignment="1">
      <alignment horizontal="center" vertical="center" wrapText="1"/>
    </xf>
    <xf numFmtId="0" fontId="84" fillId="14" borderId="2" xfId="0" applyFont="1" applyFill="1" applyBorder="1" applyAlignment="1">
      <alignment horizontal="center" vertical="center" wrapText="1"/>
    </xf>
    <xf numFmtId="16" fontId="71" fillId="0" borderId="2" xfId="0" applyNumberFormat="1" applyFont="1" applyFill="1" applyBorder="1" applyAlignment="1">
      <alignment horizontal="center" vertical="center"/>
    </xf>
    <xf numFmtId="16" fontId="2" fillId="53" borderId="2" xfId="0" applyNumberFormat="1" applyFont="1" applyFill="1" applyBorder="1" applyAlignment="1">
      <alignment horizontal="center" vertical="center"/>
    </xf>
    <xf numFmtId="16" fontId="77" fillId="48" borderId="1" xfId="0" applyNumberFormat="1" applyFont="1" applyFill="1" applyBorder="1" applyAlignment="1">
      <alignment horizontal="center" vertical="center"/>
    </xf>
    <xf numFmtId="16" fontId="76" fillId="0" borderId="1" xfId="0" applyNumberFormat="1" applyFont="1" applyBorder="1" applyAlignment="1">
      <alignment horizontal="center" vertical="center" wrapText="1"/>
    </xf>
    <xf numFmtId="20" fontId="84" fillId="48" borderId="2" xfId="0" applyNumberFormat="1" applyFont="1" applyFill="1" applyBorder="1" applyAlignment="1">
      <alignment horizontal="center" vertical="center" wrapText="1"/>
    </xf>
    <xf numFmtId="20" fontId="72" fillId="0" borderId="2" xfId="0" applyNumberFormat="1" applyFont="1" applyFill="1" applyBorder="1" applyAlignment="1">
      <alignment horizontal="center" vertical="center" wrapText="1"/>
    </xf>
    <xf numFmtId="20" fontId="84" fillId="10" borderId="2" xfId="0" applyNumberFormat="1" applyFont="1" applyFill="1" applyBorder="1" applyAlignment="1">
      <alignment horizontal="center" vertical="center" wrapText="1"/>
    </xf>
    <xf numFmtId="2" fontId="7" fillId="0" borderId="2" xfId="0" applyNumberFormat="1" applyFont="1" applyFill="1" applyBorder="1" applyAlignment="1">
      <alignment horizontal="center" vertical="center" wrapText="1"/>
    </xf>
    <xf numFmtId="0" fontId="72" fillId="12" borderId="1" xfId="0" applyFont="1" applyFill="1" applyBorder="1" applyAlignment="1">
      <alignment horizontal="center" vertical="center" wrapText="1"/>
    </xf>
    <xf numFmtId="0" fontId="7" fillId="58" borderId="2" xfId="0" applyFont="1" applyFill="1" applyBorder="1" applyAlignment="1">
      <alignment horizontal="center" vertical="center" wrapText="1"/>
    </xf>
    <xf numFmtId="0" fontId="84" fillId="56" borderId="2" xfId="0" applyFont="1" applyFill="1" applyBorder="1" applyAlignment="1">
      <alignment horizontal="center" vertical="center" wrapText="1"/>
    </xf>
    <xf numFmtId="0" fontId="7" fillId="49" borderId="1" xfId="0" applyFont="1" applyFill="1" applyBorder="1" applyAlignment="1">
      <alignment horizontal="center" vertical="center" wrapText="1"/>
    </xf>
    <xf numFmtId="16" fontId="83" fillId="48" borderId="4" xfId="0" applyNumberFormat="1" applyFont="1" applyFill="1" applyBorder="1" applyAlignment="1">
      <alignment horizontal="center" vertical="center"/>
    </xf>
    <xf numFmtId="0" fontId="84" fillId="48" borderId="1" xfId="0" applyFont="1" applyFill="1" applyBorder="1" applyAlignment="1">
      <alignment horizontal="center" vertical="center" wrapText="1"/>
    </xf>
    <xf numFmtId="0" fontId="84" fillId="48" borderId="3" xfId="0" applyFont="1" applyFill="1" applyBorder="1" applyAlignment="1">
      <alignment horizontal="center" vertical="center" wrapText="1"/>
    </xf>
    <xf numFmtId="0" fontId="82" fillId="12" borderId="2" xfId="0" applyFont="1" applyFill="1" applyBorder="1" applyAlignment="1">
      <alignment horizontal="center" vertical="center" wrapText="1"/>
    </xf>
    <xf numFmtId="16" fontId="83" fillId="48" borderId="1" xfId="0" applyNumberFormat="1" applyFont="1" applyFill="1" applyBorder="1" applyAlignment="1">
      <alignment horizontal="center" vertical="center"/>
    </xf>
    <xf numFmtId="0" fontId="84" fillId="51" borderId="2" xfId="0" applyFont="1" applyFill="1" applyBorder="1" applyAlignment="1">
      <alignment horizontal="center" vertical="center" wrapText="1"/>
    </xf>
    <xf numFmtId="16" fontId="83" fillId="0" borderId="4" xfId="0" applyNumberFormat="1" applyFont="1" applyBorder="1" applyAlignment="1">
      <alignment horizontal="center" vertical="center"/>
    </xf>
    <xf numFmtId="16" fontId="83" fillId="0" borderId="1" xfId="0" applyNumberFormat="1" applyFont="1" applyBorder="1" applyAlignment="1">
      <alignment horizontal="center" vertical="center"/>
    </xf>
    <xf numFmtId="16" fontId="83" fillId="53" borderId="9" xfId="0" applyNumberFormat="1" applyFont="1" applyFill="1" applyBorder="1" applyAlignment="1">
      <alignment horizontal="center" vertical="center"/>
    </xf>
    <xf numFmtId="0" fontId="84" fillId="53" borderId="2" xfId="0" applyFont="1" applyFill="1" applyBorder="1" applyAlignment="1">
      <alignment horizontal="center" vertical="center" wrapText="1"/>
    </xf>
    <xf numFmtId="16" fontId="83" fillId="53" borderId="2" xfId="0" applyNumberFormat="1" applyFont="1" applyFill="1" applyBorder="1" applyAlignment="1">
      <alignment horizontal="center" vertical="center"/>
    </xf>
    <xf numFmtId="20" fontId="84" fillId="53" borderId="2" xfId="0" applyNumberFormat="1" applyFont="1" applyFill="1" applyBorder="1" applyAlignment="1">
      <alignment horizontal="center" vertical="center" wrapText="1"/>
    </xf>
    <xf numFmtId="16" fontId="83" fillId="0" borderId="9" xfId="0" applyNumberFormat="1" applyFont="1" applyFill="1" applyBorder="1" applyAlignment="1">
      <alignment horizontal="center" vertical="center"/>
    </xf>
    <xf numFmtId="16" fontId="83" fillId="0" borderId="2" xfId="0" applyNumberFormat="1" applyFont="1" applyFill="1" applyBorder="1" applyAlignment="1">
      <alignment horizontal="center" vertical="center"/>
    </xf>
    <xf numFmtId="0" fontId="7" fillId="0" borderId="2" xfId="0" quotePrefix="1" applyFont="1" applyFill="1" applyBorder="1" applyAlignment="1">
      <alignment horizontal="center" vertical="center" wrapText="1"/>
    </xf>
    <xf numFmtId="0" fontId="82" fillId="51" borderId="1" xfId="0" applyFont="1" applyFill="1" applyBorder="1" applyAlignment="1">
      <alignment horizontal="center" vertical="center" wrapText="1"/>
    </xf>
    <xf numFmtId="0" fontId="82" fillId="51" borderId="2" xfId="0" applyFont="1" applyFill="1" applyBorder="1" applyAlignment="1">
      <alignment horizontal="center" vertical="center" wrapText="1"/>
    </xf>
    <xf numFmtId="16" fontId="83" fillId="59" borderId="4" xfId="0" applyNumberFormat="1" applyFont="1" applyFill="1" applyBorder="1" applyAlignment="1">
      <alignment horizontal="center" vertical="center"/>
    </xf>
    <xf numFmtId="16" fontId="71" fillId="48" borderId="1" xfId="0" applyNumberFormat="1" applyFont="1" applyFill="1" applyBorder="1" applyAlignment="1">
      <alignment horizontal="center" vertical="center"/>
    </xf>
    <xf numFmtId="0" fontId="36" fillId="48" borderId="1" xfId="0" applyFont="1" applyFill="1" applyBorder="1" applyAlignment="1">
      <alignment horizontal="center" vertical="center" wrapText="1"/>
    </xf>
    <xf numFmtId="0" fontId="84" fillId="59" borderId="1" xfId="0" applyFont="1" applyFill="1" applyBorder="1" applyAlignment="1">
      <alignment horizontal="center" vertical="center" wrapText="1"/>
    </xf>
    <xf numFmtId="0" fontId="7" fillId="53" borderId="1" xfId="0" applyFont="1" applyFill="1" applyBorder="1" applyAlignment="1">
      <alignment horizontal="center" vertical="center" wrapText="1"/>
    </xf>
    <xf numFmtId="0" fontId="56" fillId="10" borderId="1" xfId="0" applyFont="1" applyFill="1" applyBorder="1" applyAlignment="1">
      <alignment horizontal="center" vertical="center" wrapText="1"/>
    </xf>
    <xf numFmtId="0" fontId="72" fillId="48" borderId="1" xfId="0" applyFont="1" applyFill="1" applyBorder="1" applyAlignment="1">
      <alignment horizontal="center" vertical="center" wrapText="1"/>
    </xf>
    <xf numFmtId="16" fontId="35" fillId="48" borderId="1" xfId="0" applyNumberFormat="1" applyFont="1" applyFill="1" applyBorder="1" applyAlignment="1">
      <alignment horizontal="center" vertical="center"/>
    </xf>
    <xf numFmtId="16" fontId="83" fillId="59" borderId="1" xfId="0" applyNumberFormat="1" applyFont="1" applyFill="1" applyBorder="1" applyAlignment="1">
      <alignment horizontal="center" vertical="center"/>
    </xf>
    <xf numFmtId="16" fontId="77" fillId="53" borderId="1" xfId="0" applyNumberFormat="1" applyFont="1" applyFill="1" applyBorder="1" applyAlignment="1">
      <alignment horizontal="center" vertical="center"/>
    </xf>
    <xf numFmtId="16" fontId="55" fillId="10" borderId="1" xfId="0" applyNumberFormat="1" applyFont="1" applyFill="1" applyBorder="1" applyAlignment="1">
      <alignment horizontal="center" vertical="center"/>
    </xf>
    <xf numFmtId="16" fontId="84" fillId="59" borderId="1" xfId="0" applyNumberFormat="1" applyFont="1" applyFill="1" applyBorder="1" applyAlignment="1">
      <alignment horizontal="center" vertical="center" wrapText="1"/>
    </xf>
    <xf numFmtId="16" fontId="84" fillId="0" borderId="2" xfId="0" applyNumberFormat="1" applyFont="1" applyFill="1" applyBorder="1" applyAlignment="1">
      <alignment horizontal="center" vertical="center" wrapText="1"/>
    </xf>
    <xf numFmtId="16" fontId="56" fillId="10" borderId="1" xfId="0" applyNumberFormat="1" applyFont="1" applyFill="1" applyBorder="1" applyAlignment="1">
      <alignment horizontal="center" vertical="center" wrapText="1"/>
    </xf>
    <xf numFmtId="16" fontId="84" fillId="10" borderId="1" xfId="0" applyNumberFormat="1" applyFont="1" applyFill="1" applyBorder="1" applyAlignment="1">
      <alignment horizontal="center" vertical="center" wrapText="1"/>
    </xf>
    <xf numFmtId="0" fontId="42" fillId="0" borderId="2" xfId="0" applyFont="1" applyBorder="1" applyAlignment="1">
      <alignment horizontal="center" vertical="center" wrapText="1"/>
    </xf>
    <xf numFmtId="20" fontId="84" fillId="0" borderId="2" xfId="0" applyNumberFormat="1" applyFont="1" applyFill="1" applyBorder="1" applyAlignment="1">
      <alignment horizontal="center" vertical="center" wrapText="1"/>
    </xf>
    <xf numFmtId="20" fontId="78" fillId="48" borderId="1" xfId="0" applyNumberFormat="1" applyFont="1" applyFill="1" applyBorder="1" applyAlignment="1">
      <alignment horizontal="center" vertical="center" wrapText="1"/>
    </xf>
    <xf numFmtId="20" fontId="76" fillId="0" borderId="2" xfId="0" applyNumberFormat="1" applyFont="1" applyFill="1" applyBorder="1" applyAlignment="1">
      <alignment horizontal="center" vertical="center" wrapText="1"/>
    </xf>
    <xf numFmtId="0" fontId="78" fillId="51" borderId="1" xfId="0" applyFont="1" applyFill="1" applyBorder="1" applyAlignment="1">
      <alignment horizontal="center" vertical="center" wrapText="1"/>
    </xf>
    <xf numFmtId="0" fontId="74" fillId="51" borderId="1" xfId="0" applyFont="1" applyFill="1" applyBorder="1" applyAlignment="1">
      <alignment horizontal="center" vertical="center" wrapText="1"/>
    </xf>
    <xf numFmtId="0" fontId="72" fillId="12" borderId="2" xfId="0" applyFont="1" applyFill="1" applyBorder="1" applyAlignment="1">
      <alignment horizontal="center" vertical="center" wrapText="1"/>
    </xf>
    <xf numFmtId="0" fontId="7" fillId="57" borderId="1" xfId="0" applyFont="1" applyFill="1" applyBorder="1" applyAlignment="1">
      <alignment horizontal="center" vertical="center" wrapText="1"/>
    </xf>
    <xf numFmtId="0" fontId="7" fillId="56" borderId="1" xfId="0" applyFont="1" applyFill="1" applyBorder="1" applyAlignment="1">
      <alignment horizontal="center" vertical="center" wrapText="1"/>
    </xf>
    <xf numFmtId="0" fontId="74" fillId="21" borderId="1" xfId="0" applyFont="1" applyFill="1" applyBorder="1" applyAlignment="1">
      <alignment horizontal="center" vertical="center" wrapText="1"/>
    </xf>
    <xf numFmtId="0" fontId="74" fillId="56" borderId="2" xfId="0" applyFont="1" applyFill="1" applyBorder="1" applyAlignment="1">
      <alignment horizontal="center" vertical="center" wrapText="1"/>
    </xf>
    <xf numFmtId="16" fontId="89" fillId="0" borderId="9" xfId="0" applyNumberFormat="1" applyFont="1" applyBorder="1" applyAlignment="1">
      <alignment horizontal="center" vertical="center"/>
    </xf>
    <xf numFmtId="0" fontId="90" fillId="0" borderId="2" xfId="0" applyFont="1" applyBorder="1" applyAlignment="1">
      <alignment horizontal="center" vertical="center" wrapText="1"/>
    </xf>
    <xf numFmtId="16" fontId="89" fillId="0" borderId="2" xfId="0" applyNumberFormat="1" applyFont="1" applyBorder="1" applyAlignment="1">
      <alignment horizontal="center" vertical="center"/>
    </xf>
    <xf numFmtId="20" fontId="90" fillId="0" borderId="2" xfId="0" applyNumberFormat="1" applyFont="1" applyBorder="1" applyAlignment="1">
      <alignment horizontal="center" vertical="center" wrapText="1"/>
    </xf>
    <xf numFmtId="0" fontId="90" fillId="0" borderId="8" xfId="0" applyFont="1" applyBorder="1" applyAlignment="1">
      <alignment horizontal="center" vertical="center" wrapText="1"/>
    </xf>
    <xf numFmtId="16" fontId="89" fillId="0" borderId="4" xfId="0" applyNumberFormat="1" applyFont="1" applyBorder="1" applyAlignment="1">
      <alignment horizontal="center" vertical="center"/>
    </xf>
    <xf numFmtId="0" fontId="90" fillId="0" borderId="1" xfId="0" applyFont="1" applyBorder="1" applyAlignment="1">
      <alignment horizontal="center" vertical="center" wrapText="1"/>
    </xf>
    <xf numFmtId="16" fontId="89" fillId="0" borderId="1" xfId="0" applyNumberFormat="1" applyFont="1" applyBorder="1" applyAlignment="1">
      <alignment horizontal="center" vertical="center"/>
    </xf>
    <xf numFmtId="16" fontId="90" fillId="0" borderId="1" xfId="0" applyNumberFormat="1" applyFont="1" applyBorder="1" applyAlignment="1">
      <alignment horizontal="center" vertical="center" wrapText="1"/>
    </xf>
    <xf numFmtId="20" fontId="90" fillId="0" borderId="1" xfId="0" applyNumberFormat="1" applyFont="1" applyBorder="1" applyAlignment="1">
      <alignment horizontal="center" vertical="center" wrapText="1"/>
    </xf>
    <xf numFmtId="0" fontId="90" fillId="0" borderId="3" xfId="0" applyFont="1" applyBorder="1" applyAlignment="1">
      <alignment horizontal="center" vertical="center" wrapText="1"/>
    </xf>
    <xf numFmtId="16" fontId="84" fillId="10" borderId="2" xfId="0" applyNumberFormat="1" applyFont="1" applyFill="1" applyBorder="1" applyAlignment="1">
      <alignment horizontal="center" vertical="center" wrapText="1"/>
    </xf>
    <xf numFmtId="16" fontId="7" fillId="5" borderId="2" xfId="0" applyNumberFormat="1" applyFont="1" applyFill="1" applyBorder="1" applyAlignment="1">
      <alignment horizontal="center" vertical="center" wrapText="1"/>
    </xf>
    <xf numFmtId="16" fontId="92" fillId="0" borderId="9" xfId="0" applyNumberFormat="1" applyFont="1" applyBorder="1" applyAlignment="1">
      <alignment horizontal="center" vertical="center"/>
    </xf>
    <xf numFmtId="0" fontId="93" fillId="0" borderId="2" xfId="0" applyFont="1" applyBorder="1" applyAlignment="1">
      <alignment horizontal="center" vertical="center" wrapText="1"/>
    </xf>
    <xf numFmtId="16" fontId="93" fillId="0" borderId="2" xfId="0" applyNumberFormat="1" applyFont="1" applyBorder="1" applyAlignment="1">
      <alignment horizontal="center" vertical="center" wrapText="1"/>
    </xf>
    <xf numFmtId="0" fontId="93" fillId="0" borderId="8" xfId="0" applyFont="1" applyBorder="1" applyAlignment="1">
      <alignment horizontal="center" vertical="center" wrapText="1"/>
    </xf>
    <xf numFmtId="0" fontId="96" fillId="0" borderId="1" xfId="0" applyFont="1" applyBorder="1" applyAlignment="1">
      <alignment horizontal="center" vertical="center" wrapText="1"/>
    </xf>
    <xf numFmtId="20" fontId="96" fillId="0" borderId="1" xfId="0" applyNumberFormat="1" applyFont="1" applyBorder="1" applyAlignment="1">
      <alignment horizontal="center" vertical="center" wrapText="1"/>
    </xf>
    <xf numFmtId="16" fontId="2" fillId="0" borderId="4" xfId="0" applyNumberFormat="1" applyFont="1" applyBorder="1" applyAlignment="1">
      <alignment horizontal="center" vertical="center"/>
    </xf>
    <xf numFmtId="16" fontId="96" fillId="0" borderId="1" xfId="0" applyNumberFormat="1" applyFont="1" applyBorder="1" applyAlignment="1">
      <alignment horizontal="center" vertical="center" wrapText="1"/>
    </xf>
    <xf numFmtId="0" fontId="96" fillId="0" borderId="3" xfId="0" applyFont="1" applyBorder="1" applyAlignment="1">
      <alignment horizontal="center" vertical="center" wrapText="1"/>
    </xf>
    <xf numFmtId="0" fontId="96" fillId="0" borderId="2" xfId="0" applyFont="1" applyBorder="1" applyAlignment="1">
      <alignment horizontal="center" vertical="center" wrapText="1"/>
    </xf>
    <xf numFmtId="16" fontId="95" fillId="0" borderId="2" xfId="0" applyNumberFormat="1" applyFont="1" applyBorder="1" applyAlignment="1">
      <alignment horizontal="center" vertical="center"/>
    </xf>
    <xf numFmtId="20" fontId="96" fillId="0" borderId="2" xfId="0" applyNumberFormat="1" applyFont="1" applyBorder="1" applyAlignment="1">
      <alignment horizontal="center" vertical="center" wrapText="1"/>
    </xf>
    <xf numFmtId="16" fontId="92" fillId="0" borderId="2" xfId="0" applyNumberFormat="1" applyFont="1" applyBorder="1" applyAlignment="1">
      <alignment horizontal="center" vertical="center"/>
    </xf>
    <xf numFmtId="16" fontId="95" fillId="0" borderId="4" xfId="0" applyNumberFormat="1" applyFont="1" applyBorder="1" applyAlignment="1">
      <alignment horizontal="center" vertical="center"/>
    </xf>
    <xf numFmtId="16" fontId="95" fillId="0" borderId="1" xfId="0" applyNumberFormat="1" applyFont="1" applyBorder="1" applyAlignment="1">
      <alignment horizontal="center" vertical="center"/>
    </xf>
    <xf numFmtId="16" fontId="95" fillId="0" borderId="9" xfId="0" applyNumberFormat="1" applyFont="1" applyBorder="1" applyAlignment="1">
      <alignment horizontal="center" vertical="center"/>
    </xf>
    <xf numFmtId="16" fontId="96" fillId="0" borderId="2" xfId="0" applyNumberFormat="1" applyFont="1" applyBorder="1" applyAlignment="1">
      <alignment horizontal="center" vertical="center" wrapText="1"/>
    </xf>
    <xf numFmtId="0" fontId="96" fillId="0" borderId="8" xfId="0" applyFont="1" applyBorder="1" applyAlignment="1">
      <alignment horizontal="center" vertical="center" wrapText="1"/>
    </xf>
    <xf numFmtId="16" fontId="97" fillId="0" borderId="9" xfId="0" applyNumberFormat="1" applyFont="1" applyBorder="1" applyAlignment="1">
      <alignment horizontal="center" vertical="center"/>
    </xf>
    <xf numFmtId="0" fontId="98" fillId="0" borderId="2" xfId="0" applyFont="1" applyBorder="1" applyAlignment="1">
      <alignment horizontal="center" vertical="center" wrapText="1"/>
    </xf>
    <xf numFmtId="16" fontId="97" fillId="0" borderId="2" xfId="0" applyNumberFormat="1" applyFont="1" applyBorder="1" applyAlignment="1">
      <alignment horizontal="center" vertical="center"/>
    </xf>
    <xf numFmtId="16" fontId="98" fillId="0" borderId="2" xfId="0" applyNumberFormat="1" applyFont="1" applyBorder="1" applyAlignment="1">
      <alignment horizontal="center" vertical="center" wrapText="1"/>
    </xf>
    <xf numFmtId="0" fontId="98" fillId="0" borderId="8" xfId="0" applyFont="1" applyBorder="1" applyAlignment="1">
      <alignment horizontal="center" vertical="center" wrapText="1"/>
    </xf>
    <xf numFmtId="20" fontId="98" fillId="0" borderId="2" xfId="0" applyNumberFormat="1" applyFont="1" applyBorder="1" applyAlignment="1">
      <alignment horizontal="center" vertical="center" wrapText="1"/>
    </xf>
    <xf numFmtId="16" fontId="98" fillId="0" borderId="1" xfId="0" applyNumberFormat="1" applyFont="1" applyBorder="1" applyAlignment="1">
      <alignment horizontal="center" vertical="center" wrapText="1"/>
    </xf>
    <xf numFmtId="16" fontId="101" fillId="0" borderId="9" xfId="0" applyNumberFormat="1" applyFont="1" applyBorder="1" applyAlignment="1">
      <alignment horizontal="center" vertical="center"/>
    </xf>
    <xf numFmtId="0" fontId="96" fillId="14" borderId="2" xfId="0" applyFont="1" applyFill="1" applyBorder="1" applyAlignment="1">
      <alignment horizontal="center" vertical="center" wrapText="1"/>
    </xf>
    <xf numFmtId="20" fontId="93" fillId="0" borderId="2" xfId="0" applyNumberFormat="1" applyFont="1" applyBorder="1" applyAlignment="1">
      <alignment horizontal="center" vertical="center" wrapText="1"/>
    </xf>
    <xf numFmtId="16" fontId="103" fillId="0" borderId="9" xfId="0" applyNumberFormat="1" applyFont="1" applyBorder="1" applyAlignment="1">
      <alignment horizontal="center" vertical="center"/>
    </xf>
    <xf numFmtId="0" fontId="104" fillId="0" borderId="2" xfId="0" applyFont="1" applyBorder="1" applyAlignment="1">
      <alignment horizontal="center" vertical="center" wrapText="1"/>
    </xf>
    <xf numFmtId="16" fontId="103" fillId="0" borderId="2" xfId="0" applyNumberFormat="1" applyFont="1" applyBorder="1" applyAlignment="1">
      <alignment horizontal="center" vertical="center"/>
    </xf>
    <xf numFmtId="16" fontId="104" fillId="0" borderId="2" xfId="0" applyNumberFormat="1" applyFont="1" applyBorder="1" applyAlignment="1">
      <alignment horizontal="center" vertical="center" wrapText="1"/>
    </xf>
    <xf numFmtId="0" fontId="104" fillId="0" borderId="2" xfId="0" applyFont="1" applyFill="1" applyBorder="1" applyAlignment="1">
      <alignment horizontal="center" vertical="center" wrapText="1"/>
    </xf>
    <xf numFmtId="0" fontId="104" fillId="0" borderId="8" xfId="0" applyFont="1" applyBorder="1" applyAlignment="1">
      <alignment horizontal="center" vertical="center" wrapText="1"/>
    </xf>
    <xf numFmtId="20" fontId="104" fillId="0" borderId="2" xfId="0" applyNumberFormat="1" applyFont="1" applyBorder="1" applyAlignment="1">
      <alignment horizontal="center" vertical="center" wrapText="1"/>
    </xf>
    <xf numFmtId="0" fontId="104" fillId="0" borderId="1" xfId="0" applyFont="1" applyBorder="1" applyAlignment="1">
      <alignment horizontal="center" vertical="center" wrapText="1"/>
    </xf>
    <xf numFmtId="16" fontId="97" fillId="0" borderId="4" xfId="0" applyNumberFormat="1" applyFont="1" applyBorder="1" applyAlignment="1">
      <alignment horizontal="center" vertical="center"/>
    </xf>
    <xf numFmtId="0" fontId="98" fillId="0" borderId="1" xfId="0" applyFont="1" applyBorder="1" applyAlignment="1">
      <alignment horizontal="center" vertical="center" wrapText="1"/>
    </xf>
    <xf numFmtId="16" fontId="97" fillId="0" borderId="1" xfId="0" applyNumberFormat="1" applyFont="1" applyBorder="1" applyAlignment="1">
      <alignment horizontal="center" vertical="center"/>
    </xf>
    <xf numFmtId="16" fontId="89" fillId="10" borderId="9" xfId="0" applyNumberFormat="1" applyFont="1" applyFill="1" applyBorder="1" applyAlignment="1">
      <alignment horizontal="center" vertical="center"/>
    </xf>
    <xf numFmtId="0" fontId="90" fillId="10" borderId="2" xfId="0" applyFont="1" applyFill="1" applyBorder="1" applyAlignment="1">
      <alignment horizontal="center" vertical="center" wrapText="1"/>
    </xf>
    <xf numFmtId="16" fontId="89" fillId="10" borderId="2" xfId="0" applyNumberFormat="1" applyFont="1" applyFill="1" applyBorder="1" applyAlignment="1">
      <alignment horizontal="center" vertical="center"/>
    </xf>
    <xf numFmtId="16" fontId="104" fillId="0" borderId="1" xfId="0" applyNumberFormat="1" applyFont="1" applyBorder="1" applyAlignment="1">
      <alignment horizontal="center" vertical="center" wrapText="1"/>
    </xf>
    <xf numFmtId="16" fontId="90" fillId="10" borderId="2" xfId="0" applyNumberFormat="1" applyFont="1" applyFill="1" applyBorder="1" applyAlignment="1">
      <alignment horizontal="center" vertical="center" wrapText="1"/>
    </xf>
    <xf numFmtId="20" fontId="90" fillId="10" borderId="2" xfId="0" applyNumberFormat="1" applyFont="1" applyFill="1" applyBorder="1" applyAlignment="1">
      <alignment horizontal="center" vertical="center" wrapText="1"/>
    </xf>
    <xf numFmtId="0" fontId="104" fillId="0" borderId="3" xfId="0" applyFont="1" applyBorder="1" applyAlignment="1">
      <alignment horizontal="center" vertical="center" wrapText="1"/>
    </xf>
    <xf numFmtId="16" fontId="7" fillId="60" borderId="2" xfId="0" applyNumberFormat="1" applyFont="1" applyFill="1" applyBorder="1" applyAlignment="1">
      <alignment horizontal="center" vertical="center" wrapText="1"/>
    </xf>
    <xf numFmtId="0" fontId="98" fillId="21" borderId="2" xfId="0" applyFont="1" applyFill="1" applyBorder="1" applyAlignment="1">
      <alignment horizontal="center" vertical="center" wrapText="1"/>
    </xf>
    <xf numFmtId="20" fontId="104" fillId="0" borderId="1" xfId="0" applyNumberFormat="1" applyFont="1" applyBorder="1" applyAlignment="1">
      <alignment horizontal="center" vertical="center" wrapText="1"/>
    </xf>
    <xf numFmtId="16" fontId="103" fillId="10" borderId="9" xfId="0" applyNumberFormat="1" applyFont="1" applyFill="1" applyBorder="1" applyAlignment="1">
      <alignment horizontal="center" vertical="center"/>
    </xf>
    <xf numFmtId="0" fontId="104" fillId="10" borderId="2" xfId="0" applyFont="1" applyFill="1" applyBorder="1" applyAlignment="1">
      <alignment horizontal="center" vertical="center" wrapText="1"/>
    </xf>
    <xf numFmtId="16" fontId="103" fillId="10" borderId="2" xfId="0" applyNumberFormat="1" applyFont="1" applyFill="1" applyBorder="1" applyAlignment="1">
      <alignment horizontal="center" vertical="center"/>
    </xf>
    <xf numFmtId="16" fontId="104" fillId="10" borderId="2" xfId="0" applyNumberFormat="1" applyFont="1" applyFill="1" applyBorder="1" applyAlignment="1">
      <alignment horizontal="center" vertical="center" wrapText="1"/>
    </xf>
    <xf numFmtId="20" fontId="104" fillId="10" borderId="2" xfId="0" applyNumberFormat="1" applyFont="1" applyFill="1" applyBorder="1" applyAlignment="1">
      <alignment horizontal="center" vertical="center" wrapText="1"/>
    </xf>
    <xf numFmtId="16" fontId="103" fillId="0" borderId="9" xfId="0" applyNumberFormat="1" applyFont="1" applyFill="1" applyBorder="1" applyAlignment="1">
      <alignment horizontal="center" vertical="center"/>
    </xf>
    <xf numFmtId="16" fontId="104" fillId="0" borderId="2" xfId="0" applyNumberFormat="1" applyFont="1" applyFill="1" applyBorder="1" applyAlignment="1">
      <alignment horizontal="center" vertical="center" wrapText="1"/>
    </xf>
    <xf numFmtId="20" fontId="104" fillId="0" borderId="2" xfId="0" applyNumberFormat="1" applyFont="1" applyFill="1" applyBorder="1" applyAlignment="1">
      <alignment horizontal="center" vertical="center" wrapText="1"/>
    </xf>
    <xf numFmtId="0" fontId="104" fillId="0" borderId="8" xfId="0" applyFont="1" applyFill="1" applyBorder="1" applyAlignment="1">
      <alignment horizontal="center" vertical="center" wrapText="1"/>
    </xf>
    <xf numFmtId="16" fontId="99" fillId="0" borderId="9" xfId="0" applyNumberFormat="1" applyFont="1" applyBorder="1" applyAlignment="1">
      <alignment horizontal="center" vertical="center"/>
    </xf>
    <xf numFmtId="16" fontId="99" fillId="0" borderId="2" xfId="0" applyNumberFormat="1" applyFont="1" applyBorder="1" applyAlignment="1">
      <alignment horizontal="center" vertical="center"/>
    </xf>
    <xf numFmtId="20" fontId="100" fillId="0" borderId="2" xfId="0" applyNumberFormat="1" applyFont="1" applyBorder="1" applyAlignment="1">
      <alignment horizontal="center" vertical="center" wrapText="1"/>
    </xf>
    <xf numFmtId="16" fontId="103" fillId="0" borderId="2" xfId="0" applyNumberFormat="1" applyFont="1" applyFill="1" applyBorder="1" applyAlignment="1">
      <alignment horizontal="center" vertical="center"/>
    </xf>
    <xf numFmtId="16" fontId="103" fillId="0" borderId="4" xfId="0" applyNumberFormat="1" applyFont="1" applyBorder="1" applyAlignment="1">
      <alignment horizontal="center" vertical="center"/>
    </xf>
    <xf numFmtId="16" fontId="103" fillId="0" borderId="1" xfId="0" applyNumberFormat="1" applyFont="1" applyBorder="1" applyAlignment="1">
      <alignment horizontal="center" vertical="center"/>
    </xf>
    <xf numFmtId="0" fontId="104" fillId="48" borderId="2" xfId="0" applyFont="1" applyFill="1" applyBorder="1" applyAlignment="1">
      <alignment horizontal="center" vertical="center" wrapText="1"/>
    </xf>
    <xf numFmtId="16" fontId="103" fillId="48" borderId="2" xfId="0" applyNumberFormat="1" applyFont="1" applyFill="1" applyBorder="1" applyAlignment="1">
      <alignment horizontal="center" vertical="center"/>
    </xf>
    <xf numFmtId="20" fontId="104" fillId="48" borderId="2" xfId="0" applyNumberFormat="1" applyFont="1" applyFill="1" applyBorder="1" applyAlignment="1">
      <alignment horizontal="center" vertical="center" wrapText="1"/>
    </xf>
    <xf numFmtId="0" fontId="104" fillId="48" borderId="1" xfId="0" applyFont="1" applyFill="1" applyBorder="1" applyAlignment="1">
      <alignment horizontal="center" vertical="center" wrapText="1"/>
    </xf>
    <xf numFmtId="0" fontId="104" fillId="59" borderId="2" xfId="0" applyFont="1" applyFill="1" applyBorder="1" applyAlignment="1">
      <alignment horizontal="center" vertical="center" wrapText="1"/>
    </xf>
    <xf numFmtId="16" fontId="103" fillId="59" borderId="2" xfId="0" applyNumberFormat="1" applyFont="1" applyFill="1" applyBorder="1" applyAlignment="1">
      <alignment horizontal="center" vertical="center"/>
    </xf>
    <xf numFmtId="20" fontId="104" fillId="59" borderId="2" xfId="0" applyNumberFormat="1" applyFont="1" applyFill="1" applyBorder="1" applyAlignment="1">
      <alignment horizontal="center" vertical="center" wrapText="1"/>
    </xf>
    <xf numFmtId="0" fontId="7" fillId="0" borderId="28" xfId="0" applyFont="1" applyBorder="1" applyAlignment="1">
      <alignment horizontal="center" vertical="center" wrapText="1"/>
    </xf>
    <xf numFmtId="16" fontId="55" fillId="10" borderId="4" xfId="0" applyNumberFormat="1" applyFont="1" applyFill="1" applyBorder="1" applyAlignment="1">
      <alignment horizontal="center" vertical="center"/>
    </xf>
    <xf numFmtId="16" fontId="73" fillId="48" borderId="4" xfId="0" applyNumberFormat="1" applyFont="1" applyFill="1" applyBorder="1" applyAlignment="1">
      <alignment horizontal="center" vertical="center"/>
    </xf>
    <xf numFmtId="16" fontId="73" fillId="0" borderId="4" xfId="0" applyNumberFormat="1" applyFont="1" applyFill="1" applyBorder="1" applyAlignment="1">
      <alignment horizontal="center" vertical="center"/>
    </xf>
    <xf numFmtId="16" fontId="59" fillId="10" borderId="4" xfId="0" applyNumberFormat="1" applyFont="1" applyFill="1" applyBorder="1" applyAlignment="1">
      <alignment horizontal="center" vertical="center"/>
    </xf>
    <xf numFmtId="16" fontId="75" fillId="48" borderId="4" xfId="0" applyNumberFormat="1" applyFont="1" applyFill="1" applyBorder="1" applyAlignment="1">
      <alignment horizontal="center" vertical="center"/>
    </xf>
    <xf numFmtId="16" fontId="81" fillId="10" borderId="9" xfId="0" applyNumberFormat="1" applyFont="1" applyFill="1" applyBorder="1" applyAlignment="1">
      <alignment horizontal="center" vertical="center"/>
    </xf>
    <xf numFmtId="16" fontId="77" fillId="0" borderId="9" xfId="0" applyNumberFormat="1" applyFont="1" applyFill="1" applyBorder="1" applyAlignment="1">
      <alignment horizontal="center" vertical="center"/>
    </xf>
    <xf numFmtId="0" fontId="64" fillId="10" borderId="1" xfId="0" applyFont="1" applyFill="1" applyBorder="1" applyAlignment="1">
      <alignment horizontal="center" vertical="center" wrapText="1"/>
    </xf>
    <xf numFmtId="0" fontId="60" fillId="10" borderId="2" xfId="0" applyFont="1" applyFill="1" applyBorder="1" applyAlignment="1">
      <alignment horizontal="center" vertical="center" wrapText="1"/>
    </xf>
    <xf numFmtId="0" fontId="82" fillId="10" borderId="2" xfId="0" applyFont="1" applyFill="1" applyBorder="1" applyAlignment="1">
      <alignment horizontal="center" vertical="center" wrapText="1"/>
    </xf>
    <xf numFmtId="0" fontId="82" fillId="48" borderId="1" xfId="0" applyFont="1" applyFill="1" applyBorder="1" applyAlignment="1">
      <alignment horizontal="center" vertical="center" wrapText="1"/>
    </xf>
    <xf numFmtId="16" fontId="63" fillId="10" borderId="1" xfId="0" applyNumberFormat="1" applyFont="1" applyFill="1" applyBorder="1" applyAlignment="1">
      <alignment horizontal="center" vertical="center"/>
    </xf>
    <xf numFmtId="16" fontId="77" fillId="10" borderId="1" xfId="0" applyNumberFormat="1" applyFont="1" applyFill="1" applyBorder="1" applyAlignment="1">
      <alignment horizontal="center" vertical="center"/>
    </xf>
    <xf numFmtId="16" fontId="57" fillId="10" borderId="1" xfId="0" applyNumberFormat="1" applyFont="1" applyFill="1" applyBorder="1" applyAlignment="1">
      <alignment horizontal="center" vertical="center"/>
    </xf>
    <xf numFmtId="16" fontId="59" fillId="10" borderId="2" xfId="0" applyNumberFormat="1" applyFont="1" applyFill="1" applyBorder="1" applyAlignment="1">
      <alignment horizontal="center" vertical="center"/>
    </xf>
    <xf numFmtId="16" fontId="81" fillId="10" borderId="2" xfId="0" applyNumberFormat="1" applyFont="1" applyFill="1" applyBorder="1" applyAlignment="1">
      <alignment horizontal="center" vertical="center"/>
    </xf>
    <xf numFmtId="16" fontId="81" fillId="48" borderId="1" xfId="0" applyNumberFormat="1" applyFont="1" applyFill="1" applyBorder="1" applyAlignment="1">
      <alignment horizontal="center" vertical="center"/>
    </xf>
    <xf numFmtId="16" fontId="77" fillId="0" borderId="2" xfId="0" applyNumberFormat="1" applyFont="1" applyFill="1" applyBorder="1" applyAlignment="1">
      <alignment horizontal="center" vertical="center"/>
    </xf>
    <xf numFmtId="16" fontId="82" fillId="0" borderId="1" xfId="0" applyNumberFormat="1" applyFont="1" applyBorder="1" applyAlignment="1">
      <alignment horizontal="center" vertical="center" wrapText="1"/>
    </xf>
    <xf numFmtId="16" fontId="64" fillId="10" borderId="1" xfId="0" applyNumberFormat="1" applyFont="1" applyFill="1" applyBorder="1" applyAlignment="1">
      <alignment horizontal="center" vertical="center" wrapText="1"/>
    </xf>
    <xf numFmtId="16" fontId="78" fillId="10" borderId="1" xfId="0" applyNumberFormat="1" applyFont="1" applyFill="1" applyBorder="1" applyAlignment="1">
      <alignment horizontal="center" vertical="center" wrapText="1"/>
    </xf>
    <xf numFmtId="16" fontId="7" fillId="54" borderId="1" xfId="0" applyNumberFormat="1" applyFont="1" applyFill="1" applyBorder="1" applyAlignment="1">
      <alignment horizontal="center" vertical="center" wrapText="1"/>
    </xf>
    <xf numFmtId="16" fontId="82" fillId="10" borderId="2" xfId="0" applyNumberFormat="1" applyFont="1" applyFill="1" applyBorder="1" applyAlignment="1">
      <alignment horizontal="center" vertical="center" wrapText="1"/>
    </xf>
    <xf numFmtId="16" fontId="78" fillId="0" borderId="2" xfId="0" applyNumberFormat="1" applyFont="1" applyFill="1" applyBorder="1" applyAlignment="1">
      <alignment horizontal="center" vertical="center" wrapText="1"/>
    </xf>
    <xf numFmtId="20" fontId="68" fillId="10" borderId="2" xfId="0" applyNumberFormat="1" applyFont="1" applyFill="1" applyBorder="1" applyAlignment="1">
      <alignment horizontal="center" vertical="center" wrapText="1"/>
    </xf>
    <xf numFmtId="20" fontId="56" fillId="10" borderId="1" xfId="0" applyNumberFormat="1" applyFont="1" applyFill="1" applyBorder="1" applyAlignment="1">
      <alignment horizontal="center" vertical="center" wrapText="1"/>
    </xf>
    <xf numFmtId="20" fontId="64" fillId="10" borderId="1" xfId="0" applyNumberFormat="1" applyFont="1" applyFill="1" applyBorder="1" applyAlignment="1">
      <alignment horizontal="center" vertical="center" wrapText="1"/>
    </xf>
    <xf numFmtId="20" fontId="78" fillId="48" borderId="2" xfId="0" applyNumberFormat="1" applyFont="1" applyFill="1" applyBorder="1" applyAlignment="1">
      <alignment horizontal="center" vertical="center" wrapText="1"/>
    </xf>
    <xf numFmtId="20" fontId="58" fillId="10" borderId="1" xfId="0" applyNumberFormat="1" applyFont="1" applyFill="1" applyBorder="1" applyAlignment="1">
      <alignment horizontal="center" vertical="center" wrapText="1"/>
    </xf>
    <xf numFmtId="20" fontId="60" fillId="10" borderId="1" xfId="0" applyNumberFormat="1" applyFont="1" applyFill="1" applyBorder="1" applyAlignment="1">
      <alignment horizontal="center" vertical="center" wrapText="1"/>
    </xf>
    <xf numFmtId="20" fontId="56" fillId="54" borderId="1" xfId="0" applyNumberFormat="1" applyFont="1" applyFill="1" applyBorder="1" applyAlignment="1">
      <alignment horizontal="center" vertical="center" wrapText="1"/>
    </xf>
    <xf numFmtId="20" fontId="82" fillId="10" borderId="2" xfId="0" applyNumberFormat="1" applyFont="1" applyFill="1" applyBorder="1" applyAlignment="1">
      <alignment horizontal="center" vertical="center" wrapText="1"/>
    </xf>
    <xf numFmtId="20" fontId="78" fillId="0" borderId="2" xfId="0" applyNumberFormat="1" applyFont="1" applyFill="1" applyBorder="1" applyAlignment="1">
      <alignment horizontal="center" vertical="center" wrapText="1"/>
    </xf>
    <xf numFmtId="20" fontId="76" fillId="48" borderId="1" xfId="0" applyNumberFormat="1" applyFont="1" applyFill="1" applyBorder="1" applyAlignment="1">
      <alignment horizontal="center" vertical="center" wrapText="1"/>
    </xf>
    <xf numFmtId="20" fontId="64" fillId="0" borderId="1" xfId="0" applyNumberFormat="1" applyFont="1" applyBorder="1" applyAlignment="1">
      <alignment horizontal="center" vertical="center" wrapText="1"/>
    </xf>
    <xf numFmtId="20" fontId="60" fillId="0" borderId="1" xfId="0" applyNumberFormat="1" applyFont="1" applyBorder="1" applyAlignment="1">
      <alignment horizontal="center" vertical="center" wrapText="1"/>
    </xf>
    <xf numFmtId="0" fontId="64" fillId="12" borderId="1" xfId="0" applyFont="1" applyFill="1" applyBorder="1" applyAlignment="1">
      <alignment horizontal="center" vertical="center" wrapText="1"/>
    </xf>
    <xf numFmtId="0" fontId="78" fillId="12" borderId="1" xfId="0" applyFont="1" applyFill="1" applyBorder="1" applyAlignment="1">
      <alignment horizontal="center" vertical="center" wrapText="1"/>
    </xf>
    <xf numFmtId="0" fontId="78" fillId="48" borderId="3" xfId="0" applyFont="1" applyFill="1" applyBorder="1" applyAlignment="1">
      <alignment horizontal="center" vertical="center" wrapText="1"/>
    </xf>
    <xf numFmtId="0" fontId="82" fillId="48" borderId="3" xfId="0" applyFont="1" applyFill="1" applyBorder="1" applyAlignment="1">
      <alignment horizontal="center" vertical="center" wrapText="1"/>
    </xf>
    <xf numFmtId="0" fontId="78" fillId="0" borderId="8" xfId="0" applyFont="1" applyFill="1" applyBorder="1" applyAlignment="1">
      <alignment horizontal="center" vertical="center" wrapText="1"/>
    </xf>
    <xf numFmtId="16" fontId="107" fillId="0" borderId="9" xfId="0" applyNumberFormat="1" applyFont="1" applyBorder="1" applyAlignment="1">
      <alignment horizontal="center" vertical="center"/>
    </xf>
    <xf numFmtId="0" fontId="108" fillId="0" borderId="2" xfId="0" applyFont="1" applyBorder="1" applyAlignment="1">
      <alignment horizontal="center" vertical="center" wrapText="1"/>
    </xf>
    <xf numFmtId="16" fontId="107" fillId="0" borderId="2" xfId="0" applyNumberFormat="1" applyFont="1" applyBorder="1" applyAlignment="1">
      <alignment horizontal="center" vertical="center"/>
    </xf>
    <xf numFmtId="16" fontId="108" fillId="0" borderId="2" xfId="0" applyNumberFormat="1" applyFont="1" applyBorder="1" applyAlignment="1">
      <alignment horizontal="center" vertical="center" wrapText="1"/>
    </xf>
    <xf numFmtId="0" fontId="108" fillId="0" borderId="8" xfId="0" applyFont="1" applyBorder="1" applyAlignment="1">
      <alignment horizontal="center" vertical="center" wrapText="1"/>
    </xf>
    <xf numFmtId="20" fontId="108" fillId="0" borderId="2" xfId="0" applyNumberFormat="1" applyFont="1" applyBorder="1" applyAlignment="1">
      <alignment horizontal="center" vertical="center" wrapText="1"/>
    </xf>
    <xf numFmtId="16" fontId="107" fillId="10" borderId="9" xfId="0" applyNumberFormat="1" applyFont="1" applyFill="1" applyBorder="1" applyAlignment="1">
      <alignment horizontal="center" vertical="center"/>
    </xf>
    <xf numFmtId="0" fontId="108" fillId="10" borderId="2" xfId="0" applyFont="1" applyFill="1" applyBorder="1" applyAlignment="1">
      <alignment horizontal="center" vertical="center" wrapText="1"/>
    </xf>
    <xf numFmtId="16" fontId="107" fillId="10" borderId="2" xfId="0" applyNumberFormat="1" applyFont="1" applyFill="1" applyBorder="1" applyAlignment="1">
      <alignment horizontal="center" vertical="center"/>
    </xf>
    <xf numFmtId="16" fontId="108" fillId="10" borderId="2" xfId="0" applyNumberFormat="1" applyFont="1" applyFill="1" applyBorder="1" applyAlignment="1">
      <alignment horizontal="center" vertical="center" wrapText="1"/>
    </xf>
    <xf numFmtId="20" fontId="108" fillId="10" borderId="2" xfId="0" applyNumberFormat="1" applyFont="1" applyFill="1" applyBorder="1" applyAlignment="1">
      <alignment horizontal="center" vertical="center" wrapText="1"/>
    </xf>
    <xf numFmtId="16" fontId="7" fillId="60" borderId="1" xfId="0" applyNumberFormat="1" applyFont="1" applyFill="1" applyBorder="1" applyAlignment="1">
      <alignment horizontal="center" vertical="center" wrapText="1"/>
    </xf>
    <xf numFmtId="16" fontId="103" fillId="59" borderId="9" xfId="0" applyNumberFormat="1" applyFont="1" applyFill="1" applyBorder="1" applyAlignment="1">
      <alignment horizontal="center" vertical="center"/>
    </xf>
    <xf numFmtId="0" fontId="108" fillId="0" borderId="1" xfId="0" applyFont="1" applyBorder="1" applyAlignment="1">
      <alignment horizontal="center" vertical="center" wrapText="1"/>
    </xf>
    <xf numFmtId="16" fontId="2" fillId="48" borderId="0" xfId="0" applyNumberFormat="1" applyFont="1" applyFill="1" applyBorder="1" applyAlignment="1">
      <alignment horizontal="center" vertical="center"/>
    </xf>
    <xf numFmtId="0" fontId="7" fillId="48" borderId="0" xfId="0" applyFont="1" applyFill="1" applyBorder="1" applyAlignment="1">
      <alignment horizontal="center" vertical="center"/>
    </xf>
    <xf numFmtId="16" fontId="107" fillId="0" borderId="4" xfId="0" applyNumberFormat="1" applyFont="1" applyBorder="1" applyAlignment="1">
      <alignment horizontal="center" vertical="center"/>
    </xf>
    <xf numFmtId="16" fontId="107" fillId="0" borderId="1" xfId="0" applyNumberFormat="1" applyFont="1" applyBorder="1" applyAlignment="1">
      <alignment horizontal="center" vertical="center"/>
    </xf>
    <xf numFmtId="16" fontId="108" fillId="0" borderId="1" xfId="0" applyNumberFormat="1" applyFont="1" applyBorder="1" applyAlignment="1">
      <alignment horizontal="center" vertical="center" wrapText="1"/>
    </xf>
    <xf numFmtId="0" fontId="108" fillId="0" borderId="3" xfId="0" applyFont="1" applyBorder="1" applyAlignment="1">
      <alignment horizontal="center" vertical="center" wrapText="1"/>
    </xf>
    <xf numFmtId="20" fontId="108" fillId="0" borderId="1" xfId="0" applyNumberFormat="1" applyFont="1" applyBorder="1" applyAlignment="1">
      <alignment horizontal="center" vertical="center" wrapText="1"/>
    </xf>
    <xf numFmtId="0" fontId="108" fillId="21" borderId="2" xfId="0" applyFont="1" applyFill="1" applyBorder="1" applyAlignment="1">
      <alignment horizontal="center" vertical="center" wrapText="1"/>
    </xf>
    <xf numFmtId="20" fontId="76" fillId="10" borderId="1" xfId="0" applyNumberFormat="1" applyFont="1" applyFill="1" applyBorder="1" applyAlignment="1">
      <alignment horizontal="center" vertical="center" wrapText="1"/>
    </xf>
    <xf numFmtId="0" fontId="104" fillId="21" borderId="2" xfId="0" applyFont="1" applyFill="1" applyBorder="1" applyAlignment="1">
      <alignment horizontal="center" vertical="center" wrapText="1"/>
    </xf>
    <xf numFmtId="16" fontId="104" fillId="59" borderId="2" xfId="0" applyNumberFormat="1" applyFont="1" applyFill="1" applyBorder="1" applyAlignment="1">
      <alignment horizontal="center" vertical="center" wrapText="1"/>
    </xf>
    <xf numFmtId="16" fontId="110" fillId="0" borderId="9" xfId="0" applyNumberFormat="1" applyFont="1" applyBorder="1" applyAlignment="1">
      <alignment horizontal="center" vertical="center"/>
    </xf>
    <xf numFmtId="0" fontId="111" fillId="0" borderId="2" xfId="0" applyFont="1" applyBorder="1" applyAlignment="1">
      <alignment horizontal="center" vertical="center" wrapText="1"/>
    </xf>
    <xf numFmtId="16" fontId="110" fillId="0" borderId="2" xfId="0" applyNumberFormat="1" applyFont="1" applyBorder="1" applyAlignment="1">
      <alignment horizontal="center" vertical="center"/>
    </xf>
    <xf numFmtId="16" fontId="111" fillId="0" borderId="2" xfId="0" applyNumberFormat="1" applyFont="1" applyBorder="1" applyAlignment="1">
      <alignment horizontal="center" vertical="center" wrapText="1"/>
    </xf>
    <xf numFmtId="0" fontId="111" fillId="0" borderId="8" xfId="0" applyFont="1" applyBorder="1" applyAlignment="1">
      <alignment horizontal="center" vertical="center" wrapText="1"/>
    </xf>
    <xf numFmtId="20" fontId="111" fillId="0" borderId="2" xfId="0" applyNumberFormat="1" applyFont="1" applyBorder="1" applyAlignment="1">
      <alignment horizontal="center" vertical="center" wrapText="1"/>
    </xf>
    <xf numFmtId="0" fontId="111" fillId="0" borderId="1" xfId="0" applyFont="1" applyFill="1" applyBorder="1" applyAlignment="1">
      <alignment horizontal="center" vertical="center" wrapText="1"/>
    </xf>
    <xf numFmtId="0" fontId="0" fillId="0" borderId="0" xfId="0" applyFill="1" applyAlignment="1">
      <alignment wrapText="1"/>
    </xf>
    <xf numFmtId="2" fontId="111" fillId="0" borderId="2" xfId="0" applyNumberFormat="1" applyFont="1" applyFill="1" applyBorder="1" applyAlignment="1">
      <alignment horizontal="center" vertical="center" wrapText="1"/>
    </xf>
    <xf numFmtId="0" fontId="113" fillId="0" borderId="1" xfId="0" applyFont="1" applyFill="1" applyBorder="1" applyAlignment="1">
      <alignment horizontal="center" vertical="center" wrapText="1"/>
    </xf>
    <xf numFmtId="16" fontId="107" fillId="10" borderId="4" xfId="0" applyNumberFormat="1" applyFont="1" applyFill="1" applyBorder="1" applyAlignment="1">
      <alignment horizontal="center" vertical="center"/>
    </xf>
    <xf numFmtId="0" fontId="113" fillId="21" borderId="2" xfId="0" applyFont="1" applyFill="1" applyBorder="1" applyAlignment="1">
      <alignment horizontal="center" vertical="center" wrapText="1"/>
    </xf>
    <xf numFmtId="16" fontId="112" fillId="0" borderId="4" xfId="0" applyNumberFormat="1" applyFont="1" applyBorder="1" applyAlignment="1">
      <alignment horizontal="center" vertical="center"/>
    </xf>
    <xf numFmtId="0" fontId="113" fillId="0" borderId="1" xfId="0" applyFont="1" applyBorder="1" applyAlignment="1">
      <alignment horizontal="center" vertical="center" wrapText="1"/>
    </xf>
    <xf numFmtId="0" fontId="113" fillId="21" borderId="1" xfId="0" applyFont="1" applyFill="1" applyBorder="1" applyAlignment="1">
      <alignment horizontal="center" vertical="center" wrapText="1"/>
    </xf>
    <xf numFmtId="16" fontId="112" fillId="0" borderId="1" xfId="0" applyNumberFormat="1" applyFont="1" applyFill="1" applyBorder="1" applyAlignment="1">
      <alignment horizontal="center" vertical="center"/>
    </xf>
    <xf numFmtId="20" fontId="113" fillId="0" borderId="1" xfId="0" applyNumberFormat="1" applyFont="1" applyFill="1" applyBorder="1" applyAlignment="1">
      <alignment horizontal="center" vertical="center" wrapText="1"/>
    </xf>
    <xf numFmtId="16" fontId="112" fillId="0" borderId="4" xfId="0" applyNumberFormat="1" applyFont="1" applyFill="1" applyBorder="1" applyAlignment="1">
      <alignment horizontal="center" vertical="center"/>
    </xf>
    <xf numFmtId="0" fontId="113" fillId="0" borderId="3" xfId="0" applyFont="1" applyFill="1" applyBorder="1" applyAlignment="1">
      <alignment horizontal="center" vertical="center" wrapText="1"/>
    </xf>
    <xf numFmtId="16" fontId="110" fillId="10" borderId="9" xfId="0" applyNumberFormat="1" applyFont="1" applyFill="1" applyBorder="1" applyAlignment="1">
      <alignment horizontal="center" vertical="center"/>
    </xf>
    <xf numFmtId="16" fontId="112" fillId="0" borderId="9" xfId="0" applyNumberFormat="1" applyFont="1" applyBorder="1" applyAlignment="1">
      <alignment horizontal="center" vertical="center"/>
    </xf>
    <xf numFmtId="0" fontId="111" fillId="10" borderId="2" xfId="0" applyFont="1" applyFill="1" applyBorder="1" applyAlignment="1">
      <alignment horizontal="center" vertical="center" wrapText="1"/>
    </xf>
    <xf numFmtId="0" fontId="113" fillId="0" borderId="2" xfId="0" applyFont="1" applyBorder="1" applyAlignment="1">
      <alignment horizontal="center" vertical="center" wrapText="1"/>
    </xf>
    <xf numFmtId="16" fontId="110" fillId="10" borderId="2" xfId="0" applyNumberFormat="1" applyFont="1" applyFill="1" applyBorder="1" applyAlignment="1">
      <alignment horizontal="center" vertical="center"/>
    </xf>
    <xf numFmtId="16" fontId="112" fillId="0" borderId="2" xfId="0" applyNumberFormat="1" applyFont="1" applyBorder="1" applyAlignment="1">
      <alignment horizontal="center" vertical="center"/>
    </xf>
    <xf numFmtId="16" fontId="111" fillId="10" borderId="2" xfId="0" applyNumberFormat="1" applyFont="1" applyFill="1" applyBorder="1" applyAlignment="1">
      <alignment horizontal="center" vertical="center" wrapText="1"/>
    </xf>
    <xf numFmtId="16" fontId="113" fillId="0" borderId="2" xfId="0" applyNumberFormat="1" applyFont="1" applyBorder="1" applyAlignment="1">
      <alignment horizontal="center" vertical="center" wrapText="1"/>
    </xf>
    <xf numFmtId="20" fontId="113" fillId="0" borderId="2" xfId="0" applyNumberFormat="1" applyFont="1" applyBorder="1" applyAlignment="1">
      <alignment horizontal="center" vertical="center" wrapText="1"/>
    </xf>
    <xf numFmtId="0" fontId="113" fillId="0" borderId="8" xfId="0" applyFont="1" applyBorder="1" applyAlignment="1">
      <alignment horizontal="center" vertical="center" wrapText="1"/>
    </xf>
    <xf numFmtId="20" fontId="111" fillId="10" borderId="2" xfId="0" applyNumberFormat="1" applyFont="1" applyFill="1" applyBorder="1" applyAlignment="1">
      <alignment horizontal="center" vertical="center" wrapText="1"/>
    </xf>
    <xf numFmtId="0" fontId="115" fillId="0" borderId="1" xfId="0" applyFont="1" applyBorder="1" applyAlignment="1">
      <alignment horizontal="center" vertical="center" wrapText="1"/>
    </xf>
    <xf numFmtId="16" fontId="115" fillId="0" borderId="1" xfId="0" applyNumberFormat="1" applyFont="1" applyBorder="1" applyAlignment="1">
      <alignment horizontal="center" vertical="center" wrapText="1"/>
    </xf>
    <xf numFmtId="0" fontId="115" fillId="0" borderId="3" xfId="0" applyFont="1" applyBorder="1" applyAlignment="1">
      <alignment horizontal="center" vertical="center" wrapText="1"/>
    </xf>
    <xf numFmtId="2" fontId="84" fillId="0" borderId="1" xfId="0" applyNumberFormat="1" applyFont="1" applyFill="1" applyBorder="1" applyAlignment="1">
      <alignment horizontal="center" vertical="center" wrapText="1"/>
    </xf>
    <xf numFmtId="2" fontId="84" fillId="0" borderId="2" xfId="0" applyNumberFormat="1" applyFont="1" applyFill="1" applyBorder="1" applyAlignment="1">
      <alignment horizontal="center" vertical="center" wrapText="1"/>
    </xf>
    <xf numFmtId="2" fontId="78" fillId="0" borderId="1" xfId="0" applyNumberFormat="1" applyFont="1" applyFill="1" applyBorder="1" applyAlignment="1">
      <alignment horizontal="center" vertical="center" wrapText="1"/>
    </xf>
    <xf numFmtId="2" fontId="84" fillId="51" borderId="1" xfId="0" applyNumberFormat="1" applyFont="1" applyFill="1" applyBorder="1" applyAlignment="1">
      <alignment horizontal="center" vertical="center" wrapText="1"/>
    </xf>
    <xf numFmtId="2" fontId="90" fillId="0" borderId="1" xfId="0" applyNumberFormat="1" applyFont="1" applyFill="1" applyBorder="1" applyAlignment="1">
      <alignment horizontal="center" vertical="center" wrapText="1"/>
    </xf>
    <xf numFmtId="2" fontId="84" fillId="12" borderId="1" xfId="0" applyNumberFormat="1" applyFont="1" applyFill="1" applyBorder="1" applyAlignment="1">
      <alignment horizontal="center" vertical="center" wrapText="1"/>
    </xf>
    <xf numFmtId="2" fontId="90" fillId="0" borderId="2" xfId="0" applyNumberFormat="1" applyFont="1" applyFill="1" applyBorder="1" applyAlignment="1">
      <alignment horizontal="center" vertical="center" wrapText="1"/>
    </xf>
    <xf numFmtId="2" fontId="93" fillId="0" borderId="2" xfId="0" applyNumberFormat="1" applyFont="1" applyFill="1" applyBorder="1" applyAlignment="1">
      <alignment horizontal="center" vertical="center" wrapText="1"/>
    </xf>
    <xf numFmtId="2" fontId="7" fillId="12" borderId="2" xfId="0" applyNumberFormat="1" applyFont="1" applyFill="1" applyBorder="1" applyAlignment="1">
      <alignment horizontal="center" vertical="center" wrapText="1"/>
    </xf>
    <xf numFmtId="2" fontId="84" fillId="12" borderId="2" xfId="0" applyNumberFormat="1" applyFont="1" applyFill="1" applyBorder="1" applyAlignment="1">
      <alignment horizontal="center" vertical="center" wrapText="1"/>
    </xf>
    <xf numFmtId="2" fontId="90" fillId="51" borderId="2" xfId="0" applyNumberFormat="1" applyFont="1" applyFill="1" applyBorder="1" applyAlignment="1">
      <alignment horizontal="center" vertical="center" wrapText="1"/>
    </xf>
    <xf numFmtId="2" fontId="96" fillId="0" borderId="2" xfId="0" applyNumberFormat="1" applyFont="1" applyFill="1" applyBorder="1" applyAlignment="1">
      <alignment horizontal="center" vertical="center" wrapText="1"/>
    </xf>
    <xf numFmtId="2" fontId="7" fillId="51" borderId="1" xfId="0" applyNumberFormat="1" applyFont="1" applyFill="1" applyBorder="1" applyAlignment="1">
      <alignment horizontal="center" vertical="center" wrapText="1"/>
    </xf>
    <xf numFmtId="2" fontId="96" fillId="51" borderId="2" xfId="0" applyNumberFormat="1" applyFont="1" applyFill="1" applyBorder="1" applyAlignment="1">
      <alignment horizontal="center" vertical="center" wrapText="1"/>
    </xf>
    <xf numFmtId="2" fontId="98" fillId="51" borderId="2" xfId="0" applyNumberFormat="1" applyFont="1" applyFill="1" applyBorder="1" applyAlignment="1">
      <alignment horizontal="center" vertical="center" wrapText="1"/>
    </xf>
    <xf numFmtId="2" fontId="78" fillId="0" borderId="2" xfId="0" applyNumberFormat="1" applyFont="1" applyFill="1" applyBorder="1" applyAlignment="1">
      <alignment horizontal="center" vertical="center" wrapText="1"/>
    </xf>
    <xf numFmtId="2" fontId="98" fillId="0" borderId="2" xfId="0" applyNumberFormat="1" applyFont="1" applyFill="1" applyBorder="1" applyAlignment="1">
      <alignment horizontal="center" vertical="center" wrapText="1"/>
    </xf>
    <xf numFmtId="2" fontId="100" fillId="0" borderId="2" xfId="0" applyNumberFormat="1" applyFont="1" applyFill="1" applyBorder="1" applyAlignment="1">
      <alignment horizontal="center" vertical="center" wrapText="1"/>
    </xf>
    <xf numFmtId="2" fontId="104" fillId="0" borderId="2" xfId="0" applyNumberFormat="1" applyFont="1" applyFill="1" applyBorder="1" applyAlignment="1">
      <alignment horizontal="center" vertical="center" wrapText="1"/>
    </xf>
    <xf numFmtId="2" fontId="104" fillId="51" borderId="2" xfId="0" applyNumberFormat="1" applyFont="1" applyFill="1" applyBorder="1" applyAlignment="1">
      <alignment horizontal="center" vertical="center" wrapText="1"/>
    </xf>
    <xf numFmtId="2" fontId="104" fillId="0" borderId="2" xfId="0" quotePrefix="1" applyNumberFormat="1" applyFont="1" applyFill="1" applyBorder="1" applyAlignment="1">
      <alignment horizontal="center" vertical="center" wrapText="1"/>
    </xf>
    <xf numFmtId="2" fontId="104" fillId="0" borderId="1" xfId="0" applyNumberFormat="1" applyFont="1" applyFill="1" applyBorder="1" applyAlignment="1">
      <alignment horizontal="center" vertical="center" wrapText="1"/>
    </xf>
    <xf numFmtId="2" fontId="76" fillId="0" borderId="2" xfId="0" applyNumberFormat="1" applyFont="1" applyFill="1" applyBorder="1" applyAlignment="1">
      <alignment horizontal="center" vertical="center" wrapText="1"/>
    </xf>
    <xf numFmtId="2" fontId="7" fillId="51" borderId="2" xfId="0" applyNumberFormat="1" applyFont="1" applyFill="1" applyBorder="1" applyAlignment="1">
      <alignment horizontal="center" vertical="center" wrapText="1"/>
    </xf>
    <xf numFmtId="2" fontId="78" fillId="51" borderId="2" xfId="0" applyNumberFormat="1" applyFont="1" applyFill="1" applyBorder="1" applyAlignment="1">
      <alignment horizontal="center" vertical="center" wrapText="1"/>
    </xf>
    <xf numFmtId="2" fontId="7" fillId="48" borderId="2" xfId="0" applyNumberFormat="1" applyFont="1" applyFill="1" applyBorder="1" applyAlignment="1">
      <alignment horizontal="center" vertical="center" wrapText="1"/>
    </xf>
    <xf numFmtId="2" fontId="76" fillId="0" borderId="1" xfId="0" applyNumberFormat="1" applyFont="1" applyFill="1" applyBorder="1" applyAlignment="1">
      <alignment horizontal="center" vertical="center" wrapText="1"/>
    </xf>
    <xf numFmtId="2" fontId="96" fillId="0" borderId="1" xfId="0" applyNumberFormat="1" applyFont="1" applyFill="1" applyBorder="1" applyAlignment="1">
      <alignment horizontal="center" vertical="center" wrapText="1"/>
    </xf>
    <xf numFmtId="2" fontId="108" fillId="0" borderId="2" xfId="0" applyNumberFormat="1" applyFont="1" applyFill="1" applyBorder="1" applyAlignment="1">
      <alignment horizontal="center" vertical="center" wrapText="1"/>
    </xf>
    <xf numFmtId="2" fontId="108" fillId="51" borderId="2" xfId="0" applyNumberFormat="1" applyFont="1" applyFill="1" applyBorder="1" applyAlignment="1">
      <alignment horizontal="center" vertical="center" wrapText="1"/>
    </xf>
    <xf numFmtId="2" fontId="108" fillId="0" borderId="1" xfId="0" applyNumberFormat="1" applyFont="1" applyFill="1" applyBorder="1" applyAlignment="1">
      <alignment horizontal="center" vertical="center" wrapText="1"/>
    </xf>
    <xf numFmtId="2" fontId="111" fillId="51" borderId="2" xfId="0" applyNumberFormat="1" applyFont="1" applyFill="1" applyBorder="1" applyAlignment="1">
      <alignment horizontal="center" vertical="center" wrapText="1"/>
    </xf>
    <xf numFmtId="2" fontId="113" fillId="0" borderId="2" xfId="0" applyNumberFormat="1" applyFont="1" applyFill="1" applyBorder="1" applyAlignment="1">
      <alignment horizontal="center" vertical="center" wrapText="1"/>
    </xf>
    <xf numFmtId="2" fontId="115" fillId="0" borderId="1" xfId="0" applyNumberFormat="1" applyFont="1" applyFill="1" applyBorder="1" applyAlignment="1">
      <alignment horizontal="center" vertical="center" wrapText="1"/>
    </xf>
    <xf numFmtId="2" fontId="115" fillId="0" borderId="2" xfId="0" applyNumberFormat="1" applyFont="1" applyFill="1" applyBorder="1" applyAlignment="1">
      <alignment horizontal="center" vertical="center" wrapText="1"/>
    </xf>
    <xf numFmtId="0" fontId="115" fillId="0" borderId="2" xfId="0" applyFont="1" applyBorder="1" applyAlignment="1">
      <alignment horizontal="center" vertical="center" wrapText="1"/>
    </xf>
    <xf numFmtId="0" fontId="115" fillId="0" borderId="8" xfId="0" applyFont="1" applyBorder="1" applyAlignment="1">
      <alignment horizontal="center" vertical="center" wrapText="1"/>
    </xf>
    <xf numFmtId="16" fontId="114" fillId="0" borderId="4" xfId="0" applyNumberFormat="1" applyFont="1" applyBorder="1" applyAlignment="1">
      <alignment horizontal="center" vertical="center"/>
    </xf>
    <xf numFmtId="16" fontId="114" fillId="0" borderId="1" xfId="0" applyNumberFormat="1" applyFont="1" applyBorder="1" applyAlignment="1">
      <alignment horizontal="center" vertical="center"/>
    </xf>
    <xf numFmtId="20" fontId="115" fillId="0" borderId="1" xfId="0" applyNumberFormat="1" applyFont="1" applyBorder="1" applyAlignment="1">
      <alignment horizontal="center" vertical="center" wrapText="1"/>
    </xf>
    <xf numFmtId="16" fontId="114" fillId="0" borderId="9" xfId="0" applyNumberFormat="1" applyFont="1" applyBorder="1" applyAlignment="1">
      <alignment horizontal="center" vertical="center"/>
    </xf>
    <xf numFmtId="16" fontId="114" fillId="10" borderId="9" xfId="0" applyNumberFormat="1" applyFont="1" applyFill="1" applyBorder="1" applyAlignment="1">
      <alignment horizontal="center" vertical="center"/>
    </xf>
    <xf numFmtId="0" fontId="115" fillId="10" borderId="2" xfId="0" applyFont="1" applyFill="1" applyBorder="1" applyAlignment="1">
      <alignment horizontal="center" vertical="center" wrapText="1"/>
    </xf>
    <xf numFmtId="16" fontId="114" fillId="0" borderId="2" xfId="0" applyNumberFormat="1" applyFont="1" applyBorder="1" applyAlignment="1">
      <alignment horizontal="center" vertical="center"/>
    </xf>
    <xf numFmtId="16" fontId="114" fillId="10" borderId="2" xfId="0" applyNumberFormat="1" applyFont="1" applyFill="1" applyBorder="1" applyAlignment="1">
      <alignment horizontal="center" vertical="center"/>
    </xf>
    <xf numFmtId="16" fontId="115" fillId="0" borderId="2" xfId="0" applyNumberFormat="1" applyFont="1" applyBorder="1" applyAlignment="1">
      <alignment horizontal="center" vertical="center" wrapText="1"/>
    </xf>
    <xf numFmtId="16" fontId="115" fillId="10" borderId="2" xfId="0" applyNumberFormat="1" applyFont="1" applyFill="1" applyBorder="1" applyAlignment="1">
      <alignment horizontal="center" vertical="center" wrapText="1"/>
    </xf>
    <xf numFmtId="20" fontId="115" fillId="10" borderId="2" xfId="0" applyNumberFormat="1" applyFont="1" applyFill="1" applyBorder="1" applyAlignment="1">
      <alignment horizontal="center" vertical="center" wrapText="1"/>
    </xf>
    <xf numFmtId="16" fontId="105" fillId="0" borderId="4" xfId="0" applyNumberFormat="1" applyFont="1" applyBorder="1" applyAlignment="1">
      <alignment horizontal="center" vertical="center"/>
    </xf>
    <xf numFmtId="0" fontId="115" fillId="10" borderId="1" xfId="0" applyFont="1" applyFill="1" applyBorder="1" applyAlignment="1">
      <alignment horizontal="center" vertical="center" wrapText="1"/>
    </xf>
    <xf numFmtId="16" fontId="105" fillId="0" borderId="1" xfId="0" applyNumberFormat="1" applyFont="1" applyBorder="1" applyAlignment="1">
      <alignment horizontal="center" vertical="center"/>
    </xf>
    <xf numFmtId="16" fontId="55" fillId="0" borderId="1" xfId="0" applyNumberFormat="1" applyFont="1" applyFill="1" applyBorder="1" applyAlignment="1">
      <alignment horizontal="center" vertical="center"/>
    </xf>
    <xf numFmtId="16" fontId="106" fillId="0" borderId="1" xfId="0" applyNumberFormat="1" applyFont="1" applyBorder="1" applyAlignment="1">
      <alignment horizontal="center" vertical="center" wrapText="1"/>
    </xf>
    <xf numFmtId="20" fontId="106" fillId="0" borderId="1" xfId="0" applyNumberFormat="1" applyFont="1" applyBorder="1" applyAlignment="1">
      <alignment horizontal="center" vertical="center" wrapText="1"/>
    </xf>
    <xf numFmtId="20" fontId="115" fillId="10" borderId="1" xfId="0" applyNumberFormat="1" applyFont="1" applyFill="1" applyBorder="1" applyAlignment="1">
      <alignment horizontal="center" vertical="center" wrapText="1"/>
    </xf>
    <xf numFmtId="2" fontId="106" fillId="51" borderId="1" xfId="0" applyNumberFormat="1" applyFont="1" applyFill="1" applyBorder="1" applyAlignment="1">
      <alignment horizontal="center" vertical="center" wrapText="1"/>
    </xf>
    <xf numFmtId="2" fontId="108" fillId="0" borderId="2" xfId="0" applyNumberFormat="1" applyFont="1" applyBorder="1" applyAlignment="1">
      <alignment horizontal="center" vertical="center" wrapText="1"/>
    </xf>
    <xf numFmtId="0" fontId="113" fillId="0" borderId="3" xfId="0" applyFont="1" applyBorder="1" applyAlignment="1">
      <alignment horizontal="center" vertical="center" wrapText="1"/>
    </xf>
    <xf numFmtId="0" fontId="84" fillId="0" borderId="8" xfId="0" applyFont="1" applyFill="1" applyBorder="1" applyAlignment="1">
      <alignment horizontal="center" vertical="center" wrapText="1"/>
    </xf>
    <xf numFmtId="20" fontId="115" fillId="0" borderId="2" xfId="0" applyNumberFormat="1" applyFont="1" applyBorder="1" applyAlignment="1">
      <alignment horizontal="center" vertical="center" wrapText="1"/>
    </xf>
    <xf numFmtId="2" fontId="7" fillId="0" borderId="1" xfId="0" applyNumberFormat="1" applyFont="1" applyBorder="1" applyAlignment="1">
      <alignment horizontal="center" vertical="center" wrapText="1"/>
    </xf>
    <xf numFmtId="16" fontId="110" fillId="0" borderId="4" xfId="0" applyNumberFormat="1" applyFont="1" applyBorder="1" applyAlignment="1">
      <alignment horizontal="center" vertical="center"/>
    </xf>
    <xf numFmtId="16" fontId="110" fillId="0" borderId="4" xfId="0" applyNumberFormat="1" applyFont="1" applyFill="1" applyBorder="1" applyAlignment="1">
      <alignment horizontal="center" vertical="center"/>
    </xf>
    <xf numFmtId="16" fontId="101" fillId="0" borderId="4" xfId="0" applyNumberFormat="1" applyFont="1" applyBorder="1" applyAlignment="1">
      <alignment horizontal="center" vertical="center"/>
    </xf>
    <xf numFmtId="16" fontId="99" fillId="0" borderId="9" xfId="0" applyNumberFormat="1" applyFont="1" applyFill="1" applyBorder="1" applyAlignment="1">
      <alignment horizontal="center" vertical="center"/>
    </xf>
    <xf numFmtId="16" fontId="103" fillId="48" borderId="9" xfId="0" applyNumberFormat="1" applyFont="1" applyFill="1" applyBorder="1" applyAlignment="1">
      <alignment horizontal="center" vertical="center"/>
    </xf>
    <xf numFmtId="16" fontId="99" fillId="0" borderId="4" xfId="0" applyNumberFormat="1" applyFont="1" applyBorder="1" applyAlignment="1">
      <alignment horizontal="center" vertical="center"/>
    </xf>
    <xf numFmtId="16" fontId="83" fillId="53" borderId="4" xfId="0" applyNumberFormat="1" applyFont="1" applyFill="1" applyBorder="1" applyAlignment="1">
      <alignment horizontal="center" vertical="center"/>
    </xf>
    <xf numFmtId="16" fontId="112" fillId="0" borderId="9" xfId="0" applyNumberFormat="1" applyFont="1" applyFill="1" applyBorder="1" applyAlignment="1">
      <alignment horizontal="center" vertical="center"/>
    </xf>
    <xf numFmtId="16" fontId="114" fillId="59" borderId="9" xfId="0" applyNumberFormat="1" applyFont="1" applyFill="1" applyBorder="1" applyAlignment="1">
      <alignment horizontal="center" vertical="center"/>
    </xf>
    <xf numFmtId="0" fontId="111" fillId="0" borderId="1" xfId="0" applyFont="1" applyBorder="1" applyAlignment="1">
      <alignment horizontal="center" vertical="center" wrapText="1"/>
    </xf>
    <xf numFmtId="0" fontId="100" fillId="0" borderId="2" xfId="0" applyFont="1" applyFill="1" applyBorder="1" applyAlignment="1">
      <alignment horizontal="center" vertical="center" wrapText="1"/>
    </xf>
    <xf numFmtId="0" fontId="84" fillId="53" borderId="1" xfId="0" applyFont="1" applyFill="1" applyBorder="1" applyAlignment="1">
      <alignment horizontal="center" vertical="center" wrapText="1"/>
    </xf>
    <xf numFmtId="0" fontId="113" fillId="0" borderId="2" xfId="0" applyFont="1" applyFill="1" applyBorder="1" applyAlignment="1">
      <alignment horizontal="center" vertical="center" wrapText="1"/>
    </xf>
    <xf numFmtId="0" fontId="115" fillId="59" borderId="2" xfId="0" applyFont="1" applyFill="1" applyBorder="1" applyAlignment="1">
      <alignment horizontal="center" vertical="center" wrapText="1"/>
    </xf>
    <xf numFmtId="49" fontId="4" fillId="0" borderId="2" xfId="1" applyNumberFormat="1" applyFont="1" applyBorder="1" applyAlignment="1">
      <alignment horizontal="center" vertical="center" wrapText="1"/>
    </xf>
    <xf numFmtId="16" fontId="110" fillId="0" borderId="1" xfId="0" applyNumberFormat="1" applyFont="1" applyBorder="1" applyAlignment="1">
      <alignment horizontal="center" vertical="center"/>
    </xf>
    <xf numFmtId="16" fontId="110" fillId="0" borderId="1" xfId="0" applyNumberFormat="1" applyFont="1" applyFill="1" applyBorder="1" applyAlignment="1">
      <alignment horizontal="center" vertical="center"/>
    </xf>
    <xf numFmtId="16" fontId="99" fillId="0" borderId="2" xfId="0" applyNumberFormat="1" applyFont="1" applyFill="1" applyBorder="1" applyAlignment="1">
      <alignment horizontal="center" vertical="center"/>
    </xf>
    <xf numFmtId="16" fontId="83" fillId="53" borderId="1" xfId="0" applyNumberFormat="1" applyFont="1" applyFill="1" applyBorder="1" applyAlignment="1">
      <alignment horizontal="center" vertical="center"/>
    </xf>
    <xf numFmtId="16" fontId="99" fillId="0" borderId="1" xfId="0" applyNumberFormat="1" applyFont="1" applyBorder="1" applyAlignment="1">
      <alignment horizontal="center" vertical="center"/>
    </xf>
    <xf numFmtId="16" fontId="112" fillId="0" borderId="2" xfId="0" applyNumberFormat="1" applyFont="1" applyFill="1" applyBorder="1" applyAlignment="1">
      <alignment horizontal="center" vertical="center"/>
    </xf>
    <xf numFmtId="16" fontId="114" fillId="59" borderId="2" xfId="0" applyNumberFormat="1" applyFont="1" applyFill="1" applyBorder="1" applyAlignment="1">
      <alignment horizontal="center" vertical="center"/>
    </xf>
    <xf numFmtId="16" fontId="111" fillId="0" borderId="1" xfId="0" applyNumberFormat="1" applyFont="1" applyBorder="1" applyAlignment="1">
      <alignment horizontal="center" vertical="center" wrapText="1"/>
    </xf>
    <xf numFmtId="16" fontId="111" fillId="0" borderId="1" xfId="0" applyNumberFormat="1" applyFont="1" applyFill="1" applyBorder="1" applyAlignment="1">
      <alignment horizontal="center" vertical="center" wrapText="1"/>
    </xf>
    <xf numFmtId="16" fontId="100" fillId="0" borderId="2" xfId="0" applyNumberFormat="1" applyFont="1" applyFill="1" applyBorder="1" applyAlignment="1">
      <alignment horizontal="center" vertical="center" wrapText="1"/>
    </xf>
    <xf numFmtId="0" fontId="113" fillId="60" borderId="2" xfId="0" applyFont="1" applyFill="1" applyBorder="1" applyAlignment="1">
      <alignment horizontal="center" vertical="center" wrapText="1"/>
    </xf>
    <xf numFmtId="20" fontId="111" fillId="0" borderId="1" xfId="0" applyNumberFormat="1" applyFont="1" applyBorder="1" applyAlignment="1">
      <alignment horizontal="center" vertical="center" wrapText="1"/>
    </xf>
    <xf numFmtId="20" fontId="84" fillId="53" borderId="1" xfId="0" applyNumberFormat="1" applyFont="1" applyFill="1" applyBorder="1" applyAlignment="1">
      <alignment horizontal="center" vertical="center" wrapText="1"/>
    </xf>
    <xf numFmtId="20" fontId="113" fillId="0" borderId="2" xfId="0" applyNumberFormat="1" applyFont="1" applyFill="1" applyBorder="1" applyAlignment="1">
      <alignment horizontal="center" vertical="center" wrapText="1"/>
    </xf>
    <xf numFmtId="20" fontId="100" fillId="0" borderId="1" xfId="0" applyNumberFormat="1" applyFont="1" applyBorder="1" applyAlignment="1">
      <alignment horizontal="center" vertical="center" wrapText="1"/>
    </xf>
    <xf numFmtId="0" fontId="115" fillId="14" borderId="2" xfId="0" applyFont="1" applyFill="1" applyBorder="1" applyAlignment="1">
      <alignment horizontal="center" vertical="center" wrapText="1"/>
    </xf>
    <xf numFmtId="2" fontId="111" fillId="51" borderId="1" xfId="0" applyNumberFormat="1" applyFont="1" applyFill="1" applyBorder="1" applyAlignment="1">
      <alignment horizontal="center" vertical="center" wrapText="1"/>
    </xf>
    <xf numFmtId="2" fontId="111" fillId="0" borderId="1" xfId="0" applyNumberFormat="1" applyFont="1" applyFill="1" applyBorder="1" applyAlignment="1">
      <alignment horizontal="center" vertical="center" wrapText="1"/>
    </xf>
    <xf numFmtId="2" fontId="4" fillId="51" borderId="2" xfId="1" applyNumberFormat="1" applyFont="1" applyFill="1" applyBorder="1" applyAlignment="1">
      <alignment horizontal="center" vertical="center"/>
    </xf>
    <xf numFmtId="2" fontId="84" fillId="51" borderId="2" xfId="0" applyNumberFormat="1" applyFont="1" applyFill="1" applyBorder="1" applyAlignment="1">
      <alignment horizontal="center" vertical="center" wrapText="1"/>
    </xf>
    <xf numFmtId="2" fontId="96" fillId="12" borderId="1" xfId="0" applyNumberFormat="1" applyFont="1" applyFill="1" applyBorder="1" applyAlignment="1">
      <alignment horizontal="center" vertical="center" wrapText="1"/>
    </xf>
    <xf numFmtId="0" fontId="111" fillId="0" borderId="3" xfId="0" applyFont="1" applyBorder="1" applyAlignment="1">
      <alignment horizontal="center" vertical="center" wrapText="1"/>
    </xf>
    <xf numFmtId="0" fontId="111" fillId="0" borderId="3" xfId="0" applyFont="1" applyFill="1" applyBorder="1" applyAlignment="1">
      <alignment horizontal="center" vertical="center" wrapText="1"/>
    </xf>
    <xf numFmtId="0" fontId="100" fillId="0" borderId="8" xfId="0" applyFont="1" applyFill="1" applyBorder="1" applyAlignment="1">
      <alignment horizontal="center" vertical="center" wrapText="1"/>
    </xf>
    <xf numFmtId="0" fontId="104" fillId="48" borderId="3" xfId="0" applyFont="1" applyFill="1" applyBorder="1" applyAlignment="1">
      <alignment horizontal="center" vertical="center" wrapText="1"/>
    </xf>
    <xf numFmtId="0" fontId="113" fillId="0" borderId="8" xfId="0" applyFont="1" applyFill="1" applyBorder="1" applyAlignment="1">
      <alignment horizontal="center" vertical="center" wrapText="1"/>
    </xf>
    <xf numFmtId="16" fontId="103" fillId="59" borderId="4" xfId="0" applyNumberFormat="1" applyFont="1" applyFill="1" applyBorder="1" applyAlignment="1">
      <alignment horizontal="center" vertical="center"/>
    </xf>
    <xf numFmtId="16" fontId="97" fillId="10" borderId="4" xfId="0" applyNumberFormat="1" applyFont="1" applyFill="1" applyBorder="1" applyAlignment="1">
      <alignment horizontal="center" vertical="center"/>
    </xf>
    <xf numFmtId="16" fontId="104" fillId="0" borderId="4" xfId="0" applyNumberFormat="1" applyFont="1" applyBorder="1" applyAlignment="1">
      <alignment horizontal="center" vertical="center" wrapText="1"/>
    </xf>
    <xf numFmtId="16" fontId="2" fillId="48" borderId="9" xfId="0" applyNumberFormat="1" applyFont="1" applyFill="1" applyBorder="1" applyAlignment="1">
      <alignment horizontal="center" vertical="center" wrapText="1"/>
    </xf>
    <xf numFmtId="16" fontId="86" fillId="10" borderId="9" xfId="0" applyNumberFormat="1" applyFont="1" applyFill="1" applyBorder="1" applyAlignment="1">
      <alignment horizontal="center" vertical="center"/>
    </xf>
    <xf numFmtId="16" fontId="114" fillId="10" borderId="4" xfId="0" applyNumberFormat="1" applyFont="1" applyFill="1" applyBorder="1" applyAlignment="1">
      <alignment horizontal="center" vertical="center"/>
    </xf>
    <xf numFmtId="16" fontId="105" fillId="10" borderId="4" xfId="0" applyNumberFormat="1" applyFont="1" applyFill="1" applyBorder="1" applyAlignment="1">
      <alignment horizontal="center" vertical="center"/>
    </xf>
    <xf numFmtId="0" fontId="100" fillId="0" borderId="1" xfId="0" applyFont="1" applyBorder="1" applyAlignment="1">
      <alignment horizontal="center" vertical="center" wrapText="1"/>
    </xf>
    <xf numFmtId="0" fontId="90" fillId="48" borderId="1" xfId="0" applyFont="1" applyFill="1" applyBorder="1" applyAlignment="1">
      <alignment horizontal="center" vertical="center" wrapText="1"/>
    </xf>
    <xf numFmtId="0" fontId="104" fillId="59" borderId="1" xfId="0" applyFont="1" applyFill="1" applyBorder="1" applyAlignment="1">
      <alignment horizontal="center" vertical="center" wrapText="1"/>
    </xf>
    <xf numFmtId="0" fontId="98" fillId="10" borderId="1" xfId="0" applyFont="1" applyFill="1" applyBorder="1" applyAlignment="1">
      <alignment horizontal="center" vertical="center" wrapText="1"/>
    </xf>
    <xf numFmtId="0" fontId="106" fillId="10" borderId="1" xfId="0" applyFont="1" applyFill="1" applyBorder="1" applyAlignment="1">
      <alignment horizontal="center" vertical="center" wrapText="1"/>
    </xf>
    <xf numFmtId="0" fontId="90" fillId="0" borderId="1" xfId="0" applyFont="1" applyFill="1" applyBorder="1" applyAlignment="1">
      <alignment horizontal="center" vertical="center" wrapText="1"/>
    </xf>
    <xf numFmtId="0" fontId="7" fillId="59" borderId="1" xfId="0" applyFont="1" applyFill="1" applyBorder="1" applyAlignment="1">
      <alignment horizontal="center" vertical="center" wrapText="1"/>
    </xf>
    <xf numFmtId="16" fontId="112" fillId="0" borderId="1" xfId="0" applyNumberFormat="1" applyFont="1" applyBorder="1" applyAlignment="1">
      <alignment horizontal="center" vertical="center"/>
    </xf>
    <xf numFmtId="16" fontId="103" fillId="59" borderId="1" xfId="0" applyNumberFormat="1" applyFont="1" applyFill="1" applyBorder="1" applyAlignment="1">
      <alignment horizontal="center" vertical="center"/>
    </xf>
    <xf numFmtId="16" fontId="97" fillId="10" borderId="1" xfId="0" applyNumberFormat="1" applyFont="1" applyFill="1" applyBorder="1" applyAlignment="1">
      <alignment horizontal="center" vertical="center"/>
    </xf>
    <xf numFmtId="16" fontId="101" fillId="0" borderId="2" xfId="0" applyNumberFormat="1" applyFont="1" applyBorder="1" applyAlignment="1">
      <alignment horizontal="center" vertical="center"/>
    </xf>
    <xf numFmtId="16" fontId="2" fillId="48" borderId="2" xfId="0" applyNumberFormat="1" applyFont="1" applyFill="1" applyBorder="1" applyAlignment="1">
      <alignment horizontal="center" vertical="center" wrapText="1"/>
    </xf>
    <xf numFmtId="16" fontId="86" fillId="53" borderId="2" xfId="0" applyNumberFormat="1" applyFont="1" applyFill="1" applyBorder="1" applyAlignment="1">
      <alignment horizontal="center" vertical="center"/>
    </xf>
    <xf numFmtId="16" fontId="114" fillId="10" borderId="1" xfId="0" applyNumberFormat="1" applyFont="1" applyFill="1" applyBorder="1" applyAlignment="1">
      <alignment horizontal="center" vertical="center"/>
    </xf>
    <xf numFmtId="16" fontId="105" fillId="10" borderId="1" xfId="0" applyNumberFormat="1" applyFont="1" applyFill="1" applyBorder="1" applyAlignment="1">
      <alignment horizontal="center" vertical="center"/>
    </xf>
    <xf numFmtId="16" fontId="100" fillId="0" borderId="1" xfId="0" applyNumberFormat="1" applyFont="1" applyBorder="1" applyAlignment="1">
      <alignment horizontal="center" vertical="center" wrapText="1"/>
    </xf>
    <xf numFmtId="16" fontId="113" fillId="0" borderId="1" xfId="0" applyNumberFormat="1" applyFont="1" applyBorder="1" applyAlignment="1">
      <alignment horizontal="center" vertical="center" wrapText="1"/>
    </xf>
    <xf numFmtId="16" fontId="102" fillId="0" borderId="2" xfId="0" applyNumberFormat="1" applyFont="1" applyBorder="1" applyAlignment="1">
      <alignment horizontal="center" vertical="center" wrapText="1"/>
    </xf>
    <xf numFmtId="0" fontId="7" fillId="61" borderId="2" xfId="0" applyFont="1" applyFill="1" applyBorder="1" applyAlignment="1">
      <alignment horizontal="center" vertical="center" wrapText="1"/>
    </xf>
    <xf numFmtId="16" fontId="98" fillId="10" borderId="1" xfId="0" applyNumberFormat="1" applyFont="1" applyFill="1" applyBorder="1" applyAlignment="1">
      <alignment horizontal="center" vertical="center" wrapText="1"/>
    </xf>
    <xf numFmtId="16" fontId="115" fillId="10" borderId="1" xfId="0" applyNumberFormat="1" applyFont="1" applyFill="1" applyBorder="1" applyAlignment="1">
      <alignment horizontal="center" vertical="center" wrapText="1"/>
    </xf>
    <xf numFmtId="16" fontId="106" fillId="10" borderId="1" xfId="0" applyNumberFormat="1" applyFont="1" applyFill="1" applyBorder="1" applyAlignment="1">
      <alignment horizontal="center" vertical="center" wrapText="1"/>
    </xf>
    <xf numFmtId="20" fontId="90" fillId="48" borderId="1" xfId="0" applyNumberFormat="1" applyFont="1" applyFill="1" applyBorder="1" applyAlignment="1">
      <alignment horizontal="center" vertical="center" wrapText="1"/>
    </xf>
    <xf numFmtId="20" fontId="7" fillId="53" borderId="1" xfId="0" applyNumberFormat="1" applyFont="1" applyFill="1" applyBorder="1" applyAlignment="1">
      <alignment horizontal="center" vertical="center" wrapText="1"/>
    </xf>
    <xf numFmtId="20" fontId="102" fillId="0" borderId="2" xfId="0" applyNumberFormat="1" applyFont="1" applyBorder="1" applyAlignment="1">
      <alignment horizontal="center" vertical="center" wrapText="1"/>
    </xf>
    <xf numFmtId="20" fontId="98" fillId="10" borderId="1" xfId="0" applyNumberFormat="1" applyFont="1" applyFill="1" applyBorder="1" applyAlignment="1">
      <alignment horizontal="center" vertical="center" wrapText="1"/>
    </xf>
    <xf numFmtId="20" fontId="113" fillId="0" borderId="1" xfId="0" applyNumberFormat="1" applyFont="1" applyBorder="1" applyAlignment="1">
      <alignment horizontal="center" vertical="center" wrapText="1"/>
    </xf>
    <xf numFmtId="20" fontId="87" fillId="53" borderId="2" xfId="0" applyNumberFormat="1" applyFont="1" applyFill="1" applyBorder="1" applyAlignment="1">
      <alignment horizontal="center" vertical="center" wrapText="1"/>
    </xf>
    <xf numFmtId="20" fontId="106" fillId="10" borderId="1" xfId="0" applyNumberFormat="1" applyFont="1" applyFill="1" applyBorder="1" applyAlignment="1">
      <alignment horizontal="center" vertical="center" wrapText="1"/>
    </xf>
    <xf numFmtId="20" fontId="7" fillId="59" borderId="1" xfId="0" applyNumberFormat="1" applyFont="1" applyFill="1" applyBorder="1" applyAlignment="1">
      <alignment horizontal="center" vertical="center" wrapText="1"/>
    </xf>
    <xf numFmtId="20" fontId="104" fillId="59" borderId="1" xfId="0" applyNumberFormat="1" applyFont="1" applyFill="1" applyBorder="1" applyAlignment="1">
      <alignment horizontal="center" vertical="center" wrapText="1"/>
    </xf>
    <xf numFmtId="2" fontId="100" fillId="0" borderId="1" xfId="0" applyNumberFormat="1" applyFont="1" applyFill="1" applyBorder="1" applyAlignment="1">
      <alignment horizontal="center" vertical="center" wrapText="1"/>
    </xf>
    <xf numFmtId="2" fontId="100" fillId="51" borderId="2" xfId="0" applyNumberFormat="1" applyFont="1" applyFill="1" applyBorder="1" applyAlignment="1">
      <alignment horizontal="center" vertical="center" wrapText="1"/>
    </xf>
    <xf numFmtId="2" fontId="113" fillId="51" borderId="1" xfId="0" applyNumberFormat="1" applyFont="1" applyFill="1" applyBorder="1" applyAlignment="1">
      <alignment horizontal="center" vertical="center" wrapText="1"/>
    </xf>
    <xf numFmtId="2" fontId="98" fillId="0" borderId="1" xfId="0" applyNumberFormat="1" applyFont="1" applyBorder="1" applyAlignment="1">
      <alignment horizontal="center" vertical="center" wrapText="1"/>
    </xf>
    <xf numFmtId="2" fontId="98" fillId="0" borderId="1" xfId="0" applyNumberFormat="1" applyFont="1" applyFill="1" applyBorder="1" applyAlignment="1">
      <alignment horizontal="center" vertical="center" wrapText="1"/>
    </xf>
    <xf numFmtId="2" fontId="102" fillId="51" borderId="2" xfId="0" applyNumberFormat="1" applyFont="1" applyFill="1" applyBorder="1" applyAlignment="1">
      <alignment horizontal="center" vertical="center" wrapText="1"/>
    </xf>
    <xf numFmtId="2" fontId="96" fillId="51" borderId="1" xfId="0" applyNumberFormat="1" applyFont="1" applyFill="1" applyBorder="1" applyAlignment="1">
      <alignment horizontal="center" vertical="center" wrapText="1"/>
    </xf>
    <xf numFmtId="2" fontId="7" fillId="0" borderId="2" xfId="0" quotePrefix="1" applyNumberFormat="1" applyFont="1" applyFill="1" applyBorder="1" applyAlignment="1">
      <alignment horizontal="center" vertical="center" wrapText="1"/>
    </xf>
    <xf numFmtId="2" fontId="56" fillId="51" borderId="2" xfId="0" applyNumberFormat="1" applyFont="1" applyFill="1" applyBorder="1" applyAlignment="1">
      <alignment horizontal="center" vertical="center" wrapText="1"/>
    </xf>
    <xf numFmtId="2" fontId="7" fillId="0" borderId="2" xfId="0" applyNumberFormat="1" applyFont="1" applyBorder="1" applyAlignment="1">
      <alignment horizontal="center" vertical="center" wrapText="1"/>
    </xf>
    <xf numFmtId="2" fontId="104" fillId="0" borderId="2" xfId="0" applyNumberFormat="1" applyFont="1" applyBorder="1" applyAlignment="1">
      <alignment horizontal="center" vertical="center" wrapText="1"/>
    </xf>
    <xf numFmtId="2" fontId="87" fillId="51" borderId="2" xfId="0" applyNumberFormat="1" applyFont="1" applyFill="1" applyBorder="1" applyAlignment="1">
      <alignment horizontal="center" vertical="center" wrapText="1"/>
    </xf>
    <xf numFmtId="2" fontId="106" fillId="0" borderId="1" xfId="0" applyNumberFormat="1" applyFont="1" applyFill="1" applyBorder="1" applyAlignment="1">
      <alignment horizontal="center" vertical="center" wrapText="1"/>
    </xf>
    <xf numFmtId="0" fontId="76" fillId="21" borderId="1" xfId="0" applyFont="1" applyFill="1" applyBorder="1" applyAlignment="1">
      <alignment horizontal="center" vertical="center" wrapText="1"/>
    </xf>
    <xf numFmtId="0" fontId="115" fillId="21" borderId="2" xfId="0" applyFont="1" applyFill="1" applyBorder="1" applyAlignment="1">
      <alignment horizontal="center" vertical="center" wrapText="1"/>
    </xf>
    <xf numFmtId="0" fontId="98" fillId="21" borderId="1" xfId="0" applyFont="1" applyFill="1" applyBorder="1" applyAlignment="1">
      <alignment horizontal="center" vertical="center" wrapText="1"/>
    </xf>
    <xf numFmtId="0" fontId="100" fillId="0" borderId="3" xfId="0" applyFont="1" applyBorder="1" applyAlignment="1">
      <alignment horizontal="center" vertical="center" wrapText="1"/>
    </xf>
    <xf numFmtId="0" fontId="98" fillId="0" borderId="3" xfId="0" applyFont="1" applyBorder="1" applyAlignment="1">
      <alignment horizontal="center" vertical="center" wrapText="1"/>
    </xf>
    <xf numFmtId="0" fontId="90" fillId="48" borderId="3" xfId="0" applyFont="1" applyFill="1" applyBorder="1" applyAlignment="1">
      <alignment horizontal="center" vertical="center" wrapText="1"/>
    </xf>
    <xf numFmtId="0" fontId="106" fillId="0" borderId="3" xfId="0" applyFont="1" applyBorder="1" applyAlignment="1">
      <alignment horizontal="center" vertical="center" wrapText="1"/>
    </xf>
    <xf numFmtId="16" fontId="97" fillId="10" borderId="9" xfId="0" applyNumberFormat="1" applyFont="1" applyFill="1" applyBorder="1" applyAlignment="1">
      <alignment horizontal="center" vertical="center"/>
    </xf>
    <xf numFmtId="0" fontId="98" fillId="10" borderId="2" xfId="0" applyFont="1" applyFill="1" applyBorder="1" applyAlignment="1">
      <alignment horizontal="center" vertical="center" wrapText="1"/>
    </xf>
    <xf numFmtId="16" fontId="97" fillId="10" borderId="2" xfId="0" applyNumberFormat="1" applyFont="1" applyFill="1" applyBorder="1" applyAlignment="1">
      <alignment horizontal="center" vertical="center"/>
    </xf>
    <xf numFmtId="0" fontId="116" fillId="0" borderId="2" xfId="0" applyFont="1" applyBorder="1" applyAlignment="1">
      <alignment horizontal="center" vertical="center" wrapText="1"/>
    </xf>
    <xf numFmtId="16" fontId="110" fillId="10" borderId="4" xfId="0" applyNumberFormat="1" applyFont="1" applyFill="1" applyBorder="1" applyAlignment="1">
      <alignment horizontal="center" vertical="center"/>
    </xf>
    <xf numFmtId="0" fontId="111" fillId="10" borderId="1" xfId="0" applyFont="1" applyFill="1" applyBorder="1" applyAlignment="1">
      <alignment horizontal="center" vertical="center" wrapText="1"/>
    </xf>
    <xf numFmtId="0" fontId="90" fillId="0" borderId="2" xfId="0" applyFont="1" applyFill="1" applyBorder="1" applyAlignment="1">
      <alignment horizontal="center" vertical="center" wrapText="1"/>
    </xf>
    <xf numFmtId="16" fontId="110" fillId="10" borderId="1" xfId="0" applyNumberFormat="1" applyFont="1" applyFill="1" applyBorder="1" applyAlignment="1">
      <alignment horizontal="center" vertical="center"/>
    </xf>
    <xf numFmtId="20" fontId="111" fillId="10" borderId="1" xfId="0" applyNumberFormat="1" applyFont="1" applyFill="1" applyBorder="1" applyAlignment="1">
      <alignment horizontal="center" vertical="center" wrapText="1"/>
    </xf>
    <xf numFmtId="16" fontId="114" fillId="0" borderId="4" xfId="0" applyNumberFormat="1" applyFont="1" applyFill="1" applyBorder="1" applyAlignment="1">
      <alignment horizontal="center" vertical="center"/>
    </xf>
    <xf numFmtId="16" fontId="114" fillId="0" borderId="1" xfId="0" applyNumberFormat="1" applyFont="1" applyFill="1" applyBorder="1" applyAlignment="1">
      <alignment horizontal="center" vertical="center"/>
    </xf>
    <xf numFmtId="16" fontId="74" fillId="60" borderId="2" xfId="0" applyNumberFormat="1" applyFont="1" applyFill="1" applyBorder="1" applyAlignment="1">
      <alignment horizontal="center" vertical="center" wrapText="1"/>
    </xf>
    <xf numFmtId="20" fontId="115" fillId="0" borderId="1" xfId="0" applyNumberFormat="1" applyFont="1" applyFill="1" applyBorder="1" applyAlignment="1">
      <alignment horizontal="center" vertical="center" wrapText="1"/>
    </xf>
    <xf numFmtId="2" fontId="90" fillId="12" borderId="2" xfId="0" applyNumberFormat="1" applyFont="1" applyFill="1" applyBorder="1" applyAlignment="1">
      <alignment horizontal="center" vertical="center" wrapText="1"/>
    </xf>
    <xf numFmtId="2" fontId="74" fillId="0" borderId="2" xfId="0" applyNumberFormat="1" applyFont="1" applyFill="1" applyBorder="1" applyAlignment="1">
      <alignment horizontal="center" vertical="center" wrapText="1"/>
    </xf>
    <xf numFmtId="0" fontId="96" fillId="21" borderId="1" xfId="0" applyFont="1" applyFill="1" applyBorder="1" applyAlignment="1">
      <alignment horizontal="center" vertical="center" wrapText="1"/>
    </xf>
    <xf numFmtId="16" fontId="115" fillId="0" borderId="8" xfId="0" applyNumberFormat="1" applyFont="1" applyBorder="1" applyAlignment="1">
      <alignment horizontal="center" vertical="center" wrapText="1"/>
    </xf>
    <xf numFmtId="16" fontId="114" fillId="0" borderId="4" xfId="0" applyNumberFormat="1" applyFont="1" applyBorder="1" applyAlignment="1">
      <alignment horizontal="center" vertical="center"/>
    </xf>
    <xf numFmtId="16" fontId="114" fillId="0" borderId="1" xfId="0" applyNumberFormat="1" applyFont="1" applyBorder="1" applyAlignment="1">
      <alignment horizontal="center" vertical="center"/>
    </xf>
    <xf numFmtId="0" fontId="115" fillId="0" borderId="1" xfId="0" applyFont="1" applyFill="1" applyBorder="1" applyAlignment="1">
      <alignment horizontal="center" vertical="center" wrapText="1"/>
    </xf>
    <xf numFmtId="0" fontId="115" fillId="0" borderId="3" xfId="0" applyFont="1" applyFill="1" applyBorder="1" applyAlignment="1">
      <alignment horizontal="center" vertical="center" wrapText="1"/>
    </xf>
    <xf numFmtId="16" fontId="113" fillId="0" borderId="1" xfId="0" applyNumberFormat="1" applyFont="1" applyFill="1" applyBorder="1" applyAlignment="1">
      <alignment horizontal="center" vertical="center" wrapText="1"/>
    </xf>
    <xf numFmtId="2" fontId="113" fillId="0" borderId="1" xfId="0" applyNumberFormat="1" applyFont="1" applyFill="1" applyBorder="1" applyAlignment="1">
      <alignment horizontal="center" vertical="center" wrapText="1"/>
    </xf>
    <xf numFmtId="16" fontId="107" fillId="10" borderId="1" xfId="0" applyNumberFormat="1" applyFont="1" applyFill="1" applyBorder="1" applyAlignment="1">
      <alignment horizontal="center" vertical="center"/>
    </xf>
    <xf numFmtId="16" fontId="108" fillId="10" borderId="1" xfId="0" applyNumberFormat="1" applyFont="1" applyFill="1" applyBorder="1" applyAlignment="1">
      <alignment horizontal="center" vertical="center" wrapText="1"/>
    </xf>
    <xf numFmtId="0" fontId="108" fillId="10" borderId="1" xfId="0" applyFont="1" applyFill="1" applyBorder="1" applyAlignment="1">
      <alignment horizontal="center" vertical="center" wrapText="1"/>
    </xf>
    <xf numFmtId="20" fontId="108" fillId="10" borderId="1" xfId="0" applyNumberFormat="1" applyFont="1" applyFill="1" applyBorder="1" applyAlignment="1">
      <alignment horizontal="center" vertical="center" wrapText="1"/>
    </xf>
    <xf numFmtId="16" fontId="115" fillId="60" borderId="1" xfId="0" applyNumberFormat="1" applyFont="1" applyFill="1" applyBorder="1" applyAlignment="1">
      <alignment horizontal="center" vertical="center" wrapText="1"/>
    </xf>
    <xf numFmtId="2" fontId="98" fillId="0" borderId="2" xfId="0" applyNumberFormat="1" applyFont="1" applyBorder="1" applyAlignment="1">
      <alignment horizontal="center" vertical="center" wrapText="1"/>
    </xf>
    <xf numFmtId="0" fontId="115" fillId="21" borderId="1" xfId="0" applyFont="1" applyFill="1" applyBorder="1" applyAlignment="1">
      <alignment horizontal="center" vertical="center" wrapText="1"/>
    </xf>
    <xf numFmtId="16" fontId="2" fillId="10" borderId="1" xfId="0" applyNumberFormat="1" applyFont="1" applyFill="1" applyBorder="1" applyAlignment="1">
      <alignment horizontal="center" vertical="center" wrapText="1"/>
    </xf>
    <xf numFmtId="2" fontId="7" fillId="48" borderId="1" xfId="0" applyNumberFormat="1" applyFont="1" applyFill="1" applyBorder="1" applyAlignment="1">
      <alignment horizontal="center" vertical="center" wrapText="1"/>
    </xf>
    <xf numFmtId="16" fontId="2" fillId="0" borderId="28" xfId="0" applyNumberFormat="1" applyFont="1" applyBorder="1" applyAlignment="1">
      <alignment horizontal="center" vertical="center" wrapText="1"/>
    </xf>
    <xf numFmtId="16" fontId="7" fillId="0" borderId="28" xfId="0" applyNumberFormat="1" applyFont="1" applyBorder="1" applyAlignment="1">
      <alignment horizontal="center" vertical="center" wrapText="1"/>
    </xf>
    <xf numFmtId="20" fontId="7" fillId="0" borderId="28" xfId="0" applyNumberFormat="1" applyFont="1" applyBorder="1" applyAlignment="1">
      <alignment horizontal="center" vertical="center" wrapText="1"/>
    </xf>
    <xf numFmtId="2" fontId="7" fillId="0" borderId="28" xfId="0" applyNumberFormat="1" applyFont="1" applyBorder="1" applyAlignment="1">
      <alignment horizontal="center" vertical="center" wrapText="1"/>
    </xf>
    <xf numFmtId="16" fontId="2" fillId="48" borderId="1" xfId="0" applyNumberFormat="1" applyFont="1" applyFill="1" applyBorder="1" applyAlignment="1">
      <alignment horizontal="center" vertical="center" wrapText="1"/>
    </xf>
    <xf numFmtId="0" fontId="7" fillId="10" borderId="28" xfId="0" applyFont="1" applyFill="1" applyBorder="1" applyAlignment="1">
      <alignment horizontal="center" vertical="center" wrapText="1"/>
    </xf>
    <xf numFmtId="16" fontId="2" fillId="10" borderId="28" xfId="0" applyNumberFormat="1" applyFont="1" applyFill="1" applyBorder="1" applyAlignment="1">
      <alignment horizontal="center" vertical="center" wrapText="1"/>
    </xf>
    <xf numFmtId="16" fontId="7" fillId="10" borderId="28" xfId="0" applyNumberFormat="1" applyFont="1" applyFill="1" applyBorder="1" applyAlignment="1">
      <alignment horizontal="center" vertical="center" wrapText="1"/>
    </xf>
    <xf numFmtId="20" fontId="7" fillId="10" borderId="28" xfId="0" applyNumberFormat="1" applyFont="1" applyFill="1" applyBorder="1" applyAlignment="1">
      <alignment horizontal="center" vertical="center" wrapText="1"/>
    </xf>
    <xf numFmtId="2" fontId="7" fillId="48" borderId="28" xfId="0" applyNumberFormat="1" applyFont="1" applyFill="1" applyBorder="1" applyAlignment="1">
      <alignment horizontal="center" vertical="center" wrapText="1"/>
    </xf>
    <xf numFmtId="0" fontId="7" fillId="48" borderId="28" xfId="0" applyFont="1" applyFill="1" applyBorder="1" applyAlignment="1">
      <alignment horizontal="center" vertical="center" wrapText="1"/>
    </xf>
    <xf numFmtId="0" fontId="7" fillId="53" borderId="28" xfId="0" applyFont="1" applyFill="1" applyBorder="1" applyAlignment="1">
      <alignment horizontal="center" vertical="center" wrapText="1"/>
    </xf>
    <xf numFmtId="20" fontId="7" fillId="53" borderId="28" xfId="0" applyNumberFormat="1" applyFont="1" applyFill="1" applyBorder="1" applyAlignment="1">
      <alignment horizontal="center" vertical="center" wrapText="1"/>
    </xf>
    <xf numFmtId="0" fontId="7" fillId="56" borderId="28" xfId="0" applyFont="1" applyFill="1" applyBorder="1" applyAlignment="1">
      <alignment horizontal="center" vertical="center" wrapText="1"/>
    </xf>
    <xf numFmtId="0" fontId="7" fillId="48" borderId="31" xfId="0" applyFont="1" applyFill="1" applyBorder="1" applyAlignment="1">
      <alignment horizontal="center" vertical="center" wrapText="1"/>
    </xf>
    <xf numFmtId="16" fontId="2" fillId="48" borderId="28" xfId="0" applyNumberFormat="1" applyFont="1" applyFill="1" applyBorder="1" applyAlignment="1">
      <alignment horizontal="center" vertical="center" wrapText="1"/>
    </xf>
    <xf numFmtId="0" fontId="7" fillId="0" borderId="31" xfId="0" applyFont="1" applyBorder="1" applyAlignment="1">
      <alignment horizontal="center" vertical="center" wrapText="1"/>
    </xf>
    <xf numFmtId="20" fontId="7" fillId="48" borderId="28" xfId="0" applyNumberFormat="1" applyFont="1" applyFill="1" applyBorder="1" applyAlignment="1">
      <alignment horizontal="center" vertical="center" wrapText="1"/>
    </xf>
    <xf numFmtId="16" fontId="7" fillId="60" borderId="28" xfId="0" applyNumberFormat="1" applyFont="1" applyFill="1" applyBorder="1" applyAlignment="1">
      <alignment horizontal="center" vertical="center" wrapText="1"/>
    </xf>
    <xf numFmtId="16" fontId="2" fillId="53" borderId="28" xfId="0" applyNumberFormat="1" applyFont="1" applyFill="1" applyBorder="1" applyAlignment="1">
      <alignment horizontal="center" vertical="center" wrapText="1"/>
    </xf>
    <xf numFmtId="16" fontId="2" fillId="10" borderId="4" xfId="0" applyNumberFormat="1" applyFont="1" applyFill="1" applyBorder="1" applyAlignment="1">
      <alignment horizontal="center" vertical="center" wrapText="1"/>
    </xf>
    <xf numFmtId="16" fontId="2" fillId="0" borderId="30" xfId="0" applyNumberFormat="1" applyFont="1" applyBorder="1" applyAlignment="1">
      <alignment horizontal="center" vertical="center" wrapText="1"/>
    </xf>
    <xf numFmtId="16" fontId="2" fillId="48" borderId="4" xfId="0" applyNumberFormat="1" applyFont="1" applyFill="1" applyBorder="1" applyAlignment="1">
      <alignment horizontal="center" vertical="center" wrapText="1"/>
    </xf>
    <xf numFmtId="16" fontId="2" fillId="10" borderId="30" xfId="0" applyNumberFormat="1" applyFont="1" applyFill="1" applyBorder="1" applyAlignment="1">
      <alignment horizontal="center" vertical="center" wrapText="1"/>
    </xf>
    <xf numFmtId="16" fontId="2" fillId="53" borderId="30" xfId="0" applyNumberFormat="1" applyFont="1" applyFill="1" applyBorder="1" applyAlignment="1">
      <alignment horizontal="center" vertical="center" wrapText="1"/>
    </xf>
    <xf numFmtId="2" fontId="7" fillId="57" borderId="28" xfId="0" applyNumberFormat="1" applyFont="1" applyFill="1" applyBorder="1" applyAlignment="1">
      <alignment horizontal="center" vertical="center" wrapText="1"/>
    </xf>
    <xf numFmtId="0" fontId="118" fillId="48" borderId="28" xfId="0" applyFont="1" applyFill="1" applyBorder="1" applyAlignment="1">
      <alignment horizontal="center" vertical="center" wrapText="1"/>
    </xf>
    <xf numFmtId="2" fontId="118" fillId="48" borderId="28" xfId="0" applyNumberFormat="1" applyFont="1" applyFill="1" applyBorder="1" applyAlignment="1">
      <alignment horizontal="center" vertical="center" wrapText="1"/>
    </xf>
    <xf numFmtId="16" fontId="2" fillId="0" borderId="30" xfId="0" applyNumberFormat="1" applyFont="1" applyFill="1" applyBorder="1" applyAlignment="1">
      <alignment horizontal="center" vertical="center" wrapText="1"/>
    </xf>
    <xf numFmtId="16" fontId="2" fillId="0" borderId="28" xfId="0" applyNumberFormat="1" applyFont="1" applyFill="1" applyBorder="1" applyAlignment="1">
      <alignment horizontal="center" vertical="center" wrapText="1"/>
    </xf>
    <xf numFmtId="20" fontId="7" fillId="0" borderId="28" xfId="0" applyNumberFormat="1" applyFont="1" applyFill="1" applyBorder="1" applyAlignment="1">
      <alignment horizontal="center" vertical="center" wrapText="1"/>
    </xf>
    <xf numFmtId="2" fontId="7" fillId="0" borderId="28" xfId="0" applyNumberFormat="1" applyFont="1" applyFill="1" applyBorder="1" applyAlignment="1">
      <alignment horizontal="center" vertical="center" wrapText="1"/>
    </xf>
    <xf numFmtId="0" fontId="7" fillId="0" borderId="31" xfId="0" applyFont="1" applyFill="1" applyBorder="1" applyAlignment="1">
      <alignment horizontal="center" vertical="center" wrapText="1"/>
    </xf>
    <xf numFmtId="2" fontId="0" fillId="0" borderId="0" xfId="0" applyNumberFormat="1" applyAlignment="1">
      <alignment wrapText="1"/>
    </xf>
    <xf numFmtId="16" fontId="117" fillId="0" borderId="30" xfId="0" applyNumberFormat="1" applyFont="1" applyFill="1" applyBorder="1" applyAlignment="1">
      <alignment horizontal="center" vertical="center" wrapText="1"/>
    </xf>
    <xf numFmtId="16" fontId="117" fillId="0" borderId="28" xfId="0" applyNumberFormat="1" applyFont="1" applyFill="1" applyBorder="1" applyAlignment="1">
      <alignment horizontal="center" vertical="center" wrapText="1"/>
    </xf>
    <xf numFmtId="16" fontId="118" fillId="0" borderId="28" xfId="0" applyNumberFormat="1" applyFont="1" applyFill="1" applyBorder="1" applyAlignment="1">
      <alignment horizontal="center" vertical="center" wrapText="1"/>
    </xf>
    <xf numFmtId="16" fontId="117" fillId="48" borderId="30" xfId="0" applyNumberFormat="1" applyFont="1" applyFill="1" applyBorder="1" applyAlignment="1">
      <alignment horizontal="center" vertical="center" wrapText="1"/>
    </xf>
    <xf numFmtId="16" fontId="117" fillId="48" borderId="28" xfId="0" applyNumberFormat="1" applyFont="1" applyFill="1" applyBorder="1" applyAlignment="1">
      <alignment horizontal="center" vertical="center" wrapText="1"/>
    </xf>
    <xf numFmtId="16" fontId="118" fillId="48" borderId="28" xfId="0" applyNumberFormat="1" applyFont="1" applyFill="1" applyBorder="1" applyAlignment="1">
      <alignment horizontal="center" vertical="center" wrapText="1"/>
    </xf>
    <xf numFmtId="0" fontId="7" fillId="62" borderId="1" xfId="0" applyFont="1" applyFill="1" applyBorder="1" applyAlignment="1">
      <alignment horizontal="center" vertical="center" wrapText="1"/>
    </xf>
    <xf numFmtId="2" fontId="120" fillId="48" borderId="28" xfId="0" applyNumberFormat="1" applyFont="1" applyFill="1" applyBorder="1" applyAlignment="1">
      <alignment horizontal="center" vertical="center" wrapText="1"/>
    </xf>
    <xf numFmtId="2" fontId="120" fillId="0" borderId="28" xfId="0" applyNumberFormat="1" applyFont="1" applyFill="1" applyBorder="1" applyAlignment="1">
      <alignment horizontal="center" vertical="center" wrapText="1"/>
    </xf>
    <xf numFmtId="2" fontId="118" fillId="48" borderId="1" xfId="0" applyNumberFormat="1" applyFont="1" applyFill="1" applyBorder="1" applyAlignment="1">
      <alignment horizontal="center" vertical="center" wrapText="1"/>
    </xf>
    <xf numFmtId="16" fontId="121" fillId="0" borderId="28" xfId="0" applyNumberFormat="1" applyFont="1" applyFill="1" applyBorder="1" applyAlignment="1">
      <alignment horizontal="center" vertical="center" wrapText="1"/>
    </xf>
    <xf numFmtId="2" fontId="122" fillId="0" borderId="28" xfId="0" applyNumberFormat="1" applyFont="1" applyFill="1" applyBorder="1" applyAlignment="1">
      <alignment horizontal="center" vertical="center" wrapText="1"/>
    </xf>
    <xf numFmtId="16" fontId="121" fillId="0" borderId="30" xfId="0" applyNumberFormat="1" applyFont="1" applyFill="1" applyBorder="1" applyAlignment="1">
      <alignment horizontal="center" vertical="center" wrapText="1"/>
    </xf>
    <xf numFmtId="0" fontId="122" fillId="0" borderId="28" xfId="0" applyFont="1" applyFill="1" applyBorder="1" applyAlignment="1">
      <alignment horizontal="center" vertical="center" wrapText="1"/>
    </xf>
    <xf numFmtId="16" fontId="7" fillId="0" borderId="28" xfId="0" applyNumberFormat="1" applyFont="1" applyFill="1" applyBorder="1" applyAlignment="1">
      <alignment horizontal="center" vertical="center" wrapText="1"/>
    </xf>
    <xf numFmtId="2" fontId="124" fillId="48" borderId="28" xfId="0" applyNumberFormat="1" applyFont="1" applyFill="1" applyBorder="1" applyAlignment="1">
      <alignment horizontal="center" vertical="center" wrapText="1"/>
    </xf>
    <xf numFmtId="16" fontId="123" fillId="53" borderId="30" xfId="0" applyNumberFormat="1" applyFont="1" applyFill="1" applyBorder="1" applyAlignment="1">
      <alignment horizontal="center" vertical="center" wrapText="1"/>
    </xf>
    <xf numFmtId="0" fontId="124" fillId="53" borderId="28" xfId="0" applyFont="1" applyFill="1" applyBorder="1" applyAlignment="1">
      <alignment horizontal="center" vertical="center" wrapText="1"/>
    </xf>
    <xf numFmtId="16" fontId="123" fillId="53" borderId="28" xfId="0" applyNumberFormat="1" applyFont="1" applyFill="1" applyBorder="1" applyAlignment="1">
      <alignment horizontal="center" vertical="center" wrapText="1"/>
    </xf>
    <xf numFmtId="16" fontId="2" fillId="62" borderId="30" xfId="0" applyNumberFormat="1" applyFont="1" applyFill="1" applyBorder="1" applyAlignment="1">
      <alignment horizontal="center" vertical="center" wrapText="1"/>
    </xf>
    <xf numFmtId="20" fontId="7" fillId="62" borderId="1" xfId="0" applyNumberFormat="1" applyFont="1" applyFill="1" applyBorder="1" applyAlignment="1">
      <alignment horizontal="center" vertical="center" wrapText="1"/>
    </xf>
    <xf numFmtId="20" fontId="118" fillId="62" borderId="1" xfId="0" applyNumberFormat="1" applyFont="1" applyFill="1" applyBorder="1" applyAlignment="1">
      <alignment horizontal="center" vertical="center" wrapText="1"/>
    </xf>
    <xf numFmtId="2" fontId="118" fillId="0" borderId="28" xfId="0" applyNumberFormat="1" applyFont="1" applyFill="1" applyBorder="1" applyAlignment="1">
      <alignment horizontal="center" vertical="center" wrapText="1"/>
    </xf>
    <xf numFmtId="16" fontId="119" fillId="0" borderId="30" xfId="0" applyNumberFormat="1" applyFont="1" applyFill="1" applyBorder="1" applyAlignment="1">
      <alignment horizontal="center" vertical="center" wrapText="1"/>
    </xf>
    <xf numFmtId="16" fontId="119" fillId="0" borderId="28" xfId="0" applyNumberFormat="1" applyFont="1" applyFill="1" applyBorder="1" applyAlignment="1">
      <alignment horizontal="center" vertical="center" wrapText="1"/>
    </xf>
    <xf numFmtId="16" fontId="120" fillId="0" borderId="28" xfId="0" applyNumberFormat="1" applyFont="1" applyFill="1" applyBorder="1" applyAlignment="1">
      <alignment horizontal="center" vertical="center" wrapText="1"/>
    </xf>
    <xf numFmtId="20" fontId="118" fillId="0" borderId="28" xfId="0" applyNumberFormat="1" applyFont="1" applyFill="1" applyBorder="1" applyAlignment="1">
      <alignment horizontal="center" vertical="center" wrapText="1"/>
    </xf>
    <xf numFmtId="0" fontId="118" fillId="0" borderId="28" xfId="0" applyFont="1" applyFill="1" applyBorder="1" applyAlignment="1">
      <alignment horizontal="center" vertical="center" wrapText="1"/>
    </xf>
    <xf numFmtId="16" fontId="123" fillId="0" borderId="30" xfId="0" applyNumberFormat="1" applyFont="1" applyFill="1" applyBorder="1" applyAlignment="1">
      <alignment horizontal="center" vertical="center" wrapText="1"/>
    </xf>
    <xf numFmtId="0" fontId="124" fillId="0" borderId="28" xfId="0" applyFont="1" applyFill="1" applyBorder="1" applyAlignment="1">
      <alignment horizontal="center" vertical="center" wrapText="1"/>
    </xf>
    <xf numFmtId="16" fontId="123" fillId="0" borderId="28" xfId="0" applyNumberFormat="1" applyFont="1" applyFill="1" applyBorder="1" applyAlignment="1">
      <alignment horizontal="center" vertical="center" wrapText="1"/>
    </xf>
    <xf numFmtId="16" fontId="124" fillId="0" borderId="28" xfId="0" applyNumberFormat="1" applyFont="1" applyFill="1" applyBorder="1" applyAlignment="1">
      <alignment horizontal="center" vertical="center" wrapText="1"/>
    </xf>
    <xf numFmtId="2" fontId="124" fillId="0" borderId="28" xfId="0" applyNumberFormat="1" applyFont="1" applyFill="1" applyBorder="1" applyAlignment="1">
      <alignment horizontal="center" vertical="center" wrapText="1"/>
    </xf>
    <xf numFmtId="16" fontId="111" fillId="0" borderId="28" xfId="0" applyNumberFormat="1" applyFont="1" applyFill="1" applyBorder="1" applyAlignment="1">
      <alignment horizontal="center" vertical="center" wrapText="1"/>
    </xf>
    <xf numFmtId="0" fontId="4" fillId="0" borderId="28" xfId="1" applyFont="1" applyFill="1" applyBorder="1" applyAlignment="1">
      <alignment horizontal="center" vertical="center" wrapText="1"/>
    </xf>
    <xf numFmtId="16" fontId="104" fillId="0" borderId="28" xfId="0" applyNumberFormat="1" applyFont="1" applyFill="1" applyBorder="1" applyAlignment="1">
      <alignment horizontal="center" vertical="center" wrapText="1"/>
    </xf>
    <xf numFmtId="16" fontId="123" fillId="48" borderId="28" xfId="0" applyNumberFormat="1" applyFont="1" applyFill="1" applyBorder="1" applyAlignment="1">
      <alignment horizontal="center" vertical="center" wrapText="1"/>
    </xf>
    <xf numFmtId="16" fontId="124" fillId="48" borderId="28" xfId="0" applyNumberFormat="1" applyFont="1" applyFill="1" applyBorder="1" applyAlignment="1">
      <alignment horizontal="center" vertical="center" wrapText="1"/>
    </xf>
    <xf numFmtId="16" fontId="2" fillId="48" borderId="30" xfId="0" applyNumberFormat="1" applyFont="1" applyFill="1" applyBorder="1" applyAlignment="1">
      <alignment horizontal="center" vertical="center" wrapText="1"/>
    </xf>
    <xf numFmtId="0" fontId="7" fillId="48" borderId="28" xfId="1" applyFont="1" applyFill="1" applyBorder="1" applyAlignment="1">
      <alignment horizontal="center" vertical="center" wrapText="1"/>
    </xf>
    <xf numFmtId="16" fontId="124" fillId="53" borderId="28" xfId="0" applyNumberFormat="1" applyFont="1" applyFill="1" applyBorder="1" applyAlignment="1">
      <alignment horizontal="center" vertical="center" wrapText="1"/>
    </xf>
    <xf numFmtId="16" fontId="2" fillId="10" borderId="7" xfId="0" applyNumberFormat="1" applyFont="1" applyFill="1" applyBorder="1" applyAlignment="1">
      <alignment horizontal="center" vertical="center" wrapText="1"/>
    </xf>
    <xf numFmtId="0" fontId="7" fillId="10" borderId="6" xfId="0" applyFont="1" applyFill="1" applyBorder="1" applyAlignment="1">
      <alignment horizontal="center" vertical="center" wrapText="1"/>
    </xf>
    <xf numFmtId="16" fontId="2" fillId="10" borderId="6" xfId="0" applyNumberFormat="1" applyFont="1" applyFill="1" applyBorder="1" applyAlignment="1">
      <alignment horizontal="center" vertical="center" wrapText="1"/>
    </xf>
    <xf numFmtId="16" fontId="7" fillId="10" borderId="6" xfId="0" applyNumberFormat="1" applyFont="1" applyFill="1" applyBorder="1" applyAlignment="1">
      <alignment horizontal="center" vertical="center" wrapText="1"/>
    </xf>
    <xf numFmtId="20" fontId="7" fillId="10" borderId="6" xfId="0" applyNumberFormat="1" applyFont="1" applyFill="1" applyBorder="1" applyAlignment="1">
      <alignment horizontal="center" vertical="center" wrapText="1"/>
    </xf>
    <xf numFmtId="2" fontId="7" fillId="48" borderId="6" xfId="0" applyNumberFormat="1" applyFont="1" applyFill="1" applyBorder="1" applyAlignment="1">
      <alignment horizontal="center" vertical="center" wrapText="1"/>
    </xf>
    <xf numFmtId="0" fontId="7" fillId="56" borderId="6" xfId="0" applyFont="1" applyFill="1" applyBorder="1" applyAlignment="1">
      <alignment horizontal="center" vertical="center" wrapText="1"/>
    </xf>
    <xf numFmtId="0" fontId="7" fillId="48" borderId="6" xfId="0" applyFont="1" applyFill="1" applyBorder="1" applyAlignment="1">
      <alignment horizontal="center" vertical="center" wrapText="1"/>
    </xf>
    <xf numFmtId="0" fontId="7" fillId="48" borderId="5"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1" fillId="3" borderId="1" xfId="0" applyFont="1" applyFill="1" applyBorder="1" applyAlignment="1">
      <alignment horizontal="center" vertical="center" wrapText="1"/>
    </xf>
    <xf numFmtId="16" fontId="1" fillId="3" borderId="1" xfId="0" applyNumberFormat="1" applyFont="1" applyFill="1" applyBorder="1" applyAlignment="1">
      <alignment horizontal="center" vertical="center" wrapText="1"/>
    </xf>
    <xf numFmtId="165" fontId="1" fillId="3" borderId="1" xfId="0" applyNumberFormat="1" applyFont="1" applyFill="1" applyBorder="1" applyAlignment="1">
      <alignment horizontal="center" vertical="center" wrapText="1"/>
    </xf>
    <xf numFmtId="20" fontId="118" fillId="0" borderId="1" xfId="0" applyNumberFormat="1" applyFont="1" applyFill="1" applyBorder="1" applyAlignment="1">
      <alignment horizontal="center" vertical="center" wrapText="1"/>
    </xf>
    <xf numFmtId="16" fontId="2" fillId="0" borderId="1" xfId="0" applyNumberFormat="1" applyFont="1" applyFill="1" applyBorder="1" applyAlignment="1">
      <alignment horizontal="center" vertical="center" wrapText="1"/>
    </xf>
    <xf numFmtId="16" fontId="123" fillId="0" borderId="1" xfId="0" applyNumberFormat="1" applyFont="1" applyFill="1" applyBorder="1" applyAlignment="1">
      <alignment horizontal="center" vertical="center" wrapText="1"/>
    </xf>
    <xf numFmtId="0" fontId="124" fillId="0" borderId="1" xfId="0" applyFont="1" applyFill="1" applyBorder="1" applyAlignment="1">
      <alignment horizontal="center" vertical="center" wrapText="1"/>
    </xf>
    <xf numFmtId="16" fontId="124" fillId="0" borderId="1" xfId="0" applyNumberFormat="1" applyFont="1" applyFill="1" applyBorder="1" applyAlignment="1">
      <alignment horizontal="center" vertical="center" wrapText="1"/>
    </xf>
    <xf numFmtId="2" fontId="124" fillId="0" borderId="1" xfId="0" applyNumberFormat="1" applyFont="1" applyFill="1" applyBorder="1" applyAlignment="1">
      <alignment horizontal="center" vertical="center" wrapText="1"/>
    </xf>
    <xf numFmtId="2" fontId="124" fillId="51" borderId="28" xfId="0" applyNumberFormat="1" applyFont="1" applyFill="1" applyBorder="1" applyAlignment="1">
      <alignment horizontal="center" vertical="center" wrapText="1"/>
    </xf>
    <xf numFmtId="2" fontId="7" fillId="12" borderId="28" xfId="0" applyNumberFormat="1" applyFont="1" applyFill="1" applyBorder="1" applyAlignment="1">
      <alignment horizontal="center" vertical="center" wrapText="1"/>
    </xf>
    <xf numFmtId="2" fontId="122" fillId="51" borderId="28" xfId="0" applyNumberFormat="1" applyFont="1" applyFill="1" applyBorder="1" applyAlignment="1">
      <alignment horizontal="center" vertical="center" wrapText="1"/>
    </xf>
    <xf numFmtId="16" fontId="7" fillId="53" borderId="28" xfId="0" applyNumberFormat="1" applyFont="1" applyFill="1" applyBorder="1" applyAlignment="1">
      <alignment horizontal="center" vertical="center" wrapText="1"/>
    </xf>
    <xf numFmtId="16" fontId="117" fillId="0" borderId="1" xfId="0" applyNumberFormat="1" applyFont="1" applyFill="1" applyBorder="1" applyAlignment="1">
      <alignment horizontal="center" vertical="center" wrapText="1"/>
    </xf>
    <xf numFmtId="20" fontId="7" fillId="62" borderId="28" xfId="0" applyNumberFormat="1" applyFont="1" applyFill="1" applyBorder="1" applyAlignment="1">
      <alignment horizontal="center" vertical="center" wrapText="1"/>
    </xf>
    <xf numFmtId="2" fontId="127" fillId="48" borderId="1" xfId="0" applyNumberFormat="1" applyFont="1" applyFill="1" applyBorder="1" applyAlignment="1">
      <alignment horizontal="center" vertical="center" wrapText="1"/>
    </xf>
    <xf numFmtId="16" fontId="126" fillId="0" borderId="30" xfId="0" applyNumberFormat="1" applyFont="1" applyFill="1" applyBorder="1" applyAlignment="1">
      <alignment horizontal="center" vertical="center" wrapText="1"/>
    </xf>
    <xf numFmtId="0" fontId="127" fillId="0" borderId="28" xfId="0" applyFont="1" applyFill="1" applyBorder="1" applyAlignment="1">
      <alignment horizontal="center" vertical="center" wrapText="1"/>
    </xf>
    <xf numFmtId="16" fontId="126" fillId="0" borderId="28" xfId="0" applyNumberFormat="1" applyFont="1" applyFill="1" applyBorder="1" applyAlignment="1">
      <alignment horizontal="center" vertical="center" wrapText="1"/>
    </xf>
    <xf numFmtId="16" fontId="127" fillId="0" borderId="28" xfId="0" applyNumberFormat="1" applyFont="1" applyFill="1" applyBorder="1" applyAlignment="1">
      <alignment horizontal="center" vertical="center" wrapText="1"/>
    </xf>
    <xf numFmtId="2" fontId="127" fillId="0" borderId="28" xfId="0" applyNumberFormat="1" applyFont="1" applyFill="1" applyBorder="1" applyAlignment="1">
      <alignment horizontal="center" vertical="center" wrapText="1"/>
    </xf>
    <xf numFmtId="16" fontId="126" fillId="0" borderId="1" xfId="0" applyNumberFormat="1" applyFont="1" applyFill="1" applyBorder="1" applyAlignment="1">
      <alignment horizontal="center" vertical="center" wrapText="1"/>
    </xf>
    <xf numFmtId="0" fontId="127" fillId="0" borderId="1" xfId="0" applyFont="1" applyFill="1" applyBorder="1" applyAlignment="1">
      <alignment horizontal="center" vertical="center" wrapText="1"/>
    </xf>
    <xf numFmtId="16" fontId="127" fillId="0" borderId="1" xfId="0" applyNumberFormat="1" applyFont="1" applyFill="1" applyBorder="1" applyAlignment="1">
      <alignment horizontal="center" vertical="center" wrapText="1"/>
    </xf>
    <xf numFmtId="2" fontId="127" fillId="0" borderId="1" xfId="0" applyNumberFormat="1" applyFont="1" applyFill="1" applyBorder="1" applyAlignment="1">
      <alignment horizontal="center" vertical="center" wrapText="1"/>
    </xf>
    <xf numFmtId="16" fontId="120" fillId="0" borderId="2" xfId="0" applyNumberFormat="1" applyFont="1" applyFill="1" applyBorder="1" applyAlignment="1">
      <alignment horizontal="center" vertical="center" wrapText="1"/>
    </xf>
    <xf numFmtId="16" fontId="126" fillId="48" borderId="30" xfId="0" applyNumberFormat="1" applyFont="1" applyFill="1" applyBorder="1" applyAlignment="1">
      <alignment horizontal="center" vertical="center" wrapText="1"/>
    </xf>
    <xf numFmtId="0" fontId="127" fillId="48" borderId="28" xfId="0" applyFont="1" applyFill="1" applyBorder="1" applyAlignment="1">
      <alignment horizontal="center" vertical="center" wrapText="1"/>
    </xf>
    <xf numFmtId="16" fontId="126" fillId="48" borderId="28" xfId="0" applyNumberFormat="1" applyFont="1" applyFill="1" applyBorder="1" applyAlignment="1">
      <alignment horizontal="center" vertical="center" wrapText="1"/>
    </xf>
    <xf numFmtId="16" fontId="127" fillId="48" borderId="28" xfId="0" applyNumberFormat="1" applyFont="1" applyFill="1" applyBorder="1" applyAlignment="1">
      <alignment horizontal="center" vertical="center" wrapText="1"/>
    </xf>
    <xf numFmtId="2" fontId="127" fillId="48" borderId="28" xfId="0" applyNumberFormat="1" applyFont="1" applyFill="1" applyBorder="1" applyAlignment="1">
      <alignment horizontal="center" vertical="center" wrapText="1"/>
    </xf>
    <xf numFmtId="2" fontId="127" fillId="63" borderId="28" xfId="0" applyNumberFormat="1" applyFont="1" applyFill="1" applyBorder="1" applyAlignment="1">
      <alignment horizontal="center" vertical="center" wrapText="1"/>
    </xf>
    <xf numFmtId="20" fontId="7" fillId="14" borderId="1" xfId="0" applyNumberFormat="1" applyFont="1" applyFill="1" applyBorder="1" applyAlignment="1">
      <alignment horizontal="center" vertical="center" wrapText="1"/>
    </xf>
    <xf numFmtId="16" fontId="126" fillId="53" borderId="30" xfId="0" applyNumberFormat="1" applyFont="1" applyFill="1" applyBorder="1" applyAlignment="1">
      <alignment horizontal="center" vertical="center" wrapText="1"/>
    </xf>
    <xf numFmtId="0" fontId="127" fillId="53" borderId="28" xfId="0" applyFont="1" applyFill="1" applyBorder="1" applyAlignment="1">
      <alignment horizontal="center" vertical="center" wrapText="1"/>
    </xf>
    <xf numFmtId="16" fontId="126" fillId="53" borderId="28" xfId="0" applyNumberFormat="1" applyFont="1" applyFill="1" applyBorder="1" applyAlignment="1">
      <alignment horizontal="center" vertical="center" wrapText="1"/>
    </xf>
    <xf numFmtId="16" fontId="127" fillId="53" borderId="28" xfId="0" applyNumberFormat="1" applyFont="1" applyFill="1" applyBorder="1" applyAlignment="1">
      <alignment horizontal="center" vertical="center" wrapText="1"/>
    </xf>
    <xf numFmtId="16" fontId="2" fillId="62" borderId="28" xfId="0" applyNumberFormat="1" applyFont="1" applyFill="1" applyBorder="1" applyAlignment="1">
      <alignment horizontal="center" vertical="center" wrapText="1"/>
    </xf>
    <xf numFmtId="16" fontId="7" fillId="62" borderId="28" xfId="0" applyNumberFormat="1" applyFont="1" applyFill="1" applyBorder="1" applyAlignment="1">
      <alignment horizontal="center" vertical="center" wrapText="1"/>
    </xf>
    <xf numFmtId="0" fontId="129" fillId="48" borderId="28" xfId="0" applyFont="1" applyFill="1" applyBorder="1" applyAlignment="1">
      <alignment horizontal="center" vertical="center" wrapText="1"/>
    </xf>
    <xf numFmtId="16" fontId="129" fillId="48" borderId="28" xfId="0" applyNumberFormat="1" applyFont="1" applyFill="1" applyBorder="1" applyAlignment="1">
      <alignment horizontal="center" vertical="center" wrapText="1"/>
    </xf>
    <xf numFmtId="2" fontId="129" fillId="48" borderId="28" xfId="0" applyNumberFormat="1" applyFont="1" applyFill="1" applyBorder="1" applyAlignment="1">
      <alignment horizontal="center" vertical="center" wrapText="1"/>
    </xf>
    <xf numFmtId="16" fontId="119" fillId="48" borderId="30" xfId="0" applyNumberFormat="1" applyFont="1" applyFill="1" applyBorder="1" applyAlignment="1">
      <alignment horizontal="center" vertical="center" wrapText="1"/>
    </xf>
    <xf numFmtId="16" fontId="128" fillId="48" borderId="1" xfId="0" applyNumberFormat="1" applyFont="1" applyFill="1" applyBorder="1" applyAlignment="1">
      <alignment horizontal="center" vertical="center" wrapText="1"/>
    </xf>
    <xf numFmtId="16" fontId="123" fillId="48" borderId="30" xfId="0" applyNumberFormat="1" applyFont="1" applyFill="1" applyBorder="1" applyAlignment="1">
      <alignment horizontal="center" vertical="center" wrapText="1"/>
    </xf>
    <xf numFmtId="0" fontId="120" fillId="48" borderId="28" xfId="0" applyFont="1" applyFill="1" applyBorder="1" applyAlignment="1">
      <alignment horizontal="center" vertical="center" wrapText="1"/>
    </xf>
    <xf numFmtId="0" fontId="129" fillId="48" borderId="1" xfId="0" applyFont="1" applyFill="1" applyBorder="1" applyAlignment="1">
      <alignment horizontal="center" vertical="center" wrapText="1"/>
    </xf>
    <xf numFmtId="0" fontId="7" fillId="62" borderId="28" xfId="0" applyFont="1" applyFill="1" applyBorder="1" applyAlignment="1">
      <alignment horizontal="center" vertical="center" wrapText="1"/>
    </xf>
    <xf numFmtId="0" fontId="124" fillId="48" borderId="28" xfId="0" applyFont="1" applyFill="1" applyBorder="1" applyAlignment="1">
      <alignment horizontal="center" vertical="center" wrapText="1"/>
    </xf>
    <xf numFmtId="16" fontId="119" fillId="48" borderId="28" xfId="0" applyNumberFormat="1" applyFont="1" applyFill="1" applyBorder="1" applyAlignment="1">
      <alignment horizontal="center" vertical="center" wrapText="1"/>
    </xf>
    <xf numFmtId="16" fontId="120" fillId="48" borderId="28" xfId="0" applyNumberFormat="1" applyFont="1" applyFill="1" applyBorder="1" applyAlignment="1">
      <alignment horizontal="center" vertical="center" wrapText="1"/>
    </xf>
    <xf numFmtId="16" fontId="129" fillId="48" borderId="1" xfId="0" applyNumberFormat="1" applyFont="1" applyFill="1" applyBorder="1" applyAlignment="1">
      <alignment horizontal="center" vertical="center" wrapText="1"/>
    </xf>
    <xf numFmtId="2" fontId="129" fillId="48" borderId="1" xfId="0" applyNumberFormat="1" applyFont="1" applyFill="1" applyBorder="1" applyAlignment="1">
      <alignment horizontal="center" vertical="center" wrapText="1"/>
    </xf>
    <xf numFmtId="16" fontId="128" fillId="48" borderId="9" xfId="0" applyNumberFormat="1" applyFont="1" applyFill="1" applyBorder="1" applyAlignment="1">
      <alignment horizontal="center" vertical="center" wrapText="1"/>
    </xf>
    <xf numFmtId="2" fontId="129" fillId="48" borderId="2" xfId="0" applyNumberFormat="1" applyFont="1" applyFill="1" applyBorder="1" applyAlignment="1">
      <alignment horizontal="center" vertical="center" wrapText="1"/>
    </xf>
    <xf numFmtId="2" fontId="129" fillId="57" borderId="28" xfId="0" applyNumberFormat="1" applyFont="1" applyFill="1" applyBorder="1" applyAlignment="1">
      <alignment horizontal="center" vertical="center" wrapText="1"/>
    </xf>
    <xf numFmtId="2" fontId="118" fillId="57" borderId="28" xfId="0" applyNumberFormat="1" applyFont="1" applyFill="1" applyBorder="1" applyAlignment="1">
      <alignment horizontal="center" vertical="center" wrapText="1"/>
    </xf>
    <xf numFmtId="16" fontId="128" fillId="53" borderId="30" xfId="0" applyNumberFormat="1" applyFont="1" applyFill="1" applyBorder="1" applyAlignment="1">
      <alignment horizontal="center" vertical="center" wrapText="1"/>
    </xf>
    <xf numFmtId="0" fontId="129" fillId="53" borderId="28" xfId="0" applyFont="1" applyFill="1" applyBorder="1" applyAlignment="1">
      <alignment horizontal="center" vertical="center" wrapText="1"/>
    </xf>
    <xf numFmtId="16" fontId="128" fillId="53" borderId="28" xfId="0" applyNumberFormat="1" applyFont="1" applyFill="1" applyBorder="1" applyAlignment="1">
      <alignment horizontal="center" vertical="center" wrapText="1"/>
    </xf>
    <xf numFmtId="16" fontId="129" fillId="53" borderId="28" xfId="0" applyNumberFormat="1" applyFont="1" applyFill="1" applyBorder="1" applyAlignment="1">
      <alignment horizontal="center" vertical="center" wrapText="1"/>
    </xf>
    <xf numFmtId="2" fontId="7" fillId="57" borderId="1" xfId="0" applyNumberFormat="1" applyFont="1" applyFill="1" applyBorder="1" applyAlignment="1">
      <alignment horizontal="center" vertical="center" wrapText="1"/>
    </xf>
    <xf numFmtId="16" fontId="2" fillId="53" borderId="1" xfId="0" applyNumberFormat="1" applyFont="1" applyFill="1" applyBorder="1" applyAlignment="1">
      <alignment horizontal="center" vertical="center" wrapText="1"/>
    </xf>
    <xf numFmtId="16" fontId="7" fillId="53" borderId="1" xfId="0" applyNumberFormat="1" applyFont="1" applyFill="1" applyBorder="1" applyAlignment="1">
      <alignment horizontal="center" vertical="center" wrapText="1"/>
    </xf>
    <xf numFmtId="16" fontId="128" fillId="0" borderId="1" xfId="0" applyNumberFormat="1" applyFont="1" applyFill="1" applyBorder="1" applyAlignment="1">
      <alignment horizontal="center" vertical="center" wrapText="1"/>
    </xf>
    <xf numFmtId="0" fontId="129" fillId="0" borderId="1" xfId="0" applyFont="1" applyFill="1" applyBorder="1" applyAlignment="1">
      <alignment horizontal="center" vertical="center" wrapText="1"/>
    </xf>
    <xf numFmtId="16" fontId="117" fillId="53" borderId="30" xfId="0" applyNumberFormat="1" applyFont="1" applyFill="1" applyBorder="1" applyAlignment="1">
      <alignment horizontal="center" vertical="center" wrapText="1"/>
    </xf>
    <xf numFmtId="16" fontId="119" fillId="53" borderId="1" xfId="0" applyNumberFormat="1" applyFont="1" applyFill="1" applyBorder="1" applyAlignment="1">
      <alignment horizontal="center" vertical="center" wrapText="1"/>
    </xf>
    <xf numFmtId="0" fontId="120" fillId="53" borderId="1" xfId="0" applyFont="1" applyFill="1" applyBorder="1" applyAlignment="1">
      <alignment horizontal="center" vertical="center" wrapText="1"/>
    </xf>
    <xf numFmtId="16" fontId="117" fillId="53" borderId="28" xfId="0" applyNumberFormat="1" applyFont="1" applyFill="1" applyBorder="1" applyAlignment="1">
      <alignment horizontal="center" vertical="center" wrapText="1"/>
    </xf>
    <xf numFmtId="16" fontId="7" fillId="61" borderId="28" xfId="0" applyNumberFormat="1" applyFont="1" applyFill="1" applyBorder="1" applyAlignment="1">
      <alignment horizontal="center" vertical="center" wrapText="1"/>
    </xf>
    <xf numFmtId="16" fontId="120" fillId="53" borderId="1" xfId="0" applyNumberFormat="1" applyFont="1" applyFill="1" applyBorder="1" applyAlignment="1">
      <alignment horizontal="center" vertical="center" wrapText="1"/>
    </xf>
    <xf numFmtId="20" fontId="118" fillId="48" borderId="28" xfId="0" applyNumberFormat="1" applyFont="1" applyFill="1" applyBorder="1" applyAlignment="1">
      <alignment horizontal="center" vertical="center" wrapText="1"/>
    </xf>
    <xf numFmtId="2" fontId="127" fillId="57" borderId="28" xfId="0" applyNumberFormat="1" applyFont="1" applyFill="1" applyBorder="1" applyAlignment="1">
      <alignment horizontal="center" vertical="center" wrapText="1"/>
    </xf>
    <xf numFmtId="2" fontId="120" fillId="51" borderId="28" xfId="0" applyNumberFormat="1" applyFont="1" applyFill="1" applyBorder="1" applyAlignment="1">
      <alignment horizontal="center" vertical="center" wrapText="1"/>
    </xf>
    <xf numFmtId="2" fontId="120" fillId="57" borderId="1" xfId="0" applyNumberFormat="1" applyFont="1" applyFill="1" applyBorder="1" applyAlignment="1">
      <alignment horizontal="center" vertical="center" wrapText="1"/>
    </xf>
    <xf numFmtId="0" fontId="127" fillId="0" borderId="2" xfId="0" applyFont="1" applyFill="1" applyBorder="1" applyAlignment="1">
      <alignment horizontal="center" vertical="center" wrapText="1"/>
    </xf>
    <xf numFmtId="16" fontId="7" fillId="21" borderId="1" xfId="0" applyNumberFormat="1" applyFont="1" applyFill="1" applyBorder="1" applyAlignment="1">
      <alignment horizontal="center" vertical="center" wrapText="1"/>
    </xf>
    <xf numFmtId="0" fontId="7" fillId="21" borderId="28" xfId="0" applyFont="1" applyFill="1" applyBorder="1" applyAlignment="1">
      <alignment horizontal="center" vertical="center" wrapText="1"/>
    </xf>
    <xf numFmtId="0" fontId="120" fillId="0" borderId="2" xfId="0" applyFont="1" applyFill="1" applyBorder="1" applyAlignment="1">
      <alignment horizontal="center" vertical="center" wrapText="1"/>
    </xf>
    <xf numFmtId="16" fontId="126" fillId="0" borderId="2" xfId="0" applyNumberFormat="1" applyFont="1" applyFill="1" applyBorder="1" applyAlignment="1">
      <alignment horizontal="center" vertical="center" wrapText="1"/>
    </xf>
    <xf numFmtId="2" fontId="129" fillId="0" borderId="1" xfId="0" applyNumberFormat="1" applyFont="1" applyFill="1" applyBorder="1" applyAlignment="1">
      <alignment horizontal="center" vertical="center" wrapText="1"/>
    </xf>
    <xf numFmtId="2" fontId="127" fillId="0" borderId="2" xfId="0" applyNumberFormat="1" applyFont="1" applyFill="1" applyBorder="1" applyAlignment="1">
      <alignment horizontal="center" vertical="center" wrapText="1"/>
    </xf>
    <xf numFmtId="16" fontId="7" fillId="48" borderId="28" xfId="0" applyNumberFormat="1" applyFont="1" applyFill="1" applyBorder="1" applyAlignment="1">
      <alignment horizontal="center" vertical="center" wrapText="1"/>
    </xf>
    <xf numFmtId="16" fontId="128" fillId="48" borderId="30" xfId="0" applyNumberFormat="1" applyFont="1" applyFill="1" applyBorder="1" applyAlignment="1">
      <alignment horizontal="center" vertical="center" wrapText="1"/>
    </xf>
    <xf numFmtId="16" fontId="128" fillId="48" borderId="28" xfId="0" applyNumberFormat="1" applyFont="1" applyFill="1" applyBorder="1" applyAlignment="1">
      <alignment horizontal="center" vertical="center" wrapText="1"/>
    </xf>
    <xf numFmtId="16" fontId="128" fillId="0" borderId="30" xfId="0" applyNumberFormat="1" applyFont="1" applyFill="1" applyBorder="1" applyAlignment="1">
      <alignment horizontal="center" vertical="center" wrapText="1"/>
    </xf>
    <xf numFmtId="0" fontId="129" fillId="0" borderId="28" xfId="0" applyFont="1" applyFill="1" applyBorder="1" applyAlignment="1">
      <alignment horizontal="center" vertical="center" wrapText="1"/>
    </xf>
    <xf numFmtId="16" fontId="128" fillId="0" borderId="28" xfId="0" applyNumberFormat="1" applyFont="1" applyFill="1" applyBorder="1" applyAlignment="1">
      <alignment horizontal="center" vertical="center" wrapText="1"/>
    </xf>
    <xf numFmtId="2" fontId="129" fillId="0" borderId="28" xfId="0" applyNumberFormat="1" applyFont="1" applyFill="1" applyBorder="1" applyAlignment="1">
      <alignment horizontal="center" vertical="center" wrapText="1"/>
    </xf>
    <xf numFmtId="16" fontId="128" fillId="0" borderId="4" xfId="0" applyNumberFormat="1" applyFont="1" applyBorder="1" applyAlignment="1">
      <alignment horizontal="center" vertical="center"/>
    </xf>
    <xf numFmtId="0" fontId="129" fillId="0" borderId="1" xfId="0" applyFont="1" applyBorder="1" applyAlignment="1">
      <alignment horizontal="center" vertical="center" wrapText="1"/>
    </xf>
    <xf numFmtId="16" fontId="128" fillId="0" borderId="1" xfId="0" applyNumberFormat="1" applyFont="1" applyBorder="1" applyAlignment="1">
      <alignment horizontal="center" vertical="center"/>
    </xf>
    <xf numFmtId="16" fontId="129" fillId="0" borderId="1" xfId="0" applyNumberFormat="1" applyFont="1" applyBorder="1" applyAlignment="1">
      <alignment horizontal="center" vertical="center" wrapText="1"/>
    </xf>
    <xf numFmtId="20" fontId="129" fillId="0" borderId="1" xfId="0" applyNumberFormat="1" applyFont="1" applyBorder="1" applyAlignment="1">
      <alignment horizontal="center" vertical="center" wrapText="1"/>
    </xf>
    <xf numFmtId="0" fontId="129" fillId="0" borderId="3" xfId="0" applyFont="1" applyBorder="1" applyAlignment="1">
      <alignment horizontal="center" vertical="center" wrapText="1"/>
    </xf>
    <xf numFmtId="2" fontId="7" fillId="51" borderId="28" xfId="0" applyNumberFormat="1" applyFont="1" applyFill="1" applyBorder="1" applyAlignment="1">
      <alignment horizontal="center" vertical="center" wrapText="1"/>
    </xf>
    <xf numFmtId="2" fontId="124" fillId="57" borderId="28" xfId="0" applyNumberFormat="1" applyFont="1" applyFill="1" applyBorder="1" applyAlignment="1">
      <alignment horizontal="center" vertical="center" wrapText="1"/>
    </xf>
    <xf numFmtId="16" fontId="117" fillId="0" borderId="4" xfId="0" applyNumberFormat="1" applyFont="1" applyFill="1" applyBorder="1" applyAlignment="1">
      <alignment horizontal="center" vertical="center" wrapText="1"/>
    </xf>
    <xf numFmtId="16" fontId="2" fillId="0" borderId="4" xfId="0" applyNumberFormat="1" applyFont="1" applyFill="1" applyBorder="1" applyAlignment="1">
      <alignment horizontal="center" vertical="center" wrapText="1"/>
    </xf>
    <xf numFmtId="16" fontId="117" fillId="62" borderId="1" xfId="0" applyNumberFormat="1" applyFont="1" applyFill="1" applyBorder="1" applyAlignment="1">
      <alignment horizontal="center" vertical="center" wrapText="1"/>
    </xf>
    <xf numFmtId="0" fontId="120" fillId="0" borderId="28" xfId="0" applyFont="1" applyFill="1" applyBorder="1" applyAlignment="1">
      <alignment horizontal="center" vertical="center" wrapText="1"/>
    </xf>
    <xf numFmtId="0" fontId="118" fillId="62" borderId="1" xfId="0" applyFont="1" applyFill="1" applyBorder="1" applyAlignment="1">
      <alignment horizontal="center" vertical="center" wrapText="1"/>
    </xf>
    <xf numFmtId="16" fontId="2" fillId="0" borderId="28" xfId="0" applyNumberFormat="1" applyFont="1" applyFill="1" applyBorder="1" applyAlignment="1">
      <alignment horizontal="center" vertical="center"/>
    </xf>
    <xf numFmtId="16" fontId="2" fillId="62" borderId="1" xfId="0" applyNumberFormat="1" applyFont="1" applyFill="1" applyBorder="1" applyAlignment="1">
      <alignment horizontal="center" vertical="center" wrapText="1"/>
    </xf>
    <xf numFmtId="16" fontId="7" fillId="62" borderId="1" xfId="0" applyNumberFormat="1" applyFont="1" applyFill="1" applyBorder="1" applyAlignment="1">
      <alignment horizontal="center" vertical="center" wrapText="1"/>
    </xf>
    <xf numFmtId="16" fontId="129" fillId="0" borderId="1" xfId="0" applyNumberFormat="1" applyFont="1" applyFill="1" applyBorder="1" applyAlignment="1">
      <alignment horizontal="center" vertical="center" wrapText="1"/>
    </xf>
    <xf numFmtId="20" fontId="118" fillId="0" borderId="2" xfId="0" applyNumberFormat="1" applyFont="1" applyFill="1" applyBorder="1" applyAlignment="1">
      <alignment horizontal="center" vertical="center" wrapText="1"/>
    </xf>
    <xf numFmtId="2" fontId="127" fillId="64" borderId="28" xfId="0" applyNumberFormat="1" applyFont="1" applyFill="1" applyBorder="1" applyAlignment="1">
      <alignment horizontal="center" vertical="center" wrapText="1"/>
    </xf>
    <xf numFmtId="16" fontId="130" fillId="48" borderId="30" xfId="0" applyNumberFormat="1" applyFont="1" applyFill="1" applyBorder="1" applyAlignment="1">
      <alignment horizontal="center" vertical="center" wrapText="1"/>
    </xf>
    <xf numFmtId="16" fontId="130" fillId="48" borderId="28" xfId="0" applyNumberFormat="1" applyFont="1" applyFill="1" applyBorder="1" applyAlignment="1">
      <alignment horizontal="center" vertical="center" wrapText="1"/>
    </xf>
    <xf numFmtId="2" fontId="131" fillId="48" borderId="28" xfId="0" applyNumberFormat="1" applyFont="1" applyFill="1" applyBorder="1" applyAlignment="1">
      <alignment horizontal="center" vertical="center" wrapText="1"/>
    </xf>
    <xf numFmtId="16" fontId="7" fillId="48" borderId="28" xfId="0" applyNumberFormat="1" applyFont="1" applyFill="1" applyBorder="1" applyAlignment="1">
      <alignment horizontal="center" vertical="center" wrapText="1"/>
    </xf>
    <xf numFmtId="16" fontId="130" fillId="48" borderId="1" xfId="0" applyNumberFormat="1" applyFont="1" applyFill="1" applyBorder="1" applyAlignment="1">
      <alignment horizontal="center" vertical="center" wrapText="1"/>
    </xf>
    <xf numFmtId="0" fontId="131" fillId="48" borderId="1" xfId="0" applyFont="1" applyFill="1" applyBorder="1" applyAlignment="1">
      <alignment horizontal="center" vertical="center" wrapText="1"/>
    </xf>
    <xf numFmtId="16" fontId="131" fillId="48" borderId="1" xfId="0" applyNumberFormat="1" applyFont="1" applyFill="1" applyBorder="1" applyAlignment="1">
      <alignment horizontal="center" vertical="center" wrapText="1"/>
    </xf>
    <xf numFmtId="2" fontId="131" fillId="48" borderId="1" xfId="0" applyNumberFormat="1" applyFont="1" applyFill="1" applyBorder="1" applyAlignment="1">
      <alignment horizontal="center" vertical="center" wrapText="1"/>
    </xf>
    <xf numFmtId="16" fontId="130" fillId="62" borderId="1" xfId="0" applyNumberFormat="1" applyFont="1" applyFill="1" applyBorder="1" applyAlignment="1">
      <alignment horizontal="center" vertical="center" wrapText="1"/>
    </xf>
    <xf numFmtId="0" fontId="131" fillId="62" borderId="1" xfId="0" applyFont="1" applyFill="1" applyBorder="1" applyAlignment="1">
      <alignment horizontal="center" vertical="center" wrapText="1"/>
    </xf>
    <xf numFmtId="16" fontId="131" fillId="62" borderId="1" xfId="0" applyNumberFormat="1" applyFont="1" applyFill="1" applyBorder="1" applyAlignment="1">
      <alignment horizontal="center" vertical="center" wrapText="1"/>
    </xf>
    <xf numFmtId="0" fontId="131" fillId="48" borderId="28" xfId="0" applyFont="1" applyFill="1" applyBorder="1" applyAlignment="1">
      <alignment horizontal="center" vertical="center" wrapText="1"/>
    </xf>
    <xf numFmtId="16" fontId="131" fillId="48" borderId="28" xfId="0" applyNumberFormat="1" applyFont="1" applyFill="1" applyBorder="1" applyAlignment="1">
      <alignment horizontal="center" vertical="center" wrapText="1"/>
    </xf>
    <xf numFmtId="16" fontId="123" fillId="0" borderId="4" xfId="0" applyNumberFormat="1" applyFont="1" applyFill="1" applyBorder="1" applyAlignment="1">
      <alignment horizontal="center" vertical="center" wrapText="1"/>
    </xf>
    <xf numFmtId="16" fontId="123" fillId="0" borderId="9" xfId="0" applyNumberFormat="1" applyFont="1" applyFill="1" applyBorder="1" applyAlignment="1">
      <alignment horizontal="center" vertical="center" wrapText="1"/>
    </xf>
    <xf numFmtId="16" fontId="126" fillId="53" borderId="1" xfId="0" applyNumberFormat="1" applyFont="1" applyFill="1" applyBorder="1" applyAlignment="1">
      <alignment horizontal="center" vertical="center" wrapText="1"/>
    </xf>
    <xf numFmtId="0" fontId="7" fillId="48" borderId="2" xfId="1" applyFont="1" applyFill="1" applyBorder="1" applyAlignment="1">
      <alignment horizontal="center" vertical="center" wrapText="1"/>
    </xf>
    <xf numFmtId="0" fontId="124" fillId="0" borderId="2" xfId="0" applyFont="1" applyFill="1" applyBorder="1" applyAlignment="1">
      <alignment horizontal="center" vertical="center" wrapText="1"/>
    </xf>
    <xf numFmtId="0" fontId="127" fillId="53" borderId="1" xfId="0" applyFont="1" applyFill="1" applyBorder="1" applyAlignment="1">
      <alignment horizontal="center" vertical="center" wrapText="1"/>
    </xf>
    <xf numFmtId="16" fontId="123" fillId="0" borderId="2" xfId="0" applyNumberFormat="1" applyFont="1" applyFill="1" applyBorder="1" applyAlignment="1">
      <alignment horizontal="center" vertical="center" wrapText="1"/>
    </xf>
    <xf numFmtId="16" fontId="124" fillId="48" borderId="2" xfId="0" applyNumberFormat="1" applyFont="1" applyFill="1" applyBorder="1" applyAlignment="1">
      <alignment horizontal="center" vertical="center" wrapText="1"/>
    </xf>
    <xf numFmtId="16" fontId="124" fillId="0" borderId="2" xfId="0" applyNumberFormat="1" applyFont="1" applyFill="1" applyBorder="1" applyAlignment="1">
      <alignment horizontal="center" vertical="center" wrapText="1"/>
    </xf>
    <xf numFmtId="16" fontId="127" fillId="53" borderId="1" xfId="0" applyNumberFormat="1" applyFont="1" applyFill="1" applyBorder="1" applyAlignment="1">
      <alignment horizontal="center" vertical="center" wrapText="1"/>
    </xf>
    <xf numFmtId="16" fontId="129" fillId="0" borderId="28" xfId="0" applyNumberFormat="1" applyFont="1" applyFill="1" applyBorder="1" applyAlignment="1">
      <alignment horizontal="center" vertical="center" wrapText="1"/>
    </xf>
    <xf numFmtId="2" fontId="7" fillId="53" borderId="28" xfId="0" applyNumberFormat="1" applyFont="1" applyFill="1" applyBorder="1" applyAlignment="1">
      <alignment horizontal="center" vertical="center" wrapText="1"/>
    </xf>
    <xf numFmtId="2" fontId="124" fillId="0" borderId="2" xfId="0" applyNumberFormat="1" applyFont="1" applyFill="1" applyBorder="1" applyAlignment="1">
      <alignment horizontal="center" vertical="center" wrapText="1"/>
    </xf>
    <xf numFmtId="2" fontId="129" fillId="51" borderId="1" xfId="0" applyNumberFormat="1" applyFont="1" applyFill="1" applyBorder="1" applyAlignment="1">
      <alignment horizontal="center" vertical="center" wrapText="1"/>
    </xf>
    <xf numFmtId="16" fontId="118" fillId="21" borderId="28" xfId="0" applyNumberFormat="1" applyFont="1" applyFill="1" applyBorder="1" applyAlignment="1">
      <alignment horizontal="center" vertical="center" wrapText="1"/>
    </xf>
    <xf numFmtId="16" fontId="126" fillId="48" borderId="1" xfId="0" applyNumberFormat="1" applyFont="1" applyFill="1" applyBorder="1" applyAlignment="1">
      <alignment horizontal="center" vertical="center" wrapText="1"/>
    </xf>
    <xf numFmtId="16" fontId="128" fillId="53" borderId="1" xfId="0" applyNumberFormat="1" applyFont="1" applyFill="1" applyBorder="1" applyAlignment="1">
      <alignment horizontal="center" vertical="center" wrapText="1"/>
    </xf>
    <xf numFmtId="0" fontId="127" fillId="48" borderId="1" xfId="0" applyFont="1" applyFill="1" applyBorder="1" applyAlignment="1">
      <alignment horizontal="center" vertical="center" wrapText="1"/>
    </xf>
    <xf numFmtId="0" fontId="129" fillId="48" borderId="2" xfId="0" applyFont="1" applyFill="1" applyBorder="1" applyAlignment="1">
      <alignment horizontal="center" vertical="center" wrapText="1"/>
    </xf>
    <xf numFmtId="0" fontId="129" fillId="53" borderId="1" xfId="0" applyFont="1" applyFill="1" applyBorder="1" applyAlignment="1">
      <alignment horizontal="center" vertical="center" wrapText="1"/>
    </xf>
    <xf numFmtId="16" fontId="128" fillId="48" borderId="2" xfId="0" applyNumberFormat="1" applyFont="1" applyFill="1" applyBorder="1" applyAlignment="1">
      <alignment horizontal="center" vertical="center" wrapText="1"/>
    </xf>
    <xf numFmtId="16" fontId="127" fillId="63" borderId="1" xfId="0" applyNumberFormat="1" applyFont="1" applyFill="1" applyBorder="1" applyAlignment="1">
      <alignment horizontal="center" vertical="center" wrapText="1"/>
    </xf>
    <xf numFmtId="16" fontId="129" fillId="48" borderId="2" xfId="0" applyNumberFormat="1" applyFont="1" applyFill="1" applyBorder="1" applyAlignment="1">
      <alignment horizontal="center" vertical="center" wrapText="1"/>
    </xf>
    <xf numFmtId="16" fontId="129" fillId="53" borderId="1" xfId="0" applyNumberFormat="1" applyFont="1" applyFill="1" applyBorder="1" applyAlignment="1">
      <alignment horizontal="center" vertical="center" wrapText="1"/>
    </xf>
    <xf numFmtId="2" fontId="124" fillId="51" borderId="1" xfId="0" applyNumberFormat="1" applyFont="1" applyFill="1" applyBorder="1" applyAlignment="1">
      <alignment horizontal="center" vertical="center" wrapText="1"/>
    </xf>
    <xf numFmtId="2" fontId="127" fillId="57" borderId="1" xfId="0" applyNumberFormat="1" applyFont="1" applyFill="1" applyBorder="1" applyAlignment="1">
      <alignment horizontal="center" vertical="center" wrapText="1"/>
    </xf>
    <xf numFmtId="2" fontId="129" fillId="57" borderId="1" xfId="0" applyNumberFormat="1" applyFont="1" applyFill="1" applyBorder="1" applyAlignment="1">
      <alignment horizontal="center" vertical="center" wrapText="1"/>
    </xf>
    <xf numFmtId="20" fontId="7" fillId="56" borderId="2" xfId="0" applyNumberFormat="1" applyFont="1" applyFill="1" applyBorder="1" applyAlignment="1">
      <alignment horizontal="center" vertical="center" wrapText="1"/>
    </xf>
    <xf numFmtId="1" fontId="4" fillId="0" borderId="1" xfId="1" applyNumberFormat="1" applyFont="1" applyFill="1" applyBorder="1" applyAlignment="1" applyProtection="1">
      <alignment horizontal="center" vertical="center" wrapText="1"/>
    </xf>
    <xf numFmtId="0" fontId="4" fillId="65" borderId="1" xfId="1" applyFont="1" applyFill="1" applyBorder="1" applyAlignment="1" applyProtection="1">
      <alignment horizontal="center" vertical="center" wrapText="1"/>
    </xf>
    <xf numFmtId="16" fontId="7" fillId="48" borderId="28" xfId="0" applyNumberFormat="1" applyFont="1" applyFill="1" applyBorder="1" applyAlignment="1">
      <alignment horizontal="center" vertical="center" wrapText="1"/>
    </xf>
    <xf numFmtId="16" fontId="130" fillId="63" borderId="28" xfId="0" applyNumberFormat="1" applyFont="1" applyFill="1" applyBorder="1" applyAlignment="1">
      <alignment horizontal="center" vertical="center" wrapText="1"/>
    </xf>
    <xf numFmtId="16" fontId="131" fillId="63" borderId="28" xfId="0" applyNumberFormat="1" applyFont="1" applyFill="1" applyBorder="1" applyAlignment="1">
      <alignment horizontal="center" vertical="center" wrapText="1"/>
    </xf>
    <xf numFmtId="2" fontId="131" fillId="63" borderId="28" xfId="0" applyNumberFormat="1" applyFont="1" applyFill="1" applyBorder="1" applyAlignment="1">
      <alignment horizontal="center" vertical="center" wrapText="1"/>
    </xf>
    <xf numFmtId="16" fontId="130" fillId="62" borderId="30" xfId="0" applyNumberFormat="1" applyFont="1" applyFill="1" applyBorder="1" applyAlignment="1">
      <alignment horizontal="center" vertical="center" wrapText="1"/>
    </xf>
    <xf numFmtId="16" fontId="130" fillId="66" borderId="30" xfId="0" applyNumberFormat="1" applyFont="1" applyFill="1" applyBorder="1" applyAlignment="1">
      <alignment horizontal="center" vertical="center" wrapText="1"/>
    </xf>
    <xf numFmtId="0" fontId="131" fillId="66" borderId="28" xfId="0" applyFont="1" applyFill="1" applyBorder="1" applyAlignment="1">
      <alignment horizontal="center" vertical="center" wrapText="1"/>
    </xf>
    <xf numFmtId="0" fontId="7" fillId="55" borderId="1" xfId="0" applyFont="1" applyFill="1" applyBorder="1" applyAlignment="1">
      <alignment horizontal="center" vertical="center" wrapText="1"/>
    </xf>
    <xf numFmtId="16" fontId="130" fillId="66" borderId="28" xfId="0" applyNumberFormat="1" applyFont="1" applyFill="1" applyBorder="1" applyAlignment="1">
      <alignment horizontal="center" vertical="center" wrapText="1"/>
    </xf>
    <xf numFmtId="16" fontId="7" fillId="66" borderId="28" xfId="0" applyNumberFormat="1" applyFont="1" applyFill="1" applyBorder="1" applyAlignment="1">
      <alignment horizontal="center" vertical="center" wrapText="1"/>
    </xf>
    <xf numFmtId="20" fontId="7" fillId="55" borderId="1" xfId="0" applyNumberFormat="1" applyFont="1" applyFill="1" applyBorder="1" applyAlignment="1">
      <alignment horizontal="center" vertical="center" wrapText="1"/>
    </xf>
    <xf numFmtId="2" fontId="131" fillId="66" borderId="28" xfId="0" applyNumberFormat="1" applyFont="1" applyFill="1" applyBorder="1" applyAlignment="1">
      <alignment horizontal="center" vertical="center" wrapText="1"/>
    </xf>
    <xf numFmtId="0" fontId="7" fillId="66" borderId="28" xfId="0" applyFont="1" applyFill="1" applyBorder="1" applyAlignment="1">
      <alignment horizontal="center" vertical="center" wrapText="1"/>
    </xf>
    <xf numFmtId="0" fontId="7" fillId="66" borderId="1" xfId="0" applyFont="1" applyFill="1" applyBorder="1" applyAlignment="1">
      <alignment horizontal="center" vertical="center" wrapText="1"/>
    </xf>
    <xf numFmtId="20" fontId="7" fillId="66" borderId="1" xfId="0" applyNumberFormat="1" applyFont="1" applyFill="1" applyBorder="1" applyAlignment="1">
      <alignment horizontal="center" vertical="center" wrapText="1"/>
    </xf>
    <xf numFmtId="0" fontId="7" fillId="68" borderId="1" xfId="0" applyFont="1" applyFill="1" applyBorder="1" applyAlignment="1">
      <alignment horizontal="center" vertical="center" wrapText="1"/>
    </xf>
    <xf numFmtId="20" fontId="7" fillId="67" borderId="1" xfId="0" applyNumberFormat="1" applyFont="1" applyFill="1" applyBorder="1" applyAlignment="1">
      <alignment horizontal="center" vertical="center" wrapText="1"/>
    </xf>
    <xf numFmtId="0" fontId="7" fillId="67" borderId="1" xfId="0" applyFont="1" applyFill="1" applyBorder="1" applyAlignment="1">
      <alignment horizontal="center" vertical="center" wrapText="1"/>
    </xf>
    <xf numFmtId="16" fontId="2" fillId="67" borderId="1" xfId="0" applyNumberFormat="1" applyFont="1" applyFill="1" applyBorder="1" applyAlignment="1">
      <alignment horizontal="center" vertical="center" wrapText="1"/>
    </xf>
    <xf numFmtId="16" fontId="128" fillId="66" borderId="30" xfId="0" applyNumberFormat="1" applyFont="1" applyFill="1" applyBorder="1" applyAlignment="1">
      <alignment horizontal="center" vertical="center" wrapText="1"/>
    </xf>
    <xf numFmtId="16" fontId="128" fillId="66" borderId="28" xfId="0" applyNumberFormat="1" applyFont="1" applyFill="1" applyBorder="1" applyAlignment="1">
      <alignment horizontal="center" vertical="center" wrapText="1"/>
    </xf>
    <xf numFmtId="16" fontId="7" fillId="67" borderId="1" xfId="0" applyNumberFormat="1" applyFont="1" applyFill="1" applyBorder="1" applyAlignment="1">
      <alignment horizontal="center" vertical="center" wrapText="1"/>
    </xf>
    <xf numFmtId="16" fontId="129" fillId="66" borderId="28" xfId="0" applyNumberFormat="1" applyFont="1" applyFill="1" applyBorder="1" applyAlignment="1">
      <alignment horizontal="center" vertical="center" wrapText="1"/>
    </xf>
    <xf numFmtId="20" fontId="131" fillId="63" borderId="1" xfId="0" applyNumberFormat="1" applyFont="1" applyFill="1" applyBorder="1" applyAlignment="1">
      <alignment horizontal="center" vertical="center" wrapText="1"/>
    </xf>
    <xf numFmtId="2" fontId="7" fillId="67" borderId="1" xfId="0" applyNumberFormat="1" applyFont="1" applyFill="1" applyBorder="1" applyAlignment="1">
      <alignment horizontal="center" vertical="center" wrapText="1"/>
    </xf>
    <xf numFmtId="2" fontId="129" fillId="66" borderId="28" xfId="0" applyNumberFormat="1" applyFont="1" applyFill="1" applyBorder="1" applyAlignment="1">
      <alignment horizontal="center" vertical="center" wrapText="1"/>
    </xf>
    <xf numFmtId="16" fontId="130" fillId="48" borderId="30" xfId="0" applyNumberFormat="1" applyFont="1" applyFill="1" applyBorder="1" applyAlignment="1">
      <alignment horizontal="center" vertical="center" wrapText="1"/>
    </xf>
    <xf numFmtId="16" fontId="130" fillId="48" borderId="28" xfId="0" applyNumberFormat="1" applyFont="1" applyFill="1" applyBorder="1" applyAlignment="1">
      <alignment horizontal="center" vertical="center" wrapText="1"/>
    </xf>
    <xf numFmtId="16" fontId="131" fillId="48" borderId="28" xfId="0" applyNumberFormat="1" applyFont="1" applyFill="1" applyBorder="1" applyAlignment="1">
      <alignment horizontal="center" vertical="center" wrapText="1"/>
    </xf>
    <xf numFmtId="20" fontId="104" fillId="0" borderId="1" xfId="0" applyNumberFormat="1" applyFont="1" applyFill="1" applyBorder="1" applyAlignment="1">
      <alignment horizontal="center" vertical="center" wrapText="1"/>
    </xf>
    <xf numFmtId="16" fontId="130" fillId="0" borderId="30" xfId="0" applyNumberFormat="1" applyFont="1" applyFill="1" applyBorder="1" applyAlignment="1">
      <alignment horizontal="center" vertical="center" wrapText="1"/>
    </xf>
    <xf numFmtId="16" fontId="130" fillId="14" borderId="28" xfId="0" applyNumberFormat="1" applyFont="1" applyFill="1" applyBorder="1" applyAlignment="1">
      <alignment horizontal="center" vertical="center" wrapText="1"/>
    </xf>
    <xf numFmtId="16" fontId="7" fillId="14" borderId="28" xfId="0" applyNumberFormat="1" applyFont="1" applyFill="1" applyBorder="1" applyAlignment="1">
      <alignment horizontal="center" vertical="center" wrapText="1"/>
    </xf>
    <xf numFmtId="2" fontId="131" fillId="14" borderId="28" xfId="0" applyNumberFormat="1" applyFont="1" applyFill="1" applyBorder="1" applyAlignment="1">
      <alignment horizontal="center" vertical="center" wrapText="1"/>
    </xf>
    <xf numFmtId="16" fontId="130" fillId="48" borderId="30" xfId="0" applyNumberFormat="1" applyFont="1" applyFill="1" applyBorder="1" applyAlignment="1">
      <alignment horizontal="center" vertical="center" wrapText="1"/>
    </xf>
    <xf numFmtId="16" fontId="130" fillId="48" borderId="28" xfId="0" applyNumberFormat="1" applyFont="1" applyFill="1" applyBorder="1" applyAlignment="1">
      <alignment horizontal="center" vertical="center" wrapText="1"/>
    </xf>
    <xf numFmtId="16" fontId="131" fillId="48" borderId="28" xfId="0" applyNumberFormat="1" applyFont="1" applyFill="1" applyBorder="1" applyAlignment="1">
      <alignment horizontal="center" vertical="center" wrapText="1"/>
    </xf>
    <xf numFmtId="2" fontId="131" fillId="58" borderId="28" xfId="0" applyNumberFormat="1" applyFont="1" applyFill="1" applyBorder="1" applyAlignment="1">
      <alignment horizontal="center" vertical="center" wrapText="1"/>
    </xf>
    <xf numFmtId="0" fontId="7" fillId="58" borderId="1" xfId="0" applyFont="1" applyFill="1" applyBorder="1" applyAlignment="1">
      <alignment horizontal="center" vertical="center" wrapText="1"/>
    </xf>
    <xf numFmtId="16" fontId="132" fillId="48" borderId="30" xfId="0" applyNumberFormat="1" applyFont="1" applyFill="1" applyBorder="1" applyAlignment="1">
      <alignment horizontal="center" vertical="center" wrapText="1"/>
    </xf>
    <xf numFmtId="16" fontId="132" fillId="48" borderId="28" xfId="0" applyNumberFormat="1" applyFont="1" applyFill="1" applyBorder="1" applyAlignment="1">
      <alignment horizontal="center" vertical="center" wrapText="1"/>
    </xf>
    <xf numFmtId="16" fontId="133" fillId="48" borderId="28" xfId="0" applyNumberFormat="1" applyFont="1" applyFill="1" applyBorder="1" applyAlignment="1">
      <alignment horizontal="center" vertical="center" wrapText="1"/>
    </xf>
    <xf numFmtId="2" fontId="133" fillId="58" borderId="28" xfId="0" applyNumberFormat="1" applyFont="1" applyFill="1" applyBorder="1" applyAlignment="1">
      <alignment horizontal="center" vertical="center" wrapText="1"/>
    </xf>
    <xf numFmtId="0" fontId="133" fillId="48" borderId="28" xfId="0" applyFont="1" applyFill="1" applyBorder="1" applyAlignment="1">
      <alignment horizontal="center" vertical="center" wrapText="1"/>
    </xf>
    <xf numFmtId="2" fontId="133" fillId="48" borderId="28" xfId="0" applyNumberFormat="1" applyFont="1" applyFill="1" applyBorder="1" applyAlignment="1">
      <alignment horizontal="center" vertical="center" wrapText="1"/>
    </xf>
    <xf numFmtId="16" fontId="130" fillId="53" borderId="30" xfId="0" applyNumberFormat="1" applyFont="1" applyFill="1" applyBorder="1" applyAlignment="1">
      <alignment horizontal="center" vertical="center" wrapText="1"/>
    </xf>
    <xf numFmtId="2" fontId="129" fillId="53" borderId="28" xfId="0" applyNumberFormat="1" applyFont="1" applyFill="1" applyBorder="1" applyAlignment="1">
      <alignment horizontal="center" vertical="center" wrapText="1"/>
    </xf>
    <xf numFmtId="0" fontId="129" fillId="53" borderId="2" xfId="0" applyFont="1" applyFill="1" applyBorder="1" applyAlignment="1">
      <alignment horizontal="center" vertical="center" wrapText="1"/>
    </xf>
    <xf numFmtId="16" fontId="130" fillId="53" borderId="28" xfId="0" applyNumberFormat="1" applyFont="1" applyFill="1" applyBorder="1" applyAlignment="1">
      <alignment horizontal="center" vertical="center" wrapText="1"/>
    </xf>
    <xf numFmtId="16" fontId="128" fillId="53" borderId="2" xfId="0" applyNumberFormat="1" applyFont="1" applyFill="1" applyBorder="1" applyAlignment="1">
      <alignment horizontal="center" vertical="center" wrapText="1"/>
    </xf>
    <xf numFmtId="16" fontId="129" fillId="53" borderId="2" xfId="0" applyNumberFormat="1" applyFont="1" applyFill="1" applyBorder="1" applyAlignment="1">
      <alignment horizontal="center" vertical="center" wrapText="1"/>
    </xf>
    <xf numFmtId="2" fontId="131" fillId="53" borderId="28" xfId="0" applyNumberFormat="1" applyFont="1" applyFill="1" applyBorder="1" applyAlignment="1">
      <alignment horizontal="center" vertical="center" wrapText="1"/>
    </xf>
    <xf numFmtId="2" fontId="129" fillId="53" borderId="2" xfId="0" applyNumberFormat="1" applyFont="1" applyFill="1" applyBorder="1" applyAlignment="1">
      <alignment horizontal="center" vertical="center" wrapText="1"/>
    </xf>
    <xf numFmtId="16" fontId="107" fillId="0" borderId="30" xfId="0" applyNumberFormat="1" applyFont="1" applyFill="1" applyBorder="1" applyAlignment="1">
      <alignment horizontal="center" vertical="center" wrapText="1"/>
    </xf>
    <xf numFmtId="16" fontId="2" fillId="53" borderId="4" xfId="0" applyNumberFormat="1" applyFont="1" applyFill="1" applyBorder="1" applyAlignment="1">
      <alignment horizontal="center" vertical="center" wrapText="1"/>
    </xf>
    <xf numFmtId="0" fontId="118" fillId="0" borderId="1" xfId="0" applyFont="1" applyFill="1" applyBorder="1" applyAlignment="1">
      <alignment horizontal="center" vertical="center" wrapText="1"/>
    </xf>
    <xf numFmtId="16" fontId="103" fillId="0" borderId="28" xfId="0" applyNumberFormat="1" applyFont="1" applyFill="1" applyBorder="1" applyAlignment="1">
      <alignment horizontal="center" vertical="center" wrapText="1"/>
    </xf>
    <xf numFmtId="16" fontId="120" fillId="10" borderId="28" xfId="0" applyNumberFormat="1" applyFont="1" applyFill="1" applyBorder="1" applyAlignment="1">
      <alignment horizontal="center" vertical="center" wrapText="1"/>
    </xf>
    <xf numFmtId="0" fontId="82" fillId="0" borderId="28" xfId="0" applyFont="1" applyFill="1" applyBorder="1" applyAlignment="1">
      <alignment horizontal="center" vertical="center" wrapText="1"/>
    </xf>
    <xf numFmtId="16" fontId="118" fillId="0" borderId="1" xfId="0" applyNumberFormat="1" applyFont="1" applyFill="1" applyBorder="1" applyAlignment="1">
      <alignment horizontal="center" vertical="center" wrapText="1"/>
    </xf>
    <xf numFmtId="16" fontId="131" fillId="63" borderId="2" xfId="0" applyNumberFormat="1" applyFont="1" applyFill="1" applyBorder="1" applyAlignment="1">
      <alignment horizontal="center" vertical="center" wrapText="1"/>
    </xf>
    <xf numFmtId="2" fontId="104" fillId="0" borderId="28" xfId="0" applyNumberFormat="1" applyFont="1" applyFill="1" applyBorder="1" applyAlignment="1">
      <alignment horizontal="center" vertical="center" wrapText="1"/>
    </xf>
    <xf numFmtId="2" fontId="118" fillId="0" borderId="1" xfId="0" applyNumberFormat="1" applyFont="1" applyFill="1" applyBorder="1" applyAlignment="1">
      <alignment horizontal="center" vertical="center" wrapText="1"/>
    </xf>
    <xf numFmtId="0" fontId="7" fillId="66" borderId="3" xfId="0" applyFont="1" applyFill="1" applyBorder="1" applyAlignment="1">
      <alignment horizontal="center" vertical="center" wrapText="1"/>
    </xf>
    <xf numFmtId="0" fontId="7" fillId="14" borderId="3" xfId="0" applyFont="1" applyFill="1" applyBorder="1" applyAlignment="1">
      <alignment horizontal="center" vertical="center" wrapText="1"/>
    </xf>
    <xf numFmtId="20" fontId="7" fillId="0" borderId="3" xfId="0" applyNumberFormat="1" applyFont="1" applyFill="1" applyBorder="1" applyAlignment="1">
      <alignment horizontal="center" vertical="center" wrapText="1"/>
    </xf>
    <xf numFmtId="16" fontId="130" fillId="53" borderId="9" xfId="0" applyNumberFormat="1" applyFont="1" applyFill="1" applyBorder="1" applyAlignment="1">
      <alignment horizontal="center" vertical="center" wrapText="1"/>
    </xf>
    <xf numFmtId="16" fontId="132" fillId="48" borderId="1" xfId="0" applyNumberFormat="1" applyFont="1" applyFill="1" applyBorder="1" applyAlignment="1">
      <alignment horizontal="center" vertical="center" wrapText="1"/>
    </xf>
    <xf numFmtId="0" fontId="133" fillId="48" borderId="1" xfId="0" applyFont="1" applyFill="1" applyBorder="1" applyAlignment="1">
      <alignment horizontal="center" vertical="center" wrapText="1"/>
    </xf>
    <xf numFmtId="16" fontId="110" fillId="10" borderId="2" xfId="0" applyNumberFormat="1" applyFont="1" applyFill="1" applyBorder="1" applyAlignment="1">
      <alignment horizontal="center" vertical="center" wrapText="1"/>
    </xf>
    <xf numFmtId="16" fontId="133" fillId="48" borderId="1" xfId="0" applyNumberFormat="1" applyFont="1" applyFill="1" applyBorder="1" applyAlignment="1">
      <alignment horizontal="center" vertical="center" wrapText="1"/>
    </xf>
    <xf numFmtId="20" fontId="7" fillId="66" borderId="2" xfId="0" applyNumberFormat="1" applyFont="1" applyFill="1" applyBorder="1" applyAlignment="1">
      <alignment horizontal="center" vertical="center" wrapText="1"/>
    </xf>
    <xf numFmtId="2" fontId="111" fillId="10" borderId="2" xfId="0" applyNumberFormat="1" applyFont="1" applyFill="1" applyBorder="1" applyAlignment="1">
      <alignment horizontal="center" vertical="center" wrapText="1"/>
    </xf>
    <xf numFmtId="2" fontId="133" fillId="48" borderId="1" xfId="0" applyNumberFormat="1" applyFont="1" applyFill="1" applyBorder="1" applyAlignment="1">
      <alignment horizontal="center" vertical="center" wrapText="1"/>
    </xf>
    <xf numFmtId="2" fontId="7" fillId="58" borderId="1" xfId="0" applyNumberFormat="1" applyFont="1" applyFill="1" applyBorder="1" applyAlignment="1">
      <alignment horizontal="center" vertical="center" wrapText="1"/>
    </xf>
    <xf numFmtId="16" fontId="132" fillId="0" borderId="4" xfId="0" applyNumberFormat="1" applyFont="1" applyFill="1" applyBorder="1" applyAlignment="1">
      <alignment horizontal="center" vertical="center" wrapText="1"/>
    </xf>
    <xf numFmtId="0" fontId="133" fillId="0" borderId="1" xfId="0" applyFont="1" applyFill="1" applyBorder="1" applyAlignment="1">
      <alignment horizontal="center" vertical="center" wrapText="1"/>
    </xf>
    <xf numFmtId="16" fontId="132" fillId="48" borderId="4" xfId="0" applyNumberFormat="1" applyFont="1" applyFill="1" applyBorder="1" applyAlignment="1">
      <alignment horizontal="center" vertical="center" wrapText="1"/>
    </xf>
    <xf numFmtId="16" fontId="132" fillId="10" borderId="4" xfId="0" applyNumberFormat="1" applyFont="1" applyFill="1" applyBorder="1" applyAlignment="1">
      <alignment horizontal="center" vertical="center" wrapText="1"/>
    </xf>
    <xf numFmtId="0" fontId="133" fillId="10" borderId="1" xfId="0" applyFont="1" applyFill="1" applyBorder="1" applyAlignment="1">
      <alignment horizontal="center" vertical="center" wrapText="1"/>
    </xf>
    <xf numFmtId="0" fontId="133" fillId="53" borderId="1" xfId="0" applyFont="1" applyFill="1" applyBorder="1" applyAlignment="1">
      <alignment horizontal="center" vertical="center" wrapText="1"/>
    </xf>
    <xf numFmtId="2" fontId="7" fillId="14" borderId="1" xfId="0" applyNumberFormat="1" applyFont="1" applyFill="1" applyBorder="1" applyAlignment="1">
      <alignment horizontal="center" vertical="center" wrapText="1"/>
    </xf>
    <xf numFmtId="16" fontId="132" fillId="53" borderId="4" xfId="0" applyNumberFormat="1" applyFont="1" applyFill="1" applyBorder="1" applyAlignment="1">
      <alignment horizontal="center" vertical="center" wrapText="1"/>
    </xf>
    <xf numFmtId="2" fontId="7" fillId="49" borderId="1" xfId="0" applyNumberFormat="1" applyFont="1" applyFill="1" applyBorder="1" applyAlignment="1">
      <alignment horizontal="center" vertical="center" wrapText="1"/>
    </xf>
    <xf numFmtId="16" fontId="135" fillId="48" borderId="4" xfId="0" applyNumberFormat="1" applyFont="1" applyFill="1" applyBorder="1" applyAlignment="1">
      <alignment horizontal="center" vertical="center" wrapText="1"/>
    </xf>
    <xf numFmtId="0" fontId="136" fillId="48" borderId="1" xfId="0" applyFont="1" applyFill="1" applyBorder="1" applyAlignment="1">
      <alignment horizontal="center" vertical="center" wrapText="1"/>
    </xf>
    <xf numFmtId="16" fontId="134" fillId="48" borderId="4" xfId="0" applyNumberFormat="1" applyFont="1" applyFill="1" applyBorder="1" applyAlignment="1">
      <alignment horizontal="center" vertical="center" wrapText="1"/>
    </xf>
    <xf numFmtId="0" fontId="138" fillId="48" borderId="1" xfId="0" applyFont="1" applyFill="1" applyBorder="1" applyAlignment="1">
      <alignment horizontal="center" vertical="center" wrapText="1"/>
    </xf>
    <xf numFmtId="16" fontId="137" fillId="66" borderId="4" xfId="0" applyNumberFormat="1" applyFont="1" applyFill="1" applyBorder="1" applyAlignment="1">
      <alignment horizontal="center" vertical="center" wrapText="1"/>
    </xf>
    <xf numFmtId="16" fontId="2" fillId="55" borderId="1" xfId="0" applyNumberFormat="1" applyFont="1" applyFill="1" applyBorder="1" applyAlignment="1">
      <alignment horizontal="center" vertical="center" wrapText="1"/>
    </xf>
    <xf numFmtId="16" fontId="7" fillId="55" borderId="1" xfId="0" applyNumberFormat="1" applyFont="1" applyFill="1" applyBorder="1" applyAlignment="1">
      <alignment horizontal="center" vertical="center" wrapText="1"/>
    </xf>
    <xf numFmtId="2" fontId="7" fillId="55" borderId="1" xfId="0" applyNumberFormat="1" applyFont="1" applyFill="1" applyBorder="1" applyAlignment="1">
      <alignment horizontal="center" vertical="center" wrapText="1"/>
    </xf>
    <xf numFmtId="0" fontId="7" fillId="55" borderId="3" xfId="0" applyFont="1" applyFill="1" applyBorder="1" applyAlignment="1">
      <alignment horizontal="center" vertical="center" wrapText="1"/>
    </xf>
    <xf numFmtId="16" fontId="137" fillId="48" borderId="4" xfId="0" applyNumberFormat="1" applyFont="1" applyFill="1" applyBorder="1" applyAlignment="1">
      <alignment horizontal="center" vertical="center" wrapText="1"/>
    </xf>
    <xf numFmtId="0" fontId="140" fillId="48" borderId="1" xfId="0" applyFont="1" applyFill="1" applyBorder="1" applyAlignment="1">
      <alignment horizontal="center" vertical="center" wrapText="1"/>
    </xf>
    <xf numFmtId="0" fontId="7" fillId="0" borderId="1" xfId="0" quotePrefix="1" applyFont="1" applyFill="1" applyBorder="1" applyAlignment="1">
      <alignment horizontal="center" vertical="center" wrapText="1"/>
    </xf>
    <xf numFmtId="0" fontId="138" fillId="0" borderId="1" xfId="0" applyFont="1" applyFill="1" applyBorder="1" applyAlignment="1">
      <alignment horizontal="center" vertical="center" wrapText="1"/>
    </xf>
    <xf numFmtId="0" fontId="140" fillId="0" borderId="1" xfId="0" applyFont="1" applyFill="1" applyBorder="1" applyAlignment="1">
      <alignment horizontal="center" vertical="center" wrapText="1"/>
    </xf>
    <xf numFmtId="16" fontId="2" fillId="59" borderId="4" xfId="0" applyNumberFormat="1" applyFont="1" applyFill="1" applyBorder="1" applyAlignment="1">
      <alignment horizontal="center" vertical="center" wrapText="1"/>
    </xf>
    <xf numFmtId="16" fontId="2" fillId="59" borderId="1" xfId="0" applyNumberFormat="1" applyFont="1" applyFill="1" applyBorder="1" applyAlignment="1">
      <alignment horizontal="center" vertical="center" wrapText="1"/>
    </xf>
    <xf numFmtId="16" fontId="139" fillId="0" borderId="4" xfId="0" applyNumberFormat="1" applyFont="1" applyFill="1" applyBorder="1" applyAlignment="1">
      <alignment horizontal="center" vertical="center" wrapText="1"/>
    </xf>
    <xf numFmtId="16" fontId="139" fillId="48" borderId="4" xfId="0" applyNumberFormat="1" applyFont="1" applyFill="1" applyBorder="1" applyAlignment="1">
      <alignment horizontal="center" vertical="center" wrapText="1"/>
    </xf>
    <xf numFmtId="16" fontId="2" fillId="48" borderId="4" xfId="0" applyNumberFormat="1" applyFont="1" applyFill="1" applyBorder="1" applyAlignment="1">
      <alignment horizontal="center" vertical="center" wrapText="1"/>
    </xf>
    <xf numFmtId="16" fontId="7" fillId="59" borderId="1" xfId="0" applyNumberFormat="1" applyFont="1" applyFill="1" applyBorder="1" applyAlignment="1">
      <alignment horizontal="center" vertical="center" wrapText="1"/>
    </xf>
    <xf numFmtId="16" fontId="139" fillId="59" borderId="4" xfId="0" applyNumberFormat="1" applyFont="1" applyFill="1" applyBorder="1" applyAlignment="1">
      <alignment horizontal="center" vertical="center" wrapText="1"/>
    </xf>
    <xf numFmtId="16" fontId="2" fillId="62" borderId="4" xfId="0" applyNumberFormat="1" applyFont="1" applyFill="1" applyBorder="1" applyAlignment="1">
      <alignment horizontal="center" vertical="center" wrapText="1"/>
    </xf>
    <xf numFmtId="0" fontId="52" fillId="0" borderId="1" xfId="0" applyFont="1" applyFill="1" applyBorder="1" applyAlignment="1">
      <alignment horizontal="center" vertical="center" wrapText="1"/>
    </xf>
    <xf numFmtId="16" fontId="139" fillId="62" borderId="4" xfId="0" applyNumberFormat="1" applyFont="1" applyFill="1" applyBorder="1" applyAlignment="1">
      <alignment horizontal="center" vertical="center" wrapText="1"/>
    </xf>
    <xf numFmtId="0" fontId="140" fillId="62" borderId="1" xfId="0" applyFont="1" applyFill="1" applyBorder="1" applyAlignment="1">
      <alignment horizontal="center" vertical="center" wrapText="1"/>
    </xf>
    <xf numFmtId="16" fontId="141" fillId="0" borderId="4" xfId="0" applyNumberFormat="1" applyFont="1" applyFill="1" applyBorder="1" applyAlignment="1">
      <alignment horizontal="center" vertical="center" wrapText="1"/>
    </xf>
    <xf numFmtId="0" fontId="142" fillId="0" borderId="1" xfId="0" applyFont="1" applyFill="1" applyBorder="1" applyAlignment="1">
      <alignment horizontal="center" vertical="center" wrapText="1"/>
    </xf>
    <xf numFmtId="16" fontId="137" fillId="0" borderId="4" xfId="0" applyNumberFormat="1" applyFont="1" applyFill="1" applyBorder="1" applyAlignment="1">
      <alignment horizontal="center" vertical="center" wrapText="1"/>
    </xf>
    <xf numFmtId="16" fontId="141" fillId="48" borderId="4" xfId="0" applyNumberFormat="1" applyFont="1" applyFill="1" applyBorder="1" applyAlignment="1">
      <alignment horizontal="center" vertical="center" wrapText="1"/>
    </xf>
    <xf numFmtId="0" fontId="144" fillId="48" borderId="1" xfId="0" applyFont="1" applyFill="1" applyBorder="1" applyAlignment="1">
      <alignment horizontal="center" vertical="center" wrapText="1"/>
    </xf>
    <xf numFmtId="16" fontId="143" fillId="48" borderId="4" xfId="0" applyNumberFormat="1" applyFont="1" applyFill="1" applyBorder="1" applyAlignment="1">
      <alignment horizontal="center" vertical="center" wrapText="1"/>
    </xf>
    <xf numFmtId="16" fontId="143" fillId="0" borderId="4" xfId="0" applyNumberFormat="1" applyFont="1" applyFill="1" applyBorder="1" applyAlignment="1">
      <alignment horizontal="center" vertical="center" wrapText="1"/>
    </xf>
    <xf numFmtId="16" fontId="143" fillId="62" borderId="4" xfId="0" applyNumberFormat="1" applyFont="1" applyFill="1" applyBorder="1" applyAlignment="1">
      <alignment horizontal="center" vertical="center" wrapText="1"/>
    </xf>
    <xf numFmtId="0" fontId="144" fillId="62" borderId="1" xfId="0" applyFont="1" applyFill="1" applyBorder="1" applyAlignment="1">
      <alignment horizontal="center" vertical="center" wrapText="1"/>
    </xf>
    <xf numFmtId="16" fontId="143" fillId="53" borderId="4" xfId="0" applyNumberFormat="1" applyFont="1" applyFill="1" applyBorder="1" applyAlignment="1">
      <alignment horizontal="center" vertical="center" wrapText="1"/>
    </xf>
    <xf numFmtId="16" fontId="110" fillId="0" borderId="1" xfId="0" applyNumberFormat="1" applyFont="1" applyFill="1" applyBorder="1" applyAlignment="1">
      <alignment horizontal="center" vertical="center" wrapText="1"/>
    </xf>
    <xf numFmtId="16" fontId="144" fillId="0" borderId="1" xfId="0" applyNumberFormat="1" applyFont="1" applyFill="1" applyBorder="1" applyAlignment="1">
      <alignment horizontal="center" vertical="center" wrapText="1"/>
    </xf>
    <xf numFmtId="0" fontId="146" fillId="48" borderId="1" xfId="0" applyFont="1" applyFill="1" applyBorder="1" applyAlignment="1">
      <alignment horizontal="center" vertical="center" wrapText="1"/>
    </xf>
    <xf numFmtId="16" fontId="143" fillId="53" borderId="1" xfId="0" applyNumberFormat="1" applyFont="1" applyFill="1" applyBorder="1" applyAlignment="1">
      <alignment horizontal="center" vertical="center" wrapText="1"/>
    </xf>
    <xf numFmtId="2" fontId="7" fillId="12" borderId="1" xfId="0" applyNumberFormat="1" applyFont="1" applyFill="1" applyBorder="1" applyAlignment="1">
      <alignment horizontal="center" vertical="center" wrapText="1"/>
    </xf>
    <xf numFmtId="16" fontId="145" fillId="48" borderId="4" xfId="0" applyNumberFormat="1" applyFont="1" applyFill="1" applyBorder="1" applyAlignment="1">
      <alignment horizontal="center" vertical="center" wrapText="1"/>
    </xf>
    <xf numFmtId="16" fontId="145" fillId="0" borderId="4" xfId="0" applyNumberFormat="1" applyFont="1" applyFill="1" applyBorder="1" applyAlignment="1">
      <alignment horizontal="center" vertical="center" wrapText="1"/>
    </xf>
    <xf numFmtId="16" fontId="145" fillId="53" borderId="4" xfId="0" applyNumberFormat="1" applyFont="1" applyFill="1" applyBorder="1" applyAlignment="1">
      <alignment horizontal="center" vertical="center" wrapText="1"/>
    </xf>
    <xf numFmtId="2" fontId="7" fillId="10" borderId="1" xfId="0" applyNumberFormat="1" applyFont="1" applyFill="1" applyBorder="1" applyAlignment="1">
      <alignment horizontal="center" vertical="center" wrapText="1"/>
    </xf>
    <xf numFmtId="0" fontId="7" fillId="69" borderId="1" xfId="0" applyFont="1" applyFill="1" applyBorder="1" applyAlignment="1">
      <alignment horizontal="center" vertical="center" wrapText="1"/>
    </xf>
    <xf numFmtId="0" fontId="7" fillId="55" borderId="2" xfId="0" applyFont="1" applyFill="1" applyBorder="1" applyAlignment="1">
      <alignment horizontal="center" vertical="center" wrapText="1"/>
    </xf>
    <xf numFmtId="16" fontId="2" fillId="55" borderId="2" xfId="0" applyNumberFormat="1" applyFont="1" applyFill="1" applyBorder="1" applyAlignment="1">
      <alignment horizontal="center" vertical="center" wrapText="1"/>
    </xf>
    <xf numFmtId="16" fontId="7" fillId="55" borderId="2" xfId="0" applyNumberFormat="1" applyFont="1" applyFill="1" applyBorder="1" applyAlignment="1">
      <alignment horizontal="center" vertical="center" wrapText="1"/>
    </xf>
    <xf numFmtId="16" fontId="147" fillId="0" borderId="4" xfId="0" applyNumberFormat="1" applyFont="1" applyFill="1" applyBorder="1" applyAlignment="1">
      <alignment horizontal="center" vertical="center" wrapText="1"/>
    </xf>
    <xf numFmtId="16" fontId="135" fillId="0" borderId="9" xfId="0" applyNumberFormat="1" applyFont="1" applyFill="1" applyBorder="1" applyAlignment="1">
      <alignment horizontal="center" vertical="center" wrapText="1"/>
    </xf>
    <xf numFmtId="0" fontId="136" fillId="0" borderId="2" xfId="0" applyFont="1" applyFill="1" applyBorder="1" applyAlignment="1">
      <alignment horizontal="center" vertical="center" wrapText="1"/>
    </xf>
    <xf numFmtId="0" fontId="142" fillId="48" borderId="1" xfId="0" applyFont="1" applyFill="1" applyBorder="1" applyAlignment="1">
      <alignment horizontal="center" vertical="center" wrapText="1"/>
    </xf>
    <xf numFmtId="0" fontId="148" fillId="48" borderId="1" xfId="0" applyFont="1" applyFill="1" applyBorder="1" applyAlignment="1">
      <alignment horizontal="center" vertical="center" wrapText="1"/>
    </xf>
    <xf numFmtId="16" fontId="147" fillId="48" borderId="4" xfId="0" applyNumberFormat="1" applyFont="1" applyFill="1" applyBorder="1" applyAlignment="1">
      <alignment horizontal="center" vertical="center" wrapText="1"/>
    </xf>
    <xf numFmtId="16" fontId="147" fillId="53" borderId="4" xfId="0" applyNumberFormat="1" applyFont="1" applyFill="1" applyBorder="1" applyAlignment="1">
      <alignment horizontal="center" vertical="center" wrapText="1"/>
    </xf>
    <xf numFmtId="16" fontId="147" fillId="70" borderId="4" xfId="0" applyNumberFormat="1" applyFont="1" applyFill="1" applyBorder="1" applyAlignment="1">
      <alignment horizontal="center" vertical="center" wrapText="1"/>
    </xf>
    <xf numFmtId="0" fontId="7" fillId="71"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16" fontId="147" fillId="62" borderId="4" xfId="0" applyNumberFormat="1" applyFont="1" applyFill="1" applyBorder="1" applyAlignment="1">
      <alignment horizontal="center" vertical="center" wrapText="1"/>
    </xf>
    <xf numFmtId="0" fontId="7" fillId="60" borderId="1" xfId="0" applyFont="1" applyFill="1" applyBorder="1" applyAlignment="1">
      <alignment horizontal="center" vertical="center" wrapText="1"/>
    </xf>
    <xf numFmtId="0" fontId="138" fillId="66" borderId="1" xfId="0" applyFont="1" applyFill="1" applyBorder="1" applyAlignment="1">
      <alignment horizontal="center" vertical="center" wrapText="1"/>
    </xf>
    <xf numFmtId="0" fontId="146" fillId="53" borderId="1" xfId="0" applyFont="1" applyFill="1" applyBorder="1" applyAlignment="1">
      <alignment horizontal="center" vertical="center" wrapText="1"/>
    </xf>
    <xf numFmtId="16" fontId="147" fillId="48" borderId="4" xfId="0" applyNumberFormat="1" applyFont="1" applyFill="1" applyBorder="1" applyAlignment="1">
      <alignment horizontal="center" vertical="center" wrapText="1"/>
    </xf>
    <xf numFmtId="16" fontId="2" fillId="49" borderId="4" xfId="0" applyNumberFormat="1" applyFont="1" applyFill="1" applyBorder="1" applyAlignment="1">
      <alignment horizontal="center" vertical="center" wrapText="1"/>
    </xf>
    <xf numFmtId="16" fontId="2" fillId="49" borderId="1" xfId="0" applyNumberFormat="1" applyFont="1" applyFill="1" applyBorder="1" applyAlignment="1">
      <alignment horizontal="center" vertical="center" wrapText="1"/>
    </xf>
    <xf numFmtId="16" fontId="7" fillId="49" borderId="1" xfId="0" applyNumberFormat="1" applyFont="1" applyFill="1" applyBorder="1" applyAlignment="1">
      <alignment horizontal="center" vertical="center" wrapText="1"/>
    </xf>
    <xf numFmtId="20" fontId="7" fillId="49" borderId="1" xfId="0" applyNumberFormat="1" applyFont="1" applyFill="1" applyBorder="1" applyAlignment="1">
      <alignment horizontal="center" vertical="center" wrapText="1"/>
    </xf>
    <xf numFmtId="0" fontId="7" fillId="49" borderId="3" xfId="0" applyFont="1" applyFill="1" applyBorder="1" applyAlignment="1">
      <alignment horizontal="center" vertical="center" wrapText="1"/>
    </xf>
    <xf numFmtId="16" fontId="147" fillId="48" borderId="4" xfId="0" applyNumberFormat="1" applyFont="1" applyFill="1" applyBorder="1" applyAlignment="1">
      <alignment horizontal="center" vertical="center" wrapText="1"/>
    </xf>
    <xf numFmtId="16" fontId="143" fillId="48" borderId="9" xfId="0" applyNumberFormat="1" applyFont="1" applyFill="1" applyBorder="1" applyAlignment="1">
      <alignment horizontal="center" vertical="center" wrapText="1"/>
    </xf>
    <xf numFmtId="16" fontId="147" fillId="48" borderId="9" xfId="0" applyNumberFormat="1" applyFont="1" applyFill="1" applyBorder="1" applyAlignment="1">
      <alignment horizontal="center" vertical="center" wrapText="1"/>
    </xf>
    <xf numFmtId="0" fontId="133" fillId="48" borderId="4" xfId="0" applyFont="1" applyFill="1" applyBorder="1" applyAlignment="1">
      <alignment horizontal="center" vertical="center" wrapText="1"/>
    </xf>
    <xf numFmtId="0" fontId="7" fillId="70" borderId="2" xfId="0" applyFont="1" applyFill="1" applyBorder="1" applyAlignment="1">
      <alignment horizontal="center" vertical="center" wrapText="1"/>
    </xf>
    <xf numFmtId="16" fontId="110" fillId="0" borderId="2" xfId="0" applyNumberFormat="1" applyFont="1" applyFill="1" applyBorder="1" applyAlignment="1">
      <alignment horizontal="center" vertical="center" wrapText="1"/>
    </xf>
    <xf numFmtId="16" fontId="2" fillId="70" borderId="2" xfId="0" applyNumberFormat="1" applyFont="1" applyFill="1" applyBorder="1" applyAlignment="1">
      <alignment horizontal="center" vertical="center" wrapText="1"/>
    </xf>
    <xf numFmtId="0" fontId="7" fillId="55" borderId="8" xfId="0" applyFont="1" applyFill="1" applyBorder="1" applyAlignment="1">
      <alignment horizontal="center" vertical="center" wrapText="1"/>
    </xf>
    <xf numFmtId="16" fontId="147" fillId="48" borderId="4" xfId="0" applyNumberFormat="1" applyFont="1" applyFill="1" applyBorder="1" applyAlignment="1">
      <alignment horizontal="center" vertical="center" wrapText="1"/>
    </xf>
    <xf numFmtId="0" fontId="151" fillId="3" borderId="6" xfId="0" applyFont="1" applyFill="1" applyBorder="1" applyAlignment="1">
      <alignment horizontal="center" vertical="center" wrapText="1"/>
    </xf>
    <xf numFmtId="0" fontId="151" fillId="4" borderId="5" xfId="0" applyFont="1" applyFill="1" applyBorder="1" applyAlignment="1">
      <alignment horizontal="center" vertical="center" wrapText="1"/>
    </xf>
    <xf numFmtId="0" fontId="151" fillId="3" borderId="32" xfId="0" applyFont="1" applyFill="1" applyBorder="1" applyAlignment="1">
      <alignment horizontal="center" vertical="center" wrapText="1"/>
    </xf>
    <xf numFmtId="0" fontId="152" fillId="0" borderId="0" xfId="0" applyFont="1"/>
    <xf numFmtId="16" fontId="153" fillId="48" borderId="4" xfId="0" applyNumberFormat="1" applyFont="1" applyFill="1" applyBorder="1" applyAlignment="1">
      <alignment horizontal="center" vertical="center" wrapText="1"/>
    </xf>
    <xf numFmtId="0" fontId="154" fillId="48" borderId="1" xfId="0" applyFont="1" applyFill="1" applyBorder="1" applyAlignment="1">
      <alignment horizontal="center" vertical="center" wrapText="1"/>
    </xf>
    <xf numFmtId="0" fontId="154" fillId="0" borderId="1" xfId="0" applyFont="1" applyBorder="1" applyAlignment="1">
      <alignment horizontal="center" vertical="center" wrapText="1"/>
    </xf>
    <xf numFmtId="16" fontId="153" fillId="0" borderId="1" xfId="0" applyNumberFormat="1" applyFont="1" applyBorder="1" applyAlignment="1">
      <alignment horizontal="center" vertical="center" wrapText="1"/>
    </xf>
    <xf numFmtId="16" fontId="154" fillId="0" borderId="1" xfId="0" applyNumberFormat="1" applyFont="1" applyBorder="1" applyAlignment="1">
      <alignment horizontal="center" vertical="center" wrapText="1"/>
    </xf>
    <xf numFmtId="20" fontId="154" fillId="0" borderId="1" xfId="0" applyNumberFormat="1" applyFont="1" applyBorder="1" applyAlignment="1">
      <alignment horizontal="center" vertical="center" wrapText="1"/>
    </xf>
    <xf numFmtId="2" fontId="154" fillId="0" borderId="1" xfId="0" applyNumberFormat="1" applyFont="1" applyBorder="1" applyAlignment="1">
      <alignment horizontal="center" vertical="center" wrapText="1"/>
    </xf>
    <xf numFmtId="0" fontId="154" fillId="0" borderId="3" xfId="0" applyFont="1" applyBorder="1" applyAlignment="1">
      <alignment horizontal="center" vertical="center" wrapText="1"/>
    </xf>
    <xf numFmtId="0" fontId="154" fillId="0" borderId="6" xfId="0" applyFont="1" applyBorder="1" applyAlignment="1">
      <alignment horizontal="center" vertical="center" wrapText="1"/>
    </xf>
    <xf numFmtId="16" fontId="153" fillId="0" borderId="4" xfId="0" applyNumberFormat="1" applyFont="1" applyBorder="1" applyAlignment="1">
      <alignment horizontal="center" vertical="center" wrapText="1"/>
    </xf>
    <xf numFmtId="16" fontId="153" fillId="0" borderId="4" xfId="0" applyNumberFormat="1" applyFont="1" applyFill="1" applyBorder="1" applyAlignment="1">
      <alignment horizontal="center" vertical="center" wrapText="1"/>
    </xf>
    <xf numFmtId="0" fontId="154" fillId="0" borderId="1" xfId="0" applyFont="1" applyFill="1" applyBorder="1" applyAlignment="1">
      <alignment horizontal="center" vertical="center" wrapText="1"/>
    </xf>
    <xf numFmtId="16" fontId="153" fillId="0" borderId="1" xfId="0" applyNumberFormat="1" applyFont="1" applyFill="1" applyBorder="1" applyAlignment="1">
      <alignment horizontal="center" vertical="center" wrapText="1"/>
    </xf>
    <xf numFmtId="16" fontId="154" fillId="0" borderId="1" xfId="0" applyNumberFormat="1" applyFont="1" applyFill="1" applyBorder="1" applyAlignment="1">
      <alignment horizontal="center" vertical="center" wrapText="1"/>
    </xf>
    <xf numFmtId="20" fontId="154" fillId="0" borderId="1" xfId="0" applyNumberFormat="1" applyFont="1" applyFill="1" applyBorder="1" applyAlignment="1">
      <alignment horizontal="center" vertical="center" wrapText="1"/>
    </xf>
    <xf numFmtId="2" fontId="154" fillId="0" borderId="1" xfId="0" applyNumberFormat="1" applyFont="1" applyFill="1" applyBorder="1" applyAlignment="1">
      <alignment horizontal="center" vertical="center" wrapText="1"/>
    </xf>
    <xf numFmtId="2" fontId="154" fillId="72" borderId="1" xfId="0" applyNumberFormat="1" applyFont="1" applyFill="1" applyBorder="1" applyAlignment="1">
      <alignment horizontal="center" vertical="center" wrapText="1"/>
    </xf>
    <xf numFmtId="2" fontId="154" fillId="51" borderId="1" xfId="0" applyNumberFormat="1" applyFont="1" applyFill="1" applyBorder="1" applyAlignment="1">
      <alignment horizontal="center" vertical="center" wrapText="1"/>
    </xf>
    <xf numFmtId="0" fontId="154" fillId="51" borderId="1" xfId="0" applyFont="1" applyFill="1" applyBorder="1" applyAlignment="1">
      <alignment horizontal="center" vertical="center" wrapText="1"/>
    </xf>
    <xf numFmtId="16" fontId="153" fillId="53" borderId="4" xfId="0" applyNumberFormat="1" applyFont="1" applyFill="1" applyBorder="1" applyAlignment="1">
      <alignment horizontal="center" vertical="center" wrapText="1"/>
    </xf>
    <xf numFmtId="0" fontId="154" fillId="53" borderId="1" xfId="0" applyFont="1" applyFill="1" applyBorder="1" applyAlignment="1">
      <alignment horizontal="center" vertical="center" wrapText="1"/>
    </xf>
    <xf numFmtId="0" fontId="154" fillId="10" borderId="1" xfId="0" applyFont="1" applyFill="1" applyBorder="1" applyAlignment="1">
      <alignment horizontal="center" vertical="center" wrapText="1"/>
    </xf>
    <xf numFmtId="16" fontId="153" fillId="10" borderId="1" xfId="0" applyNumberFormat="1" applyFont="1" applyFill="1" applyBorder="1" applyAlignment="1">
      <alignment horizontal="center" vertical="center" wrapText="1"/>
    </xf>
    <xf numFmtId="16" fontId="154" fillId="10" borderId="1" xfId="0" applyNumberFormat="1" applyFont="1" applyFill="1" applyBorder="1" applyAlignment="1">
      <alignment horizontal="center" vertical="center" wrapText="1"/>
    </xf>
    <xf numFmtId="0" fontId="154" fillId="0" borderId="3" xfId="0" applyFont="1" applyFill="1" applyBorder="1" applyAlignment="1">
      <alignment horizontal="center" vertical="center" wrapText="1"/>
    </xf>
    <xf numFmtId="16" fontId="154" fillId="60" borderId="1" xfId="0" applyNumberFormat="1" applyFont="1" applyFill="1" applyBorder="1" applyAlignment="1">
      <alignment horizontal="center" vertical="center" wrapText="1"/>
    </xf>
    <xf numFmtId="0" fontId="154" fillId="21" borderId="1" xfId="0" applyFont="1" applyFill="1" applyBorder="1" applyAlignment="1">
      <alignment horizontal="center" vertical="center" wrapText="1"/>
    </xf>
    <xf numFmtId="0" fontId="154" fillId="0" borderId="1" xfId="0" quotePrefix="1" applyFont="1" applyFill="1" applyBorder="1" applyAlignment="1">
      <alignment horizontal="center" vertical="center" wrapText="1"/>
    </xf>
    <xf numFmtId="0" fontId="154" fillId="0" borderId="3" xfId="0" quotePrefix="1" applyFont="1" applyFill="1" applyBorder="1" applyAlignment="1">
      <alignment horizontal="center" vertical="center" wrapText="1"/>
    </xf>
    <xf numFmtId="0" fontId="154" fillId="0" borderId="1" xfId="1" applyFont="1" applyBorder="1" applyAlignment="1">
      <alignment horizontal="center" vertical="center" wrapText="1"/>
    </xf>
    <xf numFmtId="0" fontId="154" fillId="0" borderId="2" xfId="0" applyFont="1" applyFill="1" applyBorder="1" applyAlignment="1">
      <alignment horizontal="center" vertical="center" wrapText="1"/>
    </xf>
    <xf numFmtId="0" fontId="154" fillId="0" borderId="2" xfId="0" applyFont="1" applyBorder="1" applyAlignment="1">
      <alignment horizontal="center" vertical="center" wrapText="1"/>
    </xf>
    <xf numFmtId="0" fontId="152" fillId="0" borderId="0" xfId="0" applyFont="1" applyFill="1"/>
    <xf numFmtId="16" fontId="153" fillId="62" borderId="4" xfId="0" applyNumberFormat="1" applyFont="1" applyFill="1" applyBorder="1" applyAlignment="1">
      <alignment horizontal="center" vertical="center" wrapText="1"/>
    </xf>
    <xf numFmtId="0" fontId="154" fillId="62" borderId="1" xfId="0" applyFont="1" applyFill="1" applyBorder="1" applyAlignment="1">
      <alignment horizontal="center" vertical="center" wrapText="1"/>
    </xf>
    <xf numFmtId="0" fontId="154" fillId="14" borderId="1" xfId="0" applyFont="1" applyFill="1" applyBorder="1" applyAlignment="1">
      <alignment horizontal="center" vertical="center" wrapText="1"/>
    </xf>
    <xf numFmtId="16" fontId="153" fillId="59" borderId="1" xfId="0" applyNumberFormat="1" applyFont="1" applyFill="1" applyBorder="1" applyAlignment="1">
      <alignment horizontal="center" vertical="center" wrapText="1"/>
    </xf>
    <xf numFmtId="16" fontId="154" fillId="59" borderId="1" xfId="0" applyNumberFormat="1" applyFont="1" applyFill="1" applyBorder="1" applyAlignment="1">
      <alignment horizontal="center" vertical="center" wrapText="1"/>
    </xf>
    <xf numFmtId="20" fontId="154" fillId="59" borderId="1" xfId="0" applyNumberFormat="1" applyFont="1" applyFill="1" applyBorder="1" applyAlignment="1">
      <alignment horizontal="center" vertical="center" wrapText="1"/>
    </xf>
    <xf numFmtId="0" fontId="154" fillId="59" borderId="1" xfId="0" applyFont="1" applyFill="1" applyBorder="1" applyAlignment="1">
      <alignment horizontal="center" vertical="center" wrapText="1"/>
    </xf>
    <xf numFmtId="0" fontId="154" fillId="60" borderId="1" xfId="0" applyFont="1" applyFill="1" applyBorder="1" applyAlignment="1">
      <alignment horizontal="center" vertical="center" wrapText="1"/>
    </xf>
    <xf numFmtId="20" fontId="154" fillId="10" borderId="1" xfId="0" applyNumberFormat="1" applyFont="1" applyFill="1" applyBorder="1" applyAlignment="1">
      <alignment horizontal="center" vertical="center" wrapText="1"/>
    </xf>
    <xf numFmtId="2" fontId="154" fillId="10" borderId="1" xfId="0" applyNumberFormat="1" applyFont="1" applyFill="1" applyBorder="1" applyAlignment="1">
      <alignment horizontal="center" vertical="center" wrapText="1"/>
    </xf>
    <xf numFmtId="16" fontId="156" fillId="48" borderId="4" xfId="0" applyNumberFormat="1" applyFont="1" applyFill="1" applyBorder="1" applyAlignment="1">
      <alignment horizontal="center" vertical="center" wrapText="1"/>
    </xf>
    <xf numFmtId="16" fontId="156" fillId="0" borderId="1" xfId="0" applyNumberFormat="1" applyFont="1" applyFill="1" applyBorder="1" applyAlignment="1">
      <alignment horizontal="center" vertical="center" wrapText="1"/>
    </xf>
    <xf numFmtId="20" fontId="157" fillId="0" borderId="1" xfId="0" applyNumberFormat="1" applyFont="1" applyBorder="1" applyAlignment="1">
      <alignment horizontal="center" vertical="center" wrapText="1"/>
    </xf>
    <xf numFmtId="2" fontId="157" fillId="0" borderId="1" xfId="0" applyNumberFormat="1" applyFont="1" applyBorder="1" applyAlignment="1">
      <alignment horizontal="center" vertical="center" wrapText="1"/>
    </xf>
    <xf numFmtId="16" fontId="156" fillId="53" borderId="4" xfId="0" applyNumberFormat="1" applyFont="1" applyFill="1" applyBorder="1" applyAlignment="1">
      <alignment horizontal="center" vertical="center" wrapText="1"/>
    </xf>
    <xf numFmtId="16" fontId="156" fillId="10" borderId="1" xfId="0" applyNumberFormat="1" applyFont="1" applyFill="1" applyBorder="1" applyAlignment="1">
      <alignment horizontal="center" vertical="center" wrapText="1"/>
    </xf>
    <xf numFmtId="20" fontId="157" fillId="10" borderId="1" xfId="0" applyNumberFormat="1" applyFont="1" applyFill="1" applyBorder="1" applyAlignment="1">
      <alignment horizontal="center" vertical="center" wrapText="1"/>
    </xf>
    <xf numFmtId="16" fontId="156" fillId="0" borderId="1" xfId="0" applyNumberFormat="1" applyFont="1" applyBorder="1" applyAlignment="1">
      <alignment horizontal="center" vertical="center" wrapText="1"/>
    </xf>
    <xf numFmtId="0" fontId="154" fillId="49" borderId="1" xfId="0" applyFont="1" applyFill="1" applyBorder="1" applyAlignment="1">
      <alignment horizontal="center" vertical="center" wrapText="1"/>
    </xf>
    <xf numFmtId="0" fontId="154" fillId="55" borderId="1" xfId="0" applyFont="1" applyFill="1" applyBorder="1" applyAlignment="1">
      <alignment horizontal="center" vertical="center" wrapText="1"/>
    </xf>
    <xf numFmtId="16" fontId="156" fillId="55" borderId="1" xfId="0" applyNumberFormat="1" applyFont="1" applyFill="1" applyBorder="1" applyAlignment="1">
      <alignment horizontal="center" vertical="center" wrapText="1"/>
    </xf>
    <xf numFmtId="16" fontId="154" fillId="55" borderId="1" xfId="0" applyNumberFormat="1" applyFont="1" applyFill="1" applyBorder="1" applyAlignment="1">
      <alignment horizontal="center" vertical="center" wrapText="1"/>
    </xf>
    <xf numFmtId="2" fontId="157" fillId="55" borderId="1" xfId="0" applyNumberFormat="1" applyFont="1" applyFill="1" applyBorder="1" applyAlignment="1">
      <alignment horizontal="center" vertical="center" wrapText="1"/>
    </xf>
    <xf numFmtId="20" fontId="154" fillId="55" borderId="1" xfId="0" applyNumberFormat="1" applyFont="1" applyFill="1" applyBorder="1" applyAlignment="1">
      <alignment horizontal="center" vertical="center" wrapText="1"/>
    </xf>
    <xf numFmtId="0" fontId="154" fillId="55" borderId="3" xfId="0" applyFont="1" applyFill="1" applyBorder="1" applyAlignment="1">
      <alignment horizontal="center" vertical="center" wrapText="1"/>
    </xf>
    <xf numFmtId="2" fontId="154" fillId="55" borderId="1" xfId="0" applyNumberFormat="1" applyFont="1" applyFill="1" applyBorder="1" applyAlignment="1">
      <alignment horizontal="center" vertical="center" wrapText="1"/>
    </xf>
    <xf numFmtId="20" fontId="157" fillId="55" borderId="1" xfId="0" applyNumberFormat="1" applyFont="1" applyFill="1" applyBorder="1" applyAlignment="1">
      <alignment horizontal="center" vertical="center" wrapText="1"/>
    </xf>
    <xf numFmtId="0" fontId="154" fillId="48" borderId="28" xfId="0" applyFont="1" applyFill="1" applyBorder="1" applyAlignment="1">
      <alignment horizontal="center" vertical="center" wrapText="1"/>
    </xf>
    <xf numFmtId="16" fontId="158" fillId="48" borderId="4" xfId="0" applyNumberFormat="1" applyFont="1" applyFill="1" applyBorder="1" applyAlignment="1">
      <alignment horizontal="center" vertical="center" wrapText="1"/>
    </xf>
    <xf numFmtId="16" fontId="158" fillId="55" borderId="1" xfId="0" applyNumberFormat="1" applyFont="1" applyFill="1" applyBorder="1" applyAlignment="1">
      <alignment horizontal="center" vertical="center" wrapText="1"/>
    </xf>
    <xf numFmtId="2" fontId="159" fillId="55" borderId="1" xfId="0" applyNumberFormat="1" applyFont="1" applyFill="1" applyBorder="1" applyAlignment="1">
      <alignment horizontal="center" vertical="center" wrapText="1"/>
    </xf>
    <xf numFmtId="16" fontId="158" fillId="62" borderId="4" xfId="0" applyNumberFormat="1" applyFont="1" applyFill="1" applyBorder="1" applyAlignment="1">
      <alignment horizontal="center" vertical="center" wrapText="1"/>
    </xf>
    <xf numFmtId="16" fontId="158" fillId="59" borderId="1" xfId="0" applyNumberFormat="1" applyFont="1" applyFill="1" applyBorder="1" applyAlignment="1">
      <alignment horizontal="center" vertical="center" wrapText="1"/>
    </xf>
    <xf numFmtId="16" fontId="158" fillId="0" borderId="1" xfId="0" applyNumberFormat="1" applyFont="1" applyFill="1" applyBorder="1" applyAlignment="1">
      <alignment horizontal="center" vertical="center" wrapText="1"/>
    </xf>
    <xf numFmtId="20" fontId="159" fillId="0" borderId="1" xfId="0" applyNumberFormat="1" applyFont="1" applyFill="1" applyBorder="1" applyAlignment="1">
      <alignment horizontal="center" vertical="center" wrapText="1"/>
    </xf>
    <xf numFmtId="2" fontId="159" fillId="0" borderId="1" xfId="0" applyNumberFormat="1" applyFont="1" applyFill="1" applyBorder="1" applyAlignment="1">
      <alignment horizontal="center" vertical="center" wrapText="1"/>
    </xf>
    <xf numFmtId="16" fontId="158" fillId="10" borderId="1" xfId="0" applyNumberFormat="1" applyFont="1" applyFill="1" applyBorder="1" applyAlignment="1">
      <alignment horizontal="center" vertical="center" wrapText="1"/>
    </xf>
    <xf numFmtId="20" fontId="159" fillId="0" borderId="1" xfId="0" applyNumberFormat="1" applyFont="1" applyBorder="1" applyAlignment="1">
      <alignment horizontal="center" vertical="center" wrapText="1"/>
    </xf>
    <xf numFmtId="2" fontId="159" fillId="0" borderId="1" xfId="0" applyNumberFormat="1" applyFont="1" applyBorder="1" applyAlignment="1">
      <alignment horizontal="center" vertical="center" wrapText="1"/>
    </xf>
    <xf numFmtId="20" fontId="159" fillId="10" borderId="1" xfId="0" applyNumberFormat="1" applyFont="1" applyFill="1" applyBorder="1" applyAlignment="1">
      <alignment horizontal="center" vertical="center" wrapText="1"/>
    </xf>
    <xf numFmtId="16" fontId="158" fillId="0" borderId="1" xfId="0" applyNumberFormat="1" applyFont="1" applyBorder="1" applyAlignment="1">
      <alignment horizontal="center" vertical="center" wrapText="1"/>
    </xf>
    <xf numFmtId="20" fontId="159" fillId="55" borderId="1" xfId="0" applyNumberFormat="1" applyFont="1" applyFill="1" applyBorder="1" applyAlignment="1">
      <alignment horizontal="center" vertical="center" wrapText="1"/>
    </xf>
    <xf numFmtId="20" fontId="154" fillId="14" borderId="1" xfId="0" applyNumberFormat="1" applyFont="1" applyFill="1" applyBorder="1" applyAlignment="1">
      <alignment horizontal="center" vertical="center" wrapText="1"/>
    </xf>
    <xf numFmtId="0" fontId="154" fillId="68" borderId="1" xfId="0" applyFont="1" applyFill="1" applyBorder="1" applyAlignment="1">
      <alignment horizontal="center" vertical="center" wrapText="1"/>
    </xf>
    <xf numFmtId="20" fontId="159" fillId="59" borderId="1" xfId="0" applyNumberFormat="1" applyFont="1" applyFill="1" applyBorder="1" applyAlignment="1">
      <alignment horizontal="center" vertical="center" wrapText="1"/>
    </xf>
    <xf numFmtId="0" fontId="159" fillId="0" borderId="1" xfId="0" applyFont="1" applyBorder="1" applyAlignment="1">
      <alignment horizontal="center" vertical="center" wrapText="1"/>
    </xf>
    <xf numFmtId="16" fontId="154" fillId="14" borderId="1" xfId="0" applyNumberFormat="1" applyFont="1" applyFill="1" applyBorder="1" applyAlignment="1">
      <alignment horizontal="center" vertical="center" wrapText="1"/>
    </xf>
    <xf numFmtId="16" fontId="153" fillId="55" borderId="1" xfId="0" applyNumberFormat="1" applyFont="1" applyFill="1" applyBorder="1" applyAlignment="1">
      <alignment horizontal="center" vertical="center" wrapText="1"/>
    </xf>
    <xf numFmtId="16" fontId="160" fillId="59" borderId="1" xfId="0" applyNumberFormat="1" applyFont="1" applyFill="1" applyBorder="1" applyAlignment="1">
      <alignment horizontal="center" vertical="center" wrapText="1"/>
    </xf>
    <xf numFmtId="20" fontId="161" fillId="0" borderId="1" xfId="0" applyNumberFormat="1" applyFont="1" applyBorder="1" applyAlignment="1">
      <alignment horizontal="center" vertical="center" wrapText="1"/>
    </xf>
    <xf numFmtId="2" fontId="161" fillId="0" borderId="1" xfId="0" applyNumberFormat="1" applyFont="1" applyBorder="1" applyAlignment="1">
      <alignment horizontal="center" vertical="center" wrapText="1"/>
    </xf>
    <xf numFmtId="16" fontId="160" fillId="62" borderId="4" xfId="0" applyNumberFormat="1" applyFont="1" applyFill="1" applyBorder="1" applyAlignment="1">
      <alignment horizontal="center" vertical="center" wrapText="1"/>
    </xf>
    <xf numFmtId="16" fontId="160" fillId="0" borderId="4" xfId="0" applyNumberFormat="1" applyFont="1" applyFill="1" applyBorder="1" applyAlignment="1">
      <alignment horizontal="center" vertical="center" wrapText="1"/>
    </xf>
    <xf numFmtId="16" fontId="160" fillId="0" borderId="1" xfId="0" applyNumberFormat="1" applyFont="1" applyFill="1" applyBorder="1" applyAlignment="1">
      <alignment horizontal="center" vertical="center" wrapText="1"/>
    </xf>
    <xf numFmtId="16" fontId="154" fillId="68" borderId="1" xfId="0" applyNumberFormat="1" applyFont="1" applyFill="1" applyBorder="1" applyAlignment="1">
      <alignment horizontal="center" vertical="center" wrapText="1"/>
    </xf>
    <xf numFmtId="20" fontId="161" fillId="0" borderId="1" xfId="0" applyNumberFormat="1" applyFont="1" applyFill="1" applyBorder="1" applyAlignment="1">
      <alignment horizontal="center" vertical="center" wrapText="1"/>
    </xf>
    <xf numFmtId="16" fontId="160" fillId="53" borderId="4" xfId="0" applyNumberFormat="1" applyFont="1" applyFill="1" applyBorder="1" applyAlignment="1">
      <alignment horizontal="center" vertical="center" wrapText="1"/>
    </xf>
    <xf numFmtId="16" fontId="160" fillId="10" borderId="1" xfId="0" applyNumberFormat="1" applyFont="1" applyFill="1" applyBorder="1" applyAlignment="1">
      <alignment horizontal="center" vertical="center" wrapText="1"/>
    </xf>
    <xf numFmtId="16" fontId="160" fillId="48" borderId="4" xfId="0" applyNumberFormat="1" applyFont="1" applyFill="1" applyBorder="1" applyAlignment="1">
      <alignment horizontal="center" vertical="center" wrapText="1"/>
    </xf>
    <xf numFmtId="20" fontId="161" fillId="10" borderId="1" xfId="0" applyNumberFormat="1" applyFont="1" applyFill="1" applyBorder="1" applyAlignment="1">
      <alignment horizontal="center" vertical="center" wrapText="1"/>
    </xf>
    <xf numFmtId="2" fontId="161" fillId="0" borderId="1" xfId="0" applyNumberFormat="1" applyFont="1" applyFill="1" applyBorder="1" applyAlignment="1">
      <alignment horizontal="center" vertical="center" wrapText="1"/>
    </xf>
    <xf numFmtId="16" fontId="158" fillId="0" borderId="4" xfId="0" applyNumberFormat="1" applyFont="1" applyFill="1" applyBorder="1" applyAlignment="1">
      <alignment horizontal="center" vertical="center" wrapText="1"/>
    </xf>
    <xf numFmtId="16" fontId="162" fillId="48" borderId="4" xfId="0" applyNumberFormat="1" applyFont="1" applyFill="1" applyBorder="1" applyAlignment="1">
      <alignment horizontal="center" vertical="center" wrapText="1"/>
    </xf>
    <xf numFmtId="16" fontId="162" fillId="0" borderId="1" xfId="0" applyNumberFormat="1" applyFont="1" applyBorder="1" applyAlignment="1">
      <alignment horizontal="center" vertical="center" wrapText="1"/>
    </xf>
    <xf numFmtId="2" fontId="163" fillId="0" borderId="1" xfId="0" applyNumberFormat="1" applyFont="1" applyBorder="1" applyAlignment="1">
      <alignment horizontal="center" vertical="center" wrapText="1"/>
    </xf>
    <xf numFmtId="20" fontId="163" fillId="0" borderId="1" xfId="0" applyNumberFormat="1" applyFont="1" applyBorder="1" applyAlignment="1">
      <alignment horizontal="center" vertical="center" wrapText="1"/>
    </xf>
    <xf numFmtId="16" fontId="162" fillId="0" borderId="1" xfId="0" applyNumberFormat="1" applyFont="1" applyFill="1" applyBorder="1" applyAlignment="1">
      <alignment horizontal="center" vertical="center" wrapText="1"/>
    </xf>
    <xf numFmtId="20" fontId="163" fillId="0" borderId="1" xfId="0" applyNumberFormat="1" applyFont="1" applyFill="1" applyBorder="1" applyAlignment="1">
      <alignment horizontal="center" vertical="center" wrapText="1"/>
    </xf>
    <xf numFmtId="2" fontId="163" fillId="0" borderId="1" xfId="0" applyNumberFormat="1" applyFont="1" applyFill="1" applyBorder="1" applyAlignment="1">
      <alignment horizontal="center" vertical="center" wrapText="1"/>
    </xf>
    <xf numFmtId="16" fontId="153" fillId="63" borderId="4" xfId="0" applyNumberFormat="1" applyFont="1" applyFill="1" applyBorder="1" applyAlignment="1">
      <alignment horizontal="center" vertical="center" wrapText="1"/>
    </xf>
    <xf numFmtId="0" fontId="154" fillId="63" borderId="1" xfId="0" applyFont="1" applyFill="1" applyBorder="1" applyAlignment="1">
      <alignment horizontal="center" vertical="center" wrapText="1"/>
    </xf>
    <xf numFmtId="16" fontId="153" fillId="14" borderId="1" xfId="0" applyNumberFormat="1" applyFont="1" applyFill="1" applyBorder="1" applyAlignment="1">
      <alignment horizontal="center" vertical="center" wrapText="1"/>
    </xf>
    <xf numFmtId="2" fontId="154" fillId="14" borderId="1" xfId="0" applyNumberFormat="1" applyFont="1" applyFill="1" applyBorder="1" applyAlignment="1">
      <alignment horizontal="center" vertical="center" wrapText="1"/>
    </xf>
    <xf numFmtId="0" fontId="154" fillId="14" borderId="3" xfId="0" applyFont="1" applyFill="1" applyBorder="1" applyAlignment="1">
      <alignment horizontal="center" vertical="center" wrapText="1"/>
    </xf>
    <xf numFmtId="16" fontId="156" fillId="63" borderId="4" xfId="0" applyNumberFormat="1" applyFont="1" applyFill="1" applyBorder="1" applyAlignment="1">
      <alignment horizontal="center" vertical="center" wrapText="1"/>
    </xf>
    <xf numFmtId="16" fontId="156" fillId="14" borderId="1" xfId="0" applyNumberFormat="1" applyFont="1" applyFill="1" applyBorder="1" applyAlignment="1">
      <alignment horizontal="center" vertical="center" wrapText="1"/>
    </xf>
    <xf numFmtId="20" fontId="157" fillId="14" borderId="1" xfId="0" applyNumberFormat="1" applyFont="1" applyFill="1" applyBorder="1" applyAlignment="1">
      <alignment horizontal="center" vertical="center" wrapText="1"/>
    </xf>
    <xf numFmtId="2" fontId="157" fillId="14" borderId="1" xfId="0" applyNumberFormat="1" applyFont="1" applyFill="1" applyBorder="1" applyAlignment="1">
      <alignment horizontal="center" vertical="center" wrapText="1"/>
    </xf>
    <xf numFmtId="2" fontId="159" fillId="51" borderId="1" xfId="0" applyNumberFormat="1" applyFont="1" applyFill="1" applyBorder="1" applyAlignment="1">
      <alignment horizontal="center" vertical="center" wrapText="1"/>
    </xf>
    <xf numFmtId="2" fontId="157" fillId="51" borderId="1" xfId="0" applyNumberFormat="1" applyFont="1" applyFill="1" applyBorder="1" applyAlignment="1">
      <alignment horizontal="center" vertical="center" wrapText="1"/>
    </xf>
    <xf numFmtId="16" fontId="164" fillId="48" borderId="4" xfId="0" applyNumberFormat="1" applyFont="1" applyFill="1" applyBorder="1" applyAlignment="1">
      <alignment horizontal="center" vertical="center" wrapText="1"/>
    </xf>
    <xf numFmtId="16" fontId="164" fillId="0" borderId="1" xfId="0" applyNumberFormat="1" applyFont="1" applyFill="1" applyBorder="1" applyAlignment="1">
      <alignment horizontal="center" vertical="center" wrapText="1"/>
    </xf>
    <xf numFmtId="20" fontId="165" fillId="0" borderId="1" xfId="0" applyNumberFormat="1" applyFont="1" applyFill="1" applyBorder="1" applyAlignment="1">
      <alignment horizontal="center" vertical="center" wrapText="1"/>
    </xf>
    <xf numFmtId="2" fontId="165" fillId="0" borderId="1" xfId="0" applyNumberFormat="1" applyFont="1" applyFill="1" applyBorder="1" applyAlignment="1">
      <alignment horizontal="center" vertical="center" wrapText="1"/>
    </xf>
    <xf numFmtId="20" fontId="165" fillId="0" borderId="1" xfId="0" applyNumberFormat="1" applyFont="1" applyBorder="1" applyAlignment="1">
      <alignment horizontal="center" vertical="center" wrapText="1"/>
    </xf>
    <xf numFmtId="2" fontId="165" fillId="0" borderId="1" xfId="0" applyNumberFormat="1" applyFont="1" applyBorder="1" applyAlignment="1">
      <alignment horizontal="center" vertical="center" wrapText="1"/>
    </xf>
    <xf numFmtId="16" fontId="153" fillId="53" borderId="9" xfId="0" applyNumberFormat="1" applyFont="1" applyFill="1" applyBorder="1" applyAlignment="1">
      <alignment horizontal="center" vertical="center" wrapText="1"/>
    </xf>
    <xf numFmtId="0" fontId="154" fillId="53" borderId="2" xfId="0" applyFont="1" applyFill="1" applyBorder="1" applyAlignment="1">
      <alignment horizontal="center" vertical="center" wrapText="1"/>
    </xf>
    <xf numFmtId="16" fontId="164" fillId="10" borderId="4" xfId="0" applyNumberFormat="1" applyFont="1" applyFill="1" applyBorder="1" applyAlignment="1">
      <alignment horizontal="center" vertical="center" wrapText="1"/>
    </xf>
    <xf numFmtId="16" fontId="164" fillId="10" borderId="1" xfId="0" applyNumberFormat="1" applyFont="1" applyFill="1" applyBorder="1" applyAlignment="1">
      <alignment horizontal="center" vertical="center" wrapText="1"/>
    </xf>
    <xf numFmtId="2" fontId="165" fillId="49" borderId="1" xfId="0" applyNumberFormat="1" applyFont="1" applyFill="1" applyBorder="1" applyAlignment="1">
      <alignment horizontal="center" vertical="center" wrapText="1"/>
    </xf>
    <xf numFmtId="16" fontId="164" fillId="53" borderId="4" xfId="0" applyNumberFormat="1" applyFont="1" applyFill="1" applyBorder="1" applyAlignment="1">
      <alignment horizontal="center" vertical="center" wrapText="1"/>
    </xf>
    <xf numFmtId="2" fontId="165" fillId="51" borderId="1" xfId="0" applyNumberFormat="1" applyFont="1" applyFill="1" applyBorder="1" applyAlignment="1">
      <alignment horizontal="center" vertical="center" wrapText="1"/>
    </xf>
    <xf numFmtId="0" fontId="154" fillId="10" borderId="1" xfId="0" quotePrefix="1" applyFont="1" applyFill="1" applyBorder="1" applyAlignment="1">
      <alignment horizontal="center" vertical="center" wrapText="1"/>
    </xf>
    <xf numFmtId="16" fontId="164" fillId="48" borderId="4" xfId="0" applyNumberFormat="1" applyFont="1" applyFill="1" applyBorder="1" applyAlignment="1">
      <alignment horizontal="center" vertical="center" wrapText="1"/>
    </xf>
    <xf numFmtId="16" fontId="154" fillId="49" borderId="1" xfId="0" applyNumberFormat="1" applyFont="1" applyFill="1" applyBorder="1" applyAlignment="1">
      <alignment horizontal="center" vertical="center" wrapText="1"/>
    </xf>
    <xf numFmtId="16" fontId="164" fillId="0" borderId="1" xfId="0" applyNumberFormat="1" applyFont="1" applyBorder="1" applyAlignment="1">
      <alignment horizontal="center" vertical="center" wrapText="1"/>
    </xf>
    <xf numFmtId="16" fontId="166" fillId="0" borderId="1" xfId="0" applyNumberFormat="1" applyFont="1" applyBorder="1" applyAlignment="1">
      <alignment horizontal="center" vertical="center" wrapText="1"/>
    </xf>
    <xf numFmtId="2" fontId="167" fillId="0" borderId="1" xfId="0" applyNumberFormat="1" applyFont="1" applyBorder="1" applyAlignment="1">
      <alignment horizontal="center" vertical="center" wrapText="1"/>
    </xf>
    <xf numFmtId="16" fontId="166" fillId="0" borderId="1" xfId="0" applyNumberFormat="1" applyFont="1" applyFill="1" applyBorder="1" applyAlignment="1">
      <alignment horizontal="center" vertical="center" wrapText="1"/>
    </xf>
    <xf numFmtId="20" fontId="167" fillId="0" borderId="1" xfId="0" applyNumberFormat="1" applyFont="1" applyBorder="1" applyAlignment="1">
      <alignment horizontal="center" vertical="center" wrapText="1"/>
    </xf>
    <xf numFmtId="16" fontId="166" fillId="73" borderId="4" xfId="0" applyNumberFormat="1" applyFont="1" applyFill="1" applyBorder="1" applyAlignment="1">
      <alignment horizontal="center" vertical="center" wrapText="1"/>
    </xf>
    <xf numFmtId="0" fontId="154" fillId="73" borderId="1" xfId="0" applyFont="1" applyFill="1" applyBorder="1" applyAlignment="1">
      <alignment horizontal="center" vertical="center" wrapText="1"/>
    </xf>
    <xf numFmtId="0" fontId="154" fillId="74" borderId="1" xfId="0" applyFont="1" applyFill="1" applyBorder="1" applyAlignment="1">
      <alignment horizontal="center" vertical="center" wrapText="1"/>
    </xf>
    <xf numFmtId="16" fontId="166" fillId="74" borderId="1" xfId="0" applyNumberFormat="1" applyFont="1" applyFill="1" applyBorder="1" applyAlignment="1">
      <alignment horizontal="center" vertical="center" wrapText="1"/>
    </xf>
    <xf numFmtId="16" fontId="154" fillId="74" borderId="1" xfId="0" applyNumberFormat="1" applyFont="1" applyFill="1" applyBorder="1" applyAlignment="1">
      <alignment horizontal="center" vertical="center" wrapText="1"/>
    </xf>
    <xf numFmtId="2" fontId="167" fillId="51" borderId="1" xfId="0" applyNumberFormat="1" applyFont="1" applyFill="1" applyBorder="1" applyAlignment="1">
      <alignment horizontal="center" vertical="center" wrapText="1"/>
    </xf>
    <xf numFmtId="16" fontId="166" fillId="48" borderId="4" xfId="0" applyNumberFormat="1" applyFont="1" applyFill="1" applyBorder="1" applyAlignment="1">
      <alignment horizontal="center" vertical="center" wrapText="1"/>
    </xf>
    <xf numFmtId="16" fontId="167" fillId="0" borderId="1" xfId="0" applyNumberFormat="1" applyFont="1" applyFill="1" applyBorder="1" applyAlignment="1">
      <alignment horizontal="center" vertical="center" wrapText="1"/>
    </xf>
    <xf numFmtId="20" fontId="167" fillId="0" borderId="1" xfId="0" applyNumberFormat="1" applyFont="1" applyFill="1" applyBorder="1" applyAlignment="1">
      <alignment horizontal="center" vertical="center" wrapText="1"/>
    </xf>
    <xf numFmtId="2" fontId="167" fillId="0" borderId="1" xfId="0" applyNumberFormat="1" applyFont="1" applyFill="1" applyBorder="1" applyAlignment="1">
      <alignment horizontal="center" vertical="center" wrapText="1"/>
    </xf>
    <xf numFmtId="0" fontId="167" fillId="0" borderId="1" xfId="0" applyFont="1" applyBorder="1" applyAlignment="1">
      <alignment horizontal="center" vertical="center" wrapText="1"/>
    </xf>
    <xf numFmtId="16" fontId="166" fillId="0" borderId="4" xfId="0" applyNumberFormat="1" applyFont="1" applyFill="1" applyBorder="1" applyAlignment="1">
      <alignment horizontal="center" vertical="center" wrapText="1"/>
    </xf>
    <xf numFmtId="16" fontId="167" fillId="0" borderId="1" xfId="0" applyNumberFormat="1" applyFont="1" applyBorder="1" applyAlignment="1">
      <alignment horizontal="center" vertical="center" wrapText="1"/>
    </xf>
    <xf numFmtId="16" fontId="168" fillId="48" borderId="4" xfId="0" applyNumberFormat="1" applyFont="1" applyFill="1" applyBorder="1" applyAlignment="1">
      <alignment horizontal="center" vertical="center" wrapText="1"/>
    </xf>
    <xf numFmtId="16" fontId="168" fillId="0" borderId="1" xfId="0" applyNumberFormat="1" applyFont="1" applyFill="1" applyBorder="1" applyAlignment="1">
      <alignment horizontal="center" vertical="center" wrapText="1"/>
    </xf>
    <xf numFmtId="2" fontId="169" fillId="0" borderId="1" xfId="0" applyNumberFormat="1" applyFont="1" applyFill="1" applyBorder="1" applyAlignment="1">
      <alignment horizontal="center" vertical="center" wrapText="1"/>
    </xf>
    <xf numFmtId="0" fontId="151" fillId="0" borderId="7" xfId="0" applyFont="1" applyFill="1" applyBorder="1" applyAlignment="1">
      <alignment horizontal="center" vertical="center" wrapText="1"/>
    </xf>
    <xf numFmtId="0" fontId="151" fillId="0" borderId="6" xfId="0" applyFont="1" applyFill="1" applyBorder="1" applyAlignment="1">
      <alignment horizontal="center" vertical="center" wrapText="1"/>
    </xf>
    <xf numFmtId="16" fontId="151" fillId="0" borderId="6" xfId="0" applyNumberFormat="1" applyFont="1" applyFill="1" applyBorder="1" applyAlignment="1">
      <alignment horizontal="center" vertical="center" wrapText="1"/>
    </xf>
    <xf numFmtId="165" fontId="151" fillId="0" borderId="6" xfId="0" applyNumberFormat="1" applyFont="1" applyFill="1" applyBorder="1" applyAlignment="1">
      <alignment horizontal="center" vertical="center" wrapText="1"/>
    </xf>
    <xf numFmtId="2" fontId="161" fillId="51" borderId="1" xfId="0" applyNumberFormat="1" applyFont="1" applyFill="1" applyBorder="1" applyAlignment="1">
      <alignment horizontal="center" vertical="center" wrapText="1"/>
    </xf>
    <xf numFmtId="16" fontId="168" fillId="0" borderId="1" xfId="0" applyNumberFormat="1" applyFont="1" applyBorder="1" applyAlignment="1">
      <alignment horizontal="center" vertical="center" wrapText="1"/>
    </xf>
    <xf numFmtId="2" fontId="169" fillId="0" borderId="1" xfId="0" applyNumberFormat="1" applyFont="1" applyBorder="1" applyAlignment="1">
      <alignment horizontal="center" vertical="center" wrapText="1"/>
    </xf>
    <xf numFmtId="20" fontId="169" fillId="0" borderId="1" xfId="0" applyNumberFormat="1" applyFont="1" applyBorder="1" applyAlignment="1">
      <alignment horizontal="center" vertical="center" wrapText="1"/>
    </xf>
    <xf numFmtId="16" fontId="158" fillId="53" borderId="4" xfId="0" applyNumberFormat="1" applyFont="1" applyFill="1" applyBorder="1" applyAlignment="1">
      <alignment horizontal="center" vertical="center" wrapText="1"/>
    </xf>
    <xf numFmtId="0" fontId="154" fillId="48" borderId="2" xfId="0" applyFont="1" applyFill="1" applyBorder="1" applyAlignment="1">
      <alignment horizontal="center" vertical="center" wrapText="1"/>
    </xf>
    <xf numFmtId="16" fontId="154" fillId="0" borderId="28" xfId="0" applyNumberFormat="1" applyFont="1" applyBorder="1" applyAlignment="1">
      <alignment horizontal="center" vertical="center" wrapText="1"/>
    </xf>
    <xf numFmtId="20" fontId="154" fillId="0" borderId="2" xfId="0" applyNumberFormat="1" applyFont="1" applyFill="1" applyBorder="1" applyAlignment="1">
      <alignment horizontal="center" vertical="center" wrapText="1"/>
    </xf>
    <xf numFmtId="16" fontId="168" fillId="48" borderId="4" xfId="0" applyNumberFormat="1" applyFont="1" applyFill="1" applyBorder="1" applyAlignment="1">
      <alignment horizontal="center" vertical="center" wrapText="1"/>
    </xf>
    <xf numFmtId="0" fontId="169" fillId="48" borderId="1" xfId="0" applyFont="1" applyFill="1" applyBorder="1" applyAlignment="1">
      <alignment horizontal="center" vertical="center" wrapText="1"/>
    </xf>
    <xf numFmtId="0" fontId="169" fillId="0" borderId="1" xfId="0" applyFont="1" applyFill="1" applyBorder="1" applyAlignment="1">
      <alignment horizontal="center" vertical="center" wrapText="1"/>
    </xf>
    <xf numFmtId="16" fontId="169" fillId="0" borderId="1" xfId="0" applyNumberFormat="1" applyFont="1" applyFill="1" applyBorder="1" applyAlignment="1">
      <alignment horizontal="center" vertical="center" wrapText="1"/>
    </xf>
    <xf numFmtId="20" fontId="169" fillId="0" borderId="1" xfId="0" applyNumberFormat="1" applyFont="1" applyFill="1" applyBorder="1" applyAlignment="1">
      <alignment horizontal="center" vertical="center" wrapText="1"/>
    </xf>
    <xf numFmtId="16" fontId="169" fillId="0" borderId="1" xfId="0" applyNumberFormat="1" applyFont="1" applyBorder="1" applyAlignment="1">
      <alignment horizontal="center" vertical="center" wrapText="1"/>
    </xf>
    <xf numFmtId="0" fontId="169" fillId="0" borderId="3" xfId="0" applyFont="1" applyBorder="1" applyAlignment="1">
      <alignment horizontal="center" vertical="center" wrapText="1"/>
    </xf>
    <xf numFmtId="0" fontId="169" fillId="0" borderId="1" xfId="0" applyFont="1" applyBorder="1" applyAlignment="1">
      <alignment horizontal="center" vertical="center" wrapText="1"/>
    </xf>
    <xf numFmtId="16" fontId="168" fillId="0" borderId="4" xfId="0" applyNumberFormat="1" applyFont="1" applyFill="1" applyBorder="1" applyAlignment="1">
      <alignment horizontal="center" vertical="center" wrapText="1"/>
    </xf>
    <xf numFmtId="16" fontId="168" fillId="53" borderId="4" xfId="0" applyNumberFormat="1" applyFont="1" applyFill="1" applyBorder="1" applyAlignment="1">
      <alignment horizontal="center" vertical="center" wrapText="1"/>
    </xf>
    <xf numFmtId="16" fontId="168" fillId="10" borderId="1" xfId="0" applyNumberFormat="1" applyFont="1" applyFill="1" applyBorder="1" applyAlignment="1">
      <alignment horizontal="center" vertical="center" wrapText="1"/>
    </xf>
    <xf numFmtId="2" fontId="154" fillId="48" borderId="1" xfId="0" applyNumberFormat="1" applyFont="1" applyFill="1" applyBorder="1" applyAlignment="1">
      <alignment horizontal="center" vertical="center" wrapText="1"/>
    </xf>
    <xf numFmtId="20" fontId="7" fillId="48" borderId="1" xfId="0" applyNumberFormat="1" applyFont="1" applyFill="1" applyBorder="1" applyAlignment="1">
      <alignment horizontal="center" vertical="center"/>
    </xf>
    <xf numFmtId="2" fontId="7" fillId="48" borderId="1" xfId="0" applyNumberFormat="1" applyFont="1" applyFill="1" applyBorder="1" applyAlignment="1">
      <alignment horizontal="center" vertical="center"/>
    </xf>
    <xf numFmtId="20" fontId="7" fillId="10"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2" fontId="7" fillId="51" borderId="1" xfId="0" applyNumberFormat="1" applyFont="1" applyFill="1" applyBorder="1" applyAlignment="1">
      <alignment horizontal="center" vertical="center"/>
    </xf>
    <xf numFmtId="20" fontId="7" fillId="0" borderId="1" xfId="0" applyNumberFormat="1" applyFont="1" applyBorder="1" applyAlignment="1">
      <alignment horizontal="center" vertical="center"/>
    </xf>
    <xf numFmtId="16" fontId="2" fillId="74" borderId="1" xfId="0" applyNumberFormat="1" applyFont="1" applyFill="1" applyBorder="1" applyAlignment="1">
      <alignment horizontal="center" vertical="center"/>
    </xf>
    <xf numFmtId="16" fontId="2" fillId="59" borderId="1" xfId="0" applyNumberFormat="1" applyFont="1" applyFill="1" applyBorder="1" applyAlignment="1">
      <alignment horizontal="center" vertical="center"/>
    </xf>
    <xf numFmtId="16" fontId="2" fillId="55" borderId="1" xfId="0" applyNumberFormat="1" applyFont="1" applyFill="1" applyBorder="1" applyAlignment="1">
      <alignment horizontal="center" vertical="center"/>
    </xf>
    <xf numFmtId="20" fontId="7" fillId="55" borderId="1" xfId="0" applyNumberFormat="1" applyFont="1" applyFill="1" applyBorder="1" applyAlignment="1">
      <alignment horizontal="center" vertical="center"/>
    </xf>
    <xf numFmtId="2" fontId="7" fillId="55" borderId="1" xfId="0" applyNumberFormat="1" applyFont="1" applyFill="1" applyBorder="1" applyAlignment="1">
      <alignment horizontal="center" vertical="center"/>
    </xf>
    <xf numFmtId="20" fontId="7" fillId="59" borderId="1" xfId="0" applyNumberFormat="1" applyFont="1" applyFill="1" applyBorder="1" applyAlignment="1">
      <alignment horizontal="center" vertical="center"/>
    </xf>
    <xf numFmtId="20" fontId="7" fillId="14" borderId="1" xfId="0" applyNumberFormat="1" applyFont="1" applyFill="1" applyBorder="1" applyAlignment="1">
      <alignment horizontal="center" vertical="center"/>
    </xf>
    <xf numFmtId="0" fontId="2" fillId="0" borderId="0" xfId="0" applyFont="1"/>
    <xf numFmtId="16" fontId="153" fillId="62" borderId="30" xfId="0" applyNumberFormat="1" applyFont="1" applyFill="1" applyBorder="1" applyAlignment="1">
      <alignment horizontal="center" vertical="center" wrapText="1"/>
    </xf>
    <xf numFmtId="16" fontId="156" fillId="0" borderId="4" xfId="0" applyNumberFormat="1" applyFont="1" applyFill="1" applyBorder="1" applyAlignment="1">
      <alignment horizontal="center" vertical="center" wrapText="1"/>
    </xf>
    <xf numFmtId="16" fontId="156" fillId="66" borderId="30" xfId="0" applyNumberFormat="1" applyFont="1" applyFill="1" applyBorder="1" applyAlignment="1">
      <alignment horizontal="center" vertical="center" wrapText="1"/>
    </xf>
    <xf numFmtId="0" fontId="154" fillId="62" borderId="28" xfId="0" applyFont="1" applyFill="1" applyBorder="1" applyAlignment="1">
      <alignment horizontal="center" vertical="center" wrapText="1"/>
    </xf>
    <xf numFmtId="0" fontId="154" fillId="66" borderId="28" xfId="0" applyFont="1" applyFill="1" applyBorder="1" applyAlignment="1">
      <alignment horizontal="center" vertical="center" wrapText="1"/>
    </xf>
    <xf numFmtId="0" fontId="154" fillId="59" borderId="2" xfId="0" applyFont="1" applyFill="1" applyBorder="1" applyAlignment="1">
      <alignment horizontal="center" vertical="center" wrapText="1"/>
    </xf>
    <xf numFmtId="16" fontId="153" fillId="59" borderId="28" xfId="0" applyNumberFormat="1" applyFont="1" applyFill="1" applyBorder="1" applyAlignment="1">
      <alignment horizontal="center" vertical="center" wrapText="1"/>
    </xf>
    <xf numFmtId="16" fontId="156" fillId="55" borderId="28" xfId="0" applyNumberFormat="1" applyFont="1" applyFill="1" applyBorder="1" applyAlignment="1">
      <alignment horizontal="center" vertical="center" wrapText="1"/>
    </xf>
    <xf numFmtId="16" fontId="154" fillId="0" borderId="2" xfId="0" applyNumberFormat="1" applyFont="1" applyFill="1" applyBorder="1" applyAlignment="1">
      <alignment horizontal="center" vertical="center" wrapText="1"/>
    </xf>
    <xf numFmtId="16" fontId="154" fillId="59" borderId="28" xfId="0" applyNumberFormat="1" applyFont="1" applyFill="1" applyBorder="1" applyAlignment="1">
      <alignment horizontal="center" vertical="center" wrapText="1"/>
    </xf>
    <xf numFmtId="16" fontId="154" fillId="55" borderId="28" xfId="0" applyNumberFormat="1" applyFont="1" applyFill="1" applyBorder="1" applyAlignment="1">
      <alignment horizontal="center" vertical="center" wrapText="1"/>
    </xf>
    <xf numFmtId="20" fontId="154" fillId="59" borderId="2" xfId="0" applyNumberFormat="1" applyFont="1" applyFill="1" applyBorder="1" applyAlignment="1">
      <alignment horizontal="center" vertical="center" wrapText="1"/>
    </xf>
    <xf numFmtId="20" fontId="154" fillId="55" borderId="2" xfId="0" applyNumberFormat="1" applyFont="1" applyFill="1" applyBorder="1" applyAlignment="1">
      <alignment horizontal="center" vertical="center" wrapText="1"/>
    </xf>
    <xf numFmtId="20" fontId="157" fillId="0" borderId="1" xfId="0" applyNumberFormat="1" applyFont="1" applyFill="1" applyBorder="1" applyAlignment="1">
      <alignment horizontal="center" vertical="center" wrapText="1"/>
    </xf>
    <xf numFmtId="20" fontId="157" fillId="55" borderId="2" xfId="0" applyNumberFormat="1" applyFont="1" applyFill="1" applyBorder="1" applyAlignment="1">
      <alignment horizontal="center" vertical="center" wrapText="1"/>
    </xf>
    <xf numFmtId="2" fontId="154" fillId="51" borderId="28" xfId="0" applyNumberFormat="1" applyFont="1" applyFill="1" applyBorder="1" applyAlignment="1">
      <alignment horizontal="center" vertical="center" wrapText="1"/>
    </xf>
    <xf numFmtId="0" fontId="154" fillId="0" borderId="8" xfId="0" applyFont="1" applyBorder="1" applyAlignment="1">
      <alignment horizontal="center" vertical="center" wrapText="1"/>
    </xf>
    <xf numFmtId="2" fontId="154" fillId="0" borderId="33" xfId="0" applyNumberFormat="1" applyFont="1" applyBorder="1" applyAlignment="1">
      <alignment horizontal="center" vertical="center" wrapText="1"/>
    </xf>
    <xf numFmtId="2" fontId="152" fillId="0" borderId="0" xfId="0" applyNumberFormat="1" applyFont="1"/>
    <xf numFmtId="0" fontId="2" fillId="0" borderId="7" xfId="0" applyFont="1" applyBorder="1" applyAlignment="1">
      <alignment horizontal="center" vertical="center" wrapText="1"/>
    </xf>
    <xf numFmtId="0" fontId="2" fillId="0" borderId="6" xfId="0" applyFont="1" applyBorder="1" applyAlignment="1">
      <alignment horizontal="center" vertical="center" wrapText="1"/>
    </xf>
    <xf numFmtId="0" fontId="2" fillId="0" borderId="5" xfId="0" applyFont="1" applyBorder="1" applyAlignment="1">
      <alignment horizontal="center" vertical="center" wrapText="1"/>
    </xf>
    <xf numFmtId="16" fontId="2" fillId="53" borderId="4" xfId="0" applyNumberFormat="1" applyFont="1" applyFill="1" applyBorder="1" applyAlignment="1">
      <alignment horizontal="center" vertical="center"/>
    </xf>
    <xf numFmtId="16" fontId="2" fillId="73" borderId="4" xfId="0" applyNumberFormat="1" applyFont="1" applyFill="1" applyBorder="1" applyAlignment="1">
      <alignment horizontal="center" vertical="center"/>
    </xf>
    <xf numFmtId="0" fontId="7" fillId="73" borderId="1" xfId="0" applyFont="1" applyFill="1" applyBorder="1" applyAlignment="1">
      <alignment horizontal="center" vertical="center" wrapText="1"/>
    </xf>
    <xf numFmtId="0" fontId="7" fillId="74" borderId="1" xfId="0" applyFont="1" applyFill="1" applyBorder="1" applyAlignment="1">
      <alignment horizontal="center" vertical="center" wrapText="1"/>
    </xf>
    <xf numFmtId="16" fontId="7" fillId="74" borderId="1" xfId="0" applyNumberFormat="1" applyFont="1" applyFill="1" applyBorder="1" applyAlignment="1">
      <alignment horizontal="center" vertical="center" wrapText="1"/>
    </xf>
    <xf numFmtId="16" fontId="2" fillId="62" borderId="4" xfId="0" applyNumberFormat="1" applyFont="1" applyFill="1" applyBorder="1" applyAlignment="1">
      <alignment horizontal="center" vertical="center"/>
    </xf>
    <xf numFmtId="16" fontId="7" fillId="14" borderId="1" xfId="0" applyNumberFormat="1" applyFont="1" applyFill="1" applyBorder="1" applyAlignment="1">
      <alignment horizontal="center" vertical="center" wrapText="1"/>
    </xf>
    <xf numFmtId="0" fontId="2" fillId="0" borderId="0" xfId="0" applyFont="1" applyAlignment="1">
      <alignment wrapText="1"/>
    </xf>
    <xf numFmtId="20" fontId="7" fillId="0" borderId="1" xfId="0" applyNumberFormat="1" applyFont="1" applyFill="1" applyBorder="1" applyAlignment="1">
      <alignment horizontal="center" vertical="center"/>
    </xf>
    <xf numFmtId="2" fontId="7" fillId="0" borderId="1" xfId="0" applyNumberFormat="1" applyFont="1" applyFill="1" applyBorder="1" applyAlignment="1">
      <alignment horizontal="center" vertical="center"/>
    </xf>
    <xf numFmtId="0" fontId="2" fillId="0" borderId="0" xfId="0" applyFont="1" applyFill="1"/>
    <xf numFmtId="16" fontId="2" fillId="53" borderId="1" xfId="0" applyNumberFormat="1" applyFont="1" applyFill="1" applyBorder="1" applyAlignment="1">
      <alignment horizontal="center" vertical="center"/>
    </xf>
    <xf numFmtId="0" fontId="7" fillId="63" borderId="1" xfId="0" applyFont="1" applyFill="1" applyBorder="1" applyAlignment="1">
      <alignment horizontal="center" vertical="center" wrapText="1"/>
    </xf>
    <xf numFmtId="16" fontId="7" fillId="61" borderId="1" xfId="0" applyNumberFormat="1" applyFont="1" applyFill="1" applyBorder="1" applyAlignment="1">
      <alignment horizontal="center" vertical="center" wrapText="1"/>
    </xf>
    <xf numFmtId="2" fontId="2" fillId="0" borderId="0" xfId="0" applyNumberFormat="1" applyFont="1"/>
    <xf numFmtId="2" fontId="7" fillId="57" borderId="1" xfId="0" applyNumberFormat="1" applyFont="1" applyFill="1" applyBorder="1" applyAlignment="1">
      <alignment horizontal="center" vertical="center"/>
    </xf>
    <xf numFmtId="0" fontId="2" fillId="0" borderId="0" xfId="0" applyFont="1" applyFill="1" applyAlignment="1">
      <alignment wrapText="1"/>
    </xf>
    <xf numFmtId="0" fontId="2" fillId="0" borderId="0" xfId="0" applyFont="1" applyBorder="1" applyAlignment="1">
      <alignment wrapText="1"/>
    </xf>
    <xf numFmtId="0" fontId="2" fillId="0" borderId="0" xfId="0" applyFont="1" applyFill="1" applyBorder="1" applyAlignment="1">
      <alignment wrapText="1"/>
    </xf>
    <xf numFmtId="0" fontId="2" fillId="0" borderId="0" xfId="0" applyFont="1" applyFill="1" applyBorder="1"/>
    <xf numFmtId="2" fontId="7" fillId="0" borderId="0" xfId="0" applyNumberFormat="1" applyFont="1" applyFill="1" applyBorder="1" applyAlignment="1">
      <alignment horizontal="center" vertical="center"/>
    </xf>
    <xf numFmtId="0" fontId="2" fillId="0" borderId="6" xfId="0" applyFont="1" applyFill="1" applyBorder="1" applyAlignment="1">
      <alignment horizontal="center" vertical="center" wrapText="1"/>
    </xf>
    <xf numFmtId="20" fontId="170" fillId="48" borderId="1" xfId="0" applyNumberFormat="1" applyFont="1" applyFill="1" applyBorder="1" applyAlignment="1">
      <alignment horizontal="center" vertical="center" wrapText="1"/>
    </xf>
    <xf numFmtId="0" fontId="172" fillId="48" borderId="1" xfId="0" applyFont="1" applyFill="1" applyBorder="1" applyAlignment="1">
      <alignment horizontal="center" vertical="center" wrapText="1"/>
    </xf>
    <xf numFmtId="0" fontId="172" fillId="48" borderId="3" xfId="0" applyFont="1" applyFill="1" applyBorder="1" applyAlignment="1">
      <alignment horizontal="center" vertical="center" wrapText="1"/>
    </xf>
    <xf numFmtId="16" fontId="2" fillId="59" borderId="4" xfId="0" applyNumberFormat="1" applyFont="1" applyFill="1" applyBorder="1" applyAlignment="1">
      <alignment horizontal="center" vertical="center"/>
    </xf>
    <xf numFmtId="16" fontId="2" fillId="62" borderId="1" xfId="0" applyNumberFormat="1" applyFont="1" applyFill="1" applyBorder="1" applyAlignment="1">
      <alignment horizontal="center" vertical="center"/>
    </xf>
    <xf numFmtId="20" fontId="7" fillId="62" borderId="1" xfId="0" applyNumberFormat="1" applyFont="1" applyFill="1" applyBorder="1" applyAlignment="1">
      <alignment horizontal="center" vertical="center"/>
    </xf>
    <xf numFmtId="0" fontId="174" fillId="0" borderId="1" xfId="0" applyFont="1" applyFill="1" applyBorder="1" applyAlignment="1">
      <alignment horizontal="center" vertical="center" wrapText="1"/>
    </xf>
    <xf numFmtId="16" fontId="174" fillId="0" borderId="1" xfId="0" applyNumberFormat="1" applyFont="1" applyFill="1" applyBorder="1" applyAlignment="1">
      <alignment horizontal="center" vertical="center" wrapText="1"/>
    </xf>
    <xf numFmtId="0" fontId="174" fillId="48" borderId="1" xfId="0" applyFont="1" applyFill="1" applyBorder="1" applyAlignment="1">
      <alignment horizontal="center" vertical="center" wrapText="1"/>
    </xf>
    <xf numFmtId="0" fontId="175" fillId="48" borderId="3" xfId="0" applyFont="1" applyFill="1" applyBorder="1" applyAlignment="1">
      <alignment horizontal="center" vertical="center" wrapText="1"/>
    </xf>
    <xf numFmtId="2" fontId="174" fillId="60" borderId="1" xfId="0" applyNumberFormat="1" applyFont="1" applyFill="1" applyBorder="1" applyAlignment="1">
      <alignment horizontal="center" vertical="center" wrapText="1"/>
    </xf>
    <xf numFmtId="2" fontId="7" fillId="61" borderId="1" xfId="0" applyNumberFormat="1" applyFont="1" applyFill="1" applyBorder="1" applyAlignment="1">
      <alignment horizontal="center" vertical="center" wrapText="1"/>
    </xf>
    <xf numFmtId="0" fontId="7" fillId="63" borderId="2" xfId="0" applyFont="1" applyFill="1" applyBorder="1" applyAlignment="1">
      <alignment horizontal="center" vertical="center" wrapText="1"/>
    </xf>
    <xf numFmtId="0" fontId="7" fillId="75" borderId="1" xfId="0" applyFont="1" applyFill="1" applyBorder="1" applyAlignment="1">
      <alignment horizontal="center" vertical="center" wrapText="1"/>
    </xf>
    <xf numFmtId="2" fontId="2" fillId="0" borderId="0" xfId="0" applyNumberFormat="1" applyFont="1" applyFill="1"/>
    <xf numFmtId="2" fontId="2" fillId="0" borderId="0" xfId="0" applyNumberFormat="1" applyFont="1" applyFill="1" applyBorder="1"/>
    <xf numFmtId="2" fontId="2" fillId="0" borderId="0" xfId="0" applyNumberFormat="1" applyFont="1" applyFill="1" applyBorder="1" applyAlignment="1">
      <alignment wrapText="1"/>
    </xf>
    <xf numFmtId="2" fontId="7" fillId="49" borderId="1" xfId="0" applyNumberFormat="1" applyFont="1" applyFill="1" applyBorder="1" applyAlignment="1">
      <alignment horizontal="center" vertical="center"/>
    </xf>
    <xf numFmtId="0" fontId="7" fillId="53" borderId="3" xfId="0" applyFont="1" applyFill="1" applyBorder="1" applyAlignment="1">
      <alignment horizontal="center" vertical="center" wrapText="1"/>
    </xf>
    <xf numFmtId="16" fontId="2" fillId="0" borderId="1" xfId="0" applyNumberFormat="1" applyFont="1" applyBorder="1" applyAlignment="1">
      <alignment horizontal="center"/>
    </xf>
    <xf numFmtId="16" fontId="7" fillId="0" borderId="2" xfId="0" applyNumberFormat="1" applyFont="1" applyBorder="1" applyAlignment="1">
      <alignment horizontal="center"/>
    </xf>
    <xf numFmtId="16" fontId="7" fillId="0" borderId="6" xfId="0" applyNumberFormat="1" applyFont="1" applyBorder="1" applyAlignment="1">
      <alignment horizontal="center"/>
    </xf>
    <xf numFmtId="2" fontId="0" fillId="0" borderId="6" xfId="0" applyNumberFormat="1" applyBorder="1" applyAlignment="1">
      <alignment horizontal="center"/>
    </xf>
    <xf numFmtId="0" fontId="2" fillId="0" borderId="20" xfId="0" applyFont="1" applyBorder="1" applyAlignment="1">
      <alignment horizontal="center" vertical="center" wrapText="1"/>
    </xf>
    <xf numFmtId="0" fontId="2" fillId="0" borderId="18" xfId="0" applyFont="1" applyBorder="1" applyAlignment="1">
      <alignment horizontal="center" vertical="center" wrapText="1"/>
    </xf>
    <xf numFmtId="16" fontId="2" fillId="62" borderId="9" xfId="0" applyNumberFormat="1" applyFont="1" applyFill="1" applyBorder="1" applyAlignment="1">
      <alignment horizontal="center" vertical="center"/>
    </xf>
    <xf numFmtId="0" fontId="7" fillId="62" borderId="2" xfId="0" applyFont="1" applyFill="1" applyBorder="1" applyAlignment="1">
      <alignment horizontal="center" vertical="center" wrapText="1"/>
    </xf>
    <xf numFmtId="16" fontId="2" fillId="62" borderId="2" xfId="0" applyNumberFormat="1" applyFont="1" applyFill="1" applyBorder="1" applyAlignment="1">
      <alignment horizontal="center" vertical="center"/>
    </xf>
    <xf numFmtId="16" fontId="7" fillId="63" borderId="2" xfId="0" applyNumberFormat="1" applyFont="1" applyFill="1" applyBorder="1" applyAlignment="1">
      <alignment horizontal="center" vertical="center" wrapText="1"/>
    </xf>
    <xf numFmtId="20" fontId="7" fillId="62" borderId="2" xfId="0" applyNumberFormat="1" applyFont="1" applyFill="1" applyBorder="1" applyAlignment="1">
      <alignment horizontal="center" vertical="center"/>
    </xf>
    <xf numFmtId="20" fontId="7" fillId="48" borderId="2" xfId="0" applyNumberFormat="1" applyFont="1" applyFill="1" applyBorder="1" applyAlignment="1">
      <alignment horizontal="center" vertical="center"/>
    </xf>
    <xf numFmtId="2" fontId="7" fillId="48" borderId="2" xfId="0" applyNumberFormat="1" applyFont="1" applyFill="1" applyBorder="1" applyAlignment="1">
      <alignment horizontal="center" vertical="center"/>
    </xf>
    <xf numFmtId="2" fontId="174" fillId="0" borderId="1" xfId="0" applyNumberFormat="1" applyFont="1" applyBorder="1" applyAlignment="1">
      <alignment horizontal="center" vertical="center" wrapText="1"/>
    </xf>
    <xf numFmtId="0" fontId="2" fillId="0" borderId="34" xfId="0" applyFont="1" applyBorder="1" applyAlignment="1">
      <alignment horizontal="center" vertical="center" wrapText="1"/>
    </xf>
    <xf numFmtId="0" fontId="2" fillId="0" borderId="35" xfId="0" applyFont="1" applyBorder="1" applyAlignment="1">
      <alignment horizontal="center" vertical="center" wrapText="1"/>
    </xf>
    <xf numFmtId="14" fontId="2" fillId="0" borderId="0" xfId="0" applyNumberFormat="1" applyFont="1" applyFill="1" applyBorder="1" applyAlignment="1">
      <alignment wrapText="1"/>
    </xf>
    <xf numFmtId="0" fontId="7" fillId="0" borderId="0" xfId="0" applyFont="1" applyFill="1" applyBorder="1" applyAlignment="1">
      <alignment horizontal="center" vertical="center" wrapText="1"/>
    </xf>
    <xf numFmtId="2" fontId="2" fillId="0" borderId="0" xfId="0" applyNumberFormat="1" applyFont="1" applyBorder="1" applyAlignment="1">
      <alignment wrapText="1"/>
    </xf>
    <xf numFmtId="0" fontId="7" fillId="0" borderId="25" xfId="0" applyFont="1" applyBorder="1" applyAlignment="1">
      <alignment horizontal="center" vertical="center" wrapText="1"/>
    </xf>
    <xf numFmtId="16" fontId="7" fillId="0" borderId="25" xfId="0" applyNumberFormat="1" applyFont="1" applyBorder="1" applyAlignment="1">
      <alignment horizontal="center" vertical="center" wrapText="1"/>
    </xf>
    <xf numFmtId="20" fontId="7" fillId="0" borderId="25" xfId="0" applyNumberFormat="1" applyFont="1" applyBorder="1" applyAlignment="1">
      <alignment horizontal="center" vertical="center" wrapText="1"/>
    </xf>
    <xf numFmtId="16" fontId="2" fillId="0" borderId="4" xfId="0" applyNumberFormat="1" applyFont="1" applyBorder="1" applyAlignment="1">
      <alignment horizontal="center" vertical="center" wrapText="1"/>
    </xf>
    <xf numFmtId="16" fontId="2" fillId="0" borderId="1" xfId="0" applyNumberFormat="1" applyFont="1" applyBorder="1" applyAlignment="1">
      <alignment horizontal="center" vertical="center" wrapText="1"/>
    </xf>
    <xf numFmtId="20" fontId="7" fillId="0" borderId="25" xfId="0" applyNumberFormat="1" applyFont="1" applyBorder="1" applyAlignment="1">
      <alignment horizontal="center" vertical="center"/>
    </xf>
    <xf numFmtId="0" fontId="7" fillId="48" borderId="25" xfId="0" applyFont="1" applyFill="1" applyBorder="1" applyAlignment="1">
      <alignment horizontal="center" vertical="center" wrapText="1"/>
    </xf>
    <xf numFmtId="16" fontId="2" fillId="0" borderId="36" xfId="0" applyNumberFormat="1" applyFont="1" applyFill="1" applyBorder="1" applyAlignment="1">
      <alignment horizontal="center" vertical="center"/>
    </xf>
    <xf numFmtId="0" fontId="7" fillId="0" borderId="25" xfId="0" applyFont="1" applyFill="1" applyBorder="1" applyAlignment="1">
      <alignment horizontal="center" vertical="center" wrapText="1"/>
    </xf>
    <xf numFmtId="16" fontId="2" fillId="0" borderId="25" xfId="0" applyNumberFormat="1" applyFont="1" applyFill="1" applyBorder="1" applyAlignment="1">
      <alignment horizontal="center" vertical="center"/>
    </xf>
    <xf numFmtId="16" fontId="7" fillId="0" borderId="25" xfId="0" applyNumberFormat="1" applyFont="1" applyFill="1" applyBorder="1" applyAlignment="1">
      <alignment horizontal="center" vertical="center" wrapText="1"/>
    </xf>
    <xf numFmtId="20" fontId="7" fillId="0" borderId="25" xfId="0" applyNumberFormat="1" applyFont="1" applyFill="1" applyBorder="1" applyAlignment="1">
      <alignment horizontal="center" vertical="center"/>
    </xf>
    <xf numFmtId="16" fontId="2" fillId="0" borderId="36" xfId="0" applyNumberFormat="1" applyFont="1" applyBorder="1" applyAlignment="1">
      <alignment horizontal="center" vertical="center"/>
    </xf>
    <xf numFmtId="16" fontId="2" fillId="0" borderId="25" xfId="0" applyNumberFormat="1" applyFont="1" applyBorder="1" applyAlignment="1">
      <alignment horizontal="center" vertical="center"/>
    </xf>
    <xf numFmtId="0" fontId="149" fillId="10" borderId="1" xfId="0" applyFont="1" applyFill="1" applyBorder="1" applyAlignment="1">
      <alignment horizontal="center" vertical="center" wrapText="1"/>
    </xf>
    <xf numFmtId="16" fontId="173" fillId="48" borderId="4" xfId="0" applyNumberFormat="1" applyFont="1" applyFill="1" applyBorder="1" applyAlignment="1">
      <alignment horizontal="center" vertical="center" wrapText="1"/>
    </xf>
    <xf numFmtId="16" fontId="173" fillId="0" borderId="1" xfId="0" applyNumberFormat="1" applyFont="1" applyFill="1" applyBorder="1" applyAlignment="1">
      <alignment horizontal="center" vertical="center" wrapText="1"/>
    </xf>
    <xf numFmtId="20" fontId="174" fillId="0" borderId="1" xfId="0" applyNumberFormat="1" applyFont="1" applyFill="1" applyBorder="1" applyAlignment="1">
      <alignment horizontal="center" vertical="center" wrapText="1"/>
    </xf>
    <xf numFmtId="20" fontId="174" fillId="0" borderId="1" xfId="0" applyNumberFormat="1" applyFont="1" applyBorder="1" applyAlignment="1">
      <alignment horizontal="center" vertical="center" wrapText="1"/>
    </xf>
    <xf numFmtId="2" fontId="7" fillId="0" borderId="0" xfId="0" applyNumberFormat="1" applyFont="1" applyFill="1" applyBorder="1" applyAlignment="1">
      <alignment horizontal="center" vertical="center" wrapText="1"/>
    </xf>
    <xf numFmtId="0" fontId="9" fillId="0" borderId="1" xfId="1" applyBorder="1"/>
    <xf numFmtId="0" fontId="7" fillId="0" borderId="1" xfId="1" applyFont="1" applyBorder="1"/>
    <xf numFmtId="0" fontId="7" fillId="0" borderId="2" xfId="1" applyFont="1" applyBorder="1"/>
    <xf numFmtId="2" fontId="7" fillId="0" borderId="28" xfId="0" quotePrefix="1" applyNumberFormat="1" applyFont="1" applyBorder="1" applyAlignment="1">
      <alignment horizontal="center" vertical="center" wrapText="1"/>
    </xf>
    <xf numFmtId="2" fontId="7" fillId="48" borderId="28" xfId="0" quotePrefix="1" applyNumberFormat="1" applyFont="1" applyFill="1" applyBorder="1" applyAlignment="1">
      <alignment horizontal="center" vertical="center" wrapText="1"/>
    </xf>
    <xf numFmtId="2" fontId="4" fillId="51" borderId="28" xfId="1" applyNumberFormat="1" applyFont="1" applyFill="1" applyBorder="1" applyAlignment="1">
      <alignment horizontal="center" vertical="center"/>
    </xf>
    <xf numFmtId="2" fontId="0" fillId="0" borderId="0" xfId="0" applyNumberFormat="1" applyAlignment="1">
      <alignment horizontal="center"/>
    </xf>
    <xf numFmtId="0" fontId="9" fillId="0" borderId="1" xfId="1" applyFont="1" applyBorder="1" applyAlignment="1">
      <alignment horizontal="center" vertical="center"/>
    </xf>
    <xf numFmtId="0" fontId="9" fillId="14" borderId="1" xfId="1" applyFont="1" applyFill="1" applyBorder="1" applyAlignment="1">
      <alignment horizontal="center" vertical="center"/>
    </xf>
    <xf numFmtId="0" fontId="9" fillId="8" borderId="1" xfId="1" applyFont="1" applyFill="1" applyBorder="1" applyAlignment="1">
      <alignment horizontal="center" vertical="center"/>
    </xf>
    <xf numFmtId="0" fontId="9" fillId="0" borderId="1" xfId="1" applyFont="1" applyFill="1" applyBorder="1" applyAlignment="1">
      <alignment horizontal="center" vertical="center"/>
    </xf>
    <xf numFmtId="0" fontId="9" fillId="14" borderId="1" xfId="1" applyFill="1" applyBorder="1" applyAlignment="1">
      <alignment horizontal="center" vertical="center"/>
    </xf>
    <xf numFmtId="0" fontId="0" fillId="0" borderId="1" xfId="0" applyBorder="1" applyAlignment="1">
      <alignment horizontal="center" vertical="center"/>
    </xf>
    <xf numFmtId="0" fontId="0" fillId="14" borderId="1" xfId="0" applyFill="1" applyBorder="1" applyAlignment="1">
      <alignment horizontal="center" vertical="center"/>
    </xf>
    <xf numFmtId="2" fontId="9" fillId="0" borderId="1" xfId="1" applyNumberFormat="1" applyBorder="1" applyAlignment="1">
      <alignment horizontal="center" vertical="center"/>
    </xf>
    <xf numFmtId="20" fontId="7" fillId="51" borderId="1" xfId="0" applyNumberFormat="1" applyFont="1" applyFill="1" applyBorder="1" applyAlignment="1">
      <alignment horizontal="center" vertical="center" wrapText="1"/>
    </xf>
    <xf numFmtId="16" fontId="7" fillId="57" borderId="1" xfId="0" applyNumberFormat="1" applyFont="1" applyFill="1" applyBorder="1" applyAlignment="1">
      <alignment horizontal="center" vertical="center" wrapText="1"/>
    </xf>
    <xf numFmtId="0" fontId="176" fillId="48" borderId="1" xfId="0" applyFont="1" applyFill="1" applyBorder="1" applyAlignment="1">
      <alignment horizontal="center" vertical="center" wrapText="1"/>
    </xf>
    <xf numFmtId="0" fontId="176" fillId="48" borderId="3" xfId="0" applyFont="1" applyFill="1" applyBorder="1" applyAlignment="1">
      <alignment horizontal="center" vertical="center" wrapText="1"/>
    </xf>
    <xf numFmtId="16" fontId="7" fillId="63" borderId="1" xfId="0" applyNumberFormat="1" applyFont="1" applyFill="1" applyBorder="1" applyAlignment="1">
      <alignment horizontal="center" vertical="center" wrapText="1"/>
    </xf>
    <xf numFmtId="0" fontId="7" fillId="10" borderId="1" xfId="0" quotePrefix="1" applyFont="1" applyFill="1" applyBorder="1" applyAlignment="1">
      <alignment horizontal="center" vertical="center" wrapText="1"/>
    </xf>
    <xf numFmtId="16" fontId="2" fillId="10" borderId="36" xfId="0" applyNumberFormat="1" applyFont="1" applyFill="1" applyBorder="1" applyAlignment="1">
      <alignment horizontal="center" vertical="center"/>
    </xf>
    <xf numFmtId="16" fontId="173" fillId="48" borderId="4" xfId="0" applyNumberFormat="1" applyFont="1" applyFill="1" applyBorder="1" applyAlignment="1">
      <alignment horizontal="center" vertical="center"/>
    </xf>
    <xf numFmtId="0" fontId="7" fillId="10" borderId="25" xfId="0" applyFont="1" applyFill="1" applyBorder="1" applyAlignment="1">
      <alignment horizontal="center" vertical="center" wrapText="1"/>
    </xf>
    <xf numFmtId="16" fontId="2" fillId="10" borderId="25" xfId="0" applyNumberFormat="1" applyFont="1" applyFill="1" applyBorder="1" applyAlignment="1">
      <alignment horizontal="center" vertical="center"/>
    </xf>
    <xf numFmtId="16" fontId="173" fillId="0" borderId="1" xfId="0" applyNumberFormat="1" applyFont="1" applyFill="1" applyBorder="1" applyAlignment="1">
      <alignment horizontal="center" vertical="center"/>
    </xf>
    <xf numFmtId="20" fontId="174" fillId="0" borderId="1" xfId="0" applyNumberFormat="1" applyFont="1" applyBorder="1" applyAlignment="1">
      <alignment horizontal="center" vertical="center"/>
    </xf>
    <xf numFmtId="2" fontId="7" fillId="51" borderId="25" xfId="0" applyNumberFormat="1" applyFont="1" applyFill="1" applyBorder="1" applyAlignment="1">
      <alignment horizontal="center" vertical="center"/>
    </xf>
    <xf numFmtId="0" fontId="7" fillId="61" borderId="1" xfId="0" applyFont="1" applyFill="1" applyBorder="1" applyAlignment="1">
      <alignment horizontal="center" vertical="center" wrapText="1"/>
    </xf>
    <xf numFmtId="0" fontId="174" fillId="61" borderId="1" xfId="0" applyFont="1" applyFill="1" applyBorder="1" applyAlignment="1">
      <alignment horizontal="center" vertical="center" wrapText="1"/>
    </xf>
    <xf numFmtId="2" fontId="7" fillId="68" borderId="1" xfId="0" applyNumberFormat="1" applyFont="1" applyFill="1" applyBorder="1" applyAlignment="1">
      <alignment horizontal="center" vertical="center" wrapText="1"/>
    </xf>
    <xf numFmtId="16" fontId="2" fillId="60" borderId="1" xfId="0" applyNumberFormat="1" applyFont="1" applyFill="1" applyBorder="1" applyAlignment="1">
      <alignment horizontal="center" vertical="center" wrapText="1"/>
    </xf>
    <xf numFmtId="16" fontId="2" fillId="54" borderId="4" xfId="0" applyNumberFormat="1" applyFont="1" applyFill="1" applyBorder="1" applyAlignment="1">
      <alignment horizontal="center" vertical="center" wrapText="1"/>
    </xf>
    <xf numFmtId="16" fontId="2" fillId="54" borderId="1" xfId="0" applyNumberFormat="1" applyFont="1" applyFill="1" applyBorder="1" applyAlignment="1">
      <alignment horizontal="center" vertical="center" wrapText="1"/>
    </xf>
    <xf numFmtId="20" fontId="7" fillId="54" borderId="1" xfId="0" applyNumberFormat="1" applyFont="1" applyFill="1" applyBorder="1" applyAlignment="1">
      <alignment horizontal="center" vertical="center" wrapText="1"/>
    </xf>
    <xf numFmtId="2" fontId="7" fillId="54" borderId="1" xfId="0" applyNumberFormat="1" applyFont="1" applyFill="1" applyBorder="1" applyAlignment="1">
      <alignment horizontal="center" vertical="center" wrapText="1"/>
    </xf>
    <xf numFmtId="0" fontId="7" fillId="76" borderId="1" xfId="0" applyFont="1" applyFill="1" applyBorder="1" applyAlignment="1">
      <alignment horizontal="center" vertical="center" wrapText="1"/>
    </xf>
    <xf numFmtId="0" fontId="7" fillId="76" borderId="3" xfId="0" applyFont="1" applyFill="1" applyBorder="1" applyAlignment="1">
      <alignment horizontal="center" vertical="center" wrapText="1"/>
    </xf>
    <xf numFmtId="2" fontId="7" fillId="59" borderId="1" xfId="0" applyNumberFormat="1" applyFont="1" applyFill="1" applyBorder="1" applyAlignment="1">
      <alignment horizontal="center" vertical="center" wrapText="1"/>
    </xf>
    <xf numFmtId="0" fontId="178" fillId="62" borderId="1" xfId="0" applyFont="1" applyFill="1" applyBorder="1" applyAlignment="1">
      <alignment horizontal="center" vertical="center" wrapText="1"/>
    </xf>
    <xf numFmtId="0" fontId="7" fillId="62" borderId="3" xfId="0" applyFont="1" applyFill="1" applyBorder="1" applyAlignment="1">
      <alignment horizontal="center" vertical="center" wrapText="1"/>
    </xf>
    <xf numFmtId="0" fontId="179" fillId="48" borderId="1" xfId="0" applyFont="1" applyFill="1" applyBorder="1" applyAlignment="1">
      <alignment horizontal="center" vertical="center" wrapText="1"/>
    </xf>
    <xf numFmtId="2" fontId="0" fillId="0" borderId="0" xfId="0" applyNumberFormat="1" applyFont="1" applyBorder="1" applyAlignment="1">
      <alignment wrapText="1"/>
    </xf>
    <xf numFmtId="0" fontId="2" fillId="0" borderId="1" xfId="0" applyFont="1" applyBorder="1" applyAlignment="1">
      <alignment horizontal="center" vertical="center" wrapText="1"/>
    </xf>
    <xf numFmtId="0" fontId="2" fillId="0" borderId="1" xfId="0" applyFont="1" applyFill="1" applyBorder="1" applyAlignment="1">
      <alignment horizontal="center" vertical="center" wrapText="1"/>
    </xf>
    <xf numFmtId="20" fontId="2" fillId="0" borderId="1" xfId="0" applyNumberFormat="1" applyFont="1" applyFill="1" applyBorder="1" applyAlignment="1">
      <alignment horizontal="center" vertical="center" wrapText="1"/>
    </xf>
    <xf numFmtId="0" fontId="7" fillId="0" borderId="1" xfId="0" applyFont="1" applyFill="1" applyBorder="1" applyAlignment="1">
      <alignment horizontal="center" vertical="center"/>
    </xf>
    <xf numFmtId="16" fontId="2" fillId="48" borderId="36" xfId="0" applyNumberFormat="1" applyFont="1" applyFill="1" applyBorder="1" applyAlignment="1">
      <alignment horizontal="center" vertical="center"/>
    </xf>
    <xf numFmtId="0" fontId="7" fillId="59" borderId="25" xfId="0" applyFont="1" applyFill="1" applyBorder="1" applyAlignment="1">
      <alignment horizontal="center" vertical="center" wrapText="1"/>
    </xf>
    <xf numFmtId="16" fontId="2" fillId="48" borderId="25" xfId="0" applyNumberFormat="1" applyFont="1" applyFill="1" applyBorder="1" applyAlignment="1">
      <alignment horizontal="center" vertical="center"/>
    </xf>
    <xf numFmtId="16" fontId="7" fillId="60" borderId="25" xfId="0" applyNumberFormat="1" applyFont="1" applyFill="1" applyBorder="1" applyAlignment="1">
      <alignment horizontal="center" vertical="center" wrapText="1"/>
    </xf>
    <xf numFmtId="20" fontId="7" fillId="48" borderId="25" xfId="0" applyNumberFormat="1" applyFont="1" applyFill="1" applyBorder="1" applyAlignment="1">
      <alignment horizontal="center" vertical="center"/>
    </xf>
    <xf numFmtId="2" fontId="7" fillId="48" borderId="25" xfId="0" applyNumberFormat="1" applyFont="1" applyFill="1" applyBorder="1" applyAlignment="1">
      <alignment horizontal="center" vertical="center"/>
    </xf>
    <xf numFmtId="0" fontId="2" fillId="10" borderId="1" xfId="0" applyFont="1" applyFill="1" applyBorder="1" applyAlignment="1">
      <alignment horizontal="center" vertical="center" wrapText="1"/>
    </xf>
    <xf numFmtId="16" fontId="2" fillId="62" borderId="36" xfId="0" applyNumberFormat="1" applyFont="1" applyFill="1" applyBorder="1" applyAlignment="1">
      <alignment horizontal="center" vertical="center"/>
    </xf>
    <xf numFmtId="0" fontId="7" fillId="62" borderId="25" xfId="0" applyFont="1" applyFill="1" applyBorder="1" applyAlignment="1">
      <alignment horizontal="center" vertical="center" wrapText="1"/>
    </xf>
    <xf numFmtId="16" fontId="2" fillId="59" borderId="25" xfId="0" applyNumberFormat="1" applyFont="1" applyFill="1" applyBorder="1" applyAlignment="1">
      <alignment horizontal="center" vertical="center"/>
    </xf>
    <xf numFmtId="0" fontId="2" fillId="10" borderId="1" xfId="0" applyFont="1" applyFill="1" applyBorder="1" applyAlignment="1">
      <alignment horizontal="center" vertical="center"/>
    </xf>
    <xf numFmtId="20" fontId="7" fillId="10" borderId="25" xfId="0" applyNumberFormat="1" applyFont="1" applyFill="1" applyBorder="1" applyAlignment="1">
      <alignment horizontal="center" vertical="center"/>
    </xf>
    <xf numFmtId="2" fontId="7" fillId="10" borderId="25" xfId="0" applyNumberFormat="1" applyFont="1" applyFill="1" applyBorder="1" applyAlignment="1">
      <alignment horizontal="center" vertical="center"/>
    </xf>
    <xf numFmtId="0" fontId="7" fillId="53" borderId="25" xfId="0" applyFont="1" applyFill="1" applyBorder="1" applyAlignment="1">
      <alignment horizontal="center" vertical="center" wrapText="1"/>
    </xf>
    <xf numFmtId="0" fontId="180" fillId="0" borderId="1" xfId="0" applyFont="1" applyFill="1" applyBorder="1" applyAlignment="1">
      <alignment horizontal="center" vertical="center" wrapText="1"/>
    </xf>
    <xf numFmtId="0" fontId="180" fillId="48" borderId="1" xfId="0" applyFont="1" applyFill="1" applyBorder="1" applyAlignment="1">
      <alignment horizontal="center" vertical="center" wrapText="1"/>
    </xf>
    <xf numFmtId="0" fontId="180" fillId="48" borderId="3" xfId="0" applyFont="1" applyFill="1" applyBorder="1" applyAlignment="1">
      <alignment horizontal="center" vertical="center" wrapText="1"/>
    </xf>
    <xf numFmtId="2" fontId="174" fillId="51" borderId="1" xfId="0" applyNumberFormat="1" applyFont="1" applyFill="1" applyBorder="1" applyAlignment="1">
      <alignment horizontal="center" vertical="center" wrapText="1"/>
    </xf>
    <xf numFmtId="0" fontId="2" fillId="59" borderId="1" xfId="0" applyFont="1" applyFill="1" applyBorder="1" applyAlignment="1">
      <alignment horizontal="center" vertical="center" wrapText="1"/>
    </xf>
    <xf numFmtId="20" fontId="2" fillId="59" borderId="1" xfId="0" applyNumberFormat="1" applyFont="1" applyFill="1" applyBorder="1" applyAlignment="1">
      <alignment horizontal="center" vertical="center" wrapText="1"/>
    </xf>
    <xf numFmtId="20" fontId="7" fillId="48" borderId="3" xfId="0" applyNumberFormat="1" applyFont="1" applyFill="1" applyBorder="1" applyAlignment="1">
      <alignment horizontal="center" vertical="center" wrapText="1"/>
    </xf>
    <xf numFmtId="20" fontId="2" fillId="0" borderId="3" xfId="0" applyNumberFormat="1" applyFont="1" applyFill="1" applyBorder="1" applyAlignment="1">
      <alignment horizontal="center" vertical="center" wrapText="1"/>
    </xf>
    <xf numFmtId="0" fontId="181" fillId="48" borderId="1" xfId="0" applyFont="1" applyFill="1" applyBorder="1" applyAlignment="1">
      <alignment horizontal="center" vertical="center" wrapText="1"/>
    </xf>
    <xf numFmtId="0" fontId="181" fillId="48" borderId="3" xfId="0" applyFont="1" applyFill="1" applyBorder="1" applyAlignment="1">
      <alignment horizontal="center" vertical="center" wrapText="1"/>
    </xf>
    <xf numFmtId="16" fontId="2" fillId="14" borderId="4" xfId="0" applyNumberFormat="1" applyFont="1" applyFill="1" applyBorder="1" applyAlignment="1">
      <alignment horizontal="center" vertical="center" wrapText="1"/>
    </xf>
    <xf numFmtId="16" fontId="2" fillId="14" borderId="1" xfId="0" applyNumberFormat="1" applyFont="1" applyFill="1" applyBorder="1" applyAlignment="1">
      <alignment horizontal="center" vertical="center"/>
    </xf>
    <xf numFmtId="0" fontId="7" fillId="64" borderId="1" xfId="0" applyFont="1" applyFill="1" applyBorder="1" applyAlignment="1">
      <alignment horizontal="center" vertical="center" wrapText="1"/>
    </xf>
    <xf numFmtId="2" fontId="2" fillId="0" borderId="0" xfId="0" applyNumberFormat="1" applyFont="1" applyAlignment="1">
      <alignment wrapText="1"/>
    </xf>
    <xf numFmtId="16" fontId="7" fillId="0" borderId="6" xfId="0" applyNumberFormat="1" applyFont="1" applyBorder="1" applyAlignment="1">
      <alignment horizontal="center" wrapText="1"/>
    </xf>
    <xf numFmtId="2" fontId="0" fillId="0" borderId="6" xfId="0" applyNumberFormat="1" applyBorder="1" applyAlignment="1">
      <alignment horizontal="center" wrapText="1"/>
    </xf>
    <xf numFmtId="16" fontId="2" fillId="0" borderId="1" xfId="0" applyNumberFormat="1" applyFont="1" applyBorder="1" applyAlignment="1">
      <alignment horizontal="center" wrapText="1"/>
    </xf>
    <xf numFmtId="16" fontId="7" fillId="0" borderId="1" xfId="0" applyNumberFormat="1" applyFont="1" applyBorder="1" applyAlignment="1">
      <alignment horizontal="center" wrapText="1"/>
    </xf>
    <xf numFmtId="2" fontId="2" fillId="0" borderId="0" xfId="0" applyNumberFormat="1" applyFont="1" applyFill="1" applyAlignment="1">
      <alignment wrapText="1"/>
    </xf>
    <xf numFmtId="14" fontId="2" fillId="0" borderId="0" xfId="0" applyNumberFormat="1" applyFont="1" applyFill="1" applyAlignment="1">
      <alignment wrapText="1"/>
    </xf>
    <xf numFmtId="16" fontId="2" fillId="0" borderId="0" xfId="0" applyNumberFormat="1" applyFont="1" applyBorder="1" applyAlignment="1">
      <alignment wrapText="1"/>
    </xf>
    <xf numFmtId="16" fontId="7" fillId="0" borderId="0" xfId="0" applyNumberFormat="1" applyFont="1" applyBorder="1" applyAlignment="1">
      <alignment horizontal="left" vertical="center" wrapText="1"/>
    </xf>
    <xf numFmtId="16" fontId="2" fillId="0" borderId="0" xfId="0" applyNumberFormat="1" applyFont="1" applyFill="1" applyBorder="1" applyAlignment="1">
      <alignment wrapText="1"/>
    </xf>
    <xf numFmtId="16" fontId="7" fillId="0" borderId="0" xfId="0" applyNumberFormat="1" applyFont="1" applyFill="1" applyBorder="1" applyAlignment="1">
      <alignment horizontal="left" vertical="center" wrapText="1"/>
    </xf>
    <xf numFmtId="0" fontId="182" fillId="48" borderId="1" xfId="0" applyFont="1" applyFill="1" applyBorder="1" applyAlignment="1">
      <alignment horizontal="center" vertical="center" wrapText="1"/>
    </xf>
    <xf numFmtId="0" fontId="182" fillId="48" borderId="3" xfId="0" applyFont="1" applyFill="1" applyBorder="1" applyAlignment="1">
      <alignment horizontal="center" vertical="center" wrapText="1"/>
    </xf>
    <xf numFmtId="16" fontId="2" fillId="14" borderId="1" xfId="0" applyNumberFormat="1" applyFont="1" applyFill="1" applyBorder="1" applyAlignment="1">
      <alignment horizontal="center" vertical="center" wrapText="1"/>
    </xf>
    <xf numFmtId="0" fontId="180" fillId="63" borderId="1" xfId="0" applyFont="1" applyFill="1" applyBorder="1" applyAlignment="1">
      <alignment horizontal="center" vertical="center" wrapText="1"/>
    </xf>
    <xf numFmtId="0" fontId="180" fillId="63" borderId="3" xfId="0" applyFont="1" applyFill="1" applyBorder="1" applyAlignment="1">
      <alignment horizontal="center" vertical="center" wrapText="1"/>
    </xf>
    <xf numFmtId="2" fontId="7" fillId="51" borderId="37" xfId="0" applyNumberFormat="1" applyFont="1" applyFill="1" applyBorder="1" applyAlignment="1">
      <alignment horizontal="center" vertical="center"/>
    </xf>
    <xf numFmtId="2" fontId="7" fillId="48" borderId="37" xfId="0" applyNumberFormat="1" applyFont="1" applyFill="1" applyBorder="1" applyAlignment="1">
      <alignment horizontal="center" vertical="center"/>
    </xf>
    <xf numFmtId="2" fontId="7" fillId="10" borderId="37" xfId="0" applyNumberFormat="1" applyFont="1" applyFill="1" applyBorder="1" applyAlignment="1">
      <alignment horizontal="center" vertical="center"/>
    </xf>
    <xf numFmtId="2" fontId="174" fillId="48" borderId="1" xfId="0" applyNumberFormat="1" applyFont="1" applyFill="1" applyBorder="1" applyAlignment="1">
      <alignment horizontal="center" vertical="center" wrapText="1"/>
    </xf>
    <xf numFmtId="0" fontId="2" fillId="48" borderId="1" xfId="0" applyFont="1" applyFill="1" applyBorder="1" applyAlignment="1">
      <alignment horizontal="center" vertical="center" wrapText="1"/>
    </xf>
    <xf numFmtId="0" fontId="2" fillId="51" borderId="1" xfId="0"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2" fillId="48" borderId="1" xfId="0" applyNumberFormat="1" applyFont="1" applyFill="1" applyBorder="1" applyAlignment="1">
      <alignment horizontal="center" vertical="center" wrapText="1"/>
    </xf>
    <xf numFmtId="0" fontId="1" fillId="77" borderId="7" xfId="0" applyFont="1" applyFill="1" applyBorder="1" applyAlignment="1">
      <alignment horizontal="center" vertical="center" wrapText="1"/>
    </xf>
    <xf numFmtId="0" fontId="1" fillId="77" borderId="6" xfId="0" applyFont="1" applyFill="1" applyBorder="1" applyAlignment="1">
      <alignment horizontal="center" vertical="center" wrapText="1"/>
    </xf>
    <xf numFmtId="0" fontId="1" fillId="77" borderId="5" xfId="0" applyFont="1" applyFill="1" applyBorder="1" applyAlignment="1">
      <alignment horizontal="center" vertical="center" wrapText="1"/>
    </xf>
    <xf numFmtId="16" fontId="7" fillId="0" borderId="1" xfId="0" applyNumberFormat="1" applyFont="1" applyBorder="1" applyAlignment="1">
      <alignment horizontal="center"/>
    </xf>
    <xf numFmtId="2" fontId="0" fillId="0" borderId="1" xfId="0" applyNumberFormat="1" applyBorder="1" applyAlignment="1">
      <alignment horizontal="center"/>
    </xf>
    <xf numFmtId="2" fontId="0" fillId="0" borderId="2" xfId="0" applyNumberFormat="1" applyBorder="1" applyAlignment="1">
      <alignment horizontal="center"/>
    </xf>
    <xf numFmtId="20" fontId="7" fillId="48" borderId="1" xfId="0" applyNumberFormat="1" applyFont="1" applyFill="1" applyBorder="1" applyAlignment="1">
      <alignment horizontal="center" vertical="center" wrapText="1"/>
    </xf>
    <xf numFmtId="20" fontId="7" fillId="63" borderId="1" xfId="0" applyNumberFormat="1" applyFont="1" applyFill="1" applyBorder="1" applyAlignment="1">
      <alignment horizontal="center" vertical="center" wrapText="1"/>
    </xf>
    <xf numFmtId="0" fontId="0" fillId="14" borderId="0" xfId="0" applyFill="1" applyAlignment="1">
      <alignment wrapText="1"/>
    </xf>
    <xf numFmtId="16" fontId="7" fillId="0" borderId="3" xfId="0" applyNumberFormat="1" applyFont="1" applyFill="1" applyBorder="1" applyAlignment="1">
      <alignment horizontal="center" vertical="center" wrapText="1"/>
    </xf>
    <xf numFmtId="20" fontId="7" fillId="48" borderId="1" xfId="0" applyNumberFormat="1" applyFont="1" applyFill="1" applyBorder="1" applyAlignment="1">
      <alignment horizontal="center" vertical="center" wrapText="1"/>
    </xf>
    <xf numFmtId="20" fontId="7" fillId="58" borderId="1" xfId="0" applyNumberFormat="1" applyFont="1" applyFill="1" applyBorder="1" applyAlignment="1">
      <alignment horizontal="center" vertical="center" wrapText="1"/>
    </xf>
    <xf numFmtId="16" fontId="7" fillId="60" borderId="1" xfId="0" quotePrefix="1" applyNumberFormat="1" applyFont="1" applyFill="1" applyBorder="1" applyAlignment="1">
      <alignment horizontal="center" vertical="center" wrapText="1"/>
    </xf>
    <xf numFmtId="0" fontId="2" fillId="57" borderId="1" xfId="0" applyFont="1" applyFill="1" applyBorder="1" applyAlignment="1">
      <alignment horizontal="center" vertical="center" wrapText="1"/>
    </xf>
    <xf numFmtId="0" fontId="7" fillId="48" borderId="1" xfId="0" quotePrefix="1" applyFont="1" applyFill="1" applyBorder="1" applyAlignment="1">
      <alignment horizontal="center" vertical="center" wrapText="1"/>
    </xf>
    <xf numFmtId="16" fontId="2" fillId="10" borderId="9" xfId="0" applyNumberFormat="1" applyFont="1" applyFill="1" applyBorder="1" applyAlignment="1">
      <alignment horizontal="center" vertical="center" wrapText="1"/>
    </xf>
    <xf numFmtId="16" fontId="2" fillId="10" borderId="2" xfId="0" applyNumberFormat="1" applyFont="1" applyFill="1" applyBorder="1" applyAlignment="1">
      <alignment horizontal="center" vertical="center" wrapText="1"/>
    </xf>
    <xf numFmtId="20" fontId="7" fillId="48" borderId="1" xfId="0" applyNumberFormat="1" applyFont="1" applyFill="1" applyBorder="1" applyAlignment="1">
      <alignment horizontal="center" vertical="center" wrapText="1"/>
    </xf>
    <xf numFmtId="16" fontId="2" fillId="62" borderId="9" xfId="0" applyNumberFormat="1" applyFont="1" applyFill="1" applyBorder="1" applyAlignment="1">
      <alignment horizontal="center" vertical="center" wrapText="1"/>
    </xf>
    <xf numFmtId="16" fontId="2" fillId="62" borderId="2" xfId="0" applyNumberFormat="1" applyFont="1" applyFill="1" applyBorder="1" applyAlignment="1">
      <alignment horizontal="center" vertical="center" wrapText="1"/>
    </xf>
    <xf numFmtId="20" fontId="7" fillId="62" borderId="2" xfId="0" applyNumberFormat="1" applyFont="1" applyFill="1" applyBorder="1" applyAlignment="1">
      <alignment horizontal="center" vertical="center" wrapText="1"/>
    </xf>
    <xf numFmtId="16" fontId="2" fillId="0" borderId="9" xfId="0" applyNumberFormat="1" applyFont="1" applyBorder="1" applyAlignment="1">
      <alignment horizontal="center" vertical="center" wrapText="1"/>
    </xf>
    <xf numFmtId="16" fontId="2" fillId="0" borderId="2" xfId="0" applyNumberFormat="1" applyFont="1" applyBorder="1" applyAlignment="1">
      <alignment horizontal="center" vertical="center" wrapText="1"/>
    </xf>
    <xf numFmtId="16" fontId="2" fillId="53" borderId="9" xfId="0" applyNumberFormat="1" applyFont="1" applyFill="1" applyBorder="1" applyAlignment="1">
      <alignment horizontal="center" vertical="center" wrapText="1"/>
    </xf>
    <xf numFmtId="16" fontId="2" fillId="53" borderId="2" xfId="0" applyNumberFormat="1" applyFont="1" applyFill="1" applyBorder="1" applyAlignment="1">
      <alignment horizontal="center" vertical="center" wrapText="1"/>
    </xf>
    <xf numFmtId="16" fontId="7" fillId="61" borderId="2" xfId="0" applyNumberFormat="1" applyFont="1" applyFill="1" applyBorder="1" applyAlignment="1">
      <alignment horizontal="center" vertical="center" wrapText="1"/>
    </xf>
    <xf numFmtId="20" fontId="7" fillId="48" borderId="1" xfId="0" applyNumberFormat="1" applyFont="1" applyFill="1" applyBorder="1" applyAlignment="1">
      <alignment horizontal="center" vertical="center" wrapText="1"/>
    </xf>
    <xf numFmtId="2" fontId="7" fillId="64" borderId="1" xfId="0" applyNumberFormat="1" applyFont="1" applyFill="1" applyBorder="1" applyAlignment="1">
      <alignment horizontal="center" vertical="center" wrapText="1"/>
    </xf>
    <xf numFmtId="20" fontId="7" fillId="48" borderId="1" xfId="0" applyNumberFormat="1" applyFont="1" applyFill="1" applyBorder="1" applyAlignment="1">
      <alignment horizontal="center" vertical="center" wrapText="1"/>
    </xf>
    <xf numFmtId="20" fontId="7" fillId="48" borderId="1" xfId="0" applyNumberFormat="1" applyFont="1" applyFill="1" applyBorder="1" applyAlignment="1">
      <alignment horizontal="center" vertical="center" wrapText="1"/>
    </xf>
    <xf numFmtId="0" fontId="7" fillId="78" borderId="1" xfId="0" applyFont="1" applyFill="1" applyBorder="1" applyAlignment="1">
      <alignment horizontal="center" vertical="center" wrapText="1"/>
    </xf>
    <xf numFmtId="0" fontId="7" fillId="48" borderId="1" xfId="1" applyFont="1" applyFill="1" applyBorder="1" applyAlignment="1">
      <alignment horizontal="center" vertical="center" wrapText="1"/>
    </xf>
    <xf numFmtId="0" fontId="7" fillId="79" borderId="1"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6" xfId="0" applyFont="1" applyFill="1" applyBorder="1" applyAlignment="1">
      <alignment horizontal="center" vertical="center" wrapText="1"/>
    </xf>
    <xf numFmtId="0" fontId="1" fillId="0" borderId="5" xfId="0" applyFont="1" applyFill="1" applyBorder="1" applyAlignment="1">
      <alignment horizontal="center" vertical="center" wrapText="1"/>
    </xf>
    <xf numFmtId="16" fontId="7" fillId="48" borderId="3" xfId="0" applyNumberFormat="1" applyFont="1" applyFill="1" applyBorder="1" applyAlignment="1">
      <alignment horizontal="center" vertical="center" wrapText="1"/>
    </xf>
    <xf numFmtId="0" fontId="7" fillId="75" borderId="2" xfId="0" applyFont="1" applyFill="1" applyBorder="1" applyAlignment="1">
      <alignment horizontal="center" vertical="center" wrapText="1"/>
    </xf>
    <xf numFmtId="0" fontId="7" fillId="53" borderId="9" xfId="0" applyFont="1" applyFill="1" applyBorder="1" applyAlignment="1">
      <alignment horizontal="center" vertical="center" wrapText="1"/>
    </xf>
    <xf numFmtId="16" fontId="2" fillId="0" borderId="3" xfId="0" applyNumberFormat="1" applyFont="1" applyFill="1" applyBorder="1" applyAlignment="1">
      <alignment horizontal="center" vertical="center" wrapText="1"/>
    </xf>
    <xf numFmtId="20" fontId="7" fillId="48" borderId="1" xfId="0" applyNumberFormat="1" applyFont="1" applyFill="1" applyBorder="1" applyAlignment="1">
      <alignment horizontal="center" vertical="center" wrapText="1"/>
    </xf>
    <xf numFmtId="10" fontId="183" fillId="0" borderId="0" xfId="1" applyNumberFormat="1" applyFont="1"/>
    <xf numFmtId="10" fontId="184" fillId="0" borderId="0" xfId="1" applyNumberFormat="1" applyFont="1"/>
    <xf numFmtId="0" fontId="2" fillId="0" borderId="0" xfId="0" applyFont="1" applyBorder="1" applyAlignment="1">
      <alignment horizontal="center" vertical="center" wrapText="1"/>
    </xf>
    <xf numFmtId="2" fontId="0" fillId="0" borderId="0" xfId="0" applyNumberFormat="1" applyBorder="1" applyAlignment="1">
      <alignment horizontal="center" wrapText="1"/>
    </xf>
    <xf numFmtId="2" fontId="0" fillId="0" borderId="0" xfId="0" applyNumberFormat="1" applyBorder="1" applyAlignment="1">
      <alignment horizontal="center"/>
    </xf>
    <xf numFmtId="20" fontId="7" fillId="48" borderId="1" xfId="0" applyNumberFormat="1" applyFont="1" applyFill="1" applyBorder="1" applyAlignment="1">
      <alignment horizontal="center" vertical="center" wrapText="1"/>
    </xf>
    <xf numFmtId="20" fontId="185" fillId="48" borderId="1" xfId="0" applyNumberFormat="1" applyFont="1" applyFill="1" applyBorder="1" applyAlignment="1">
      <alignment horizontal="center" vertical="center" wrapText="1"/>
    </xf>
    <xf numFmtId="2" fontId="185" fillId="48" borderId="1" xfId="0" applyNumberFormat="1" applyFont="1" applyFill="1" applyBorder="1" applyAlignment="1">
      <alignment horizontal="center" vertical="center" wrapText="1"/>
    </xf>
    <xf numFmtId="0" fontId="185" fillId="48" borderId="1" xfId="0" applyFont="1" applyFill="1" applyBorder="1" applyAlignment="1">
      <alignment horizontal="center" vertical="center" wrapText="1"/>
    </xf>
    <xf numFmtId="0" fontId="185" fillId="48" borderId="6" xfId="0" applyFont="1" applyFill="1" applyBorder="1" applyAlignment="1">
      <alignment horizontal="center" vertical="center" wrapText="1"/>
    </xf>
    <xf numFmtId="0" fontId="185" fillId="48" borderId="2" xfId="0" applyFont="1" applyFill="1" applyBorder="1" applyAlignment="1">
      <alignment horizontal="center" vertical="center" wrapText="1"/>
    </xf>
    <xf numFmtId="0" fontId="186" fillId="0" borderId="6" xfId="0" applyFont="1" applyFill="1" applyBorder="1" applyAlignment="1">
      <alignment horizontal="center" vertical="center" wrapText="1"/>
    </xf>
    <xf numFmtId="0" fontId="187" fillId="48" borderId="1" xfId="0" applyFont="1" applyFill="1" applyBorder="1" applyAlignment="1">
      <alignment horizontal="center" vertical="center" wrapText="1"/>
    </xf>
    <xf numFmtId="20" fontId="188" fillId="48" borderId="1" xfId="0" applyNumberFormat="1" applyFont="1" applyFill="1" applyBorder="1" applyAlignment="1">
      <alignment horizontal="center" vertical="center" wrapText="1"/>
    </xf>
    <xf numFmtId="2" fontId="188" fillId="48" borderId="1" xfId="0" applyNumberFormat="1" applyFont="1" applyFill="1" applyBorder="1" applyAlignment="1">
      <alignment horizontal="center" vertical="center" wrapText="1"/>
    </xf>
    <xf numFmtId="0" fontId="1" fillId="0" borderId="1" xfId="0" applyFont="1" applyFill="1" applyBorder="1" applyAlignment="1">
      <alignment horizontal="center" vertical="center" wrapText="1"/>
    </xf>
    <xf numFmtId="16" fontId="2" fillId="63" borderId="1" xfId="0" applyNumberFormat="1" applyFont="1" applyFill="1" applyBorder="1" applyAlignment="1">
      <alignment horizontal="center" vertical="center" wrapText="1"/>
    </xf>
    <xf numFmtId="2" fontId="7" fillId="63" borderId="1" xfId="0" applyNumberFormat="1" applyFont="1" applyFill="1" applyBorder="1" applyAlignment="1">
      <alignment horizontal="center" vertical="center" wrapText="1"/>
    </xf>
    <xf numFmtId="2" fontId="189" fillId="48" borderId="1" xfId="0" applyNumberFormat="1" applyFont="1" applyFill="1" applyBorder="1" applyAlignment="1">
      <alignment horizontal="center" vertical="center" wrapText="1"/>
    </xf>
    <xf numFmtId="2" fontId="189" fillId="57" borderId="1" xfId="0" applyNumberFormat="1" applyFont="1" applyFill="1" applyBorder="1" applyAlignment="1">
      <alignment horizontal="center" vertical="center" wrapText="1"/>
    </xf>
    <xf numFmtId="0" fontId="189" fillId="0" borderId="1" xfId="0" applyFont="1" applyFill="1" applyBorder="1" applyAlignment="1">
      <alignment horizontal="center" vertical="center" wrapText="1"/>
    </xf>
    <xf numFmtId="0" fontId="0" fillId="0" borderId="0" xfId="0" quotePrefix="1" applyAlignment="1">
      <alignment wrapText="1"/>
    </xf>
    <xf numFmtId="0" fontId="189" fillId="48" borderId="1" xfId="0" applyFont="1" applyFill="1" applyBorder="1" applyAlignment="1">
      <alignment horizontal="center" vertical="center" wrapText="1"/>
    </xf>
    <xf numFmtId="0" fontId="190" fillId="0" borderId="1" xfId="0" applyFont="1" applyFill="1" applyBorder="1" applyAlignment="1">
      <alignment horizontal="center" vertical="center" wrapText="1"/>
    </xf>
    <xf numFmtId="20" fontId="190" fillId="48" borderId="1" xfId="0" applyNumberFormat="1" applyFont="1" applyFill="1" applyBorder="1" applyAlignment="1">
      <alignment horizontal="center" vertical="center" wrapText="1"/>
    </xf>
    <xf numFmtId="2" fontId="190" fillId="48" borderId="1" xfId="0" applyNumberFormat="1" applyFont="1" applyFill="1" applyBorder="1" applyAlignment="1">
      <alignment horizontal="center" vertical="center" wrapText="1"/>
    </xf>
    <xf numFmtId="20" fontId="190" fillId="0" borderId="1" xfId="0" applyNumberFormat="1" applyFont="1" applyFill="1" applyBorder="1" applyAlignment="1">
      <alignment horizontal="center" vertical="center" wrapText="1"/>
    </xf>
    <xf numFmtId="0" fontId="190" fillId="48" borderId="1" xfId="0" applyFont="1" applyFill="1" applyBorder="1" applyAlignment="1">
      <alignment horizontal="center" vertical="center" wrapText="1"/>
    </xf>
    <xf numFmtId="0" fontId="189" fillId="0" borderId="1" xfId="0" applyFont="1" applyBorder="1" applyAlignment="1">
      <alignment horizontal="center" vertical="center" wrapText="1"/>
    </xf>
    <xf numFmtId="20" fontId="7" fillId="63" borderId="1" xfId="0" applyNumberFormat="1" applyFont="1" applyFill="1" applyBorder="1" applyAlignment="1">
      <alignment horizontal="center" vertical="center" wrapText="1"/>
    </xf>
    <xf numFmtId="2" fontId="187" fillId="57" borderId="1" xfId="0" applyNumberFormat="1" applyFont="1" applyFill="1" applyBorder="1" applyAlignment="1">
      <alignment horizontal="center" vertical="center" wrapText="1"/>
    </xf>
    <xf numFmtId="20" fontId="189" fillId="48" borderId="1" xfId="0" applyNumberFormat="1" applyFont="1" applyFill="1" applyBorder="1" applyAlignment="1">
      <alignment horizontal="center" vertical="center" wrapText="1"/>
    </xf>
    <xf numFmtId="16" fontId="189" fillId="48" borderId="1" xfId="0" applyNumberFormat="1" applyFont="1" applyFill="1" applyBorder="1" applyAlignment="1">
      <alignment horizontal="center" vertical="center" wrapText="1"/>
    </xf>
    <xf numFmtId="0" fontId="0" fillId="0" borderId="0" xfId="0" applyAlignment="1"/>
    <xf numFmtId="0" fontId="2" fillId="0" borderId="0" xfId="0" applyFont="1" applyFill="1" applyAlignment="1"/>
    <xf numFmtId="2" fontId="2" fillId="0" borderId="0" xfId="0" applyNumberFormat="1" applyFont="1" applyFill="1" applyAlignment="1"/>
    <xf numFmtId="0" fontId="2" fillId="0" borderId="0" xfId="0" applyFont="1" applyAlignment="1"/>
    <xf numFmtId="0" fontId="189" fillId="0" borderId="1" xfId="0" applyNumberFormat="1" applyFont="1" applyBorder="1" applyAlignment="1">
      <alignment horizontal="center" vertical="center" wrapText="1"/>
    </xf>
    <xf numFmtId="0" fontId="7" fillId="0" borderId="1" xfId="0" applyNumberFormat="1" applyFont="1" applyBorder="1" applyAlignment="1">
      <alignment horizontal="center" vertical="center" wrapText="1"/>
    </xf>
    <xf numFmtId="2" fontId="191" fillId="48" borderId="1" xfId="0" applyNumberFormat="1" applyFont="1" applyFill="1" applyBorder="1" applyAlignment="1">
      <alignment horizontal="center" vertical="center" wrapText="1"/>
    </xf>
    <xf numFmtId="2" fontId="191" fillId="57" borderId="1" xfId="0" applyNumberFormat="1" applyFont="1" applyFill="1" applyBorder="1" applyAlignment="1">
      <alignment horizontal="center" vertical="center" wrapText="1"/>
    </xf>
    <xf numFmtId="0" fontId="191" fillId="0" borderId="1" xfId="0" applyFont="1" applyBorder="1" applyAlignment="1">
      <alignment horizontal="center" vertical="center" wrapText="1"/>
    </xf>
    <xf numFmtId="20" fontId="189" fillId="0" borderId="1" xfId="0" applyNumberFormat="1" applyFont="1" applyFill="1" applyBorder="1" applyAlignment="1">
      <alignment horizontal="center" vertical="center" wrapText="1"/>
    </xf>
    <xf numFmtId="0" fontId="189" fillId="0" borderId="1" xfId="0" applyNumberFormat="1" applyFont="1" applyFill="1" applyBorder="1" applyAlignment="1">
      <alignment horizontal="center" vertical="center" wrapText="1"/>
    </xf>
    <xf numFmtId="0" fontId="191" fillId="0" borderId="1" xfId="0" applyFont="1" applyFill="1" applyBorder="1" applyAlignment="1">
      <alignment horizontal="center" vertical="center" wrapText="1"/>
    </xf>
    <xf numFmtId="0" fontId="191" fillId="0" borderId="1" xfId="0" applyNumberFormat="1" applyFont="1" applyBorder="1" applyAlignment="1">
      <alignment horizontal="center" vertical="center" wrapText="1"/>
    </xf>
    <xf numFmtId="20" fontId="190" fillId="0" borderId="1" xfId="0" applyNumberFormat="1" applyFont="1" applyBorder="1" applyAlignment="1">
      <alignment horizontal="center" vertical="center" wrapText="1"/>
    </xf>
    <xf numFmtId="16" fontId="7" fillId="48" borderId="1" xfId="0" applyNumberFormat="1" applyFont="1" applyFill="1" applyBorder="1" applyAlignment="1">
      <alignment horizontal="center" vertical="center" wrapText="1"/>
    </xf>
    <xf numFmtId="0" fontId="190" fillId="0" borderId="1" xfId="0" applyFont="1" applyBorder="1" applyAlignment="1">
      <alignment horizontal="center" vertical="center" wrapText="1"/>
    </xf>
    <xf numFmtId="0" fontId="187" fillId="0" borderId="1" xfId="0" applyFont="1" applyBorder="1" applyAlignment="1">
      <alignment horizontal="center" vertical="center" wrapText="1"/>
    </xf>
    <xf numFmtId="2" fontId="189" fillId="52" borderId="1" xfId="0" applyNumberFormat="1" applyFont="1" applyFill="1" applyBorder="1" applyAlignment="1">
      <alignment horizontal="center" vertical="center" wrapText="1"/>
    </xf>
    <xf numFmtId="0" fontId="191" fillId="48" borderId="1" xfId="0" applyFont="1" applyFill="1" applyBorder="1" applyAlignment="1">
      <alignment horizontal="center" vertical="center" wrapText="1"/>
    </xf>
    <xf numFmtId="20" fontId="191" fillId="48" borderId="1" xfId="0" applyNumberFormat="1" applyFont="1" applyFill="1" applyBorder="1" applyAlignment="1">
      <alignment horizontal="center" vertical="center" wrapText="1"/>
    </xf>
    <xf numFmtId="20" fontId="7" fillId="48" borderId="1" xfId="0" applyNumberFormat="1" applyFont="1" applyFill="1" applyBorder="1" applyAlignment="1">
      <alignment horizontal="center" vertical="center" wrapText="1"/>
    </xf>
    <xf numFmtId="49" fontId="191" fillId="80" borderId="1" xfId="0" applyNumberFormat="1" applyFont="1" applyFill="1" applyBorder="1" applyAlignment="1">
      <alignment horizontal="center" vertical="center" wrapText="1"/>
    </xf>
    <xf numFmtId="49" fontId="7" fillId="80" borderId="1" xfId="0" applyNumberFormat="1" applyFont="1" applyFill="1" applyBorder="1" applyAlignment="1">
      <alignment horizontal="center" vertical="center" wrapText="1"/>
    </xf>
    <xf numFmtId="49" fontId="7" fillId="80" borderId="6" xfId="0" applyNumberFormat="1" applyFont="1" applyFill="1" applyBorder="1" applyAlignment="1">
      <alignment horizontal="center" vertical="center" wrapText="1"/>
    </xf>
    <xf numFmtId="49" fontId="189" fillId="80" borderId="6" xfId="0" applyNumberFormat="1" applyFont="1" applyFill="1" applyBorder="1" applyAlignment="1">
      <alignment horizontal="center" vertical="center" wrapText="1"/>
    </xf>
    <xf numFmtId="49" fontId="189" fillId="80" borderId="1" xfId="0" applyNumberFormat="1" applyFont="1" applyFill="1" applyBorder="1" applyAlignment="1">
      <alignment horizontal="center" vertical="center" wrapText="1"/>
    </xf>
    <xf numFmtId="49" fontId="7" fillId="80" borderId="1" xfId="0" quotePrefix="1" applyNumberFormat="1" applyFont="1" applyFill="1" applyBorder="1" applyAlignment="1">
      <alignment horizontal="center" vertical="center" wrapText="1"/>
    </xf>
    <xf numFmtId="49" fontId="7" fillId="0" borderId="1" xfId="0" applyNumberFormat="1" applyFont="1" applyFill="1" applyBorder="1" applyAlignment="1">
      <alignment horizontal="center" vertical="center" wrapText="1"/>
    </xf>
    <xf numFmtId="49" fontId="191" fillId="80" borderId="1" xfId="0" quotePrefix="1" applyNumberFormat="1" applyFont="1" applyFill="1" applyBorder="1" applyAlignment="1">
      <alignment horizontal="center" vertical="center" wrapText="1"/>
    </xf>
    <xf numFmtId="49" fontId="7" fillId="81" borderId="1" xfId="0" applyNumberFormat="1" applyFont="1" applyFill="1" applyBorder="1" applyAlignment="1">
      <alignment horizontal="center" vertical="center" wrapText="1"/>
    </xf>
    <xf numFmtId="49" fontId="189" fillId="80" borderId="2" xfId="0" applyNumberFormat="1" applyFont="1" applyFill="1" applyBorder="1" applyAlignment="1">
      <alignment horizontal="center" vertical="center" wrapText="1"/>
    </xf>
    <xf numFmtId="0" fontId="0" fillId="0" borderId="0" xfId="0" applyFill="1" applyBorder="1" applyAlignment="1">
      <alignment wrapText="1"/>
    </xf>
    <xf numFmtId="16" fontId="7" fillId="48" borderId="1" xfId="0" quotePrefix="1" applyNumberFormat="1" applyFont="1" applyFill="1" applyBorder="1" applyAlignment="1">
      <alignment horizontal="center" vertical="center" wrapText="1"/>
    </xf>
    <xf numFmtId="49" fontId="7" fillId="0" borderId="1" xfId="0" quotePrefix="1" applyNumberFormat="1" applyFont="1" applyFill="1" applyBorder="1" applyAlignment="1">
      <alignment horizontal="center" vertical="center" wrapText="1"/>
    </xf>
    <xf numFmtId="16" fontId="7" fillId="0" borderId="1" xfId="0" quotePrefix="1" applyNumberFormat="1" applyFont="1" applyFill="1" applyBorder="1" applyAlignment="1">
      <alignment horizontal="center" vertical="center" wrapText="1"/>
    </xf>
    <xf numFmtId="20" fontId="191" fillId="0" borderId="1" xfId="0" applyNumberFormat="1" applyFont="1" applyFill="1" applyBorder="1" applyAlignment="1">
      <alignment horizontal="center" vertical="center" wrapText="1"/>
    </xf>
    <xf numFmtId="0" fontId="185" fillId="0" borderId="1" xfId="0" applyFont="1" applyBorder="1" applyAlignment="1">
      <alignment horizontal="center" vertical="center" wrapText="1"/>
    </xf>
    <xf numFmtId="49" fontId="0" fillId="0" borderId="0" xfId="0" quotePrefix="1" applyNumberFormat="1" applyAlignment="1">
      <alignment wrapText="1"/>
    </xf>
    <xf numFmtId="16" fontId="2" fillId="48" borderId="1" xfId="0" quotePrefix="1" applyNumberFormat="1" applyFont="1" applyFill="1" applyBorder="1" applyAlignment="1">
      <alignment horizontal="center" vertical="center" wrapText="1"/>
    </xf>
    <xf numFmtId="0" fontId="185" fillId="0" borderId="1" xfId="0" applyFont="1" applyFill="1" applyBorder="1" applyAlignment="1">
      <alignment horizontal="center" vertical="center" wrapText="1"/>
    </xf>
    <xf numFmtId="0" fontId="188" fillId="0" borderId="1" xfId="0" applyFont="1" applyBorder="1" applyAlignment="1">
      <alignment horizontal="center" vertical="center" wrapText="1"/>
    </xf>
    <xf numFmtId="0" fontId="189" fillId="62" borderId="1" xfId="0" applyNumberFormat="1" applyFont="1" applyFill="1" applyBorder="1" applyAlignment="1">
      <alignment horizontal="center" vertical="center" wrapText="1"/>
    </xf>
    <xf numFmtId="0" fontId="189" fillId="62" borderId="1" xfId="0" applyFont="1" applyFill="1" applyBorder="1" applyAlignment="1">
      <alignment horizontal="center" vertical="center" wrapText="1"/>
    </xf>
    <xf numFmtId="0" fontId="7"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191" fillId="0" borderId="1" xfId="0" applyNumberFormat="1" applyFont="1" applyFill="1" applyBorder="1" applyAlignment="1">
      <alignment horizontal="center" vertical="center" wrapText="1"/>
    </xf>
    <xf numFmtId="16" fontId="2" fillId="48" borderId="1" xfId="0" applyNumberFormat="1" applyFont="1" applyFill="1" applyBorder="1" applyAlignment="1">
      <alignment horizontal="center" vertical="center" wrapText="1"/>
    </xf>
    <xf numFmtId="16" fontId="7" fillId="48" borderId="1" xfId="0" applyNumberFormat="1" applyFont="1" applyFill="1" applyBorder="1" applyAlignment="1">
      <alignment horizontal="center" vertical="center" wrapText="1"/>
    </xf>
    <xf numFmtId="16" fontId="7" fillId="0" borderId="1" xfId="0" quotePrefix="1" applyNumberFormat="1" applyFont="1" applyBorder="1" applyAlignment="1">
      <alignment horizontal="center" vertical="center" wrapText="1"/>
    </xf>
    <xf numFmtId="2" fontId="189" fillId="51" borderId="1" xfId="0" applyNumberFormat="1" applyFont="1" applyFill="1" applyBorder="1" applyAlignment="1">
      <alignment horizontal="center" vertical="center" wrapText="1"/>
    </xf>
    <xf numFmtId="2" fontId="185" fillId="57" borderId="1" xfId="0" applyNumberFormat="1" applyFont="1" applyFill="1" applyBorder="1" applyAlignment="1">
      <alignment horizontal="center" vertical="center" wrapText="1"/>
    </xf>
    <xf numFmtId="0" fontId="7" fillId="0" borderId="1" xfId="0" quotePrefix="1" applyFont="1" applyBorder="1" applyAlignment="1">
      <alignment horizontal="center" vertical="center" wrapText="1"/>
    </xf>
    <xf numFmtId="0" fontId="0" fillId="0" borderId="1" xfId="0" applyBorder="1" applyAlignment="1">
      <alignment wrapText="1"/>
    </xf>
    <xf numFmtId="16" fontId="7" fillId="10" borderId="1" xfId="0" quotePrefix="1" applyNumberFormat="1" applyFont="1" applyFill="1" applyBorder="1" applyAlignment="1">
      <alignment horizontal="center" vertical="center" wrapText="1"/>
    </xf>
    <xf numFmtId="49" fontId="7" fillId="10" borderId="1" xfId="0" quotePrefix="1" applyNumberFormat="1" applyFont="1" applyFill="1" applyBorder="1" applyAlignment="1">
      <alignment horizontal="center" vertical="center" wrapText="1"/>
    </xf>
    <xf numFmtId="49" fontId="7" fillId="82" borderId="1" xfId="0" quotePrefix="1" applyNumberFormat="1" applyFont="1" applyFill="1" applyBorder="1" applyAlignment="1">
      <alignment horizontal="center" vertical="center" wrapText="1"/>
    </xf>
    <xf numFmtId="16" fontId="2" fillId="76" borderId="1" xfId="0" applyNumberFormat="1" applyFont="1" applyFill="1" applyBorder="1" applyAlignment="1">
      <alignment horizontal="center" vertical="center" wrapText="1"/>
    </xf>
    <xf numFmtId="49" fontId="7" fillId="83" borderId="1" xfId="0" applyNumberFormat="1" applyFont="1" applyFill="1" applyBorder="1" applyAlignment="1">
      <alignment horizontal="center" vertical="center" wrapText="1"/>
    </xf>
    <xf numFmtId="16" fontId="7" fillId="76" borderId="1" xfId="0" applyNumberFormat="1" applyFont="1" applyFill="1" applyBorder="1" applyAlignment="1">
      <alignment horizontal="center" vertical="center" wrapText="1"/>
    </xf>
    <xf numFmtId="20" fontId="7" fillId="76" borderId="1" xfId="0" applyNumberFormat="1" applyFont="1" applyFill="1" applyBorder="1" applyAlignment="1">
      <alignment horizontal="center" vertical="center" wrapText="1"/>
    </xf>
    <xf numFmtId="2" fontId="7" fillId="76" borderId="1" xfId="0" applyNumberFormat="1" applyFont="1" applyFill="1" applyBorder="1" applyAlignment="1">
      <alignment horizontal="center" vertical="center" wrapText="1"/>
    </xf>
    <xf numFmtId="0" fontId="192" fillId="0" borderId="1" xfId="0" applyFont="1" applyFill="1" applyBorder="1" applyAlignment="1">
      <alignment horizontal="center" vertical="center" wrapText="1"/>
    </xf>
    <xf numFmtId="16" fontId="2" fillId="48" borderId="1" xfId="0" applyNumberFormat="1" applyFont="1" applyFill="1" applyBorder="1" applyAlignment="1">
      <alignment horizontal="center" vertical="center" wrapText="1"/>
    </xf>
    <xf numFmtId="16" fontId="7" fillId="48" borderId="1" xfId="0" applyNumberFormat="1" applyFont="1" applyFill="1" applyBorder="1" applyAlignment="1">
      <alignment horizontal="center" vertical="center" wrapText="1"/>
    </xf>
    <xf numFmtId="2" fontId="192" fillId="48" borderId="1" xfId="0" applyNumberFormat="1" applyFont="1" applyFill="1" applyBorder="1" applyAlignment="1">
      <alignment horizontal="center" vertical="center" wrapText="1"/>
    </xf>
    <xf numFmtId="49" fontId="192" fillId="80" borderId="1" xfId="0" applyNumberFormat="1" applyFont="1" applyFill="1" applyBorder="1" applyAlignment="1">
      <alignment horizontal="center" vertical="center" wrapText="1"/>
    </xf>
    <xf numFmtId="0" fontId="192" fillId="0" borderId="1" xfId="0" applyNumberFormat="1" applyFont="1" applyBorder="1" applyAlignment="1">
      <alignment horizontal="center" vertical="center" wrapText="1"/>
    </xf>
    <xf numFmtId="0" fontId="192" fillId="0" borderId="1" xfId="0" applyFont="1" applyBorder="1" applyAlignment="1">
      <alignment horizontal="center" vertical="center" wrapText="1"/>
    </xf>
    <xf numFmtId="2" fontId="192" fillId="57" borderId="1" xfId="0" applyNumberFormat="1" applyFont="1" applyFill="1" applyBorder="1" applyAlignment="1">
      <alignment horizontal="center" vertical="center" wrapText="1"/>
    </xf>
    <xf numFmtId="16" fontId="2" fillId="53" borderId="1" xfId="0" quotePrefix="1" applyNumberFormat="1" applyFont="1" applyFill="1" applyBorder="1" applyAlignment="1">
      <alignment horizontal="center" vertical="center" wrapText="1"/>
    </xf>
    <xf numFmtId="0" fontId="192" fillId="48" borderId="1" xfId="0" applyFont="1" applyFill="1" applyBorder="1" applyAlignment="1">
      <alignment horizontal="center" vertical="center" wrapText="1"/>
    </xf>
    <xf numFmtId="49" fontId="192" fillId="80" borderId="1" xfId="0" quotePrefix="1" applyNumberFormat="1" applyFont="1" applyFill="1" applyBorder="1" applyAlignment="1">
      <alignment horizontal="center" vertical="center" wrapText="1"/>
    </xf>
    <xf numFmtId="16" fontId="2" fillId="48" borderId="1" xfId="0" applyNumberFormat="1" applyFont="1" applyFill="1" applyBorder="1" applyAlignment="1">
      <alignment horizontal="center" vertical="center" wrapText="1"/>
    </xf>
    <xf numFmtId="16" fontId="7" fillId="48" borderId="1" xfId="0" applyNumberFormat="1" applyFont="1" applyFill="1" applyBorder="1" applyAlignment="1">
      <alignment horizontal="center" vertical="center" wrapText="1"/>
    </xf>
    <xf numFmtId="16" fontId="2" fillId="76" borderId="1" xfId="0" quotePrefix="1" applyNumberFormat="1" applyFont="1" applyFill="1" applyBorder="1" applyAlignment="1">
      <alignment horizontal="center" vertical="center" wrapText="1"/>
    </xf>
    <xf numFmtId="2" fontId="191" fillId="76" borderId="1" xfId="0" applyNumberFormat="1" applyFont="1" applyFill="1" applyBorder="1" applyAlignment="1">
      <alignment horizontal="center" vertical="center" wrapText="1"/>
    </xf>
    <xf numFmtId="0" fontId="7" fillId="0" borderId="0" xfId="0" applyNumberFormat="1" applyFont="1" applyFill="1" applyBorder="1" applyAlignment="1">
      <alignment horizontal="center" vertical="center" wrapText="1"/>
    </xf>
    <xf numFmtId="2" fontId="0" fillId="0" borderId="0" xfId="0" applyNumberFormat="1" applyFill="1" applyBorder="1" applyAlignment="1">
      <alignment horizontal="center" wrapText="1"/>
    </xf>
    <xf numFmtId="2" fontId="0" fillId="0" borderId="0" xfId="0" applyNumberFormat="1" applyFill="1" applyBorder="1" applyAlignment="1">
      <alignment horizontal="center"/>
    </xf>
    <xf numFmtId="2" fontId="0" fillId="0" borderId="5" xfId="0" applyNumberFormat="1" applyBorder="1" applyAlignment="1">
      <alignment horizontal="center" wrapText="1"/>
    </xf>
    <xf numFmtId="2" fontId="0" fillId="0" borderId="5" xfId="0" applyNumberFormat="1" applyBorder="1" applyAlignment="1">
      <alignment horizontal="center"/>
    </xf>
    <xf numFmtId="2" fontId="0" fillId="0" borderId="3" xfId="0" applyNumberFormat="1" applyBorder="1" applyAlignment="1">
      <alignment horizontal="center"/>
    </xf>
    <xf numFmtId="2" fontId="0" fillId="0" borderId="1" xfId="0" applyNumberFormat="1" applyBorder="1" applyAlignment="1">
      <alignment horizontal="center" wrapText="1"/>
    </xf>
    <xf numFmtId="0" fontId="193" fillId="0" borderId="0" xfId="0" applyFont="1" applyAlignment="1"/>
    <xf numFmtId="0" fontId="1"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2" fillId="48" borderId="1" xfId="0" applyNumberFormat="1" applyFont="1" applyFill="1" applyBorder="1" applyAlignment="1">
      <alignment horizontal="center" vertical="center" wrapText="1"/>
    </xf>
    <xf numFmtId="0" fontId="0" fillId="0" borderId="0" xfId="0" applyNumberFormat="1" applyAlignment="1">
      <alignment wrapText="1"/>
    </xf>
    <xf numFmtId="0" fontId="2" fillId="0" borderId="34" xfId="0" applyNumberFormat="1" applyFont="1" applyBorder="1" applyAlignment="1">
      <alignment horizontal="center" vertical="center" wrapText="1"/>
    </xf>
    <xf numFmtId="0" fontId="7" fillId="0" borderId="6" xfId="0" applyNumberFormat="1" applyFont="1" applyBorder="1" applyAlignment="1">
      <alignment horizontal="center" wrapText="1"/>
    </xf>
    <xf numFmtId="0" fontId="2" fillId="0" borderId="1" xfId="0" applyNumberFormat="1" applyFont="1" applyBorder="1" applyAlignment="1">
      <alignment horizontal="center" wrapText="1"/>
    </xf>
    <xf numFmtId="0" fontId="7" fillId="0" borderId="1" xfId="0" applyNumberFormat="1" applyFont="1" applyBorder="1" applyAlignment="1">
      <alignment horizontal="center" wrapText="1"/>
    </xf>
    <xf numFmtId="0" fontId="1" fillId="77" borderId="1" xfId="0" applyFont="1" applyFill="1" applyBorder="1" applyAlignment="1">
      <alignment horizontal="center" vertical="center"/>
    </xf>
    <xf numFmtId="0" fontId="193" fillId="0" borderId="0" xfId="0" applyFont="1" applyAlignment="1">
      <alignment vertical="center"/>
    </xf>
    <xf numFmtId="0" fontId="194" fillId="0" borderId="0" xfId="0" applyNumberFormat="1" applyFont="1" applyAlignment="1"/>
    <xf numFmtId="16" fontId="2" fillId="48" borderId="1" xfId="0" applyNumberFormat="1" applyFont="1" applyFill="1" applyBorder="1" applyAlignment="1">
      <alignment horizontal="center" vertical="center" wrapText="1"/>
    </xf>
    <xf numFmtId="16" fontId="7" fillId="48" borderId="1" xfId="0" applyNumberFormat="1" applyFont="1" applyFill="1" applyBorder="1" applyAlignment="1">
      <alignment horizontal="center" vertical="center" wrapText="1"/>
    </xf>
    <xf numFmtId="20" fontId="192" fillId="48" borderId="1" xfId="0" applyNumberFormat="1" applyFont="1" applyFill="1" applyBorder="1" applyAlignment="1">
      <alignment horizontal="center" vertical="center" wrapText="1"/>
    </xf>
    <xf numFmtId="0" fontId="7" fillId="48" borderId="1" xfId="0" applyNumberFormat="1" applyFont="1" applyFill="1" applyBorder="1" applyAlignment="1">
      <alignment horizontal="center" vertical="center" wrapText="1"/>
    </xf>
    <xf numFmtId="0" fontId="2" fillId="14" borderId="1" xfId="0" applyNumberFormat="1" applyFont="1" applyFill="1" applyBorder="1" applyAlignment="1">
      <alignment horizontal="center" vertical="center" wrapText="1"/>
    </xf>
    <xf numFmtId="20" fontId="192" fillId="0" borderId="1" xfId="0" applyNumberFormat="1" applyFont="1" applyFill="1" applyBorder="1" applyAlignment="1">
      <alignment horizontal="center" vertical="center" wrapText="1"/>
    </xf>
    <xf numFmtId="2" fontId="192" fillId="0" borderId="1" xfId="0" applyNumberFormat="1" applyFont="1" applyFill="1" applyBorder="1" applyAlignment="1">
      <alignment horizontal="center" vertical="center" wrapText="1"/>
    </xf>
    <xf numFmtId="0" fontId="7" fillId="84" borderId="1" xfId="0" applyFont="1" applyFill="1" applyBorder="1" applyAlignment="1">
      <alignment horizontal="center" vertical="center" wrapText="1"/>
    </xf>
    <xf numFmtId="0" fontId="2" fillId="59" borderId="1" xfId="0" applyNumberFormat="1" applyFont="1" applyFill="1" applyBorder="1" applyAlignment="1">
      <alignment horizontal="center" vertical="center" wrapText="1"/>
    </xf>
    <xf numFmtId="0" fontId="2" fillId="62" borderId="1" xfId="0" applyNumberFormat="1" applyFont="1" applyFill="1" applyBorder="1" applyAlignment="1">
      <alignment horizontal="center" vertical="center" wrapText="1"/>
    </xf>
    <xf numFmtId="0" fontId="2" fillId="10" borderId="1" xfId="0" applyNumberFormat="1" applyFont="1" applyFill="1" applyBorder="1" applyAlignment="1">
      <alignment horizontal="center" vertical="center" wrapText="1"/>
    </xf>
    <xf numFmtId="0" fontId="2" fillId="76" borderId="1" xfId="0" applyNumberFormat="1" applyFont="1" applyFill="1" applyBorder="1" applyAlignment="1">
      <alignment horizontal="center" vertical="center" wrapText="1"/>
    </xf>
    <xf numFmtId="0" fontId="2" fillId="54" borderId="1" xfId="0" applyNumberFormat="1" applyFont="1" applyFill="1" applyBorder="1" applyAlignment="1">
      <alignment horizontal="center" vertical="center" wrapText="1"/>
    </xf>
    <xf numFmtId="0" fontId="2" fillId="53" borderId="1" xfId="0" applyNumberFormat="1" applyFont="1" applyFill="1" applyBorder="1" applyAlignment="1">
      <alignment horizontal="center" vertical="center" wrapText="1"/>
    </xf>
    <xf numFmtId="2" fontId="52" fillId="73" borderId="1" xfId="0" applyNumberFormat="1" applyFont="1" applyFill="1" applyBorder="1" applyAlignment="1">
      <alignment horizontal="center" vertical="center" wrapText="1"/>
    </xf>
    <xf numFmtId="2" fontId="7" fillId="85" borderId="1" xfId="0" applyNumberFormat="1" applyFont="1" applyFill="1" applyBorder="1" applyAlignment="1">
      <alignment horizontal="center" vertical="center" wrapText="1"/>
    </xf>
    <xf numFmtId="2" fontId="7" fillId="73" borderId="1" xfId="0" applyNumberFormat="1" applyFont="1" applyFill="1" applyBorder="1" applyAlignment="1">
      <alignment horizontal="center" vertical="center" wrapText="1"/>
    </xf>
    <xf numFmtId="2" fontId="0" fillId="0" borderId="0" xfId="0" applyNumberFormat="1" applyFill="1" applyBorder="1" applyAlignment="1">
      <alignment wrapText="1"/>
    </xf>
    <xf numFmtId="0" fontId="7" fillId="86" borderId="1" xfId="0" applyFont="1" applyFill="1" applyBorder="1" applyAlignment="1">
      <alignment horizontal="center" vertical="center" wrapText="1"/>
    </xf>
    <xf numFmtId="16" fontId="2" fillId="86" borderId="1" xfId="0" quotePrefix="1" applyNumberFormat="1" applyFont="1" applyFill="1" applyBorder="1" applyAlignment="1">
      <alignment horizontal="center" vertical="center" wrapText="1"/>
    </xf>
    <xf numFmtId="0" fontId="7" fillId="87" borderId="1" xfId="0" applyFont="1" applyFill="1" applyBorder="1" applyAlignment="1">
      <alignment horizontal="center" vertical="center" wrapText="1"/>
    </xf>
    <xf numFmtId="49" fontId="7" fillId="88" borderId="1" xfId="0" quotePrefix="1" applyNumberFormat="1" applyFont="1" applyFill="1" applyBorder="1" applyAlignment="1">
      <alignment horizontal="center" vertical="center" wrapText="1"/>
    </xf>
    <xf numFmtId="49" fontId="7" fillId="87" borderId="1" xfId="0" quotePrefix="1" applyNumberFormat="1" applyFont="1" applyFill="1" applyBorder="1" applyAlignment="1">
      <alignment horizontal="center" vertical="center" wrapText="1"/>
    </xf>
    <xf numFmtId="0" fontId="7" fillId="87" borderId="1" xfId="0" quotePrefix="1" applyFont="1" applyFill="1" applyBorder="1" applyAlignment="1">
      <alignment horizontal="center" vertical="center" wrapText="1"/>
    </xf>
    <xf numFmtId="16" fontId="2" fillId="86" borderId="1" xfId="0" applyNumberFormat="1" applyFont="1" applyFill="1" applyBorder="1" applyAlignment="1">
      <alignment horizontal="center" vertical="center" wrapText="1"/>
    </xf>
    <xf numFmtId="16" fontId="2" fillId="87" borderId="1" xfId="0" applyNumberFormat="1" applyFont="1" applyFill="1" applyBorder="1" applyAlignment="1">
      <alignment horizontal="center" vertical="center" wrapText="1"/>
    </xf>
    <xf numFmtId="16" fontId="7" fillId="87" borderId="1" xfId="0" applyNumberFormat="1" applyFont="1" applyFill="1" applyBorder="1" applyAlignment="1">
      <alignment horizontal="center" vertical="center" wrapText="1"/>
    </xf>
    <xf numFmtId="16" fontId="7" fillId="87" borderId="1" xfId="0" quotePrefix="1" applyNumberFormat="1" applyFont="1" applyFill="1" applyBorder="1" applyAlignment="1">
      <alignment horizontal="center" vertical="center" wrapText="1"/>
    </xf>
    <xf numFmtId="16" fontId="7" fillId="86" borderId="1" xfId="0" applyNumberFormat="1" applyFont="1" applyFill="1" applyBorder="1" applyAlignment="1">
      <alignment horizontal="center" vertical="center" wrapText="1"/>
    </xf>
    <xf numFmtId="20" fontId="7" fillId="86" borderId="1" xfId="0" applyNumberFormat="1" applyFont="1" applyFill="1" applyBorder="1" applyAlignment="1">
      <alignment horizontal="center" vertical="center" wrapText="1"/>
    </xf>
    <xf numFmtId="20" fontId="7" fillId="87" borderId="1" xfId="0" applyNumberFormat="1" applyFont="1" applyFill="1" applyBorder="1" applyAlignment="1">
      <alignment horizontal="center" vertical="center" wrapText="1"/>
    </xf>
    <xf numFmtId="0" fontId="189" fillId="48" borderId="1" xfId="0" applyNumberFormat="1" applyFont="1" applyFill="1" applyBorder="1" applyAlignment="1">
      <alignment horizontal="center" vertical="center" wrapText="1"/>
    </xf>
    <xf numFmtId="0" fontId="7" fillId="76" borderId="1" xfId="0" applyNumberFormat="1" applyFont="1" applyFill="1" applyBorder="1" applyAlignment="1">
      <alignment horizontal="center" vertical="center" wrapText="1"/>
    </xf>
    <xf numFmtId="0" fontId="7" fillId="0" borderId="1" xfId="0" quotePrefix="1" applyNumberFormat="1" applyFont="1" applyFill="1" applyBorder="1" applyAlignment="1">
      <alignment horizontal="center" vertical="center" wrapText="1"/>
    </xf>
    <xf numFmtId="0" fontId="7" fillId="14" borderId="1" xfId="0" applyNumberFormat="1" applyFont="1" applyFill="1" applyBorder="1" applyAlignment="1">
      <alignment horizontal="center" vertical="center" wrapText="1"/>
    </xf>
    <xf numFmtId="0" fontId="0" fillId="0" borderId="0" xfId="0" applyNumberFormat="1" applyFill="1" applyBorder="1" applyAlignment="1">
      <alignment wrapText="1"/>
    </xf>
    <xf numFmtId="2" fontId="190" fillId="0" borderId="0" xfId="0" applyNumberFormat="1" applyFont="1" applyFill="1" applyBorder="1" applyAlignment="1">
      <alignment horizontal="center" vertical="center" wrapText="1"/>
    </xf>
    <xf numFmtId="0" fontId="2" fillId="63" borderId="1" xfId="0" applyNumberFormat="1" applyFont="1" applyFill="1" applyBorder="1" applyAlignment="1">
      <alignment horizontal="center" vertical="center" wrapText="1"/>
    </xf>
    <xf numFmtId="16" fontId="2" fillId="63" borderId="1" xfId="0" quotePrefix="1" applyNumberFormat="1" applyFont="1" applyFill="1" applyBorder="1" applyAlignment="1">
      <alignment horizontal="center" vertical="center" wrapText="1"/>
    </xf>
    <xf numFmtId="0" fontId="7" fillId="63" borderId="1" xfId="0" quotePrefix="1" applyFont="1" applyFill="1" applyBorder="1" applyAlignment="1">
      <alignment horizontal="center" vertical="center" wrapText="1"/>
    </xf>
    <xf numFmtId="0" fontId="7" fillId="63" borderId="1" xfId="0" applyNumberFormat="1" applyFont="1" applyFill="1" applyBorder="1" applyAlignment="1">
      <alignment horizontal="center" vertical="center" wrapText="1"/>
    </xf>
    <xf numFmtId="16" fontId="2" fillId="0" borderId="1" xfId="0" quotePrefix="1" applyNumberFormat="1" applyFont="1" applyFill="1" applyBorder="1" applyAlignment="1">
      <alignment horizontal="center" vertical="center" wrapText="1"/>
    </xf>
    <xf numFmtId="49" fontId="7" fillId="89" borderId="1" xfId="0" quotePrefix="1" applyNumberFormat="1" applyFont="1" applyFill="1" applyBorder="1" applyAlignment="1">
      <alignment horizontal="center" vertical="center" wrapText="1"/>
    </xf>
    <xf numFmtId="0" fontId="192" fillId="48" borderId="1" xfId="0" applyNumberFormat="1" applyFont="1" applyFill="1" applyBorder="1" applyAlignment="1">
      <alignment horizontal="center" vertical="center" wrapText="1"/>
    </xf>
    <xf numFmtId="49" fontId="191" fillId="80" borderId="6" xfId="0" applyNumberFormat="1" applyFont="1" applyFill="1" applyBorder="1" applyAlignment="1">
      <alignment horizontal="center" vertical="center" wrapText="1"/>
    </xf>
    <xf numFmtId="49" fontId="7" fillId="80" borderId="6" xfId="0" quotePrefix="1" applyNumberFormat="1" applyFont="1" applyFill="1" applyBorder="1" applyAlignment="1">
      <alignment horizontal="center" vertical="center" wrapText="1"/>
    </xf>
    <xf numFmtId="49" fontId="7" fillId="0" borderId="6" xfId="0" applyNumberFormat="1" applyFont="1" applyFill="1" applyBorder="1" applyAlignment="1">
      <alignment horizontal="center" vertical="center" wrapText="1"/>
    </xf>
    <xf numFmtId="49" fontId="189" fillId="80" borderId="3" xfId="0" applyNumberFormat="1" applyFont="1" applyFill="1" applyBorder="1" applyAlignment="1">
      <alignment horizontal="center" vertical="center" wrapText="1"/>
    </xf>
    <xf numFmtId="2" fontId="192" fillId="67" borderId="1" xfId="0" applyNumberFormat="1" applyFont="1" applyFill="1" applyBorder="1" applyAlignment="1">
      <alignment horizontal="center" vertical="center" wrapText="1"/>
    </xf>
    <xf numFmtId="16" fontId="7" fillId="59" borderId="1" xfId="0" quotePrefix="1" applyNumberFormat="1" applyFont="1" applyFill="1" applyBorder="1" applyAlignment="1">
      <alignment horizontal="center" vertical="center" wrapText="1"/>
    </xf>
    <xf numFmtId="2" fontId="190" fillId="57" borderId="1" xfId="0" applyNumberFormat="1" applyFont="1" applyFill="1" applyBorder="1" applyAlignment="1">
      <alignment horizontal="center" vertical="center" wrapText="1"/>
    </xf>
    <xf numFmtId="2" fontId="52" fillId="63" borderId="1" xfId="0" applyNumberFormat="1" applyFont="1" applyFill="1" applyBorder="1" applyAlignment="1">
      <alignment horizontal="center" vertical="center" wrapText="1"/>
    </xf>
    <xf numFmtId="2" fontId="191" fillId="63" borderId="1" xfId="0" applyNumberFormat="1" applyFont="1" applyFill="1" applyBorder="1" applyAlignment="1">
      <alignment horizontal="center" vertical="center" wrapText="1"/>
    </xf>
    <xf numFmtId="0" fontId="7" fillId="85" borderId="1" xfId="0" applyFont="1" applyFill="1" applyBorder="1" applyAlignment="1">
      <alignment horizontal="center" vertical="center" wrapText="1"/>
    </xf>
    <xf numFmtId="2" fontId="192" fillId="51" borderId="1" xfId="0" applyNumberFormat="1" applyFont="1" applyFill="1" applyBorder="1" applyAlignment="1">
      <alignment horizontal="center" vertical="center" wrapText="1"/>
    </xf>
    <xf numFmtId="0" fontId="7" fillId="10" borderId="1" xfId="0" applyNumberFormat="1" applyFont="1" applyFill="1" applyBorder="1" applyAlignment="1">
      <alignment horizontal="center" vertical="center" wrapText="1"/>
    </xf>
    <xf numFmtId="16" fontId="7" fillId="62" borderId="1" xfId="0" quotePrefix="1" applyNumberFormat="1" applyFont="1" applyFill="1" applyBorder="1" applyAlignment="1">
      <alignment horizontal="center" vertical="center" wrapText="1"/>
    </xf>
    <xf numFmtId="49" fontId="7" fillId="89" borderId="1" xfId="0" applyNumberFormat="1" applyFont="1" applyFill="1" applyBorder="1" applyAlignment="1">
      <alignment horizontal="center" vertical="center" wrapText="1"/>
    </xf>
    <xf numFmtId="0" fontId="195" fillId="0" borderId="1" xfId="0" applyFont="1" applyBorder="1" applyAlignment="1">
      <alignment horizontal="center" vertical="center" wrapText="1"/>
    </xf>
    <xf numFmtId="16" fontId="2" fillId="48" borderId="1" xfId="0" applyNumberFormat="1" applyFont="1" applyFill="1" applyBorder="1" applyAlignment="1">
      <alignment horizontal="center" vertical="center" wrapText="1"/>
    </xf>
    <xf numFmtId="16" fontId="7" fillId="48" borderId="1" xfId="0" applyNumberFormat="1" applyFont="1" applyFill="1" applyBorder="1" applyAlignment="1">
      <alignment horizontal="center" vertical="center" wrapText="1"/>
    </xf>
    <xf numFmtId="20" fontId="195" fillId="48" borderId="1" xfId="0" applyNumberFormat="1" applyFont="1" applyFill="1" applyBorder="1" applyAlignment="1">
      <alignment horizontal="center" vertical="center" wrapText="1"/>
    </xf>
    <xf numFmtId="49" fontId="195" fillId="80" borderId="1" xfId="0" applyNumberFormat="1" applyFont="1" applyFill="1" applyBorder="1" applyAlignment="1">
      <alignment horizontal="center" vertical="center" wrapText="1"/>
    </xf>
    <xf numFmtId="2" fontId="195" fillId="58" borderId="1" xfId="0" applyNumberFormat="1" applyFont="1" applyFill="1" applyBorder="1" applyAlignment="1">
      <alignment horizontal="center" vertical="center" wrapText="1"/>
    </xf>
    <xf numFmtId="16" fontId="7" fillId="58" borderId="1" xfId="0" applyNumberFormat="1" applyFont="1" applyFill="1" applyBorder="1" applyAlignment="1">
      <alignment horizontal="center" vertical="center" wrapText="1"/>
    </xf>
    <xf numFmtId="49" fontId="189" fillId="80" borderId="0" xfId="0" applyNumberFormat="1" applyFont="1" applyFill="1" applyBorder="1" applyAlignment="1">
      <alignment horizontal="center" vertical="center" wrapText="1"/>
    </xf>
    <xf numFmtId="0" fontId="196" fillId="0" borderId="1" xfId="0" applyFont="1" applyFill="1" applyBorder="1" applyAlignment="1">
      <alignment horizontal="center" vertical="center" wrapText="1"/>
    </xf>
    <xf numFmtId="16" fontId="2" fillId="48" borderId="1" xfId="0" applyNumberFormat="1" applyFont="1" applyFill="1" applyBorder="1" applyAlignment="1">
      <alignment horizontal="center" vertical="center" wrapText="1"/>
    </xf>
    <xf numFmtId="16" fontId="7" fillId="48" borderId="1" xfId="0" applyNumberFormat="1" applyFont="1" applyFill="1" applyBorder="1" applyAlignment="1">
      <alignment horizontal="center" vertical="center" wrapText="1"/>
    </xf>
    <xf numFmtId="20" fontId="196" fillId="48" borderId="1" xfId="0" applyNumberFormat="1" applyFont="1" applyFill="1" applyBorder="1" applyAlignment="1">
      <alignment horizontal="center" vertical="center" wrapText="1"/>
    </xf>
    <xf numFmtId="2" fontId="196" fillId="48" borderId="1" xfId="0" applyNumberFormat="1" applyFont="1" applyFill="1" applyBorder="1" applyAlignment="1">
      <alignment horizontal="center" vertical="center" wrapText="1"/>
    </xf>
    <xf numFmtId="0" fontId="196" fillId="48" borderId="1" xfId="0" applyNumberFormat="1" applyFont="1" applyFill="1" applyBorder="1" applyAlignment="1">
      <alignment horizontal="center" vertical="center" wrapText="1"/>
    </xf>
    <xf numFmtId="49" fontId="196" fillId="80" borderId="1" xfId="0" applyNumberFormat="1" applyFont="1" applyFill="1" applyBorder="1" applyAlignment="1">
      <alignment horizontal="center" vertical="center" wrapText="1"/>
    </xf>
    <xf numFmtId="2" fontId="196" fillId="58" borderId="1" xfId="0" applyNumberFormat="1" applyFont="1" applyFill="1" applyBorder="1" applyAlignment="1">
      <alignment horizontal="center" vertical="center" wrapText="1"/>
    </xf>
    <xf numFmtId="20" fontId="7" fillId="48" borderId="1" xfId="0" applyNumberFormat="1" applyFont="1" applyFill="1" applyBorder="1" applyAlignment="1">
      <alignment horizontal="center" vertical="center" wrapText="1"/>
    </xf>
    <xf numFmtId="0" fontId="0" fillId="48" borderId="38" xfId="0" applyFont="1" applyFill="1" applyBorder="1"/>
    <xf numFmtId="0" fontId="0" fillId="0" borderId="38" xfId="0" applyFont="1" applyBorder="1"/>
    <xf numFmtId="0" fontId="0" fillId="49" borderId="0" xfId="0" applyFill="1"/>
    <xf numFmtId="0" fontId="0" fillId="0" borderId="7"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9" xfId="0" applyBorder="1" applyAlignment="1">
      <alignment horizontal="center" vertical="center" wrapText="1"/>
    </xf>
    <xf numFmtId="0" fontId="0" fillId="0" borderId="8" xfId="0" applyBorder="1" applyAlignment="1">
      <alignment horizontal="center" vertical="center" wrapText="1"/>
    </xf>
    <xf numFmtId="0" fontId="0" fillId="0" borderId="3" xfId="0" applyNumberFormat="1" applyBorder="1" applyAlignment="1">
      <alignment horizontal="center" vertical="center" wrapText="1"/>
    </xf>
    <xf numFmtId="0" fontId="0" fillId="0" borderId="8" xfId="0" applyNumberFormat="1" applyBorder="1" applyAlignment="1">
      <alignment horizontal="center" vertical="center" wrapText="1"/>
    </xf>
    <xf numFmtId="0" fontId="0" fillId="0" borderId="1" xfId="0" applyBorder="1"/>
    <xf numFmtId="16" fontId="0" fillId="0" borderId="1" xfId="0" applyNumberFormat="1" applyBorder="1"/>
    <xf numFmtId="0" fontId="0" fillId="0" borderId="1" xfId="0" applyBorder="1" applyAlignment="1">
      <alignment horizontal="center" vertical="center" wrapText="1"/>
    </xf>
    <xf numFmtId="0" fontId="0" fillId="0" borderId="0" xfId="0" applyBorder="1" applyAlignment="1">
      <alignment horizontal="center" vertical="center" wrapText="1"/>
    </xf>
    <xf numFmtId="0" fontId="0" fillId="0" borderId="0" xfId="0" applyNumberFormat="1" applyBorder="1" applyAlignment="1">
      <alignment horizontal="center" vertical="center" wrapText="1"/>
    </xf>
    <xf numFmtId="0" fontId="0" fillId="0" borderId="0" xfId="0" applyNumberFormat="1" applyBorder="1"/>
    <xf numFmtId="16" fontId="0" fillId="0" borderId="1" xfId="0" applyNumberFormat="1" applyBorder="1" applyAlignment="1">
      <alignment horizontal="center" vertical="center" wrapText="1"/>
    </xf>
    <xf numFmtId="0" fontId="0" fillId="0" borderId="0" xfId="0" quotePrefix="1" applyFill="1" applyAlignment="1">
      <alignment wrapText="1"/>
    </xf>
    <xf numFmtId="0" fontId="0" fillId="0" borderId="0" xfId="0" applyAlignment="1">
      <alignment wrapText="1"/>
    </xf>
    <xf numFmtId="2" fontId="7" fillId="0" borderId="1" xfId="0" applyNumberFormat="1" applyFont="1" applyBorder="1" applyAlignment="1">
      <alignment horizontal="center" vertical="center" wrapText="1"/>
    </xf>
    <xf numFmtId="2" fontId="7" fillId="58" borderId="1" xfId="0" applyNumberFormat="1" applyFont="1" applyFill="1" applyBorder="1" applyAlignment="1">
      <alignment horizontal="center" vertical="center" wrapText="1"/>
    </xf>
    <xf numFmtId="0" fontId="0" fillId="0" borderId="0" xfId="0" quotePrefix="1" applyAlignment="1">
      <alignment wrapText="1"/>
    </xf>
    <xf numFmtId="0" fontId="7" fillId="48" borderId="1" xfId="0" applyFont="1" applyFill="1" applyBorder="1" applyAlignment="1">
      <alignment horizontal="center" vertical="center" wrapText="1"/>
    </xf>
    <xf numFmtId="2" fontId="7" fillId="48" borderId="1" xfId="0" applyNumberFormat="1" applyFont="1" applyFill="1" applyBorder="1" applyAlignment="1">
      <alignment horizontal="center" vertical="center" wrapText="1"/>
    </xf>
    <xf numFmtId="16" fontId="2" fillId="85" borderId="1" xfId="0" applyNumberFormat="1" applyFont="1" applyFill="1" applyBorder="1" applyAlignment="1">
      <alignment horizontal="center" vertical="center" wrapText="1"/>
    </xf>
    <xf numFmtId="49" fontId="7" fillId="91" borderId="1" xfId="0" quotePrefix="1" applyNumberFormat="1" applyFont="1" applyFill="1" applyBorder="1" applyAlignment="1">
      <alignment horizontal="center" vertical="center" wrapText="1"/>
    </xf>
    <xf numFmtId="2" fontId="7" fillId="92" borderId="1" xfId="0" applyNumberFormat="1" applyFont="1" applyFill="1" applyBorder="1" applyAlignment="1">
      <alignment horizontal="center" vertical="center" wrapText="1"/>
    </xf>
    <xf numFmtId="16" fontId="2" fillId="73" borderId="1" xfId="0" applyNumberFormat="1" applyFont="1" applyFill="1" applyBorder="1" applyAlignment="1">
      <alignment horizontal="center" vertical="center" wrapText="1"/>
    </xf>
    <xf numFmtId="16" fontId="7" fillId="70" borderId="1" xfId="0" applyNumberFormat="1" applyFont="1" applyFill="1" applyBorder="1" applyAlignment="1">
      <alignment horizontal="center" vertical="center" wrapText="1"/>
    </xf>
    <xf numFmtId="16" fontId="2" fillId="70" borderId="1" xfId="0" applyNumberFormat="1" applyFont="1" applyFill="1" applyBorder="1" applyAlignment="1">
      <alignment horizontal="center" vertical="center" wrapText="1"/>
    </xf>
    <xf numFmtId="49" fontId="7" fillId="90" borderId="1" xfId="0" applyNumberFormat="1" applyFont="1" applyFill="1" applyBorder="1" applyAlignment="1">
      <alignment horizontal="center" vertical="center" wrapText="1"/>
    </xf>
    <xf numFmtId="2" fontId="7" fillId="72" borderId="1" xfId="0" applyNumberFormat="1" applyFont="1" applyFill="1" applyBorder="1" applyAlignment="1">
      <alignment horizontal="center" vertical="center" wrapText="1"/>
    </xf>
    <xf numFmtId="0" fontId="2" fillId="63" borderId="1" xfId="0" applyFont="1" applyFill="1" applyBorder="1" applyAlignment="1">
      <alignment horizontal="center" vertical="center" wrapText="1"/>
    </xf>
    <xf numFmtId="0" fontId="7" fillId="74" borderId="1" xfId="0" applyNumberFormat="1" applyFont="1" applyFill="1" applyBorder="1" applyAlignment="1">
      <alignment horizontal="center" vertical="center" wrapText="1"/>
    </xf>
    <xf numFmtId="49" fontId="7" fillId="81" borderId="1" xfId="0" quotePrefix="1" applyNumberFormat="1" applyFont="1" applyFill="1" applyBorder="1" applyAlignment="1">
      <alignment horizontal="center" vertical="center" wrapText="1"/>
    </xf>
    <xf numFmtId="0" fontId="2" fillId="74" borderId="1" xfId="0" applyNumberFormat="1" applyFont="1" applyFill="1" applyBorder="1" applyAlignment="1">
      <alignment horizontal="center" vertical="center" wrapText="1"/>
    </xf>
    <xf numFmtId="16" fontId="7" fillId="48" borderId="1" xfId="0" quotePrefix="1" applyNumberFormat="1" applyFont="1" applyFill="1" applyBorder="1" applyAlignment="1">
      <alignment horizontal="center" vertical="center" wrapText="1"/>
    </xf>
    <xf numFmtId="0" fontId="7" fillId="70" borderId="1" xfId="0" applyFont="1" applyFill="1" applyBorder="1" applyAlignment="1">
      <alignment horizontal="center" vertical="center" wrapText="1"/>
    </xf>
    <xf numFmtId="16" fontId="7" fillId="49" borderId="1" xfId="0" quotePrefix="1" applyNumberFormat="1" applyFont="1" applyFill="1" applyBorder="1" applyAlignment="1">
      <alignment horizontal="center" vertical="center" wrapText="1"/>
    </xf>
    <xf numFmtId="16" fontId="2" fillId="48" borderId="1" xfId="0" applyNumberFormat="1" applyFont="1" applyFill="1" applyBorder="1" applyAlignment="1">
      <alignment horizontal="center" vertical="center" wrapText="1"/>
    </xf>
    <xf numFmtId="16" fontId="7" fillId="48" borderId="1" xfId="0" applyNumberFormat="1" applyFont="1" applyFill="1" applyBorder="1" applyAlignment="1">
      <alignment horizontal="center" vertical="center" wrapText="1"/>
    </xf>
    <xf numFmtId="0" fontId="0" fillId="54" borderId="0" xfId="0" applyFill="1" applyAlignment="1">
      <alignment wrapText="1"/>
    </xf>
    <xf numFmtId="0" fontId="1" fillId="71" borderId="1" xfId="0" applyFont="1" applyFill="1" applyBorder="1" applyAlignment="1">
      <alignment horizontal="center" vertical="center" wrapText="1"/>
    </xf>
    <xf numFmtId="0" fontId="197" fillId="48" borderId="1" xfId="0" applyFont="1" applyFill="1" applyBorder="1" applyAlignment="1">
      <alignment horizontal="center" vertical="center" wrapText="1"/>
    </xf>
    <xf numFmtId="0" fontId="197" fillId="14" borderId="1" xfId="0" applyFont="1" applyFill="1" applyBorder="1" applyAlignment="1">
      <alignment horizontal="center" vertical="center" wrapText="1"/>
    </xf>
    <xf numFmtId="0" fontId="198" fillId="0" borderId="1" xfId="0" applyFont="1" applyFill="1" applyBorder="1" applyAlignment="1">
      <alignment horizontal="center" vertical="center" wrapText="1"/>
    </xf>
    <xf numFmtId="0" fontId="199" fillId="0" borderId="0" xfId="0" applyFont="1" applyAlignment="1">
      <alignment wrapText="1"/>
    </xf>
    <xf numFmtId="0" fontId="197" fillId="0" borderId="1" xfId="0" applyFont="1" applyBorder="1" applyAlignment="1">
      <alignment horizontal="center" vertical="center" wrapText="1"/>
    </xf>
    <xf numFmtId="0" fontId="197" fillId="10" borderId="1" xfId="0" applyFont="1" applyFill="1" applyBorder="1" applyAlignment="1">
      <alignment horizontal="center" vertical="center" wrapText="1"/>
    </xf>
    <xf numFmtId="0" fontId="197" fillId="86" borderId="1" xfId="0" applyFont="1" applyFill="1" applyBorder="1" applyAlignment="1">
      <alignment horizontal="center" vertical="center" wrapText="1"/>
    </xf>
    <xf numFmtId="0" fontId="197" fillId="87" borderId="1" xfId="0" applyFont="1" applyFill="1" applyBorder="1" applyAlignment="1">
      <alignment horizontal="center" vertical="center" wrapText="1"/>
    </xf>
    <xf numFmtId="0" fontId="197" fillId="63" borderId="1" xfId="0" applyFont="1" applyFill="1" applyBorder="1" applyAlignment="1">
      <alignment horizontal="center" vertical="center" wrapText="1"/>
    </xf>
    <xf numFmtId="0" fontId="197" fillId="85" borderId="1" xfId="0" applyFont="1" applyFill="1" applyBorder="1" applyAlignment="1">
      <alignment horizontal="center" vertical="center" wrapText="1"/>
    </xf>
    <xf numFmtId="20" fontId="7" fillId="62" borderId="1" xfId="0" applyNumberFormat="1" applyFont="1" applyFill="1" applyBorder="1" applyAlignment="1">
      <alignment horizontal="center" vertical="center" wrapText="1"/>
    </xf>
    <xf numFmtId="20" fontId="7" fillId="70" borderId="1" xfId="0" applyNumberFormat="1" applyFont="1" applyFill="1" applyBorder="1" applyAlignment="1">
      <alignment horizontal="center" vertical="center" wrapText="1"/>
    </xf>
    <xf numFmtId="16" fontId="1" fillId="0" borderId="1" xfId="0" applyNumberFormat="1" applyFont="1" applyFill="1" applyBorder="1" applyAlignment="1">
      <alignment horizontal="center" vertical="center" wrapText="1"/>
    </xf>
    <xf numFmtId="0" fontId="0" fillId="0" borderId="0" xfId="0" applyFill="1" applyAlignment="1"/>
    <xf numFmtId="0" fontId="0" fillId="0" borderId="1" xfId="0" applyFont="1" applyFill="1" applyBorder="1" applyAlignment="1">
      <alignment horizontal="left" vertical="center"/>
    </xf>
    <xf numFmtId="0" fontId="0" fillId="0" borderId="1" xfId="0" applyFont="1" applyFill="1" applyBorder="1" applyAlignment="1">
      <alignment horizontal="left" wrapText="1"/>
    </xf>
    <xf numFmtId="0" fontId="0" fillId="0" borderId="1" xfId="0" applyFont="1" applyFill="1" applyBorder="1" applyAlignment="1">
      <alignment vertical="center" wrapText="1"/>
    </xf>
    <xf numFmtId="0" fontId="0" fillId="0" borderId="1" xfId="0" applyFont="1" applyFill="1" applyBorder="1" applyAlignment="1">
      <alignment wrapText="1"/>
    </xf>
    <xf numFmtId="0" fontId="0" fillId="0" borderId="1" xfId="0" applyFont="1" applyFill="1" applyBorder="1"/>
    <xf numFmtId="0" fontId="0" fillId="0" borderId="1" xfId="0" applyFont="1" applyFill="1" applyBorder="1" applyAlignment="1">
      <alignment horizontal="left"/>
    </xf>
    <xf numFmtId="0" fontId="0" fillId="0" borderId="1" xfId="0" applyFont="1" applyFill="1" applyBorder="1" applyAlignment="1"/>
    <xf numFmtId="0" fontId="0" fillId="0" borderId="1" xfId="0" applyFont="1" applyFill="1" applyBorder="1" applyAlignment="1">
      <alignment horizontal="left" vertical="center" wrapText="1"/>
    </xf>
    <xf numFmtId="0" fontId="0" fillId="0" borderId="1" xfId="0" applyFont="1" applyFill="1" applyBorder="1" applyAlignment="1">
      <alignment vertical="center"/>
    </xf>
    <xf numFmtId="0" fontId="0" fillId="0" borderId="1" xfId="0" applyNumberFormat="1" applyFont="1" applyFill="1" applyBorder="1" applyAlignment="1">
      <alignment horizontal="center"/>
    </xf>
    <xf numFmtId="0" fontId="0" fillId="0" borderId="1" xfId="0" applyFont="1" applyFill="1" applyBorder="1" applyAlignment="1">
      <alignment horizontal="center"/>
    </xf>
    <xf numFmtId="0" fontId="152" fillId="0" borderId="0" xfId="0" applyFont="1" applyAlignment="1">
      <alignment vertical="center"/>
    </xf>
    <xf numFmtId="0" fontId="152" fillId="0" borderId="27" xfId="0" applyFont="1" applyBorder="1" applyAlignment="1">
      <alignment vertical="center"/>
    </xf>
    <xf numFmtId="0" fontId="0" fillId="0" borderId="4" xfId="0" applyFont="1" applyFill="1" applyBorder="1" applyAlignment="1">
      <alignment horizontal="left" vertical="center" wrapText="1"/>
    </xf>
    <xf numFmtId="0" fontId="0" fillId="0" borderId="4" xfId="0" applyFont="1" applyFill="1" applyBorder="1" applyAlignment="1">
      <alignment horizontal="left"/>
    </xf>
    <xf numFmtId="0" fontId="0" fillId="0" borderId="4" xfId="0" applyFont="1" applyFill="1" applyBorder="1" applyAlignment="1"/>
    <xf numFmtId="0" fontId="0" fillId="0" borderId="3" xfId="0" applyNumberFormat="1" applyFont="1" applyFill="1" applyBorder="1" applyAlignment="1">
      <alignment horizontal="center"/>
    </xf>
    <xf numFmtId="0" fontId="0" fillId="0" borderId="1" xfId="0" quotePrefix="1" applyNumberFormat="1" applyFont="1" applyFill="1" applyBorder="1" applyAlignment="1">
      <alignment horizontal="center"/>
    </xf>
    <xf numFmtId="0" fontId="0" fillId="0" borderId="4" xfId="0" applyFont="1" applyFill="1" applyBorder="1"/>
    <xf numFmtId="0" fontId="0" fillId="0" borderId="4" xfId="0" applyFont="1" applyFill="1" applyBorder="1" applyAlignment="1">
      <alignment vertical="center" wrapText="1"/>
    </xf>
    <xf numFmtId="0" fontId="0" fillId="0" borderId="4" xfId="0" applyFont="1" applyFill="1" applyBorder="1" applyAlignment="1">
      <alignment wrapText="1"/>
    </xf>
    <xf numFmtId="0" fontId="0" fillId="0" borderId="4" xfId="0" applyFont="1" applyFill="1" applyBorder="1" applyAlignment="1">
      <alignment horizontal="left" vertical="center"/>
    </xf>
    <xf numFmtId="0" fontId="0" fillId="0" borderId="4" xfId="0" applyFont="1" applyFill="1" applyBorder="1" applyAlignment="1">
      <alignment vertical="center"/>
    </xf>
    <xf numFmtId="0" fontId="153" fillId="0" borderId="0" xfId="0" applyFont="1" applyAlignment="1">
      <alignment vertical="center" wrapText="1"/>
    </xf>
    <xf numFmtId="0" fontId="153" fillId="0" borderId="27" xfId="0" applyFont="1" applyBorder="1" applyAlignment="1">
      <alignment vertical="center" wrapText="1"/>
    </xf>
    <xf numFmtId="0" fontId="200" fillId="0" borderId="1" xfId="0" applyFont="1" applyFill="1" applyBorder="1" applyAlignment="1">
      <alignment horizontal="center" vertical="center" wrapText="1"/>
    </xf>
    <xf numFmtId="0" fontId="0" fillId="0" borderId="0" xfId="0" applyAlignment="1">
      <alignment vertical="center" wrapText="1"/>
    </xf>
    <xf numFmtId="0" fontId="153" fillId="0" borderId="27" xfId="0" applyFont="1" applyBorder="1" applyAlignment="1">
      <alignment horizontal="center" vertical="center" wrapText="1"/>
    </xf>
    <xf numFmtId="2" fontId="7" fillId="66" borderId="1" xfId="0" applyNumberFormat="1" applyFont="1" applyFill="1" applyBorder="1" applyAlignment="1">
      <alignment horizontal="center" vertical="center" wrapText="1"/>
    </xf>
    <xf numFmtId="2" fontId="7" fillId="94" borderId="1" xfId="0" applyNumberFormat="1" applyFont="1" applyFill="1" applyBorder="1" applyAlignment="1">
      <alignment horizontal="center" vertical="center" wrapText="1"/>
    </xf>
    <xf numFmtId="0" fontId="205" fillId="0" borderId="0" xfId="0" applyFont="1" applyAlignment="1"/>
    <xf numFmtId="0" fontId="197" fillId="58" borderId="1" xfId="0" applyFont="1" applyFill="1" applyBorder="1" applyAlignment="1">
      <alignment horizontal="center" vertical="center" wrapText="1"/>
    </xf>
    <xf numFmtId="0" fontId="197" fillId="49" borderId="1" xfId="0" applyFont="1" applyFill="1" applyBorder="1" applyAlignment="1">
      <alignment horizontal="center" vertical="center" wrapText="1"/>
    </xf>
    <xf numFmtId="0" fontId="0" fillId="95" borderId="39" xfId="0" applyFill="1" applyBorder="1" applyAlignment="1">
      <alignment horizontal="center" vertical="center" wrapText="1"/>
    </xf>
    <xf numFmtId="0" fontId="7" fillId="48" borderId="39" xfId="0" applyFont="1" applyFill="1" applyBorder="1" applyAlignment="1">
      <alignment horizontal="center" vertical="center" wrapText="1"/>
    </xf>
    <xf numFmtId="0" fontId="7" fillId="76" borderId="39" xfId="0" applyFont="1" applyFill="1" applyBorder="1" applyAlignment="1">
      <alignment horizontal="center" vertical="center" wrapText="1"/>
    </xf>
    <xf numFmtId="0" fontId="197" fillId="48" borderId="39" xfId="0" applyFont="1" applyFill="1" applyBorder="1" applyAlignment="1">
      <alignment horizontal="center" vertical="center" wrapText="1"/>
    </xf>
    <xf numFmtId="0" fontId="0" fillId="96" borderId="4" xfId="0" applyFont="1" applyFill="1" applyBorder="1" applyAlignment="1">
      <alignment horizontal="left" vertical="center" wrapText="1"/>
    </xf>
    <xf numFmtId="0" fontId="0" fillId="96" borderId="1" xfId="0" applyFont="1" applyFill="1" applyBorder="1" applyAlignment="1">
      <alignment horizontal="left" vertical="center" wrapText="1"/>
    </xf>
    <xf numFmtId="0" fontId="0" fillId="55" borderId="0" xfId="0" applyFill="1" applyAlignment="1">
      <alignment horizontal="center" vertical="center" wrapText="1"/>
    </xf>
    <xf numFmtId="0" fontId="7" fillId="66" borderId="0" xfId="0" quotePrefix="1" applyFont="1" applyFill="1" applyBorder="1" applyAlignment="1">
      <alignment horizontal="center" vertical="center" wrapText="1"/>
    </xf>
    <xf numFmtId="0" fontId="197" fillId="66" borderId="0" xfId="0" applyFont="1" applyFill="1" applyBorder="1" applyAlignment="1">
      <alignment horizontal="center" vertical="center" wrapText="1"/>
    </xf>
    <xf numFmtId="0" fontId="7" fillId="66" borderId="0" xfId="0" applyFont="1" applyFill="1" applyBorder="1" applyAlignment="1">
      <alignment horizontal="center" vertical="center" wrapText="1"/>
    </xf>
    <xf numFmtId="0" fontId="7" fillId="48" borderId="4" xfId="0" quotePrefix="1" applyFont="1" applyFill="1" applyBorder="1" applyAlignment="1">
      <alignment horizontal="center" vertical="center" wrapText="1"/>
    </xf>
    <xf numFmtId="0" fontId="0" fillId="97" borderId="1" xfId="0" applyFill="1" applyBorder="1" applyAlignment="1">
      <alignment horizontal="center" vertical="center" wrapText="1"/>
    </xf>
    <xf numFmtId="0" fontId="7" fillId="73" borderId="1" xfId="0" quotePrefix="1" applyFont="1" applyFill="1" applyBorder="1" applyAlignment="1">
      <alignment horizontal="center" vertical="center" wrapText="1"/>
    </xf>
    <xf numFmtId="16" fontId="7" fillId="71" borderId="1" xfId="0" quotePrefix="1" applyNumberFormat="1" applyFont="1" applyFill="1" applyBorder="1" applyAlignment="1">
      <alignment horizontal="center" vertical="center" wrapText="1"/>
    </xf>
    <xf numFmtId="0" fontId="0" fillId="96" borderId="40" xfId="0" applyFont="1" applyFill="1" applyBorder="1" applyAlignment="1">
      <alignment horizontal="left" vertical="center" wrapText="1"/>
    </xf>
    <xf numFmtId="0" fontId="197" fillId="48" borderId="1" xfId="0" quotePrefix="1" applyFont="1" applyFill="1" applyBorder="1" applyAlignment="1">
      <alignment horizontal="center" vertical="center" wrapText="1"/>
    </xf>
    <xf numFmtId="49" fontId="7" fillId="14" borderId="1" xfId="0" quotePrefix="1" applyNumberFormat="1" applyFont="1" applyFill="1" applyBorder="1" applyAlignment="1">
      <alignment horizontal="center" vertical="center" wrapText="1"/>
    </xf>
    <xf numFmtId="16" fontId="2" fillId="14" borderId="1" xfId="0" quotePrefix="1" applyNumberFormat="1" applyFont="1" applyFill="1" applyBorder="1" applyAlignment="1">
      <alignment horizontal="center" vertical="center" wrapText="1"/>
    </xf>
    <xf numFmtId="0" fontId="2" fillId="73" borderId="1" xfId="0" applyFont="1" applyFill="1" applyBorder="1" applyAlignment="1">
      <alignment horizontal="center" vertical="center" wrapText="1"/>
    </xf>
    <xf numFmtId="20" fontId="7" fillId="63" borderId="1" xfId="0" quotePrefix="1" applyNumberFormat="1" applyFont="1" applyFill="1" applyBorder="1" applyAlignment="1">
      <alignment horizontal="center" vertical="center" wrapText="1"/>
    </xf>
    <xf numFmtId="0" fontId="7" fillId="48" borderId="1" xfId="0" applyFont="1" applyFill="1" applyBorder="1" applyAlignment="1">
      <alignment horizontal="center" vertical="center" wrapText="1"/>
    </xf>
    <xf numFmtId="0" fontId="7" fillId="14" borderId="1" xfId="0" applyFont="1" applyFill="1" applyBorder="1" applyAlignment="1">
      <alignment horizontal="center" vertical="center" wrapText="1"/>
    </xf>
    <xf numFmtId="0" fontId="7" fillId="55" borderId="1" xfId="0" applyFont="1" applyFill="1" applyBorder="1" applyAlignment="1">
      <alignment horizontal="center" vertical="center" wrapText="1"/>
    </xf>
    <xf numFmtId="16" fontId="2" fillId="55" borderId="1" xfId="0" applyNumberFormat="1" applyFont="1" applyFill="1" applyBorder="1" applyAlignment="1">
      <alignment horizontal="center" vertical="center" wrapText="1"/>
    </xf>
    <xf numFmtId="0" fontId="7" fillId="76" borderId="1" xfId="0" applyFont="1" applyFill="1" applyBorder="1" applyAlignment="1">
      <alignment horizontal="center" vertical="center" wrapText="1"/>
    </xf>
    <xf numFmtId="16" fontId="2" fillId="14" borderId="1" xfId="0" applyNumberFormat="1" applyFont="1" applyFill="1" applyBorder="1" applyAlignment="1">
      <alignment horizontal="center" vertical="center" wrapText="1"/>
    </xf>
    <xf numFmtId="0" fontId="7" fillId="48" borderId="1" xfId="0" quotePrefix="1" applyFont="1" applyFill="1" applyBorder="1" applyAlignment="1">
      <alignment horizontal="center" vertical="center" wrapText="1"/>
    </xf>
    <xf numFmtId="2" fontId="7" fillId="63" borderId="1" xfId="0" applyNumberFormat="1" applyFont="1" applyFill="1" applyBorder="1" applyAlignment="1">
      <alignment horizontal="center" vertical="center" wrapText="1"/>
    </xf>
    <xf numFmtId="49" fontId="7" fillId="80" borderId="1" xfId="0" applyNumberFormat="1" applyFont="1" applyFill="1" applyBorder="1" applyAlignment="1">
      <alignment horizontal="center" vertical="center" wrapText="1"/>
    </xf>
    <xf numFmtId="49" fontId="7" fillId="80" borderId="1" xfId="0" quotePrefix="1" applyNumberFormat="1" applyFont="1" applyFill="1" applyBorder="1" applyAlignment="1">
      <alignment horizontal="center" vertical="center" wrapText="1"/>
    </xf>
    <xf numFmtId="0" fontId="7" fillId="48" borderId="1" xfId="0" applyNumberFormat="1" applyFont="1" applyFill="1" applyBorder="1" applyAlignment="1">
      <alignment horizontal="center" vertical="center" wrapText="1"/>
    </xf>
    <xf numFmtId="0" fontId="2" fillId="63" borderId="1" xfId="0" applyNumberFormat="1" applyFont="1" applyFill="1" applyBorder="1" applyAlignment="1">
      <alignment horizontal="center" vertical="center" wrapText="1"/>
    </xf>
    <xf numFmtId="0" fontId="7" fillId="63" borderId="1" xfId="0" applyNumberFormat="1" applyFont="1" applyFill="1" applyBorder="1" applyAlignment="1">
      <alignment horizontal="center" vertical="center" wrapText="1"/>
    </xf>
    <xf numFmtId="49" fontId="7" fillId="90" borderId="1" xfId="0" quotePrefix="1" applyNumberFormat="1" applyFont="1" applyFill="1" applyBorder="1" applyAlignment="1">
      <alignment horizontal="center" vertical="center" wrapText="1"/>
    </xf>
    <xf numFmtId="0" fontId="7" fillId="14" borderId="1" xfId="0" quotePrefix="1" applyFont="1" applyFill="1" applyBorder="1" applyAlignment="1">
      <alignment horizontal="center" vertical="center" wrapText="1"/>
    </xf>
    <xf numFmtId="16" fontId="7" fillId="14" borderId="1" xfId="0" quotePrefix="1" applyNumberFormat="1" applyFont="1" applyFill="1" applyBorder="1" applyAlignment="1">
      <alignment horizontal="center" vertical="center" wrapText="1"/>
    </xf>
    <xf numFmtId="0" fontId="197" fillId="48" borderId="1" xfId="0" applyFont="1" applyFill="1" applyBorder="1" applyAlignment="1">
      <alignment horizontal="center" vertical="center" wrapText="1"/>
    </xf>
    <xf numFmtId="0" fontId="197" fillId="74" borderId="1" xfId="0" quotePrefix="1" applyFont="1" applyFill="1" applyBorder="1" applyAlignment="1">
      <alignment horizontal="center" vertical="center" wrapText="1"/>
    </xf>
    <xf numFmtId="0" fontId="197" fillId="0" borderId="1" xfId="0" applyFont="1" applyFill="1" applyBorder="1" applyAlignment="1">
      <alignment horizontal="center" vertical="center" wrapText="1"/>
    </xf>
    <xf numFmtId="0" fontId="197" fillId="14" borderId="1" xfId="0" quotePrefix="1" applyFont="1" applyFill="1" applyBorder="1" applyAlignment="1">
      <alignment horizontal="center" vertical="center" wrapText="1"/>
    </xf>
    <xf numFmtId="16" fontId="7" fillId="55" borderId="1" xfId="0" quotePrefix="1" applyNumberFormat="1" applyFont="1" applyFill="1" applyBorder="1" applyAlignment="1">
      <alignment horizontal="center" vertical="center" wrapText="1"/>
    </xf>
    <xf numFmtId="0" fontId="7" fillId="55" borderId="1" xfId="0" quotePrefix="1" applyFont="1" applyFill="1" applyBorder="1" applyAlignment="1">
      <alignment horizontal="center" vertical="center" wrapText="1"/>
    </xf>
    <xf numFmtId="0" fontId="7" fillId="48" borderId="39" xfId="0" applyFont="1" applyFill="1" applyBorder="1" applyAlignment="1">
      <alignment horizontal="center" vertical="center" wrapText="1"/>
    </xf>
    <xf numFmtId="0" fontId="7" fillId="76" borderId="39" xfId="0" applyFont="1" applyFill="1" applyBorder="1" applyAlignment="1">
      <alignment horizontal="center" vertical="center" wrapText="1"/>
    </xf>
    <xf numFmtId="0" fontId="197" fillId="63" borderId="1" xfId="0" quotePrefix="1" applyFont="1" applyFill="1" applyBorder="1" applyAlignment="1">
      <alignment horizontal="center" vertical="center" wrapText="1"/>
    </xf>
    <xf numFmtId="20" fontId="0" fillId="0" borderId="0" xfId="0" applyNumberFormat="1" applyAlignment="1">
      <alignment wrapText="1"/>
    </xf>
    <xf numFmtId="20" fontId="7" fillId="48" borderId="1" xfId="0" quotePrefix="1" applyNumberFormat="1" applyFont="1" applyFill="1" applyBorder="1" applyAlignment="1">
      <alignment horizontal="center" vertical="center" wrapText="1"/>
    </xf>
    <xf numFmtId="16" fontId="2" fillId="97" borderId="1" xfId="0" applyNumberFormat="1" applyFont="1" applyFill="1" applyBorder="1" applyAlignment="1">
      <alignment horizontal="center" vertical="center" wrapText="1"/>
    </xf>
    <xf numFmtId="49" fontId="7" fillId="99" borderId="1" xfId="0" quotePrefix="1" applyNumberFormat="1" applyFont="1" applyFill="1" applyBorder="1" applyAlignment="1">
      <alignment horizontal="center" vertical="center" wrapText="1"/>
    </xf>
    <xf numFmtId="20" fontId="7" fillId="85" borderId="1" xfId="0" applyNumberFormat="1" applyFont="1" applyFill="1" applyBorder="1" applyAlignment="1">
      <alignment horizontal="center" vertical="center" wrapText="1"/>
    </xf>
    <xf numFmtId="20" fontId="7" fillId="49" borderId="1" xfId="0" applyNumberFormat="1" applyFont="1" applyFill="1" applyBorder="1" applyAlignment="1">
      <alignment horizontal="center" vertical="center" wrapText="1"/>
    </xf>
    <xf numFmtId="49" fontId="7" fillId="0" borderId="1" xfId="0" quotePrefix="1" applyNumberFormat="1" applyFont="1" applyBorder="1" applyAlignment="1">
      <alignment horizontal="center" vertical="center" wrapText="1"/>
    </xf>
    <xf numFmtId="20" fontId="7" fillId="48" borderId="1" xfId="0" applyNumberFormat="1" applyFont="1" applyFill="1" applyBorder="1" applyAlignment="1">
      <alignment horizontal="center" vertical="center" wrapText="1"/>
    </xf>
    <xf numFmtId="20" fontId="52" fillId="63" borderId="1" xfId="0" applyNumberFormat="1" applyFont="1" applyFill="1" applyBorder="1" applyAlignment="1">
      <alignment horizontal="center" vertical="center" wrapText="1"/>
    </xf>
    <xf numFmtId="49" fontId="7" fillId="80" borderId="0" xfId="0" applyNumberFormat="1" applyFont="1" applyFill="1" applyBorder="1" applyAlignment="1">
      <alignment horizontal="center" vertical="center" wrapText="1"/>
    </xf>
    <xf numFmtId="0" fontId="1" fillId="0" borderId="0" xfId="0" applyFont="1" applyFill="1" applyBorder="1" applyAlignment="1">
      <alignment horizontal="center" vertical="center" wrapText="1"/>
    </xf>
    <xf numFmtId="49" fontId="202" fillId="80" borderId="0" xfId="0" applyNumberFormat="1" applyFont="1" applyFill="1" applyBorder="1" applyAlignment="1">
      <alignment horizontal="center" vertical="center" wrapText="1"/>
    </xf>
    <xf numFmtId="49" fontId="203" fillId="80" borderId="0" xfId="0" applyNumberFormat="1" applyFont="1" applyFill="1" applyBorder="1" applyAlignment="1">
      <alignment horizontal="center" vertical="center" wrapText="1"/>
    </xf>
    <xf numFmtId="49" fontId="201" fillId="80" borderId="0" xfId="0" applyNumberFormat="1" applyFont="1" applyFill="1" applyBorder="1" applyAlignment="1">
      <alignment horizontal="center" vertical="center" wrapText="1"/>
    </xf>
    <xf numFmtId="49" fontId="204" fillId="80" borderId="0" xfId="0" applyNumberFormat="1" applyFont="1" applyFill="1" applyBorder="1" applyAlignment="1">
      <alignment horizontal="center" vertical="center" wrapText="1"/>
    </xf>
    <xf numFmtId="49" fontId="7" fillId="0" borderId="0" xfId="0" applyNumberFormat="1" applyFont="1" applyFill="1" applyBorder="1" applyAlignment="1">
      <alignment horizontal="center" vertical="center" wrapText="1"/>
    </xf>
    <xf numFmtId="2" fontId="1" fillId="0" borderId="6" xfId="0" applyNumberFormat="1" applyFont="1" applyFill="1" applyBorder="1" applyAlignment="1">
      <alignment horizontal="center" vertical="center" wrapText="1"/>
    </xf>
    <xf numFmtId="0" fontId="2" fillId="14" borderId="1" xfId="0" applyFont="1" applyFill="1" applyBorder="1" applyAlignment="1">
      <alignment horizontal="center" vertical="center" wrapText="1"/>
    </xf>
    <xf numFmtId="49" fontId="7" fillId="93" borderId="1" xfId="0" applyNumberFormat="1" applyFont="1" applyFill="1" applyBorder="1" applyAlignment="1">
      <alignment horizontal="center" vertical="center" wrapText="1"/>
    </xf>
    <xf numFmtId="20" fontId="7" fillId="58" borderId="1" xfId="0" applyNumberFormat="1" applyFont="1" applyFill="1" applyBorder="1" applyAlignment="1">
      <alignment horizontal="center" vertical="center" wrapText="1"/>
    </xf>
    <xf numFmtId="0" fontId="0" fillId="0" borderId="6" xfId="0" applyNumberFormat="1" applyFont="1" applyFill="1" applyBorder="1" applyAlignment="1">
      <alignment horizontal="center"/>
    </xf>
    <xf numFmtId="0" fontId="0" fillId="0" borderId="2" xfId="0" applyNumberFormat="1" applyFont="1" applyFill="1" applyBorder="1" applyAlignment="1">
      <alignment horizontal="center"/>
    </xf>
    <xf numFmtId="0" fontId="0" fillId="0" borderId="25" xfId="0" applyBorder="1" applyAlignment="1">
      <alignment horizontal="center" vertical="center" wrapText="1"/>
    </xf>
    <xf numFmtId="0" fontId="0" fillId="74" borderId="4" xfId="0" applyFont="1" applyFill="1" applyBorder="1" applyAlignment="1">
      <alignment horizontal="left"/>
    </xf>
    <xf numFmtId="0" fontId="0" fillId="74" borderId="1" xfId="0" applyNumberFormat="1" applyFont="1" applyFill="1" applyBorder="1" applyAlignment="1">
      <alignment horizontal="center"/>
    </xf>
    <xf numFmtId="0" fontId="0" fillId="74" borderId="3" xfId="0" applyNumberFormat="1" applyFont="1" applyFill="1" applyBorder="1" applyAlignment="1">
      <alignment horizontal="center"/>
    </xf>
    <xf numFmtId="0" fontId="0" fillId="74" borderId="1" xfId="0" applyFont="1" applyFill="1" applyBorder="1" applyAlignment="1">
      <alignment horizontal="center"/>
    </xf>
    <xf numFmtId="0" fontId="0" fillId="74" borderId="1" xfId="0" applyFont="1" applyFill="1" applyBorder="1"/>
    <xf numFmtId="0" fontId="0" fillId="55" borderId="4" xfId="0" applyFont="1" applyFill="1" applyBorder="1"/>
    <xf numFmtId="0" fontId="0" fillId="55" borderId="1" xfId="0" applyNumberFormat="1" applyFont="1" applyFill="1" applyBorder="1" applyAlignment="1">
      <alignment horizontal="center"/>
    </xf>
    <xf numFmtId="0" fontId="0" fillId="55" borderId="3" xfId="0" applyNumberFormat="1" applyFont="1" applyFill="1" applyBorder="1" applyAlignment="1">
      <alignment horizontal="center"/>
    </xf>
    <xf numFmtId="0" fontId="0" fillId="74" borderId="4" xfId="0" applyFont="1" applyFill="1" applyBorder="1"/>
    <xf numFmtId="0" fontId="0" fillId="74" borderId="4" xfId="0" applyFont="1" applyFill="1" applyBorder="1" applyAlignment="1">
      <alignment horizontal="left" vertical="center"/>
    </xf>
    <xf numFmtId="0" fontId="152" fillId="0" borderId="0" xfId="0" applyFont="1" applyBorder="1" applyAlignment="1">
      <alignment vertical="center"/>
    </xf>
    <xf numFmtId="0" fontId="0" fillId="0" borderId="0" xfId="0" applyBorder="1"/>
    <xf numFmtId="0" fontId="7" fillId="0" borderId="1" xfId="0" applyFont="1" applyFill="1" applyBorder="1" applyAlignment="1">
      <alignment horizontal="center" vertical="center" wrapText="1"/>
    </xf>
    <xf numFmtId="0" fontId="7" fillId="48" borderId="1" xfId="0" applyFont="1" applyFill="1" applyBorder="1" applyAlignment="1">
      <alignment horizontal="center" vertical="center" wrapText="1"/>
    </xf>
    <xf numFmtId="0" fontId="7" fillId="48" borderId="2" xfId="0"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0" fontId="7" fillId="49" borderId="1" xfId="0" applyFont="1" applyFill="1" applyBorder="1" applyAlignment="1">
      <alignment horizontal="center" vertical="center" wrapText="1"/>
    </xf>
    <xf numFmtId="2" fontId="7" fillId="48" borderId="1" xfId="0" applyNumberFormat="1" applyFont="1" applyFill="1" applyBorder="1" applyAlignment="1">
      <alignment horizontal="center" vertical="center" wrapText="1"/>
    </xf>
    <xf numFmtId="16" fontId="2" fillId="0" borderId="1" xfId="0" applyNumberFormat="1" applyFont="1" applyFill="1" applyBorder="1" applyAlignment="1">
      <alignment horizontal="center" vertical="center" wrapText="1"/>
    </xf>
    <xf numFmtId="0" fontId="7" fillId="58" borderId="1" xfId="0" applyFont="1" applyFill="1" applyBorder="1" applyAlignment="1">
      <alignment horizontal="center" vertical="center" wrapText="1"/>
    </xf>
    <xf numFmtId="2" fontId="7" fillId="58" borderId="1" xfId="0" applyNumberFormat="1" applyFont="1" applyFill="1" applyBorder="1" applyAlignment="1">
      <alignment horizontal="center" vertical="center" wrapText="1"/>
    </xf>
    <xf numFmtId="0" fontId="7" fillId="0" borderId="1" xfId="0" quotePrefix="1" applyFont="1" applyFill="1" applyBorder="1" applyAlignment="1">
      <alignment horizontal="center" vertical="center" wrapText="1"/>
    </xf>
    <xf numFmtId="0" fontId="7" fillId="73" borderId="1" xfId="0" applyFont="1" applyFill="1" applyBorder="1" applyAlignment="1">
      <alignment horizontal="center" vertical="center" wrapText="1"/>
    </xf>
    <xf numFmtId="0" fontId="7" fillId="74" borderId="1" xfId="0" applyFont="1" applyFill="1" applyBorder="1" applyAlignment="1">
      <alignment horizontal="center" vertical="center" wrapText="1"/>
    </xf>
    <xf numFmtId="0" fontId="7" fillId="63" borderId="1" xfId="0" applyFont="1" applyFill="1" applyBorder="1" applyAlignment="1">
      <alignment horizontal="center" vertical="center" wrapText="1"/>
    </xf>
    <xf numFmtId="0" fontId="7" fillId="63" borderId="2" xfId="0" applyFont="1" applyFill="1" applyBorder="1" applyAlignment="1">
      <alignment horizontal="center" vertical="center" wrapText="1"/>
    </xf>
    <xf numFmtId="0" fontId="7" fillId="76" borderId="1" xfId="0" applyFont="1" applyFill="1" applyBorder="1" applyAlignment="1">
      <alignment horizontal="center" vertical="center" wrapText="1"/>
    </xf>
    <xf numFmtId="0" fontId="7" fillId="0" borderId="1" xfId="0" applyNumberFormat="1" applyFont="1" applyFill="1" applyBorder="1" applyAlignment="1">
      <alignment horizontal="center" vertical="center" wrapText="1"/>
    </xf>
    <xf numFmtId="49" fontId="7" fillId="80" borderId="1" xfId="0" applyNumberFormat="1" applyFont="1" applyFill="1" applyBorder="1" applyAlignment="1">
      <alignment horizontal="center" vertical="center" wrapText="1"/>
    </xf>
    <xf numFmtId="49" fontId="7" fillId="80" borderId="1" xfId="0" quotePrefix="1" applyNumberFormat="1" applyFont="1" applyFill="1" applyBorder="1" applyAlignment="1">
      <alignment horizontal="center" vertical="center" wrapText="1"/>
    </xf>
    <xf numFmtId="49" fontId="7" fillId="0" borderId="1" xfId="0" quotePrefix="1" applyNumberFormat="1" applyFont="1" applyFill="1" applyBorder="1" applyAlignment="1">
      <alignment horizontal="center" vertical="center" wrapText="1"/>
    </xf>
    <xf numFmtId="16" fontId="7" fillId="0" borderId="1" xfId="0" quotePrefix="1" applyNumberFormat="1" applyFon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2" fillId="48" borderId="1" xfId="0" applyNumberFormat="1" applyFont="1" applyFill="1" applyBorder="1" applyAlignment="1">
      <alignment horizontal="center" vertical="center" wrapText="1"/>
    </xf>
    <xf numFmtId="0" fontId="7" fillId="48" borderId="1" xfId="0" applyNumberFormat="1" applyFont="1" applyFill="1" applyBorder="1" applyAlignment="1">
      <alignment horizontal="center" vertical="center" wrapText="1"/>
    </xf>
    <xf numFmtId="2" fontId="7" fillId="73" borderId="1" xfId="0" applyNumberFormat="1" applyFont="1" applyFill="1" applyBorder="1" applyAlignment="1">
      <alignment horizontal="center" vertical="center" wrapText="1"/>
    </xf>
    <xf numFmtId="2" fontId="7" fillId="92" borderId="1" xfId="0" applyNumberFormat="1" applyFont="1" applyFill="1" applyBorder="1" applyAlignment="1">
      <alignment horizontal="center" vertical="center" wrapText="1"/>
    </xf>
    <xf numFmtId="0" fontId="197" fillId="48" borderId="1" xfId="0" applyFont="1" applyFill="1" applyBorder="1" applyAlignment="1">
      <alignment horizontal="center" vertical="center" wrapText="1"/>
    </xf>
    <xf numFmtId="0" fontId="197" fillId="0" borderId="1" xfId="0" applyFont="1" applyFill="1" applyBorder="1" applyAlignment="1">
      <alignment horizontal="center" vertical="center" wrapText="1"/>
    </xf>
    <xf numFmtId="0" fontId="2" fillId="73" borderId="1" xfId="0" applyNumberFormat="1" applyFont="1" applyFill="1" applyBorder="1" applyAlignment="1">
      <alignment horizontal="center" vertical="center" wrapText="1"/>
    </xf>
    <xf numFmtId="0" fontId="7" fillId="48" borderId="39" xfId="0" applyFont="1" applyFill="1" applyBorder="1" applyAlignment="1">
      <alignment horizontal="center" vertical="center" wrapText="1"/>
    </xf>
    <xf numFmtId="49" fontId="7" fillId="93" borderId="1" xfId="0" quotePrefix="1" applyNumberFormat="1" applyFont="1" applyFill="1" applyBorder="1" applyAlignment="1">
      <alignment horizontal="center" vertical="center" wrapText="1"/>
    </xf>
    <xf numFmtId="0" fontId="7" fillId="73" borderId="1" xfId="0" applyNumberFormat="1" applyFont="1" applyFill="1" applyBorder="1" applyAlignment="1">
      <alignment horizontal="center" vertical="center" wrapText="1"/>
    </xf>
    <xf numFmtId="16" fontId="7" fillId="74" borderId="1" xfId="0" quotePrefix="1" applyNumberFormat="1" applyFont="1" applyFill="1" applyBorder="1" applyAlignment="1">
      <alignment horizontal="center" vertical="center" wrapText="1"/>
    </xf>
    <xf numFmtId="16" fontId="2" fillId="74" borderId="1" xfId="0" applyNumberFormat="1" applyFont="1" applyFill="1" applyBorder="1" applyAlignment="1">
      <alignment horizontal="center" vertical="center" wrapText="1"/>
    </xf>
    <xf numFmtId="0" fontId="7" fillId="74" borderId="1" xfId="0" quotePrefix="1" applyFont="1" applyFill="1" applyBorder="1" applyAlignment="1">
      <alignment horizontal="center" vertical="center" wrapText="1"/>
    </xf>
    <xf numFmtId="0" fontId="197" fillId="74" borderId="1" xfId="0" applyFont="1" applyFill="1" applyBorder="1" applyAlignment="1">
      <alignment horizontal="center" vertical="center" wrapText="1"/>
    </xf>
    <xf numFmtId="0" fontId="197" fillId="73" borderId="1" xfId="0" applyFont="1" applyFill="1" applyBorder="1" applyAlignment="1">
      <alignment horizontal="center" vertical="center" wrapText="1"/>
    </xf>
    <xf numFmtId="2" fontId="7" fillId="80" borderId="0" xfId="0" applyNumberFormat="1" applyFont="1" applyFill="1" applyBorder="1" applyAlignment="1">
      <alignment horizontal="center" vertical="center" wrapText="1"/>
    </xf>
    <xf numFmtId="0" fontId="210" fillId="48" borderId="1" xfId="0" applyNumberFormat="1" applyFont="1" applyFill="1" applyBorder="1" applyAlignment="1">
      <alignment horizontal="center" vertical="center" wrapText="1"/>
    </xf>
    <xf numFmtId="2" fontId="211" fillId="48" borderId="1" xfId="0" applyNumberFormat="1" applyFont="1" applyFill="1" applyBorder="1" applyAlignment="1">
      <alignment horizontal="center" vertical="center" wrapText="1"/>
    </xf>
    <xf numFmtId="49" fontId="211" fillId="80" borderId="1" xfId="0" applyNumberFormat="1" applyFont="1" applyFill="1" applyBorder="1" applyAlignment="1">
      <alignment horizontal="center" vertical="center" wrapText="1"/>
    </xf>
    <xf numFmtId="2" fontId="211" fillId="92" borderId="1" xfId="0" applyNumberFormat="1" applyFont="1" applyFill="1" applyBorder="1" applyAlignment="1">
      <alignment horizontal="center" vertical="center" wrapText="1"/>
    </xf>
    <xf numFmtId="0" fontId="210" fillId="73" borderId="1" xfId="0" applyNumberFormat="1" applyFont="1" applyFill="1" applyBorder="1" applyAlignment="1">
      <alignment horizontal="center" vertical="center" wrapText="1"/>
    </xf>
    <xf numFmtId="2" fontId="7" fillId="80" borderId="0" xfId="0" applyNumberFormat="1" applyFont="1" applyFill="1" applyAlignment="1">
      <alignment horizontal="center" vertical="center" wrapText="1"/>
    </xf>
    <xf numFmtId="0" fontId="7" fillId="0" borderId="39" xfId="0" quotePrefix="1" applyFont="1" applyBorder="1" applyAlignment="1">
      <alignment horizontal="center" vertical="center" wrapText="1"/>
    </xf>
    <xf numFmtId="0" fontId="2" fillId="98" borderId="1" xfId="0" applyFont="1" applyFill="1" applyBorder="1" applyAlignment="1">
      <alignment horizontal="center" vertical="center" wrapText="1"/>
    </xf>
    <xf numFmtId="49" fontId="7" fillId="0" borderId="1" xfId="0" applyNumberFormat="1" applyFont="1" applyBorder="1" applyAlignment="1">
      <alignment horizontal="center" vertical="center" wrapText="1"/>
    </xf>
    <xf numFmtId="0" fontId="2" fillId="85" borderId="1" xfId="0" applyFont="1" applyFill="1" applyBorder="1" applyAlignment="1">
      <alignment horizontal="center" vertical="center" wrapText="1"/>
    </xf>
    <xf numFmtId="49" fontId="7" fillId="91" borderId="1" xfId="0" applyNumberFormat="1" applyFont="1" applyFill="1" applyBorder="1" applyAlignment="1">
      <alignment horizontal="center" vertical="center" wrapText="1"/>
    </xf>
    <xf numFmtId="0" fontId="197" fillId="0" borderId="1" xfId="0" quotePrefix="1" applyFont="1" applyBorder="1" applyAlignment="1">
      <alignment horizontal="center" vertical="center" wrapText="1"/>
    </xf>
    <xf numFmtId="0" fontId="2" fillId="53" borderId="1" xfId="0" applyFont="1" applyFill="1" applyBorder="1" applyAlignment="1">
      <alignment horizontal="center" vertical="center" wrapText="1"/>
    </xf>
    <xf numFmtId="2" fontId="7" fillId="80" borderId="0" xfId="0" quotePrefix="1" applyNumberFormat="1" applyFont="1" applyFill="1" applyAlignment="1">
      <alignment horizontal="center" vertical="center" wrapText="1"/>
    </xf>
    <xf numFmtId="2" fontId="211" fillId="80" borderId="0" xfId="0" applyNumberFormat="1" applyFont="1" applyFill="1" applyAlignment="1">
      <alignment horizontal="center" vertical="center" wrapText="1"/>
    </xf>
    <xf numFmtId="0" fontId="2" fillId="58" borderId="1" xfId="0" applyFont="1" applyFill="1" applyBorder="1" applyAlignment="1">
      <alignment horizontal="center" vertical="center" wrapText="1"/>
    </xf>
    <xf numFmtId="0" fontId="52" fillId="14" borderId="1" xfId="0" applyFont="1" applyFill="1" applyBorder="1" applyAlignment="1">
      <alignment horizontal="center" vertical="center" wrapText="1"/>
    </xf>
    <xf numFmtId="16" fontId="208" fillId="14" borderId="1" xfId="0" applyNumberFormat="1" applyFont="1" applyFill="1" applyBorder="1" applyAlignment="1">
      <alignment horizontal="center" vertical="center" wrapText="1"/>
    </xf>
    <xf numFmtId="0" fontId="208" fillId="63" borderId="1" xfId="0" applyFont="1" applyFill="1" applyBorder="1" applyAlignment="1">
      <alignment horizontal="center" vertical="center" wrapText="1"/>
    </xf>
    <xf numFmtId="49" fontId="52" fillId="90" borderId="1" xfId="0" quotePrefix="1" applyNumberFormat="1" applyFont="1" applyFill="1" applyBorder="1" applyAlignment="1">
      <alignment horizontal="center" vertical="center" wrapText="1"/>
    </xf>
    <xf numFmtId="0" fontId="52" fillId="63" borderId="1" xfId="0" applyFont="1" applyFill="1" applyBorder="1" applyAlignment="1">
      <alignment horizontal="center" vertical="center" wrapText="1"/>
    </xf>
    <xf numFmtId="0" fontId="209" fillId="63" borderId="1" xfId="0" applyFont="1" applyFill="1" applyBorder="1" applyAlignment="1">
      <alignment horizontal="center" vertical="center" wrapText="1"/>
    </xf>
    <xf numFmtId="16" fontId="52" fillId="14" borderId="1" xfId="0" quotePrefix="1" applyNumberFormat="1" applyFont="1" applyFill="1" applyBorder="1" applyAlignment="1">
      <alignment horizontal="center" vertical="center" wrapText="1"/>
    </xf>
    <xf numFmtId="20" fontId="52" fillId="14" borderId="1" xfId="0" applyNumberFormat="1" applyFont="1" applyFill="1" applyBorder="1" applyAlignment="1">
      <alignment horizontal="center" vertical="center" wrapText="1"/>
    </xf>
    <xf numFmtId="0" fontId="212" fillId="48" borderId="1" xfId="0" applyNumberFormat="1" applyFont="1" applyFill="1" applyBorder="1" applyAlignment="1">
      <alignment horizontal="center" vertical="center" wrapText="1"/>
    </xf>
    <xf numFmtId="49" fontId="213" fillId="80" borderId="1" xfId="0" applyNumberFormat="1" applyFont="1" applyFill="1" applyBorder="1" applyAlignment="1">
      <alignment horizontal="center" vertical="center" wrapText="1"/>
    </xf>
    <xf numFmtId="2" fontId="213" fillId="80" borderId="0" xfId="0" applyNumberFormat="1" applyFont="1" applyFill="1" applyAlignment="1">
      <alignment horizontal="center" vertical="center" wrapText="1"/>
    </xf>
    <xf numFmtId="2" fontId="213" fillId="92" borderId="1" xfId="0" applyNumberFormat="1" applyFont="1" applyFill="1" applyBorder="1" applyAlignment="1">
      <alignment horizontal="center" vertical="center" wrapText="1"/>
    </xf>
    <xf numFmtId="0" fontId="2" fillId="14" borderId="1" xfId="0" applyFont="1" applyFill="1" applyBorder="1" applyAlignment="1">
      <alignment vertical="center" wrapText="1"/>
    </xf>
    <xf numFmtId="0" fontId="214" fillId="48" borderId="1" xfId="0" applyNumberFormat="1" applyFont="1" applyFill="1" applyBorder="1" applyAlignment="1">
      <alignment horizontal="center" vertical="center" wrapText="1"/>
    </xf>
    <xf numFmtId="2" fontId="215" fillId="48" borderId="1" xfId="0" applyNumberFormat="1" applyFont="1" applyFill="1" applyBorder="1" applyAlignment="1">
      <alignment horizontal="center" vertical="center" wrapText="1"/>
    </xf>
    <xf numFmtId="49" fontId="215" fillId="80" borderId="1" xfId="0" applyNumberFormat="1" applyFont="1" applyFill="1" applyBorder="1" applyAlignment="1">
      <alignment horizontal="center" vertical="center" wrapText="1"/>
    </xf>
    <xf numFmtId="2" fontId="215" fillId="80" borderId="0" xfId="0" applyNumberFormat="1" applyFont="1" applyFill="1" applyBorder="1" applyAlignment="1">
      <alignment horizontal="center" vertical="center" wrapText="1"/>
    </xf>
    <xf numFmtId="2" fontId="0" fillId="0" borderId="0" xfId="0" applyNumberFormat="1" applyFill="1" applyAlignment="1">
      <alignment wrapText="1"/>
    </xf>
    <xf numFmtId="49" fontId="217" fillId="80" borderId="1" xfId="0" applyNumberFormat="1" applyFont="1" applyFill="1" applyBorder="1" applyAlignment="1">
      <alignment horizontal="center" vertical="center" wrapText="1"/>
    </xf>
    <xf numFmtId="2" fontId="217" fillId="80" borderId="0" xfId="0" applyNumberFormat="1" applyFont="1" applyFill="1" applyBorder="1" applyAlignment="1">
      <alignment horizontal="center" vertical="center" wrapText="1"/>
    </xf>
    <xf numFmtId="2" fontId="217" fillId="92" borderId="1" xfId="0" applyNumberFormat="1" applyFont="1" applyFill="1" applyBorder="1" applyAlignment="1">
      <alignment horizontal="center" vertical="center" wrapText="1"/>
    </xf>
    <xf numFmtId="0" fontId="210" fillId="0" borderId="1" xfId="0" applyNumberFormat="1" applyFont="1" applyFill="1" applyBorder="1" applyAlignment="1">
      <alignment horizontal="center" vertical="center" wrapText="1"/>
    </xf>
    <xf numFmtId="0" fontId="218" fillId="48" borderId="1" xfId="0" applyNumberFormat="1" applyFont="1" applyFill="1" applyBorder="1" applyAlignment="1">
      <alignment horizontal="center" vertical="center" wrapText="1"/>
    </xf>
    <xf numFmtId="49" fontId="219" fillId="80" borderId="1" xfId="0" applyNumberFormat="1" applyFont="1" applyFill="1" applyBorder="1" applyAlignment="1">
      <alignment horizontal="center" vertical="center" wrapText="1"/>
    </xf>
    <xf numFmtId="2" fontId="219" fillId="92" borderId="1" xfId="0" applyNumberFormat="1" applyFont="1" applyFill="1" applyBorder="1" applyAlignment="1">
      <alignment horizontal="center" vertical="center" wrapText="1"/>
    </xf>
    <xf numFmtId="0" fontId="197" fillId="53" borderId="1" xfId="0" applyFont="1" applyFill="1" applyBorder="1" applyAlignment="1">
      <alignment horizontal="center" vertical="center" wrapText="1"/>
    </xf>
    <xf numFmtId="0" fontId="0" fillId="55" borderId="5" xfId="0" applyNumberFormat="1" applyFont="1" applyFill="1" applyBorder="1" applyAlignment="1">
      <alignment horizontal="center"/>
    </xf>
    <xf numFmtId="0" fontId="0" fillId="55" borderId="6" xfId="0" applyNumberFormat="1" applyFont="1" applyFill="1" applyBorder="1" applyAlignment="1">
      <alignment horizontal="center"/>
    </xf>
    <xf numFmtId="2" fontId="219" fillId="80" borderId="0" xfId="0" applyNumberFormat="1" applyFont="1" applyFill="1" applyBorder="1" applyAlignment="1">
      <alignment horizontal="center" vertical="center" wrapText="1"/>
    </xf>
    <xf numFmtId="49" fontId="221" fillId="80" borderId="1" xfId="0" applyNumberFormat="1" applyFont="1" applyFill="1" applyBorder="1" applyAlignment="1">
      <alignment horizontal="center" vertical="center" wrapText="1"/>
    </xf>
    <xf numFmtId="2" fontId="221" fillId="80" borderId="0" xfId="0" applyNumberFormat="1" applyFont="1" applyFill="1" applyAlignment="1">
      <alignment horizontal="center" vertical="center" wrapText="1"/>
    </xf>
    <xf numFmtId="0" fontId="220" fillId="48" borderId="1" xfId="0" applyFont="1" applyFill="1" applyBorder="1" applyAlignment="1">
      <alignment horizontal="center" vertical="center" wrapText="1"/>
    </xf>
    <xf numFmtId="2" fontId="221" fillId="92" borderId="1" xfId="0" applyNumberFormat="1" applyFont="1" applyFill="1" applyBorder="1" applyAlignment="1">
      <alignment horizontal="center" vertical="center" wrapText="1"/>
    </xf>
    <xf numFmtId="49" fontId="223" fillId="80" borderId="1" xfId="0" applyNumberFormat="1" applyFont="1" applyFill="1" applyBorder="1" applyAlignment="1">
      <alignment horizontal="center" vertical="center" wrapText="1"/>
    </xf>
    <xf numFmtId="2" fontId="223" fillId="80" borderId="0" xfId="0" applyNumberFormat="1" applyFont="1" applyFill="1" applyAlignment="1">
      <alignment horizontal="center" vertical="center" wrapText="1"/>
    </xf>
    <xf numFmtId="0" fontId="224" fillId="48" borderId="1" xfId="0" applyNumberFormat="1" applyFont="1" applyFill="1" applyBorder="1" applyAlignment="1">
      <alignment horizontal="center" vertical="center" wrapText="1"/>
    </xf>
    <xf numFmtId="49" fontId="225" fillId="80" borderId="1" xfId="0" applyNumberFormat="1" applyFont="1" applyFill="1" applyBorder="1" applyAlignment="1">
      <alignment horizontal="center" vertical="center" wrapText="1"/>
    </xf>
    <xf numFmtId="2" fontId="225" fillId="80" borderId="0" xfId="0" applyNumberFormat="1" applyFont="1" applyFill="1" applyBorder="1" applyAlignment="1">
      <alignment horizontal="center" vertical="center" wrapText="1"/>
    </xf>
    <xf numFmtId="0" fontId="0" fillId="0" borderId="4" xfId="0" applyFont="1" applyFill="1" applyBorder="1" applyAlignment="1">
      <alignment horizontal="center" vertical="center" wrapText="1"/>
    </xf>
    <xf numFmtId="0" fontId="226" fillId="48" borderId="1" xfId="0" applyNumberFormat="1" applyFont="1" applyFill="1" applyBorder="1" applyAlignment="1">
      <alignment horizontal="center" vertical="center" wrapText="1"/>
    </xf>
    <xf numFmtId="2" fontId="227" fillId="48" borderId="1" xfId="0" applyNumberFormat="1" applyFont="1" applyFill="1" applyBorder="1" applyAlignment="1">
      <alignment horizontal="center" vertical="center" wrapText="1"/>
    </xf>
    <xf numFmtId="49" fontId="227" fillId="80" borderId="1" xfId="0" applyNumberFormat="1" applyFont="1" applyFill="1" applyBorder="1" applyAlignment="1">
      <alignment horizontal="center" vertical="center" wrapText="1"/>
    </xf>
    <xf numFmtId="2" fontId="227" fillId="80" borderId="0" xfId="0" applyNumberFormat="1" applyFont="1" applyFill="1" applyAlignment="1">
      <alignment horizontal="center" vertical="center" wrapText="1"/>
    </xf>
    <xf numFmtId="2" fontId="227" fillId="92" borderId="1" xfId="0" applyNumberFormat="1" applyFont="1" applyFill="1" applyBorder="1" applyAlignment="1">
      <alignment horizontal="center" vertical="center" wrapText="1"/>
    </xf>
    <xf numFmtId="0" fontId="226" fillId="73" borderId="1" xfId="0" applyNumberFormat="1" applyFont="1" applyFill="1" applyBorder="1" applyAlignment="1">
      <alignment horizontal="center" vertical="center" wrapText="1"/>
    </xf>
    <xf numFmtId="2" fontId="227" fillId="73" borderId="1" xfId="0" applyNumberFormat="1" applyFont="1" applyFill="1" applyBorder="1" applyAlignment="1">
      <alignment horizontal="center" vertical="center" wrapText="1"/>
    </xf>
    <xf numFmtId="20" fontId="227" fillId="48" borderId="1" xfId="0" applyNumberFormat="1" applyFont="1" applyFill="1" applyBorder="1" applyAlignment="1">
      <alignment horizontal="center" vertical="center" wrapText="1"/>
    </xf>
    <xf numFmtId="0" fontId="216" fillId="48" borderId="1" xfId="0" applyNumberFormat="1" applyFont="1" applyFill="1" applyBorder="1" applyAlignment="1">
      <alignment horizontal="center" vertical="center" wrapText="1"/>
    </xf>
    <xf numFmtId="0" fontId="222" fillId="48" borderId="1" xfId="0" applyNumberFormat="1" applyFont="1" applyFill="1" applyBorder="1" applyAlignment="1">
      <alignment horizontal="center" vertical="center" wrapText="1"/>
    </xf>
    <xf numFmtId="20" fontId="7" fillId="48" borderId="1" xfId="0" applyNumberFormat="1" applyFont="1" applyFill="1" applyBorder="1" applyAlignment="1">
      <alignment horizontal="center" vertical="center" wrapText="1"/>
    </xf>
    <xf numFmtId="20" fontId="7" fillId="73" borderId="1" xfId="0" applyNumberFormat="1" applyFont="1" applyFill="1" applyBorder="1" applyAlignment="1">
      <alignment horizontal="center" vertical="center" wrapText="1"/>
    </xf>
    <xf numFmtId="20" fontId="7" fillId="63" borderId="1" xfId="0" applyNumberFormat="1" applyFont="1" applyFill="1" applyBorder="1" applyAlignment="1">
      <alignment horizontal="center" vertical="center" wrapText="1"/>
    </xf>
    <xf numFmtId="2" fontId="7" fillId="93" borderId="0" xfId="0" applyNumberFormat="1" applyFont="1" applyFill="1" applyAlignment="1">
      <alignment horizontal="center" vertical="center" wrapText="1"/>
    </xf>
    <xf numFmtId="0" fontId="226" fillId="0" borderId="1" xfId="0" applyNumberFormat="1" applyFont="1" applyFill="1" applyBorder="1" applyAlignment="1">
      <alignment horizontal="center" vertical="center" wrapText="1"/>
    </xf>
    <xf numFmtId="20" fontId="7" fillId="0" borderId="1" xfId="0" applyNumberFormat="1" applyFont="1" applyFill="1" applyBorder="1" applyAlignment="1">
      <alignment horizontal="center" vertical="center" wrapText="1"/>
    </xf>
    <xf numFmtId="2" fontId="227" fillId="0" borderId="1" xfId="0" applyNumberFormat="1" applyFont="1" applyFill="1" applyBorder="1" applyAlignment="1">
      <alignment horizontal="center" vertical="center" wrapText="1"/>
    </xf>
    <xf numFmtId="20" fontId="227" fillId="63" borderId="1" xfId="0" applyNumberFormat="1" applyFont="1" applyFill="1" applyBorder="1" applyAlignment="1">
      <alignment horizontal="center" vertical="center" wrapText="1"/>
    </xf>
    <xf numFmtId="20" fontId="7" fillId="14" borderId="1" xfId="0" applyNumberFormat="1" applyFont="1" applyFill="1" applyBorder="1" applyAlignment="1">
      <alignment horizontal="center" vertical="center" wrapText="1"/>
    </xf>
    <xf numFmtId="0" fontId="197" fillId="75" borderId="1" xfId="0" applyFont="1" applyFill="1" applyBorder="1" applyAlignment="1">
      <alignment horizontal="center" vertical="center" wrapText="1"/>
    </xf>
    <xf numFmtId="20" fontId="7" fillId="70" borderId="1" xfId="0" quotePrefix="1" applyNumberFormat="1" applyFont="1" applyFill="1" applyBorder="1" applyAlignment="1">
      <alignment horizontal="center" vertical="center" wrapText="1"/>
    </xf>
    <xf numFmtId="20" fontId="7" fillId="74" borderId="1" xfId="0" applyNumberFormat="1" applyFont="1" applyFill="1" applyBorder="1" applyAlignment="1">
      <alignment horizontal="center" vertical="center" wrapText="1"/>
    </xf>
    <xf numFmtId="49" fontId="227" fillId="93" borderId="1" xfId="0" quotePrefix="1" applyNumberFormat="1" applyFont="1" applyFill="1" applyBorder="1" applyAlignment="1">
      <alignment horizontal="center" vertical="center" wrapText="1"/>
    </xf>
    <xf numFmtId="16" fontId="2" fillId="0" borderId="1" xfId="0" quotePrefix="1" applyNumberFormat="1" applyFont="1" applyBorder="1" applyAlignment="1">
      <alignment horizontal="center" vertical="center" wrapText="1"/>
    </xf>
    <xf numFmtId="49" fontId="227" fillId="80" borderId="1" xfId="0" quotePrefix="1" applyNumberFormat="1" applyFont="1" applyFill="1" applyBorder="1" applyAlignment="1">
      <alignment horizontal="center" vertical="center" wrapText="1"/>
    </xf>
    <xf numFmtId="0" fontId="2" fillId="62" borderId="1" xfId="0" applyFont="1" applyFill="1" applyBorder="1" applyAlignment="1">
      <alignment horizontal="center" vertical="center" wrapText="1"/>
    </xf>
    <xf numFmtId="0" fontId="197" fillId="59" borderId="1" xfId="0" applyFont="1" applyFill="1" applyBorder="1" applyAlignment="1">
      <alignment horizontal="center" vertical="center" wrapText="1"/>
    </xf>
    <xf numFmtId="49" fontId="7" fillId="74" borderId="1" xfId="0" applyNumberFormat="1" applyFont="1" applyFill="1" applyBorder="1" applyAlignment="1">
      <alignment horizontal="center" vertical="center" wrapText="1"/>
    </xf>
    <xf numFmtId="2" fontId="7" fillId="74" borderId="1" xfId="0" applyNumberFormat="1" applyFont="1" applyFill="1" applyBorder="1" applyAlignment="1">
      <alignment horizontal="center" vertical="center" wrapText="1"/>
    </xf>
    <xf numFmtId="16" fontId="7" fillId="71" borderId="1" xfId="0" applyNumberFormat="1" applyFont="1" applyFill="1" applyBorder="1" applyAlignment="1">
      <alignment horizontal="center" vertical="center" wrapText="1"/>
    </xf>
    <xf numFmtId="49" fontId="211" fillId="93" borderId="1" xfId="0" quotePrefix="1" applyNumberFormat="1" applyFont="1" applyFill="1" applyBorder="1" applyAlignment="1">
      <alignment horizontal="center" vertical="center" wrapText="1"/>
    </xf>
    <xf numFmtId="2" fontId="223" fillId="92" borderId="1" xfId="0" applyNumberFormat="1" applyFont="1" applyFill="1" applyBorder="1" applyAlignment="1">
      <alignment horizontal="center" vertical="center" wrapText="1"/>
    </xf>
    <xf numFmtId="2" fontId="225" fillId="92" borderId="1" xfId="0" applyNumberFormat="1" applyFont="1" applyFill="1" applyBorder="1" applyAlignment="1">
      <alignment horizontal="center" vertical="center" wrapText="1"/>
    </xf>
    <xf numFmtId="0" fontId="2" fillId="70" borderId="1" xfId="0" applyFont="1" applyFill="1" applyBorder="1" applyAlignment="1">
      <alignment horizontal="center" vertical="center" wrapText="1"/>
    </xf>
    <xf numFmtId="0" fontId="206" fillId="14" borderId="1" xfId="0" quotePrefix="1" applyFont="1" applyFill="1" applyBorder="1" applyAlignment="1">
      <alignment horizontal="center" vertical="center"/>
    </xf>
    <xf numFmtId="49" fontId="7" fillId="70" borderId="1" xfId="0" quotePrefix="1" applyNumberFormat="1" applyFont="1" applyFill="1" applyBorder="1" applyAlignment="1">
      <alignment horizontal="center" vertical="center" wrapText="1"/>
    </xf>
    <xf numFmtId="0" fontId="197" fillId="62" borderId="1" xfId="0" applyFont="1" applyFill="1" applyBorder="1" applyAlignment="1">
      <alignment horizontal="center" vertical="center" wrapText="1"/>
    </xf>
    <xf numFmtId="0" fontId="197" fillId="70" borderId="1" xfId="0" applyFont="1" applyFill="1" applyBorder="1" applyAlignment="1">
      <alignment horizontal="center" vertical="center" wrapText="1"/>
    </xf>
    <xf numFmtId="0" fontId="207" fillId="71" borderId="1" xfId="0" quotePrefix="1" applyFont="1" applyFill="1" applyBorder="1" applyAlignment="1">
      <alignment horizontal="center" vertical="center" wrapText="1"/>
    </xf>
    <xf numFmtId="2" fontId="7" fillId="70" borderId="1" xfId="0" applyNumberFormat="1" applyFont="1" applyFill="1" applyBorder="1" applyAlignment="1">
      <alignment horizontal="center" vertical="center" wrapText="1"/>
    </xf>
    <xf numFmtId="20" fontId="227" fillId="0" borderId="1" xfId="0" applyNumberFormat="1" applyFont="1" applyFill="1" applyBorder="1" applyAlignment="1">
      <alignment horizontal="center" vertical="center" wrapText="1"/>
    </xf>
    <xf numFmtId="20" fontId="7" fillId="0" borderId="1" xfId="0" applyNumberFormat="1" applyFont="1" applyFill="1" applyBorder="1" applyAlignment="1">
      <alignment horizontal="center" vertical="center" wrapText="1"/>
    </xf>
    <xf numFmtId="20" fontId="7" fillId="48" borderId="1" xfId="0" applyNumberFormat="1" applyFont="1" applyFill="1" applyBorder="1" applyAlignment="1">
      <alignment horizontal="center" vertical="center" wrapText="1"/>
    </xf>
    <xf numFmtId="2" fontId="227" fillId="72" borderId="1" xfId="0" applyNumberFormat="1" applyFont="1" applyFill="1" applyBorder="1" applyAlignment="1">
      <alignment horizontal="center" vertical="center" wrapText="1"/>
    </xf>
    <xf numFmtId="20" fontId="227" fillId="72" borderId="1" xfId="0" applyNumberFormat="1" applyFont="1" applyFill="1" applyBorder="1" applyAlignment="1">
      <alignment horizontal="center" vertical="center" wrapText="1"/>
    </xf>
    <xf numFmtId="20" fontId="7" fillId="73" borderId="1" xfId="0" applyNumberFormat="1" applyFont="1" applyFill="1" applyBorder="1" applyAlignment="1">
      <alignment horizontal="center" vertical="center" wrapText="1"/>
    </xf>
    <xf numFmtId="2" fontId="7" fillId="0" borderId="0" xfId="0" applyNumberFormat="1" applyFont="1" applyFill="1" applyAlignment="1">
      <alignment horizontal="center" vertical="center" wrapText="1"/>
    </xf>
    <xf numFmtId="49" fontId="203" fillId="0" borderId="0" xfId="0" applyNumberFormat="1" applyFont="1" applyFill="1" applyBorder="1" applyAlignment="1">
      <alignment horizontal="center" vertical="center" wrapText="1"/>
    </xf>
    <xf numFmtId="0" fontId="226" fillId="63" borderId="1" xfId="0" applyNumberFormat="1" applyFont="1" applyFill="1" applyBorder="1" applyAlignment="1">
      <alignment horizontal="center" vertical="center" wrapText="1"/>
    </xf>
    <xf numFmtId="2" fontId="227" fillId="63" borderId="1" xfId="0" applyNumberFormat="1" applyFont="1" applyFill="1" applyBorder="1" applyAlignment="1">
      <alignment horizontal="center" vertical="center" wrapText="1"/>
    </xf>
    <xf numFmtId="20" fontId="7" fillId="63" borderId="1" xfId="0" applyNumberFormat="1" applyFont="1" applyFill="1" applyBorder="1" applyAlignment="1">
      <alignment horizontal="center" vertical="center" wrapText="1"/>
    </xf>
    <xf numFmtId="0" fontId="7" fillId="74" borderId="39" xfId="0" quotePrefix="1" applyFont="1" applyFill="1" applyBorder="1" applyAlignment="1">
      <alignment horizontal="center" vertical="center" wrapText="1"/>
    </xf>
    <xf numFmtId="0" fontId="7" fillId="73" borderId="2" xfId="0" applyFont="1" applyFill="1" applyBorder="1" applyAlignment="1">
      <alignment horizontal="center" vertical="center" wrapText="1"/>
    </xf>
    <xf numFmtId="0" fontId="226" fillId="58" borderId="1" xfId="0" applyNumberFormat="1" applyFont="1" applyFill="1" applyBorder="1" applyAlignment="1">
      <alignment horizontal="center" vertical="center" wrapText="1"/>
    </xf>
    <xf numFmtId="0" fontId="7" fillId="49" borderId="1" xfId="0" quotePrefix="1" applyFont="1" applyFill="1" applyBorder="1" applyAlignment="1">
      <alignment horizontal="center" vertical="center" wrapText="1"/>
    </xf>
    <xf numFmtId="2" fontId="227" fillId="58" borderId="1" xfId="0" applyNumberFormat="1" applyFont="1" applyFill="1" applyBorder="1" applyAlignment="1">
      <alignment horizontal="center" vertical="center" wrapText="1"/>
    </xf>
    <xf numFmtId="0" fontId="7" fillId="58" borderId="1" xfId="0" applyNumberFormat="1" applyFont="1" applyFill="1" applyBorder="1" applyAlignment="1">
      <alignment horizontal="center" vertical="center" wrapText="1"/>
    </xf>
    <xf numFmtId="0" fontId="2" fillId="58" borderId="1" xfId="0" applyNumberFormat="1" applyFont="1" applyFill="1" applyBorder="1" applyAlignment="1">
      <alignment horizontal="center" vertical="center" wrapText="1"/>
    </xf>
    <xf numFmtId="0" fontId="226" fillId="49" borderId="1" xfId="0" applyNumberFormat="1" applyFont="1" applyFill="1" applyBorder="1" applyAlignment="1">
      <alignment horizontal="center" vertical="center" wrapText="1"/>
    </xf>
    <xf numFmtId="49" fontId="7" fillId="49" borderId="1" xfId="0" quotePrefix="1" applyNumberFormat="1" applyFont="1" applyFill="1" applyBorder="1" applyAlignment="1">
      <alignment horizontal="center" vertical="center" wrapText="1"/>
    </xf>
    <xf numFmtId="20" fontId="227" fillId="49" borderId="1" xfId="0" applyNumberFormat="1" applyFont="1" applyFill="1" applyBorder="1" applyAlignment="1">
      <alignment horizontal="center" vertical="center" wrapText="1"/>
    </xf>
    <xf numFmtId="2" fontId="227" fillId="49" borderId="1" xfId="0" applyNumberFormat="1" applyFont="1" applyFill="1" applyBorder="1" applyAlignment="1">
      <alignment horizontal="center" vertical="center" wrapText="1"/>
    </xf>
    <xf numFmtId="0" fontId="7" fillId="49" borderId="1" xfId="0" applyNumberFormat="1" applyFont="1" applyFill="1" applyBorder="1" applyAlignment="1">
      <alignment horizontal="center" vertical="center" wrapText="1"/>
    </xf>
    <xf numFmtId="0" fontId="0" fillId="87" borderId="1" xfId="0" applyFont="1" applyFill="1" applyBorder="1" applyAlignment="1"/>
    <xf numFmtId="0" fontId="0" fillId="87" borderId="1" xfId="0" applyNumberFormat="1" applyFont="1" applyFill="1" applyBorder="1" applyAlignment="1">
      <alignment horizontal="center"/>
    </xf>
    <xf numFmtId="0" fontId="0" fillId="87" borderId="1" xfId="0" applyFont="1" applyFill="1" applyBorder="1" applyAlignment="1">
      <alignment horizontal="left" vertical="center"/>
    </xf>
    <xf numFmtId="0" fontId="0" fillId="87" borderId="1" xfId="0" applyFont="1" applyFill="1" applyBorder="1" applyAlignment="1">
      <alignment horizontal="center"/>
    </xf>
    <xf numFmtId="0" fontId="0" fillId="87" borderId="1" xfId="0" applyFont="1" applyFill="1" applyBorder="1" applyAlignment="1">
      <alignment vertical="center" wrapText="1"/>
    </xf>
    <xf numFmtId="0" fontId="0" fillId="87" borderId="4" xfId="0" applyFont="1" applyFill="1" applyBorder="1" applyAlignment="1">
      <alignment horizontal="left" vertical="center"/>
    </xf>
    <xf numFmtId="0" fontId="0" fillId="87" borderId="3" xfId="0" applyNumberFormat="1" applyFont="1" applyFill="1" applyBorder="1" applyAlignment="1">
      <alignment horizontal="center"/>
    </xf>
    <xf numFmtId="0" fontId="0" fillId="87" borderId="4" xfId="0" applyFont="1" applyFill="1" applyBorder="1"/>
    <xf numFmtId="0" fontId="0" fillId="87" borderId="1" xfId="0" applyFont="1" applyFill="1" applyBorder="1"/>
    <xf numFmtId="0" fontId="0" fillId="100" borderId="1" xfId="0" applyFont="1" applyFill="1" applyBorder="1" applyAlignment="1">
      <alignment vertical="center" wrapText="1"/>
    </xf>
    <xf numFmtId="0" fontId="0" fillId="100" borderId="1" xfId="0" applyNumberFormat="1" applyFont="1" applyFill="1" applyBorder="1" applyAlignment="1">
      <alignment horizontal="center"/>
    </xf>
    <xf numFmtId="0" fontId="0" fillId="100" borderId="4" xfId="0" applyFont="1" applyFill="1" applyBorder="1" applyAlignment="1">
      <alignment horizontal="left" wrapText="1"/>
    </xf>
    <xf numFmtId="0" fontId="0" fillId="100" borderId="3" xfId="0" applyNumberFormat="1" applyFont="1" applyFill="1" applyBorder="1" applyAlignment="1">
      <alignment horizontal="center"/>
    </xf>
    <xf numFmtId="0" fontId="0" fillId="100" borderId="1" xfId="0" applyFont="1" applyFill="1" applyBorder="1"/>
    <xf numFmtId="0" fontId="0" fillId="100" borderId="1" xfId="0" applyFont="1" applyFill="1" applyBorder="1" applyAlignment="1">
      <alignment horizontal="center"/>
    </xf>
    <xf numFmtId="0" fontId="0" fillId="100" borderId="1" xfId="0" applyFont="1" applyFill="1" applyBorder="1" applyAlignment="1">
      <alignment horizontal="left" wrapText="1"/>
    </xf>
    <xf numFmtId="0" fontId="0" fillId="100" borderId="1" xfId="0" applyFont="1" applyFill="1" applyBorder="1" applyAlignment="1">
      <alignment horizontal="left"/>
    </xf>
    <xf numFmtId="0" fontId="0" fillId="100" borderId="4" xfId="0" applyFont="1" applyFill="1" applyBorder="1" applyAlignment="1">
      <alignment horizontal="left" vertical="center" wrapText="1"/>
    </xf>
    <xf numFmtId="0" fontId="0" fillId="100" borderId="4" xfId="0" applyFont="1" applyFill="1" applyBorder="1" applyAlignment="1">
      <alignment horizontal="left"/>
    </xf>
    <xf numFmtId="0" fontId="0" fillId="100" borderId="1" xfId="0" applyFont="1" applyFill="1" applyBorder="1" applyAlignment="1">
      <alignment horizontal="left" vertical="center" wrapText="1"/>
    </xf>
    <xf numFmtId="0" fontId="0" fillId="100" borderId="1" xfId="0" applyFont="1" applyFill="1" applyBorder="1" applyAlignment="1">
      <alignment horizontal="left" vertical="center"/>
    </xf>
    <xf numFmtId="0" fontId="0" fillId="100" borderId="1" xfId="0" applyFont="1" applyFill="1" applyBorder="1" applyAlignment="1"/>
    <xf numFmtId="0" fontId="0" fillId="79" borderId="1" xfId="0" applyFont="1" applyFill="1" applyBorder="1" applyAlignment="1">
      <alignment wrapText="1"/>
    </xf>
    <xf numFmtId="0" fontId="0" fillId="79" borderId="1" xfId="0" applyNumberFormat="1" applyFont="1" applyFill="1" applyBorder="1" applyAlignment="1">
      <alignment horizontal="center"/>
    </xf>
    <xf numFmtId="0" fontId="0" fillId="79" borderId="1" xfId="0" applyFont="1" applyFill="1" applyBorder="1" applyAlignment="1">
      <alignment horizontal="left"/>
    </xf>
    <xf numFmtId="0" fontId="0" fillId="79" borderId="4" xfId="0" applyFont="1" applyFill="1" applyBorder="1" applyAlignment="1">
      <alignment horizontal="left"/>
    </xf>
    <xf numFmtId="0" fontId="0" fillId="79" borderId="3" xfId="0" applyNumberFormat="1" applyFont="1" applyFill="1" applyBorder="1" applyAlignment="1">
      <alignment horizontal="center"/>
    </xf>
    <xf numFmtId="0" fontId="0" fillId="101" borderId="1" xfId="0" applyFont="1" applyFill="1" applyBorder="1"/>
    <xf numFmtId="0" fontId="0" fillId="101" borderId="1" xfId="0" applyFont="1" applyFill="1" applyBorder="1" applyAlignment="1">
      <alignment horizontal="center"/>
    </xf>
    <xf numFmtId="0" fontId="0" fillId="101" borderId="1" xfId="0" applyNumberFormat="1" applyFont="1" applyFill="1" applyBorder="1" applyAlignment="1">
      <alignment horizontal="center"/>
    </xf>
    <xf numFmtId="0" fontId="0" fillId="101" borderId="3" xfId="0" applyNumberFormat="1" applyFont="1" applyFill="1" applyBorder="1" applyAlignment="1">
      <alignment horizontal="center"/>
    </xf>
    <xf numFmtId="0" fontId="0" fillId="101" borderId="1" xfId="0" applyFont="1" applyFill="1" applyBorder="1" applyAlignment="1">
      <alignment vertical="center" wrapText="1"/>
    </xf>
    <xf numFmtId="0" fontId="0" fillId="69" borderId="1" xfId="0" applyFont="1" applyFill="1" applyBorder="1" applyAlignment="1">
      <alignment vertical="center" wrapText="1"/>
    </xf>
    <xf numFmtId="0" fontId="0" fillId="69" borderId="1" xfId="0" applyNumberFormat="1" applyFont="1" applyFill="1" applyBorder="1" applyAlignment="1">
      <alignment horizontal="center"/>
    </xf>
    <xf numFmtId="0" fontId="0" fillId="69" borderId="1" xfId="0" applyFont="1" applyFill="1" applyBorder="1" applyAlignment="1">
      <alignment horizontal="center"/>
    </xf>
    <xf numFmtId="0" fontId="0" fillId="69" borderId="1" xfId="0" applyFont="1" applyFill="1" applyBorder="1" applyAlignment="1">
      <alignment horizontal="left" vertical="center"/>
    </xf>
    <xf numFmtId="0" fontId="0" fillId="69" borderId="4" xfId="0" applyFont="1" applyFill="1" applyBorder="1" applyAlignment="1">
      <alignment horizontal="left" vertical="center"/>
    </xf>
    <xf numFmtId="0" fontId="0" fillId="69" borderId="3" xfId="0" applyNumberFormat="1" applyFont="1" applyFill="1" applyBorder="1" applyAlignment="1">
      <alignment horizontal="center"/>
    </xf>
    <xf numFmtId="0" fontId="0" fillId="69" borderId="4" xfId="0" applyFont="1" applyFill="1" applyBorder="1" applyAlignment="1">
      <alignment horizontal="left" vertical="center" wrapText="1"/>
    </xf>
    <xf numFmtId="0" fontId="0" fillId="69" borderId="1" xfId="0" applyFont="1" applyFill="1" applyBorder="1" applyAlignment="1">
      <alignment horizontal="left" vertical="center" wrapText="1"/>
    </xf>
    <xf numFmtId="0" fontId="0" fillId="69" borderId="4" xfId="0" applyFont="1" applyFill="1" applyBorder="1"/>
    <xf numFmtId="0" fontId="0" fillId="69" borderId="4" xfId="0" applyFont="1" applyFill="1" applyBorder="1" applyAlignment="1">
      <alignment horizontal="left"/>
    </xf>
    <xf numFmtId="0" fontId="0" fillId="69" borderId="4" xfId="0" applyFont="1" applyFill="1" applyBorder="1" applyAlignment="1"/>
    <xf numFmtId="0" fontId="0" fillId="69" borderId="4" xfId="0" applyFont="1" applyFill="1" applyBorder="1" applyAlignment="1">
      <alignment vertical="center" wrapText="1"/>
    </xf>
    <xf numFmtId="0" fontId="0" fillId="69" borderId="4" xfId="0" applyFont="1" applyFill="1" applyBorder="1" applyAlignment="1">
      <alignment vertical="center"/>
    </xf>
    <xf numFmtId="0" fontId="0" fillId="69" borderId="1" xfId="0" applyFont="1" applyFill="1" applyBorder="1" applyAlignment="1"/>
    <xf numFmtId="0" fontId="0" fillId="69" borderId="1" xfId="0" applyFont="1" applyFill="1" applyBorder="1" applyAlignment="1">
      <alignment vertical="center"/>
    </xf>
    <xf numFmtId="0" fontId="0" fillId="69" borderId="1" xfId="0" applyFont="1" applyFill="1" applyBorder="1" applyAlignment="1">
      <alignment wrapText="1"/>
    </xf>
    <xf numFmtId="0" fontId="0" fillId="5" borderId="1" xfId="0" applyNumberFormat="1" applyFont="1" applyFill="1" applyBorder="1" applyAlignment="1">
      <alignment horizontal="center"/>
    </xf>
    <xf numFmtId="0" fontId="0" fillId="5" borderId="4" xfId="0" applyFont="1" applyFill="1" applyBorder="1" applyAlignment="1">
      <alignment vertical="center"/>
    </xf>
    <xf numFmtId="0" fontId="0" fillId="5" borderId="3" xfId="0" applyNumberFormat="1" applyFont="1" applyFill="1" applyBorder="1" applyAlignment="1">
      <alignment horizontal="center"/>
    </xf>
    <xf numFmtId="0" fontId="0" fillId="5" borderId="4" xfId="0" applyFont="1" applyFill="1" applyBorder="1" applyAlignment="1"/>
    <xf numFmtId="0" fontId="0" fillId="5" borderId="1" xfId="0" applyFont="1" applyFill="1" applyBorder="1" applyAlignment="1">
      <alignment horizontal="center"/>
    </xf>
    <xf numFmtId="0" fontId="0" fillId="5" borderId="4" xfId="0" applyFont="1" applyFill="1" applyBorder="1" applyAlignment="1">
      <alignment vertical="center" wrapText="1"/>
    </xf>
    <xf numFmtId="0" fontId="0" fillId="5" borderId="4" xfId="0" applyFont="1" applyFill="1" applyBorder="1" applyAlignment="1">
      <alignment horizontal="left" vertical="center" wrapText="1"/>
    </xf>
    <xf numFmtId="0" fontId="0" fillId="79" borderId="1" xfId="0" applyFont="1" applyFill="1" applyBorder="1" applyAlignment="1">
      <alignment horizontal="left" wrapText="1"/>
    </xf>
    <xf numFmtId="20" fontId="227" fillId="48" borderId="1" xfId="0" applyNumberFormat="1" applyFont="1" applyFill="1" applyBorder="1" applyAlignment="1">
      <alignment horizontal="center" vertical="center" wrapText="1"/>
    </xf>
    <xf numFmtId="0" fontId="227" fillId="48" borderId="1" xfId="0" applyFont="1" applyFill="1" applyBorder="1" applyAlignment="1">
      <alignment horizontal="center" vertical="center" wrapText="1"/>
    </xf>
    <xf numFmtId="20" fontId="227" fillId="63" borderId="1" xfId="0" applyNumberFormat="1" applyFont="1" applyFill="1" applyBorder="1" applyAlignment="1">
      <alignment horizontal="center" vertical="center" wrapText="1"/>
    </xf>
    <xf numFmtId="0" fontId="7" fillId="85" borderId="2" xfId="0" applyFont="1" applyFill="1" applyBorder="1" applyAlignment="1">
      <alignment horizontal="center" vertical="center" wrapText="1"/>
    </xf>
    <xf numFmtId="20" fontId="190" fillId="63" borderId="1" xfId="0" applyNumberFormat="1" applyFont="1" applyFill="1" applyBorder="1" applyAlignment="1">
      <alignment horizontal="center" vertical="center" wrapText="1"/>
    </xf>
    <xf numFmtId="20" fontId="7" fillId="14" borderId="1" xfId="0" applyNumberFormat="1" applyFont="1" applyFill="1" applyBorder="1" applyAlignment="1">
      <alignment horizontal="center" vertical="center" wrapText="1"/>
    </xf>
    <xf numFmtId="0" fontId="7" fillId="55" borderId="39" xfId="0" quotePrefix="1" applyFont="1" applyFill="1" applyBorder="1" applyAlignment="1">
      <alignment horizontal="center" vertical="center" wrapText="1"/>
    </xf>
    <xf numFmtId="0" fontId="7" fillId="0" borderId="39" xfId="0" applyFont="1" applyFill="1" applyBorder="1" applyAlignment="1">
      <alignment horizontal="center" vertical="center" wrapText="1"/>
    </xf>
    <xf numFmtId="0" fontId="190" fillId="58" borderId="1" xfId="0" applyFont="1" applyFill="1" applyBorder="1" applyAlignment="1">
      <alignment horizontal="center" vertical="center" wrapText="1"/>
    </xf>
    <xf numFmtId="0" fontId="228" fillId="58" borderId="1" xfId="0" applyFont="1" applyFill="1" applyBorder="1" applyAlignment="1">
      <alignment horizontal="center" vertical="center" wrapText="1"/>
    </xf>
    <xf numFmtId="20" fontId="227" fillId="73" borderId="1" xfId="0" applyNumberFormat="1" applyFont="1" applyFill="1" applyBorder="1" applyAlignment="1">
      <alignment horizontal="center" vertical="center" wrapText="1"/>
    </xf>
    <xf numFmtId="49" fontId="7" fillId="74" borderId="1" xfId="0" quotePrefix="1" applyNumberFormat="1" applyFont="1" applyFill="1" applyBorder="1" applyAlignment="1">
      <alignment horizontal="center" vertical="center" wrapText="1"/>
    </xf>
    <xf numFmtId="20" fontId="7" fillId="74" borderId="1" xfId="0" applyNumberFormat="1" applyFont="1" applyFill="1" applyBorder="1" applyAlignment="1">
      <alignment horizontal="center" vertical="center" wrapText="1"/>
    </xf>
    <xf numFmtId="0" fontId="7" fillId="14" borderId="39" xfId="0" applyFont="1" applyFill="1" applyBorder="1" applyAlignment="1">
      <alignment horizontal="center" vertical="center" wrapText="1"/>
    </xf>
    <xf numFmtId="0" fontId="197" fillId="14" borderId="39" xfId="0" applyFont="1" applyFill="1" applyBorder="1" applyAlignment="1">
      <alignment horizontal="center" vertical="center" wrapText="1"/>
    </xf>
    <xf numFmtId="0" fontId="227" fillId="48" borderId="1" xfId="0" applyNumberFormat="1" applyFont="1" applyFill="1" applyBorder="1" applyAlignment="1">
      <alignment horizontal="center" vertical="center" wrapText="1"/>
    </xf>
    <xf numFmtId="0" fontId="227" fillId="0" borderId="1" xfId="0" applyFont="1" applyFill="1" applyBorder="1" applyAlignment="1">
      <alignment horizontal="center" vertical="center" wrapText="1"/>
    </xf>
    <xf numFmtId="0" fontId="227" fillId="0" borderId="1" xfId="0" applyNumberFormat="1" applyFont="1" applyFill="1" applyBorder="1" applyAlignment="1">
      <alignment horizontal="center" vertical="center" wrapText="1"/>
    </xf>
    <xf numFmtId="0" fontId="0" fillId="5" borderId="1" xfId="0" applyFont="1" applyFill="1" applyBorder="1" applyAlignment="1"/>
    <xf numFmtId="0" fontId="0" fillId="79" borderId="1" xfId="0" applyFont="1" applyFill="1" applyBorder="1" applyAlignment="1">
      <alignment vertical="center" wrapText="1"/>
    </xf>
    <xf numFmtId="49" fontId="227" fillId="93" borderId="1" xfId="0" applyNumberFormat="1" applyFont="1" applyFill="1" applyBorder="1" applyAlignment="1">
      <alignment horizontal="center" vertical="center" wrapText="1"/>
    </xf>
    <xf numFmtId="2" fontId="227" fillId="93" borderId="0" xfId="0" applyNumberFormat="1" applyFont="1" applyFill="1" applyAlignment="1">
      <alignment horizontal="center" vertical="center" wrapText="1"/>
    </xf>
    <xf numFmtId="0" fontId="0" fillId="69" borderId="1" xfId="0" applyFont="1" applyFill="1" applyBorder="1" applyAlignment="1">
      <alignment horizontal="center" vertical="center" wrapText="1"/>
    </xf>
    <xf numFmtId="0" fontId="0" fillId="100" borderId="4" xfId="0" applyFont="1" applyFill="1" applyBorder="1"/>
    <xf numFmtId="0" fontId="0" fillId="96" borderId="4" xfId="0" applyFont="1" applyFill="1" applyBorder="1" applyAlignment="1">
      <alignment vertical="center" wrapText="1"/>
    </xf>
    <xf numFmtId="0" fontId="0" fillId="69" borderId="1" xfId="0" applyFont="1" applyFill="1" applyBorder="1" applyAlignment="1">
      <alignment horizontal="left"/>
    </xf>
    <xf numFmtId="0" fontId="0" fillId="55" borderId="2" xfId="0" applyNumberFormat="1" applyFont="1" applyFill="1" applyBorder="1" applyAlignment="1">
      <alignment horizontal="center"/>
    </xf>
    <xf numFmtId="0" fontId="153" fillId="0" borderId="0" xfId="0" applyFont="1" applyAlignment="1">
      <alignment horizontal="center" vertical="center" wrapText="1"/>
    </xf>
    <xf numFmtId="0" fontId="153" fillId="0" borderId="27" xfId="0" applyFont="1" applyBorder="1" applyAlignment="1">
      <alignment horizontal="center" vertical="center" wrapText="1"/>
    </xf>
  </cellXfs>
  <cellStyles count="3">
    <cellStyle name="Hyperlink" xfId="2" builtinId="8"/>
    <cellStyle name="Normal" xfId="0" builtinId="0"/>
    <cellStyle name="Normal 2" xfId="1" xr:uid="{00000000-0005-0000-0000-000002000000}"/>
  </cellStyles>
  <dxfs count="1853">
    <dxf>
      <numFmt numFmtId="2" formatCode="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numFmt numFmtId="0" formatCode="Genera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border outline="0">
        <top style="medium">
          <color auto="1"/>
        </top>
      </border>
    </dxf>
    <dxf>
      <border outline="0">
        <bottom style="medium">
          <color auto="1"/>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rgb="FF000000"/>
        <name val="Calibri"/>
        <scheme val="none"/>
      </font>
      <numFmt numFmtId="30" formatCode="@"/>
      <fill>
        <patternFill patternType="solid">
          <fgColor rgb="FFDDEBF7"/>
          <bgColor rgb="FFDDEBF7"/>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numFmt numFmtId="2" formatCode="0.00"/>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numFmt numFmtId="169" formatCode="hh: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numFmt numFmtId="169" formatCode="hh: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numFmt numFmtId="170" formatCode="dd\-m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numFmt numFmtId="170" formatCode="dd\-m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numFmt numFmtId="30" formatCode="@"/>
      <fill>
        <patternFill patternType="solid">
          <fgColor rgb="FFDDEBF7"/>
          <bgColor rgb="FFDDEBF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auto="1"/>
        </top>
      </border>
    </dxf>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rgb="FF000000"/>
        <name val="Calibri"/>
        <scheme val="none"/>
      </font>
      <fill>
        <patternFill patternType="solid">
          <fgColor rgb="FFDDEBF7"/>
          <bgColor rgb="FFDDEBF7"/>
        </patternFill>
      </fill>
      <alignment horizontal="center" vertical="center" textRotation="0" wrapText="1" indent="0" justifyLastLine="0" shrinkToFit="0" readingOrder="0"/>
    </dxf>
    <dxf>
      <border outline="0">
        <bottom style="thin">
          <color auto="1"/>
        </bottom>
      </border>
    </dxf>
    <dxf>
      <font>
        <b/>
        <i val="0"/>
        <strike val="0"/>
        <condense val="0"/>
        <extend val="0"/>
        <outline val="0"/>
        <shadow val="0"/>
        <u val="none"/>
        <vertAlign val="baseline"/>
        <sz val="11"/>
        <color theme="0"/>
        <name val="Calibri"/>
        <scheme val="minor"/>
      </font>
      <fill>
        <patternFill patternType="none">
          <fgColor theme="4"/>
          <bgColor auto="1"/>
        </patternFill>
      </fill>
      <alignment horizontal="center" vertical="center" textRotation="0" wrapText="1" indent="0" justifyLastLine="0" shrinkToFit="0" readingOrder="0"/>
      <border diagonalUp="0" diagonalDown="0" outline="0">
        <left style="thin">
          <color auto="1"/>
        </left>
        <right style="thin">
          <color auto="1"/>
        </right>
        <top/>
        <bottom/>
      </border>
    </dxf>
    <dxf>
      <numFmt numFmtId="0" formatCode="Genera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theme="1"/>
        <name val="Calibri"/>
        <scheme val="minor"/>
      </font>
      <numFmt numFmtId="170" formatCode="dd\-mm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theme="1"/>
        <name val="Calibri"/>
        <scheme val="minor"/>
      </font>
      <numFmt numFmtId="170" formatCode="dd\-mmm"/>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dxf>
    <dxf>
      <border outline="0">
        <bottom style="thin">
          <color auto="1"/>
        </bottom>
      </border>
    </dxf>
    <dxf>
      <font>
        <b/>
        <i val="0"/>
        <strike val="0"/>
        <condense val="0"/>
        <extend val="0"/>
        <outline val="0"/>
        <shadow val="0"/>
        <u val="none"/>
        <vertAlign val="baseline"/>
        <sz val="11"/>
        <color theme="0"/>
        <name val="Calibri"/>
        <scheme val="minor"/>
      </font>
      <fill>
        <patternFill patternType="solid">
          <fgColor rgb="FF2E75B6"/>
          <bgColor theme="8" tint="-0.249977111117893"/>
        </patternFill>
      </fill>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theme="1"/>
        <name val="Calibri"/>
        <scheme val="minor"/>
      </font>
      <numFmt numFmtId="170" formatCode="dd\-mm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theme="1"/>
        <name val="Calibri"/>
        <scheme val="minor"/>
      </font>
      <numFmt numFmtId="170" formatCode="dd\-mmm"/>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dxf>
    <dxf>
      <border outline="0">
        <bottom style="thin">
          <color auto="1"/>
        </bottom>
      </border>
    </dxf>
    <dxf>
      <font>
        <b/>
        <i val="0"/>
        <strike val="0"/>
        <condense val="0"/>
        <extend val="0"/>
        <outline val="0"/>
        <shadow val="0"/>
        <u val="none"/>
        <vertAlign val="baseline"/>
        <sz val="11"/>
        <color theme="0"/>
        <name val="Calibri"/>
        <scheme val="minor"/>
      </font>
      <fill>
        <patternFill patternType="solid">
          <fgColor rgb="FF2E75B6"/>
          <bgColor theme="8" tint="-0.249977111117893"/>
        </patternFill>
      </fill>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rgb="FF000000"/>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theme="1"/>
        <name val="Calibri"/>
        <scheme val="minor"/>
      </font>
      <numFmt numFmtId="170" formatCode="dd\-mm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theme="1"/>
        <name val="Calibri"/>
        <scheme val="minor"/>
      </font>
      <numFmt numFmtId="170" formatCode="dd\-mmm"/>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rgb="FF000000"/>
        <name val="Calibri"/>
        <scheme val="none"/>
      </font>
      <alignment horizontal="center" vertical="center" textRotation="0" wrapText="1" indent="0" justifyLastLine="0" shrinkToFit="0" readingOrder="0"/>
    </dxf>
    <dxf>
      <border outline="0">
        <bottom style="thin">
          <color auto="1"/>
        </bottom>
      </border>
    </dxf>
    <dxf>
      <font>
        <b/>
        <i val="0"/>
        <strike val="0"/>
        <condense val="0"/>
        <extend val="0"/>
        <outline val="0"/>
        <shadow val="0"/>
        <u val="none"/>
        <vertAlign val="baseline"/>
        <sz val="11"/>
        <color theme="0"/>
        <name val="Calibri"/>
        <scheme val="minor"/>
      </font>
      <fill>
        <patternFill patternType="solid">
          <fgColor rgb="FF2E75B6"/>
          <bgColor theme="8" tint="-0.249977111117893"/>
        </patternFill>
      </fill>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i val="0"/>
        <strike val="0"/>
        <condense val="0"/>
        <extend val="0"/>
        <outline val="0"/>
        <shadow val="0"/>
        <u val="none"/>
        <vertAlign val="baseline"/>
        <sz val="11"/>
        <color rgb="FF000000"/>
        <name val="Calibri"/>
        <scheme val="none"/>
      </font>
      <numFmt numFmtId="2" formatCode="0.00"/>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theme="4" tint="0.39997558519241921"/>
        </bottom>
        <vertical/>
        <horizontal/>
      </border>
    </dxf>
    <dxf>
      <font>
        <b/>
        <i val="0"/>
        <strike val="0"/>
        <condense val="0"/>
        <extend val="0"/>
        <outline val="0"/>
        <shadow val="0"/>
        <u val="none"/>
        <vertAlign val="baseline"/>
        <sz val="11"/>
        <color rgb="FF000000"/>
        <name val="Calibri"/>
        <scheme val="none"/>
      </font>
      <numFmt numFmtId="170" formatCode="dd\-m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theme="4" tint="0.39997558519241921"/>
        </bottom>
        <vertical/>
        <horizontal/>
      </border>
    </dxf>
    <dxf>
      <font>
        <b/>
        <i val="0"/>
        <strike val="0"/>
        <condense val="0"/>
        <extend val="0"/>
        <outline val="0"/>
        <shadow val="0"/>
        <u val="none"/>
        <vertAlign val="baseline"/>
        <sz val="11"/>
        <color theme="1"/>
        <name val="Calibri"/>
        <scheme val="minor"/>
      </font>
      <numFmt numFmtId="170" formatCode="dd\-m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theme="4" tint="0.39997558519241921"/>
        </bottom>
        <vertical/>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theme="4" tint="0.39997558519241921"/>
        </bottom>
        <vertical/>
        <horizontal/>
      </border>
    </dxf>
    <dxf>
      <font>
        <b/>
        <i val="0"/>
        <strike val="0"/>
        <condense val="0"/>
        <extend val="0"/>
        <outline val="0"/>
        <shadow val="0"/>
        <u val="none"/>
        <vertAlign val="baseline"/>
        <sz val="11"/>
        <color theme="1"/>
        <name val="Calibri"/>
        <scheme val="minor"/>
      </font>
      <numFmt numFmtId="170" formatCode="dd\-m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style="thin">
          <color auto="1"/>
        </right>
        <top style="thin">
          <color auto="1"/>
        </top>
        <bottom style="thin">
          <color theme="4" tint="0.39997558519241921"/>
        </bottom>
        <vertical/>
        <horizontal/>
      </border>
    </dxf>
    <dxf>
      <border outline="0">
        <top style="thin">
          <color auto="1"/>
        </top>
      </border>
    </dxf>
    <dxf>
      <border outline="0">
        <left style="thin">
          <color auto="1"/>
        </left>
        <right style="thin">
          <color auto="1"/>
        </right>
        <top style="thin">
          <color auto="1"/>
        </top>
        <bottom style="thin">
          <color auto="1"/>
        </bottom>
      </border>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rgb="FF2E75B6"/>
          <bgColor theme="8" tint="-0.249977111117893"/>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numFmt numFmtId="170" formatCode="dd\-m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rgb="FF2E75B6"/>
          <bgColor theme="8"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numFmt numFmtId="2" formatCode="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numFmt numFmtId="170" formatCode="dd\-mmm"/>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medium">
          <color auto="1"/>
        </top>
      </border>
    </dxf>
    <dxf>
      <border outline="0">
        <bottom style="medium">
          <color auto="1"/>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numFmt numFmtId="2" formatCode="0.00"/>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numFmt numFmtId="169" formatCode="hh: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numFmt numFmtId="169" formatCode="hh: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rgb="FF000000"/>
        <name val="Calibri"/>
        <scheme val="none"/>
      </font>
      <fill>
        <patternFill patternType="solid">
          <fgColor rgb="FFDDEBF7"/>
          <bgColor rgb="FFDDEBF7"/>
        </patternFill>
      </fill>
      <alignment horizontal="center" vertical="center" textRotation="0" wrapText="1" indent="0" justifyLastLine="0" shrinkToFit="0" readingOrder="0"/>
    </dxf>
    <dxf>
      <border outline="0">
        <bottom style="thin">
          <color auto="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font>
        <strike val="0"/>
        <outline val="0"/>
        <shadow val="0"/>
        <vertAlign val="baseline"/>
        <sz val="16"/>
        <name val="Calibri"/>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6"/>
        <name val="Calibri"/>
      </font>
      <border diagonalUp="0" diagonalDown="0" outline="0">
        <left style="thin">
          <color indexed="64"/>
        </left>
        <right/>
        <top style="thin">
          <color indexed="64"/>
        </top>
        <bottom style="thin">
          <color indexed="64"/>
        </bottom>
      </border>
    </dxf>
    <dxf>
      <font>
        <strike val="0"/>
        <outline val="0"/>
        <shadow val="0"/>
        <vertAlign val="baseline"/>
        <sz val="16"/>
        <name val="Calibri"/>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6"/>
        <name val="Calibri"/>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6"/>
        <name val="Calibri"/>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6"/>
        <name val="Calibri"/>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6"/>
        <name val="Calibri"/>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6"/>
        <name val="Calibri"/>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6"/>
        <name val="Calibri"/>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6"/>
        <name val="Calibri"/>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6"/>
        <name val="Calibri"/>
      </font>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6"/>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6"/>
        <color theme="1"/>
        <name val="Calibri"/>
        <scheme val="minor"/>
      </font>
      <numFmt numFmtId="170" formatCode="dd\-m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vertAlign val="baseline"/>
        <sz val="16"/>
        <name val="Calibri"/>
      </font>
    </dxf>
    <dxf>
      <border>
        <bottom style="thin">
          <color rgb="FF000000"/>
        </bottom>
      </border>
    </dxf>
    <dxf>
      <font>
        <b/>
        <i val="0"/>
        <strike val="0"/>
        <condense val="0"/>
        <extend val="0"/>
        <outline val="0"/>
        <shadow val="0"/>
        <u val="none"/>
        <vertAlign val="baseline"/>
        <sz val="16"/>
        <color theme="0"/>
        <name val="Calibri"/>
        <scheme val="minor"/>
      </font>
      <fill>
        <patternFill patternType="solid">
          <fgColor rgb="FF2E75B6"/>
          <bgColor theme="8"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outline val="0"/>
        <shadow val="0"/>
        <u/>
        <sz val="11"/>
        <color rgb="FF0563C1"/>
        <name val="Calibri"/>
      </font>
      <numFmt numFmtId="0" formatCode="General"/>
      <fill>
        <patternFill>
          <bgColor rgb="FFFFFFFF"/>
        </patternFill>
      </fill>
    </dxf>
    <dxf>
      <font>
        <b val="0"/>
        <i val="0"/>
        <strike val="0"/>
        <outline val="0"/>
        <shadow val="0"/>
        <u/>
        <sz val="11"/>
        <color rgb="FF0563C1"/>
        <name val="Calibri"/>
      </font>
      <numFmt numFmtId="0" formatCode="General"/>
      <fill>
        <patternFill>
          <bgColor rgb="FFFFFFFF"/>
        </patternFill>
      </fill>
    </dxf>
    <dxf>
      <numFmt numFmtId="2" formatCode="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numFmt numFmtId="170" formatCode="dd\-mmm"/>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medium">
          <color auto="1"/>
        </top>
      </border>
    </dxf>
    <dxf>
      <border outline="0">
        <bottom style="medium">
          <color auto="1"/>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2" formatCode="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numFmt numFmtId="170" formatCode="dd\-mmm"/>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medium">
          <color auto="1"/>
        </top>
      </border>
    </dxf>
    <dxf>
      <border outline="0">
        <bottom style="medium">
          <color auto="1"/>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numFmt numFmtId="2" formatCode="0.00"/>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numFmt numFmtId="169" formatCode="hh: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scheme val="none"/>
      </font>
      <numFmt numFmtId="169" formatCode="hh: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dxf>
    <dxf>
      <border outline="0">
        <bottom style="thin">
          <color auto="1"/>
        </bottom>
      </border>
    </dxf>
    <dxf>
      <font>
        <b/>
        <i val="0"/>
        <strike val="0"/>
        <condense val="0"/>
        <extend val="0"/>
        <outline val="0"/>
        <shadow val="0"/>
        <u val="none"/>
        <vertAlign val="baseline"/>
        <sz val="11"/>
        <color theme="0"/>
        <name val="Calibri"/>
        <scheme val="minor"/>
      </font>
      <fill>
        <patternFill patternType="none">
          <fgColor theme="4"/>
          <bgColor auto="1"/>
        </patternFill>
      </fill>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rgb="FF000000"/>
        <name val="Calibri"/>
        <scheme val="none"/>
      </font>
      <numFmt numFmtId="2" formatCode="0.00"/>
      <fill>
        <patternFill patternType="solid">
          <fgColor rgb="FFDDEBF7"/>
          <bgColor rgb="FFDDEBF7"/>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scheme val="none"/>
      </font>
      <numFmt numFmtId="30" formatCode="@"/>
      <fill>
        <patternFill patternType="solid">
          <fgColor rgb="FFDDEBF7"/>
          <bgColor rgb="FFDDEBF7"/>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Calibri"/>
        <family val="2"/>
        <scheme val="none"/>
      </font>
      <fill>
        <patternFill patternType="solid">
          <fgColor theme="4" tint="0.79998168889431442"/>
          <bgColor rgb="FFFF0000"/>
        </patternFill>
      </fill>
      <alignment horizontal="center" vertical="center" textRotation="0" wrapText="1" indent="0" justifyLastLine="0" shrinkToFit="0" readingOrder="0"/>
      <border diagonalUp="0" diagonalDown="0">
        <left style="thin">
          <color auto="1"/>
        </left>
        <right style="thin">
          <color auto="1"/>
        </right>
        <top style="thin">
          <color auto="1"/>
        </top>
        <bottom/>
        <vertical/>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000000"/>
        <name val="Calibri"/>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numFmt numFmtId="2" formatCode="0.00"/>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numFmt numFmtId="169" formatCode="hh:mm"/>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auto="1"/>
        </left>
        <right style="thin">
          <color indexed="64"/>
        </right>
        <top style="thin">
          <color indexed="64"/>
        </top>
        <bottom style="thin">
          <color indexed="64"/>
        </bottom>
      </border>
    </dxf>
    <dxf>
      <font>
        <b/>
        <i val="0"/>
        <strike val="0"/>
        <condense val="0"/>
        <extend val="0"/>
        <outline val="0"/>
        <shadow val="0"/>
        <u val="none"/>
        <vertAlign val="baseline"/>
        <sz val="4"/>
        <color rgb="FF000000"/>
        <name val="Calibri"/>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4"/>
        <color rgb="FF000000"/>
        <name val="Calibri"/>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rgb="FF000000"/>
        <name val="Calibri"/>
        <family val="2"/>
        <scheme val="none"/>
      </font>
      <fill>
        <patternFill patternType="solid">
          <fgColor theme="4" tint="0.79998168889431442"/>
          <bgColor theme="7" tint="0.39997558519241921"/>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000000"/>
        <name val="Calibri"/>
        <scheme val="none"/>
      </font>
      <numFmt numFmtId="30" formatCode="@"/>
      <fill>
        <patternFill patternType="solid">
          <fgColor rgb="FFDDEBF7"/>
          <bgColor rgb="FFDDEBF7"/>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auto="1"/>
        </top>
      </border>
    </dxf>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rgb="FF000000"/>
        <name val="Calibri"/>
        <scheme val="none"/>
      </font>
      <fill>
        <patternFill patternType="solid">
          <fgColor rgb="FFDDEBF7"/>
          <bgColor rgb="FFDDEBF7"/>
        </patternFill>
      </fill>
      <alignment horizontal="center" vertical="center" textRotation="0" wrapText="1" indent="0" justifyLastLine="0" shrinkToFit="0" readingOrder="0"/>
    </dxf>
    <dxf>
      <border outline="0">
        <bottom style="thin">
          <color auto="1"/>
        </bottom>
      </border>
    </dxf>
    <dxf>
      <font>
        <b/>
        <i val="0"/>
        <strike val="0"/>
        <condense val="0"/>
        <extend val="0"/>
        <outline val="0"/>
        <shadow val="0"/>
        <u val="none"/>
        <vertAlign val="baseline"/>
        <sz val="11"/>
        <color theme="0"/>
        <name val="Calibri"/>
        <scheme val="minor"/>
      </font>
      <fill>
        <patternFill patternType="none">
          <fgColor theme="4"/>
          <bgColor auto="1"/>
        </patternFill>
      </fill>
      <alignment horizontal="center" vertical="center" textRotation="0" wrapText="1" indent="0" justifyLastLine="0" shrinkToFit="0" readingOrder="0"/>
      <border diagonalUp="0" diagonalDown="0" outline="0">
        <left style="thin">
          <color auto="1"/>
        </left>
        <right style="thin">
          <color auto="1"/>
        </right>
        <top/>
        <bottom/>
      </border>
    </dxf>
    <dxf>
      <numFmt numFmtId="0" formatCode="General"/>
      <alignment horizontal="center" vertical="center" textRotation="0" wrapText="1" indent="0" justifyLastLine="0" shrinkToFit="0" readingOrder="0"/>
      <border diagonalUp="0" diagonalDown="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border>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auto="1"/>
        </right>
        <top style="thin">
          <color indexed="64"/>
        </top>
        <bottom style="thin">
          <color indexed="64"/>
        </bottom>
      </border>
    </dxf>
    <dxf>
      <font>
        <b val="0"/>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auto="1"/>
        </left>
        <right/>
        <top style="thin">
          <color auto="1"/>
        </top>
        <bottom style="thin">
          <color auto="1"/>
        </bottom>
        <vertical/>
        <horizontal/>
      </border>
    </dxf>
    <dxf>
      <font>
        <b val="0"/>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auto="1"/>
        </right>
        <top style="thin">
          <color indexed="64"/>
        </top>
        <bottom style="thin">
          <color indexed="64"/>
        </bottom>
      </border>
    </dxf>
    <dxf>
      <font>
        <b val="0"/>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auto="1"/>
        </right>
        <top style="thin">
          <color indexed="64"/>
        </top>
        <bottom style="thin">
          <color indexed="64"/>
        </bottom>
      </border>
    </dxf>
    <dxf>
      <font>
        <b val="0"/>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auto="1"/>
        </right>
        <top style="thin">
          <color indexed="64"/>
        </top>
        <bottom style="thin">
          <color indexed="64"/>
        </bottom>
      </border>
    </dxf>
    <dxf>
      <font>
        <b val="0"/>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auto="1"/>
        </right>
        <top style="thin">
          <color indexed="64"/>
        </top>
        <bottom style="thin">
          <color indexed="64"/>
        </bottom>
      </border>
    </dxf>
    <dxf>
      <font>
        <b val="0"/>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auto="1"/>
        </right>
        <top style="thin">
          <color indexed="64"/>
        </top>
        <bottom style="thin">
          <color indexed="64"/>
        </bottom>
      </border>
    </dxf>
    <dxf>
      <font>
        <b val="0"/>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auto="1"/>
        </right>
        <top style="thin">
          <color indexed="64"/>
        </top>
        <bottom style="thin">
          <color indexed="64"/>
        </bottom>
      </border>
    </dxf>
    <dxf>
      <font>
        <b val="0"/>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auto="1"/>
        </right>
        <top style="thin">
          <color indexed="64"/>
        </top>
        <bottom style="thin">
          <color indexed="64"/>
        </bottom>
      </border>
    </dxf>
    <dxf>
      <font>
        <b val="0"/>
      </font>
      <fill>
        <patternFill patternType="none">
          <fgColor indexed="64"/>
          <bgColor auto="1"/>
        </patternFill>
      </fill>
      <border diagonalUp="0" diagonalDown="0" outline="0">
        <left/>
        <right style="thin">
          <color auto="1"/>
        </right>
        <top style="thin">
          <color indexed="64"/>
        </top>
        <bottom style="thin">
          <color indexed="64"/>
        </bottom>
      </border>
    </dxf>
    <dxf>
      <font>
        <b val="0"/>
      </font>
      <fill>
        <patternFill patternType="none">
          <fgColor indexed="64"/>
          <bgColor auto="1"/>
        </patternFill>
      </fill>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006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Valoare Euro Comenzi Preluate Februarie</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'Februarie 2020'!$C$300</c:f>
              <c:strCache>
                <c:ptCount val="1"/>
                <c:pt idx="0">
                  <c:v>Valoare Euro Comenzi Preluate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'Februarie 2020'!$B$301:$B$329</c:f>
              <c:numCache>
                <c:formatCode>d\-mmm</c:formatCode>
                <c:ptCount val="29"/>
                <c:pt idx="0">
                  <c:v>43862</c:v>
                </c:pt>
                <c:pt idx="1">
                  <c:v>43863</c:v>
                </c:pt>
                <c:pt idx="2">
                  <c:v>43864</c:v>
                </c:pt>
                <c:pt idx="3">
                  <c:v>43865</c:v>
                </c:pt>
                <c:pt idx="4">
                  <c:v>43866</c:v>
                </c:pt>
                <c:pt idx="5">
                  <c:v>43867</c:v>
                </c:pt>
                <c:pt idx="6">
                  <c:v>43868</c:v>
                </c:pt>
                <c:pt idx="7">
                  <c:v>43869</c:v>
                </c:pt>
                <c:pt idx="8">
                  <c:v>43870</c:v>
                </c:pt>
                <c:pt idx="9">
                  <c:v>43871</c:v>
                </c:pt>
                <c:pt idx="10">
                  <c:v>43872</c:v>
                </c:pt>
                <c:pt idx="11">
                  <c:v>43873</c:v>
                </c:pt>
                <c:pt idx="12">
                  <c:v>43874</c:v>
                </c:pt>
                <c:pt idx="13">
                  <c:v>43875</c:v>
                </c:pt>
                <c:pt idx="14">
                  <c:v>43876</c:v>
                </c:pt>
                <c:pt idx="15">
                  <c:v>43877</c:v>
                </c:pt>
                <c:pt idx="16">
                  <c:v>43878</c:v>
                </c:pt>
                <c:pt idx="17">
                  <c:v>43879</c:v>
                </c:pt>
                <c:pt idx="18">
                  <c:v>43880</c:v>
                </c:pt>
                <c:pt idx="19">
                  <c:v>43881</c:v>
                </c:pt>
                <c:pt idx="20">
                  <c:v>43882</c:v>
                </c:pt>
                <c:pt idx="21">
                  <c:v>43883</c:v>
                </c:pt>
                <c:pt idx="22">
                  <c:v>43884</c:v>
                </c:pt>
                <c:pt idx="23">
                  <c:v>43885</c:v>
                </c:pt>
                <c:pt idx="24">
                  <c:v>43886</c:v>
                </c:pt>
                <c:pt idx="25">
                  <c:v>43887</c:v>
                </c:pt>
                <c:pt idx="26">
                  <c:v>43888</c:v>
                </c:pt>
                <c:pt idx="27">
                  <c:v>43889</c:v>
                </c:pt>
                <c:pt idx="28">
                  <c:v>43890</c:v>
                </c:pt>
              </c:numCache>
            </c:numRef>
          </c:cat>
          <c:val>
            <c:numRef>
              <c:f>'Februarie 2020'!$C$301:$C$329</c:f>
              <c:numCache>
                <c:formatCode>0.00</c:formatCode>
                <c:ptCount val="29"/>
                <c:pt idx="0">
                  <c:v>100</c:v>
                </c:pt>
                <c:pt idx="1">
                  <c:v>0</c:v>
                </c:pt>
                <c:pt idx="2">
                  <c:v>62.5</c:v>
                </c:pt>
                <c:pt idx="3">
                  <c:v>903.79166666666663</c:v>
                </c:pt>
                <c:pt idx="4">
                  <c:v>350</c:v>
                </c:pt>
                <c:pt idx="5">
                  <c:v>533.97916666666663</c:v>
                </c:pt>
                <c:pt idx="6">
                  <c:v>320</c:v>
                </c:pt>
                <c:pt idx="7">
                  <c:v>4472.947916666667</c:v>
                </c:pt>
                <c:pt idx="8">
                  <c:v>624.6875</c:v>
                </c:pt>
                <c:pt idx="9">
                  <c:v>746.35416666666674</c:v>
                </c:pt>
                <c:pt idx="10">
                  <c:v>2651.625</c:v>
                </c:pt>
                <c:pt idx="11">
                  <c:v>2317.6145833333335</c:v>
                </c:pt>
                <c:pt idx="12">
                  <c:v>836.25</c:v>
                </c:pt>
                <c:pt idx="13">
                  <c:v>1297.7083333333335</c:v>
                </c:pt>
                <c:pt idx="14">
                  <c:v>732.08333333333337</c:v>
                </c:pt>
                <c:pt idx="15">
                  <c:v>408.33333333333337</c:v>
                </c:pt>
                <c:pt idx="16">
                  <c:v>639.0625</c:v>
                </c:pt>
                <c:pt idx="17">
                  <c:v>856.66666666666674</c:v>
                </c:pt>
                <c:pt idx="18">
                  <c:v>346.66666666666669</c:v>
                </c:pt>
                <c:pt idx="19">
                  <c:v>1240.6875</c:v>
                </c:pt>
                <c:pt idx="20">
                  <c:v>318.75</c:v>
                </c:pt>
                <c:pt idx="21">
                  <c:v>0</c:v>
                </c:pt>
                <c:pt idx="22">
                  <c:v>102.70833333333334</c:v>
                </c:pt>
                <c:pt idx="23">
                  <c:v>542.08333333333337</c:v>
                </c:pt>
                <c:pt idx="24">
                  <c:v>874.58333333333337</c:v>
                </c:pt>
                <c:pt idx="25">
                  <c:v>950.18576388888891</c:v>
                </c:pt>
                <c:pt idx="26">
                  <c:v>1295.5416666666667</c:v>
                </c:pt>
                <c:pt idx="27">
                  <c:v>1137.7025993883794</c:v>
                </c:pt>
                <c:pt idx="28">
                  <c:v>263.125</c:v>
                </c:pt>
              </c:numCache>
            </c:numRef>
          </c:val>
          <c:extLst>
            <c:ext xmlns:c16="http://schemas.microsoft.com/office/drawing/2014/chart" uri="{C3380CC4-5D6E-409C-BE32-E72D297353CC}">
              <c16:uniqueId val="{00000000-8233-48D0-8B18-256E9C49EC8B}"/>
            </c:ext>
          </c:extLst>
        </c:ser>
        <c:dLbls>
          <c:dLblPos val="outEnd"/>
          <c:showLegendKey val="0"/>
          <c:showVal val="1"/>
          <c:showCatName val="0"/>
          <c:showSerName val="0"/>
          <c:showPercent val="0"/>
          <c:showBubbleSize val="0"/>
        </c:dLbls>
        <c:gapWidth val="199"/>
        <c:axId val="196656512"/>
        <c:axId val="199919872"/>
      </c:barChart>
      <c:dateAx>
        <c:axId val="196656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99919872"/>
        <c:crosses val="autoZero"/>
        <c:auto val="1"/>
        <c:lblOffset val="100"/>
        <c:baseTimeUnit val="days"/>
      </c:dateAx>
      <c:valAx>
        <c:axId val="19991987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56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173182</xdr:colOff>
      <xdr:row>302</xdr:row>
      <xdr:rowOff>69272</xdr:rowOff>
    </xdr:from>
    <xdr:to>
      <xdr:col>13</xdr:col>
      <xdr:colOff>11546</xdr:colOff>
      <xdr:row>310</xdr:row>
      <xdr:rowOff>138546</xdr:rowOff>
    </xdr:to>
    <xdr:graphicFrame macro="">
      <xdr:nvGraphicFramePr>
        <xdr:cNvPr id="2" name="Chart 1">
          <a:extLst>
            <a:ext uri="{FF2B5EF4-FFF2-40B4-BE49-F238E27FC236}">
              <a16:creationId xmlns:a16="http://schemas.microsoft.com/office/drawing/2014/main" id="{4DBDA3D4-A924-435D-9B2A-105E434F02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0000000}" name="Table25" displayName="Table25" ref="A4:M222" totalsRowShown="0" headerRowDxfId="1852" dataDxfId="1851">
  <autoFilter ref="A4:M222" xr:uid="{00000000-0009-0000-0100-000019000000}"/>
  <sortState xmlns:xlrd2="http://schemas.microsoft.com/office/spreadsheetml/2017/richdata2" ref="A5:M222">
    <sortCondition ref="M4:M222"/>
  </sortState>
  <tableColumns count="13">
    <tableColumn id="1" xr3:uid="{00000000-0010-0000-0000-000001000000}" name="Nume" dataDxfId="1850"/>
    <tableColumn id="2" xr3:uid="{00000000-0010-0000-0000-000002000000}" name="/" dataDxfId="1849">
      <calculatedColumnFormula array="1">SUM(IF('Aprilie 2020 2.0'!$I$3:$I$680=$B$3,LEN('Aprilie 2020 2.0'!$G$3:$G$680)-LEN(SUBSTITUTE('Aprilie 2020 2.0'!$G$3:$G$680,A5,"")),0))/LEN(A5)</calculatedColumnFormula>
    </tableColumn>
    <tableColumn id="3" xr3:uid="{00000000-0010-0000-0000-000003000000}" name="/2" dataDxfId="1848">
      <calculatedColumnFormula array="1">SUM(IF('Aprilie 2020 2.0'!$I$3:$I$680=$C$3,LEN('Aprilie 2020 2.0'!$G$3:$G$680)-LEN(SUBSTITUTE('Aprilie 2020 2.0'!$G$3:$G$680,A5,"")),0))/LEN(A5)</calculatedColumnFormula>
    </tableColumn>
    <tableColumn id="4" xr3:uid="{00000000-0010-0000-0000-000004000000}" name="/3" dataDxfId="1847">
      <calculatedColumnFormula array="1">SUM(IF('Aprilie 2020 2.0'!$I$3:$I$680=$D$3,LEN('Aprilie 2020 2.0'!$G$3:$G$680)-LEN(SUBSTITUTE('Aprilie 2020 2.0'!$G$3:$G$680,A5,"")),0))/LEN(A5)</calculatedColumnFormula>
    </tableColumn>
    <tableColumn id="5" xr3:uid="{00000000-0010-0000-0000-000005000000}" name="/4" dataDxfId="1846">
      <calculatedColumnFormula array="1">SUM(IF('Aprilie 2020 2.0'!$I$3:$I$680=$E$3,LEN('Aprilie 2020 2.0'!$G$3:$G$680)-LEN(SUBSTITUTE('Aprilie 2020 2.0'!$G$3:$G$680,A5,"")),0))/LEN(A5)</calculatedColumnFormula>
    </tableColumn>
    <tableColumn id="6" xr3:uid="{00000000-0010-0000-0000-000006000000}" name="/5" dataDxfId="1845">
      <calculatedColumnFormula array="1">SUM(IF('Aprilie 2020 2.0'!$I$3:$I$680=$F$3,LEN('Aprilie 2020 2.0'!$G$3:$G$680)-LEN(SUBSTITUTE('Aprilie 2020 2.0'!$G$3:$G$680,A5,"")),0))/LEN(A5)</calculatedColumnFormula>
    </tableColumn>
    <tableColumn id="7" xr3:uid="{00000000-0010-0000-0000-000007000000}" name="/6" dataDxfId="1844">
      <calculatedColumnFormula array="1">SUM(IF('Aprilie 2020 2.0'!$I$3:$I$680=$G$3,LEN('Aprilie 2020 2.0'!$G$3:$G$680)-LEN(SUBSTITUTE('Aprilie 2020 2.0'!$G$3:$G$680,A5,"")),0))/LEN(A5)</calculatedColumnFormula>
    </tableColumn>
    <tableColumn id="8" xr3:uid="{00000000-0010-0000-0000-000008000000}" name="/7" dataDxfId="1843">
      <calculatedColumnFormula array="1">SUM(IF('Aprilie 2020 2.0'!$I$3:$I$680=$H$3,LEN('Aprilie 2020 2.0'!$G$3:$G$680)-LEN(SUBSTITUTE('Aprilie 2020 2.0'!$G$3:$G$680,A5,"")),0))/LEN(A5)</calculatedColumnFormula>
    </tableColumn>
    <tableColumn id="9" xr3:uid="{00000000-0010-0000-0000-000009000000}" name="Necesar" dataDxfId="1842">
      <calculatedColumnFormula>SUM(B5:H5)</calculatedColumnFormula>
    </tableColumn>
    <tableColumn id="12" xr3:uid="{A151A13D-D196-49C2-B29E-7F3724274026}" name="Stoc" dataDxfId="1841"/>
    <tableColumn id="13" xr3:uid="{9B3CC9CD-92A7-47B5-ACB7-983D0FDF139D}" name="Ramas" dataDxfId="1840"/>
    <tableColumn id="10" xr3:uid="{39028B51-4BC9-429E-8A9F-DE9D7DDFFA6D}" name="Tip" dataDxfId="1839"/>
    <tableColumn id="11" xr3:uid="{7AE7DC23-8A1A-4059-A022-C19A4BDE4658}" name="Categorie" dataDxfId="183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1000000}" name="Table24" displayName="Table24" ref="A1:B123" totalsRowShown="0" headerRowDxfId="1837" dataDxfId="1835" headerRowBorderDxfId="1836" tableBorderDxfId="1834" totalsRowBorderDxfId="1833">
  <autoFilter ref="A1:B123" xr:uid="{00000000-0009-0000-0100-000018000000}"/>
  <sortState xmlns:xlrd2="http://schemas.microsoft.com/office/spreadsheetml/2017/richdata2" ref="A2:B109">
    <sortCondition ref="A1:A109"/>
  </sortState>
  <tableColumns count="2">
    <tableColumn id="1" xr3:uid="{00000000-0010-0000-0100-000001000000}" name="Nume" dataDxfId="1832"/>
    <tableColumn id="2" xr3:uid="{00000000-0010-0000-0100-000002000000}" name="Workings" dataDxfId="1831">
      <calculatedColumnFormula>IF(ISNUMBER(SEARCH($H$2,A2)),MAX($B$1:B1)+1,0)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2000000}" name="Table142022" displayName="Table142022" ref="A2:T680" totalsRowShown="0" headerRowDxfId="1830" dataDxfId="1828" headerRowBorderDxfId="1829" tableBorderDxfId="1827" totalsRowBorderDxfId="1826">
  <autoFilter ref="A2:T680" xr:uid="{9C3C5C07-014F-47F8-9C00-B7C9B75C7144}">
    <filterColumn colId="8">
      <filters>
        <dateGroupItem year="2021" month="5" day="18" dateTimeGrouping="day"/>
      </filters>
    </filterColumn>
  </autoFilter>
  <sortState xmlns:xlrd2="http://schemas.microsoft.com/office/spreadsheetml/2017/richdata2" ref="A393:T402">
    <sortCondition ref="A2:A680"/>
  </sortState>
  <tableColumns count="20">
    <tableColumn id="1" xr3:uid="{00000000-0010-0000-0200-000001000000}" name="Data Intrare" dataDxfId="1825"/>
    <tableColumn id="28" xr3:uid="{00000000-0010-0000-0200-00001C000000}" name="Nr" dataDxfId="1824"/>
    <tableColumn id="2" xr3:uid="{00000000-0010-0000-0200-000002000000}" name="Client" dataDxfId="1823"/>
    <tableColumn id="30" xr3:uid="{00000000-0010-0000-0200-00001E000000}" name="Telefon" dataDxfId="1822"/>
    <tableColumn id="3" xr3:uid="{00000000-0010-0000-0200-000003000000}" name="Comanda" dataDxfId="1821"/>
    <tableColumn id="14" xr3:uid="{B9AFD5BD-E773-4A31-B566-1374BCC596D5}" name="Baza de Date" dataDxfId="1820"/>
    <tableColumn id="8" xr3:uid="{643627E4-C63B-48B5-B679-839333CAACB7}" name="Contor" dataDxfId="1819"/>
    <tableColumn id="15" xr3:uid="{A941141C-A478-403A-B712-153FDE12BA77}" name="Numar Cutii si Sacose" dataDxfId="1818"/>
    <tableColumn id="4" xr3:uid="{00000000-0010-0000-0200-000004000000}" name="Data Livrare" dataDxfId="1817"/>
    <tableColumn id="5" xr3:uid="{00000000-0010-0000-0200-000005000000}" name="Adresa" dataDxfId="1816"/>
    <tableColumn id="6" xr3:uid="{00000000-0010-0000-0200-000006000000}" name="Plecare" dataDxfId="1815"/>
    <tableColumn id="7" xr3:uid="{00000000-0010-0000-0200-000007000000}" name="Arrival" dataDxfId="1814"/>
    <tableColumn id="9" xr3:uid="{00000000-0010-0000-0200-000009000000}" name="Suma Comanda" dataDxfId="1813"/>
    <tableColumn id="10" xr3:uid="{00000000-0010-0000-0200-00000A000000}" name="Date Facturare" dataDxfId="1812"/>
    <tableColumn id="11" xr3:uid="{00000000-0010-0000-0200-00000B000000}" name="Curier" dataDxfId="1811"/>
    <tableColumn id="12" xr3:uid="{00000000-0010-0000-0200-00000C000000}" name="Preluare Comanda" dataDxfId="1810"/>
    <tableColumn id="13" xr3:uid="{00000000-0010-0000-0200-00000D000000}" name="COD" dataDxfId="1809"/>
    <tableColumn id="16" xr3:uid="{E1DB5F76-972B-4294-8D06-D5C17E602CE2}" name="Ridicare" dataDxfId="1808"/>
    <tableColumn id="24" xr3:uid="{00000000-0010-0000-0200-000018000000}" name="Tort Decorat" dataDxfId="1807"/>
    <tableColumn id="17" xr3:uid="{B87BDB84-AF05-49E1-B46E-1939394E9A8E}" name="Gramaj Tort Decorat" dataDxfId="180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3000000}" name="Table14" displayName="Table14" ref="A1:N279" totalsRowShown="0" headerRowDxfId="1805" dataDxfId="1803" headerRowBorderDxfId="1804" tableBorderDxfId="1802" totalsRowBorderDxfId="1801">
  <autoFilter ref="A1:N279" xr:uid="{00000000-0009-0000-0100-00000E000000}"/>
  <sortState xmlns:xlrd2="http://schemas.microsoft.com/office/spreadsheetml/2017/richdata2" ref="A2:M279">
    <sortCondition ref="D1:D279"/>
  </sortState>
  <tableColumns count="14">
    <tableColumn id="1" xr3:uid="{00000000-0010-0000-0300-000001000000}" name="Intrare"/>
    <tableColumn id="2" xr3:uid="{00000000-0010-0000-0300-000002000000}" name="Client"/>
    <tableColumn id="3" xr3:uid="{00000000-0010-0000-0300-000003000000}" name="Comanda"/>
    <tableColumn id="4" xr3:uid="{00000000-0010-0000-0300-000004000000}" name="Data Livrare"/>
    <tableColumn id="5" xr3:uid="{00000000-0010-0000-0300-000005000000}" name="Adresa"/>
    <tableColumn id="6" xr3:uid="{00000000-0010-0000-0300-000006000000}" name="Plecare"/>
    <tableColumn id="7" xr3:uid="{00000000-0010-0000-0300-000007000000}" name="From" dataDxfId="1800"/>
    <tableColumn id="8" xr3:uid="{00000000-0010-0000-0300-000008000000}" name="To" dataDxfId="1799"/>
    <tableColumn id="9" xr3:uid="{00000000-0010-0000-0300-000009000000}" name="Suma Comanda" dataDxfId="1798"/>
    <tableColumn id="10" xr3:uid="{00000000-0010-0000-0300-00000A000000}" name="Date Facturare" dataDxfId="1797"/>
    <tableColumn id="11" xr3:uid="{00000000-0010-0000-0300-00000B000000}" name="Curier" dataDxfId="1796"/>
    <tableColumn id="12" xr3:uid="{00000000-0010-0000-0300-00000C000000}" name="Preluare Comanda" dataDxfId="1795"/>
    <tableColumn id="13" xr3:uid="{00000000-0010-0000-0300-00000D000000}" name="COD" dataDxfId="1794"/>
    <tableColumn id="14" xr3:uid="{00000000-0010-0000-0300-00000E000000}" name="Column1" dataDxfId="179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4000000}" name="Table1517" displayName="Table1517" ref="B288:C319" totalsRowShown="0" headerRowDxfId="1792" headerRowBorderDxfId="1791" tableBorderDxfId="1790">
  <autoFilter ref="B288:C319" xr:uid="{00000000-0009-0000-0100-000010000000}"/>
  <tableColumns count="2">
    <tableColumn id="1" xr3:uid="{00000000-0010-0000-0400-000001000000}" name="Data" dataDxfId="1789"/>
    <tableColumn id="2" xr3:uid="{00000000-0010-0000-0400-000002000000}" name="Valoare Euro Comenzi Preluate" dataDxfId="1788">
      <calculatedColumnFormula>IF(B289&lt;=TODAY(),SUMIF($A$2:$A$498,B289,$I$2:$I$498)/4.8,"")</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5000000}" name="Table13" displayName="Table13" ref="A1:M295" totalsRowShown="0" headerRowDxfId="1787" dataDxfId="1785" headerRowBorderDxfId="1786" tableBorderDxfId="1784" totalsRowBorderDxfId="1783">
  <autoFilter ref="A1:M295" xr:uid="{00000000-0009-0000-0100-00000D000000}"/>
  <sortState xmlns:xlrd2="http://schemas.microsoft.com/office/spreadsheetml/2017/richdata2" ref="A2:M220">
    <sortCondition ref="D1:D295"/>
  </sortState>
  <tableColumns count="13">
    <tableColumn id="1" xr3:uid="{00000000-0010-0000-0500-000001000000}" name="Intrare" dataDxfId="1782"/>
    <tableColumn id="2" xr3:uid="{00000000-0010-0000-0500-000002000000}" name="Client" dataDxfId="1781"/>
    <tableColumn id="3" xr3:uid="{00000000-0010-0000-0500-000003000000}" name="Comanda" dataDxfId="1780"/>
    <tableColumn id="4" xr3:uid="{00000000-0010-0000-0500-000004000000}" name="Data Livrare" dataDxfId="1779"/>
    <tableColumn id="5" xr3:uid="{00000000-0010-0000-0500-000005000000}" name="Adresa" dataDxfId="1778"/>
    <tableColumn id="6" xr3:uid="{00000000-0010-0000-0500-000006000000}" name="Plecare" dataDxfId="1777"/>
    <tableColumn id="7" xr3:uid="{00000000-0010-0000-0500-000007000000}" name="From" dataDxfId="1776"/>
    <tableColumn id="8" xr3:uid="{00000000-0010-0000-0500-000008000000}" name="To" dataDxfId="1775"/>
    <tableColumn id="9" xr3:uid="{00000000-0010-0000-0500-000009000000}" name="Suma Comanda" dataDxfId="1774"/>
    <tableColumn id="10" xr3:uid="{00000000-0010-0000-0500-00000A000000}" name="Date Facturare" dataDxfId="1773"/>
    <tableColumn id="11" xr3:uid="{00000000-0010-0000-0500-00000B000000}" name="Curier" dataDxfId="1772"/>
    <tableColumn id="12" xr3:uid="{00000000-0010-0000-0500-00000C000000}" name="Preluare Comanda" dataDxfId="1771"/>
    <tableColumn id="13" xr3:uid="{00000000-0010-0000-0500-00000D000000}" name="COD" dataDxfId="177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6000000}" name="Table15" displayName="Table15" ref="B300:C329" totalsRowShown="0" headerRowDxfId="1769" headerRowBorderDxfId="1768" tableBorderDxfId="1767">
  <autoFilter ref="B300:C329" xr:uid="{00000000-0009-0000-0100-00000F000000}"/>
  <tableColumns count="2">
    <tableColumn id="1" xr3:uid="{00000000-0010-0000-0600-000001000000}" name="Data" dataDxfId="1766"/>
    <tableColumn id="2" xr3:uid="{00000000-0010-0000-0600-000002000000}" name="Valoare Euro Comenzi Preluate" dataDxfId="1765">
      <calculatedColumnFormula>IF(B301&lt;=TODAY(),SUMIF($A$2:$A$295,B301,$I$2:$I$295)/4.8,"")</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le1113" displayName="Table1113" ref="A1:M178" totalsRowShown="0" headerRowDxfId="1762" dataDxfId="1760" headerRowBorderDxfId="1761" tableBorderDxfId="1759" totalsRowBorderDxfId="1758">
  <autoFilter ref="A1:M178" xr:uid="{00000000-0009-0000-0100-00000C000000}"/>
  <sortState xmlns:xlrd2="http://schemas.microsoft.com/office/spreadsheetml/2017/richdata2" ref="A2:M178">
    <sortCondition ref="D1:D178"/>
  </sortState>
  <tableColumns count="13">
    <tableColumn id="1" xr3:uid="{00000000-0010-0000-0700-000001000000}" name="Data Preluare" dataDxfId="1757"/>
    <tableColumn id="2" xr3:uid="{00000000-0010-0000-0700-000002000000}" name="Client" dataDxfId="1756"/>
    <tableColumn id="3" xr3:uid="{00000000-0010-0000-0700-000003000000}" name="Comanda" dataDxfId="1755"/>
    <tableColumn id="4" xr3:uid="{00000000-0010-0000-0700-000004000000}" name="Data Livrare" dataDxfId="1754"/>
    <tableColumn id="5" xr3:uid="{00000000-0010-0000-0700-000005000000}" name="Adresa Completa" dataDxfId="1753"/>
    <tableColumn id="6" xr3:uid="{00000000-0010-0000-0700-000006000000}" name="Plecare" dataDxfId="1752"/>
    <tableColumn id="7" xr3:uid="{00000000-0010-0000-0700-000007000000}" name="From" dataDxfId="1751"/>
    <tableColumn id="8" xr3:uid="{00000000-0010-0000-0700-000008000000}" name="To" dataDxfId="1750"/>
    <tableColumn id="9" xr3:uid="{00000000-0010-0000-0700-000009000000}" name="Suma Comanda" dataDxfId="1749"/>
    <tableColumn id="10" xr3:uid="{00000000-0010-0000-0700-00000A000000}" name="Date Facturare" dataDxfId="1748"/>
    <tableColumn id="11" xr3:uid="{00000000-0010-0000-0700-00000B000000}" name="Curier" dataDxfId="1747"/>
    <tableColumn id="12" xr3:uid="{00000000-0010-0000-0700-00000C000000}" name="Preluare Comanda" dataDxfId="1746"/>
    <tableColumn id="13" xr3:uid="{00000000-0010-0000-0700-00000D000000}" name="COD" dataDxfId="174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8000000}" name="Table1418" displayName="Table1418" ref="A1:M196" totalsRowShown="0" headerRowDxfId="1742" dataDxfId="1740" headerRowBorderDxfId="1741" tableBorderDxfId="1739" totalsRowBorderDxfId="1738">
  <autoFilter ref="A1:M196" xr:uid="{00000000-0009-0000-0100-000011000000}"/>
  <sortState xmlns:xlrd2="http://schemas.microsoft.com/office/spreadsheetml/2017/richdata2" ref="A2:M196">
    <sortCondition ref="D1:D196"/>
  </sortState>
  <tableColumns count="13">
    <tableColumn id="1" xr3:uid="{00000000-0010-0000-0800-000001000000}" name="Intrare"/>
    <tableColumn id="2" xr3:uid="{00000000-0010-0000-0800-000002000000}" name="Client"/>
    <tableColumn id="3" xr3:uid="{00000000-0010-0000-0800-000003000000}" name="Comanda"/>
    <tableColumn id="4" xr3:uid="{00000000-0010-0000-0800-000004000000}" name="Data Livrare"/>
    <tableColumn id="5" xr3:uid="{00000000-0010-0000-0800-000005000000}" name="Adresa"/>
    <tableColumn id="6" xr3:uid="{00000000-0010-0000-0800-000006000000}" name="Plecare"/>
    <tableColumn id="7" xr3:uid="{00000000-0010-0000-0800-000007000000}" name="From" dataDxfId="1737"/>
    <tableColumn id="8" xr3:uid="{00000000-0010-0000-0800-000008000000}" name="To" dataDxfId="1736"/>
    <tableColumn id="9" xr3:uid="{00000000-0010-0000-0800-000009000000}" name="Suma Comanda" dataDxfId="1735"/>
    <tableColumn id="10" xr3:uid="{00000000-0010-0000-0800-00000A000000}" name="Date Facturare" dataDxfId="1734"/>
    <tableColumn id="11" xr3:uid="{00000000-0010-0000-0800-00000B000000}" name="Curier" dataDxfId="1733"/>
    <tableColumn id="12" xr3:uid="{00000000-0010-0000-0800-00000C000000}" name="Preluare Comanda" dataDxfId="1732"/>
    <tableColumn id="13" xr3:uid="{00000000-0010-0000-0800-00000D000000}" name="COD" dataDxfId="173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9000000}" name="Table151719" displayName="Table151719" ref="B205:C236" totalsRowShown="0" headerRowDxfId="1730" headerRowBorderDxfId="1729" tableBorderDxfId="1728">
  <autoFilter ref="B205:C236" xr:uid="{00000000-0009-0000-0100-000012000000}">
    <filterColumn colId="1">
      <customFilters>
        <customFilter operator="notEqual" val=" "/>
      </customFilters>
    </filterColumn>
  </autoFilter>
  <tableColumns count="2">
    <tableColumn id="1" xr3:uid="{00000000-0010-0000-0900-000001000000}" name="Data" dataDxfId="1727"/>
    <tableColumn id="2" xr3:uid="{00000000-0010-0000-0900-000002000000}" name="Valoare Euro Comenzi Preluate" dataDxfId="1726">
      <calculatedColumnFormula>IF(B206&lt;=TODAY(),SUMIF($A$2:$A$415,B206,$I$2:$I$415)/4.8,"")</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A1:L278" totalsRowShown="0" headerRowDxfId="1723" headerRowBorderDxfId="1722" tableBorderDxfId="1721" totalsRowBorderDxfId="1720">
  <autoFilter ref="A1:L278" xr:uid="{00000000-0009-0000-0100-00000B000000}">
    <filterColumn colId="3">
      <filters>
        <dateGroupItem year="2019" month="12" day="24" dateTimeGrouping="day"/>
      </filters>
    </filterColumn>
  </autoFilter>
  <sortState xmlns:xlrd2="http://schemas.microsoft.com/office/spreadsheetml/2017/richdata2" ref="A277:L277">
    <sortCondition ref="D1:D278"/>
  </sortState>
  <tableColumns count="12">
    <tableColumn id="1" xr3:uid="{00000000-0010-0000-0A00-000001000000}" name="Data Preluare" dataDxfId="1719"/>
    <tableColumn id="2" xr3:uid="{00000000-0010-0000-0A00-000002000000}" name="Client" dataDxfId="1718"/>
    <tableColumn id="3" xr3:uid="{00000000-0010-0000-0A00-000003000000}" name="Comanda" dataDxfId="1717"/>
    <tableColumn id="4" xr3:uid="{00000000-0010-0000-0A00-000004000000}" name="Data Livrare" dataDxfId="1716"/>
    <tableColumn id="5" xr3:uid="{00000000-0010-0000-0A00-000005000000}" name="Adresa Completa" dataDxfId="1715"/>
    <tableColumn id="6" xr3:uid="{00000000-0010-0000-0A00-000006000000}" name="Plecare" dataDxfId="1714"/>
    <tableColumn id="7" xr3:uid="{00000000-0010-0000-0A00-000007000000}" name="From" dataDxfId="1713"/>
    <tableColumn id="8" xr3:uid="{00000000-0010-0000-0A00-000008000000}" name="To" dataDxfId="1712"/>
    <tableColumn id="9" xr3:uid="{00000000-0010-0000-0A00-000009000000}" name="Suma Comanda" dataDxfId="1711"/>
    <tableColumn id="10" xr3:uid="{00000000-0010-0000-0A00-00000A000000}" name="Date Facturare" dataDxfId="1710"/>
    <tableColumn id="11" xr3:uid="{00000000-0010-0000-0A00-00000B000000}" name="Curier" dataDxfId="1709"/>
    <tableColumn id="12" xr3:uid="{00000000-0010-0000-0A00-00000C000000}" name="Preluare Comanda" dataDxfId="170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B000000}" name="Table10" displayName="Table10" ref="A1:L183" totalsRowShown="0" headerRowDxfId="1701" headerRowBorderDxfId="1700" tableBorderDxfId="1699" totalsRowBorderDxfId="1698">
  <autoFilter ref="A1:L183" xr:uid="{00000000-0009-0000-0100-00000A000000}"/>
  <sortState xmlns:xlrd2="http://schemas.microsoft.com/office/spreadsheetml/2017/richdata2" ref="A152:L168">
    <sortCondition ref="D1:D183"/>
  </sortState>
  <tableColumns count="12">
    <tableColumn id="1" xr3:uid="{00000000-0010-0000-0B00-000001000000}" name="Data Preluare" dataDxfId="1697"/>
    <tableColumn id="2" xr3:uid="{00000000-0010-0000-0B00-000002000000}" name="Client" dataDxfId="1696"/>
    <tableColumn id="3" xr3:uid="{00000000-0010-0000-0B00-000003000000}" name="Comanda"/>
    <tableColumn id="4" xr3:uid="{00000000-0010-0000-0B00-000004000000}" name="Data Livrare" dataDxfId="1695"/>
    <tableColumn id="5" xr3:uid="{00000000-0010-0000-0B00-000005000000}" name="Adresa Completa" dataDxfId="1694"/>
    <tableColumn id="6" xr3:uid="{00000000-0010-0000-0B00-000006000000}" name="Plecare"/>
    <tableColumn id="7" xr3:uid="{00000000-0010-0000-0B00-000007000000}" name="From"/>
    <tableColumn id="8" xr3:uid="{00000000-0010-0000-0B00-000008000000}" name="To"/>
    <tableColumn id="9" xr3:uid="{00000000-0010-0000-0B00-000009000000}" name="Suma Comanda" dataDxfId="1693"/>
    <tableColumn id="10" xr3:uid="{00000000-0010-0000-0B00-00000A000000}" name="Date Facturare"/>
    <tableColumn id="11" xr3:uid="{00000000-0010-0000-0B00-00000B000000}" name="Curier"/>
    <tableColumn id="12" xr3:uid="{00000000-0010-0000-0B00-00000C000000}" name="Preluare Comand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C000000}" name="Table7910" displayName="Table7910" ref="A1:L219" totalsRowShown="0" headerRowDxfId="1586" dataDxfId="1584" headerRowBorderDxfId="1585" tableBorderDxfId="1583" totalsRowBorderDxfId="1582">
  <autoFilter ref="A1:L219" xr:uid="{00000000-0009-0000-0100-000009000000}"/>
  <sortState xmlns:xlrd2="http://schemas.microsoft.com/office/spreadsheetml/2017/richdata2" ref="A192:L220">
    <sortCondition ref="D1:D220"/>
  </sortState>
  <tableColumns count="12">
    <tableColumn id="1" xr3:uid="{00000000-0010-0000-0C00-000001000000}" name="mini-Stracciatella" dataDxfId="1581"/>
    <tableColumn id="2" xr3:uid="{00000000-0010-0000-0C00-000002000000}" name="Client" dataDxfId="1580"/>
    <tableColumn id="3" xr3:uid="{00000000-0010-0000-0C00-000003000000}" name="Comanda" dataDxfId="1579"/>
    <tableColumn id="4" xr3:uid="{00000000-0010-0000-0C00-000004000000}" name="Data Livrare" dataDxfId="1578"/>
    <tableColumn id="5" xr3:uid="{00000000-0010-0000-0C00-000005000000}" name="Adresa Completa" dataDxfId="1577"/>
    <tableColumn id="6" xr3:uid="{00000000-0010-0000-0C00-000006000000}" name="Plecare" dataDxfId="1576"/>
    <tableColumn id="7" xr3:uid="{00000000-0010-0000-0C00-000007000000}" name="From" dataDxfId="1575"/>
    <tableColumn id="8" xr3:uid="{00000000-0010-0000-0C00-000008000000}" name="To" dataDxfId="1574"/>
    <tableColumn id="9" xr3:uid="{00000000-0010-0000-0C00-000009000000}" name="Suma Comanda" dataDxfId="1573"/>
    <tableColumn id="10" xr3:uid="{00000000-0010-0000-0C00-00000A000000}" name="Date Facturare" dataDxfId="1572"/>
    <tableColumn id="11" xr3:uid="{00000000-0010-0000-0C00-00000B000000}" name="Curier" dataDxfId="1571"/>
    <tableColumn id="12" xr3:uid="{00000000-0010-0000-0C00-00000C000000}" name="Preluare Comanda" dataDxfId="157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D000000}" name="Table34567" displayName="Table34567" ref="A1:L169" totalsRowShown="0" headerRowDxfId="1425" headerRowBorderDxfId="1424">
  <autoFilter ref="A1:L169" xr:uid="{00000000-0009-0000-0100-000001000000}">
    <filterColumn colId="4">
      <filters>
        <filter val="Soiree, Bulevardul Pipera 2"/>
        <filter val="Soiree, Bulevardul Pipera 2._x000a_Amenajarea de la 18:45-19:45"/>
      </filters>
    </filterColumn>
  </autoFilter>
  <sortState xmlns:xlrd2="http://schemas.microsoft.com/office/spreadsheetml/2017/richdata2" ref="A2:L169">
    <sortCondition ref="D1:D169"/>
  </sortState>
  <tableColumns count="12">
    <tableColumn id="1" xr3:uid="{00000000-0010-0000-0D00-000001000000}" name="Data Preluare"/>
    <tableColumn id="2" xr3:uid="{00000000-0010-0000-0D00-000002000000}" name="Client"/>
    <tableColumn id="3" xr3:uid="{00000000-0010-0000-0D00-000003000000}" name="Comanda"/>
    <tableColumn id="4" xr3:uid="{00000000-0010-0000-0D00-000004000000}" name="Data Livrare"/>
    <tableColumn id="5" xr3:uid="{00000000-0010-0000-0D00-000005000000}" name="ADRESA COMPLETA"/>
    <tableColumn id="6" xr3:uid="{00000000-0010-0000-0D00-000006000000}" name="Plecare"/>
    <tableColumn id="7" xr3:uid="{00000000-0010-0000-0D00-000007000000}" name="From"/>
    <tableColumn id="8" xr3:uid="{00000000-0010-0000-0D00-000008000000}" name="To"/>
    <tableColumn id="9" xr3:uid="{00000000-0010-0000-0D00-000009000000}" name="Suma Comanda"/>
    <tableColumn id="10" xr3:uid="{00000000-0010-0000-0D00-00000A000000}" name="Date Facturare"/>
    <tableColumn id="11" xr3:uid="{00000000-0010-0000-0D00-00000B000000}" name="Curier"/>
    <tableColumn id="12" xr3:uid="{00000000-0010-0000-0D00-00000C000000}" name="Preluare Comanda"/>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E000000}" name="Table3456" displayName="Table3456" ref="A1:L167" totalsRowShown="0">
  <autoFilter ref="A1:L167" xr:uid="{00000000-0009-0000-0100-000002000000}"/>
  <sortState xmlns:xlrd2="http://schemas.microsoft.com/office/spreadsheetml/2017/richdata2" ref="A2:L167">
    <sortCondition ref="D1:D167"/>
  </sortState>
  <tableColumns count="12">
    <tableColumn id="1" xr3:uid="{00000000-0010-0000-0E00-000001000000}" name="Data Preluare"/>
    <tableColumn id="2" xr3:uid="{00000000-0010-0000-0E00-000002000000}" name="Client"/>
    <tableColumn id="3" xr3:uid="{00000000-0010-0000-0E00-000003000000}" name="Comanda"/>
    <tableColumn id="4" xr3:uid="{00000000-0010-0000-0E00-000004000000}" name="Data Livrare"/>
    <tableColumn id="5" xr3:uid="{00000000-0010-0000-0E00-000005000000}" name="ADRESA COMPLETA"/>
    <tableColumn id="6" xr3:uid="{00000000-0010-0000-0E00-000006000000}" name="Plecare"/>
    <tableColumn id="7" xr3:uid="{00000000-0010-0000-0E00-000007000000}" name="From"/>
    <tableColumn id="8" xr3:uid="{00000000-0010-0000-0E00-000008000000}" name="To"/>
    <tableColumn id="9" xr3:uid="{00000000-0010-0000-0E00-000009000000}" name="Suma Comanda"/>
    <tableColumn id="10" xr3:uid="{00000000-0010-0000-0E00-00000A000000}" name="Date Facturare"/>
    <tableColumn id="11" xr3:uid="{00000000-0010-0000-0E00-00000B000000}" name="Curier"/>
    <tableColumn id="12" xr3:uid="{00000000-0010-0000-0E00-00000C000000}" name="Preluare Comanda"/>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F000000}" name="Table79" displayName="Table79" ref="A1:L230" totalsRowShown="0" headerRowDxfId="919" dataDxfId="917" headerRowBorderDxfId="918" tableBorderDxfId="916" totalsRowBorderDxfId="915">
  <autoFilter ref="A1:L230" xr:uid="{00000000-0009-0000-0100-000008000000}"/>
  <sortState xmlns:xlrd2="http://schemas.microsoft.com/office/spreadsheetml/2017/richdata2" ref="A2:L223">
    <sortCondition ref="A1:A229"/>
  </sortState>
  <tableColumns count="12">
    <tableColumn id="1" xr3:uid="{00000000-0010-0000-0F00-000001000000}" name="Data Preluare" dataDxfId="914"/>
    <tableColumn id="2" xr3:uid="{00000000-0010-0000-0F00-000002000000}" name="Client" dataDxfId="913"/>
    <tableColumn id="3" xr3:uid="{00000000-0010-0000-0F00-000003000000}" name="Comanda" dataDxfId="912"/>
    <tableColumn id="4" xr3:uid="{00000000-0010-0000-0F00-000004000000}" name="Data Livrare" dataDxfId="911"/>
    <tableColumn id="5" xr3:uid="{00000000-0010-0000-0F00-000005000000}" name="Adresa Completa" dataDxfId="910"/>
    <tableColumn id="6" xr3:uid="{00000000-0010-0000-0F00-000006000000}" name="Plecare" dataDxfId="909"/>
    <tableColumn id="7" xr3:uid="{00000000-0010-0000-0F00-000007000000}" name="From" dataDxfId="908"/>
    <tableColumn id="8" xr3:uid="{00000000-0010-0000-0F00-000008000000}" name="To" dataDxfId="907"/>
    <tableColumn id="9" xr3:uid="{00000000-0010-0000-0F00-000009000000}" name="Suma Comanda" dataDxfId="906"/>
    <tableColumn id="10" xr3:uid="{00000000-0010-0000-0F00-00000A000000}" name="Date Facturare" dataDxfId="905"/>
    <tableColumn id="11" xr3:uid="{00000000-0010-0000-0F00-00000B000000}" name="Curier" dataDxfId="904"/>
    <tableColumn id="12" xr3:uid="{00000000-0010-0000-0F00-00000C000000}" name="Preluare Comanda" dataDxfId="90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0000000}" name="Table7" displayName="Table7" ref="A1:L200" totalsRowShown="0" headerRowDxfId="168" dataDxfId="166" headerRowBorderDxfId="167" tableBorderDxfId="165" totalsRowBorderDxfId="164">
  <autoFilter ref="A1:L200" xr:uid="{00000000-0009-0000-0100-000007000000}"/>
  <sortState xmlns:xlrd2="http://schemas.microsoft.com/office/spreadsheetml/2017/richdata2" ref="A2:L196">
    <sortCondition ref="D1:D196"/>
  </sortState>
  <tableColumns count="12">
    <tableColumn id="1" xr3:uid="{00000000-0010-0000-1000-000001000000}" name="Data Preluare" dataDxfId="163"/>
    <tableColumn id="2" xr3:uid="{00000000-0010-0000-1000-000002000000}" name="Client" dataDxfId="162"/>
    <tableColumn id="3" xr3:uid="{00000000-0010-0000-1000-000003000000}" name="Comanda" dataDxfId="161"/>
    <tableColumn id="4" xr3:uid="{00000000-0010-0000-1000-000004000000}" name="Data Livrare" dataDxfId="160"/>
    <tableColumn id="5" xr3:uid="{00000000-0010-0000-1000-000005000000}" name="Adresa Completa" dataDxfId="159"/>
    <tableColumn id="6" xr3:uid="{00000000-0010-0000-1000-000006000000}" name="Plecare" dataDxfId="158"/>
    <tableColumn id="7" xr3:uid="{00000000-0010-0000-1000-000007000000}" name="From" dataDxfId="157"/>
    <tableColumn id="8" xr3:uid="{00000000-0010-0000-1000-000008000000}" name="To" dataDxfId="156"/>
    <tableColumn id="9" xr3:uid="{00000000-0010-0000-1000-000009000000}" name="Suma Comanda" dataDxfId="155"/>
    <tableColumn id="10" xr3:uid="{00000000-0010-0000-1000-00000A000000}" name="Date Facturare" dataDxfId="154"/>
    <tableColumn id="11" xr3:uid="{00000000-0010-0000-1000-00000B000000}" name="Curier" dataDxfId="153"/>
    <tableColumn id="12" xr3:uid="{00000000-0010-0000-1000-00000C000000}" name="Preluare Comanda" dataDxfId="15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1000000}" name="Table345" displayName="Table345" ref="A1:L172" totalsRowShown="0">
  <autoFilter ref="A1:L172" xr:uid="{00000000-0009-0000-0100-000003000000}"/>
  <tableColumns count="12">
    <tableColumn id="1" xr3:uid="{00000000-0010-0000-1100-000001000000}" name="Data Preluare"/>
    <tableColumn id="2" xr3:uid="{00000000-0010-0000-1100-000002000000}" name="Client"/>
    <tableColumn id="3" xr3:uid="{00000000-0010-0000-1100-000003000000}" name="Comanda"/>
    <tableColumn id="4" xr3:uid="{00000000-0010-0000-1100-000004000000}" name="Data Livrare"/>
    <tableColumn id="5" xr3:uid="{00000000-0010-0000-1100-000005000000}" name="ADRESA COMPLETA"/>
    <tableColumn id="6" xr3:uid="{00000000-0010-0000-1100-000006000000}" name="Plecare"/>
    <tableColumn id="7" xr3:uid="{00000000-0010-0000-1100-000007000000}" name="From"/>
    <tableColumn id="8" xr3:uid="{00000000-0010-0000-1100-000008000000}" name="To"/>
    <tableColumn id="9" xr3:uid="{00000000-0010-0000-1100-000009000000}" name="Suma Comanda"/>
    <tableColumn id="10" xr3:uid="{00000000-0010-0000-1100-00000A000000}" name="Date Facturare"/>
    <tableColumn id="11" xr3:uid="{00000000-0010-0000-1100-00000B000000}" name="Curier"/>
    <tableColumn id="12" xr3:uid="{00000000-0010-0000-1100-00000C000000}" name="Preluare Comanda"/>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2000000}" name="Table34" displayName="Table34" ref="A4:M210" totalsRowShown="0">
  <autoFilter ref="A4:M210" xr:uid="{00000000-0009-0000-0100-000004000000}"/>
  <tableColumns count="13">
    <tableColumn id="1" xr3:uid="{00000000-0010-0000-1200-000001000000}" name="Data Preluare"/>
    <tableColumn id="2" xr3:uid="{00000000-0010-0000-1200-000002000000}" name="Nume Client"/>
    <tableColumn id="3" xr3:uid="{00000000-0010-0000-1200-000003000000}" name="Telefon"/>
    <tableColumn id="4" xr3:uid="{00000000-0010-0000-1200-000004000000}" name="E-mail"/>
    <tableColumn id="5" xr3:uid="{00000000-0010-0000-1200-000005000000}" name="Comanda"/>
    <tableColumn id="6" xr3:uid="{00000000-0010-0000-1200-000006000000}" name="Data Livrare"/>
    <tableColumn id="7" xr3:uid="{00000000-0010-0000-1200-000007000000}" name="Ora Livrare"/>
    <tableColumn id="8" xr3:uid="{00000000-0010-0000-1200-000008000000}" name="Adresa"/>
    <tableColumn id="9" xr3:uid="{00000000-0010-0000-1200-000009000000}" name="Suma Comanda"/>
    <tableColumn id="10" xr3:uid="{00000000-0010-0000-1200-00000A000000}" name="Date Facturare"/>
    <tableColumn id="11" xr3:uid="{00000000-0010-0000-1200-00000B000000}" name="Confirmat Comanda"/>
    <tableColumn id="12" xr3:uid="{00000000-0010-0000-1200-00000C000000}" name="Persoana Introducere"/>
    <tableColumn id="13" xr3:uid="{00000000-0010-0000-1200-00000D000000}" name="Column1"/>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13000000}" name="Table3" displayName="Table3" ref="A4:O179" totalsRowShown="0">
  <autoFilter ref="A4:O179" xr:uid="{00000000-0009-0000-0100-000005000000}"/>
  <tableColumns count="15">
    <tableColumn id="1" xr3:uid="{00000000-0010-0000-1300-000001000000}" name="Data Preluare"/>
    <tableColumn id="2" xr3:uid="{00000000-0010-0000-1300-000002000000}" name="Nume Client"/>
    <tableColumn id="3" xr3:uid="{00000000-0010-0000-1300-000003000000}" name="Telefon"/>
    <tableColumn id="4" xr3:uid="{00000000-0010-0000-1300-000004000000}" name="E-mail"/>
    <tableColumn id="5" xr3:uid="{00000000-0010-0000-1300-000005000000}" name="Comanda"/>
    <tableColumn id="6" xr3:uid="{00000000-0010-0000-1300-000006000000}" name="Data Livrare"/>
    <tableColumn id="7" xr3:uid="{00000000-0010-0000-1300-000007000000}" name="Ora Livrare"/>
    <tableColumn id="8" xr3:uid="{00000000-0010-0000-1300-000008000000}" name="Adresa"/>
    <tableColumn id="9" xr3:uid="{00000000-0010-0000-1300-000009000000}" name="Suma Comanda"/>
    <tableColumn id="10" xr3:uid="{00000000-0010-0000-1300-00000A000000}" name="Date Facturare"/>
    <tableColumn id="11" xr3:uid="{00000000-0010-0000-1300-00000B000000}" name="Confirmat Comanda"/>
    <tableColumn id="12" xr3:uid="{00000000-0010-0000-1300-00000C000000}" name="Persoana Introducere"/>
    <tableColumn id="13" xr3:uid="{00000000-0010-0000-1300-00000D000000}" name="Verificare Telefonica"/>
    <tableColumn id="14" xr3:uid="{00000000-0010-0000-1300-00000E000000}" name="Column1"/>
    <tableColumn id="15" xr3:uid="{00000000-0010-0000-1300-00000F000000}" name="Column2" dataDxfId="39" dataCellStyle="Normal 2"/>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14000000}" name="Table2" displayName="Table2" ref="A1:L236" totalsRowShown="0">
  <autoFilter ref="A1:L236" xr:uid="{00000000-0009-0000-0100-000006000000}"/>
  <sortState xmlns:xlrd2="http://schemas.microsoft.com/office/spreadsheetml/2017/richdata2" ref="A2:L236">
    <sortCondition ref="F1:F236"/>
  </sortState>
  <tableColumns count="12">
    <tableColumn id="1" xr3:uid="{00000000-0010-0000-1400-000001000000}" name="Data Preluare"/>
    <tableColumn id="2" xr3:uid="{00000000-0010-0000-1400-000002000000}" name="Nume Client"/>
    <tableColumn id="3" xr3:uid="{00000000-0010-0000-1400-000003000000}" name="Telefon"/>
    <tableColumn id="4" xr3:uid="{00000000-0010-0000-1400-000004000000}" name="E-mail"/>
    <tableColumn id="5" xr3:uid="{00000000-0010-0000-1400-000005000000}" name="Comanda"/>
    <tableColumn id="6" xr3:uid="{00000000-0010-0000-1400-000006000000}" name="`"/>
    <tableColumn id="7" xr3:uid="{00000000-0010-0000-1400-000007000000}" name="Ora Livrarii"/>
    <tableColumn id="8" xr3:uid="{00000000-0010-0000-1400-000008000000}" name="Mentiuni"/>
    <tableColumn id="9" xr3:uid="{00000000-0010-0000-1400-000009000000}" name="Suma Comanda"/>
    <tableColumn id="10" xr3:uid="{00000000-0010-0000-1400-00000A000000}" name="Date Facturare"/>
    <tableColumn id="11" xr3:uid="{00000000-0010-0000-1400-00000B000000}" name="Confirmare Comanda"/>
    <tableColumn id="12" xr3:uid="{00000000-0010-0000-1400-00000C000000}" name="Confirmare Degustare"/>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5000000}" name="Table1420" displayName="Table1420" ref="A4:AD1112" totalsRowShown="0" headerRowDxfId="38" dataDxfId="36" headerRowBorderDxfId="37" tableBorderDxfId="35" totalsRowBorderDxfId="34">
  <autoFilter ref="A4:AD1112" xr:uid="{00000000-0009-0000-0100-000013000000}">
    <filterColumn colId="0">
      <filters>
        <dateGroupItem year="2020" month="4" day="27" dateTimeGrouping="day"/>
      </filters>
    </filterColumn>
  </autoFilter>
  <sortState xmlns:xlrd2="http://schemas.microsoft.com/office/spreadsheetml/2017/richdata2" ref="A5:AD1112">
    <sortCondition ref="P4:P1112"/>
  </sortState>
  <tableColumns count="30">
    <tableColumn id="1" xr3:uid="{00000000-0010-0000-1500-000001000000}" name="Intrare" dataDxfId="33"/>
    <tableColumn id="28" xr3:uid="{00000000-0010-0000-1500-00001C000000}" name="Nr Comanda" dataDxfId="32"/>
    <tableColumn id="2" xr3:uid="{00000000-0010-0000-1500-000002000000}" name="Client" dataDxfId="31"/>
    <tableColumn id="30" xr3:uid="{00000000-0010-0000-1500-00001E000000}" name="Telefon" dataDxfId="30"/>
    <tableColumn id="3" xr3:uid="{00000000-0010-0000-1500-000003000000}" name="Comanda" dataDxfId="29"/>
    <tableColumn id="19" xr3:uid="{00000000-0010-0000-1500-000013000000}" name="Pasca" dataDxfId="28"/>
    <tableColumn id="18" xr3:uid="{00000000-0010-0000-1500-000012000000}" name="Nuca" dataDxfId="27"/>
    <tableColumn id="17" xr3:uid="{00000000-0010-0000-1500-000011000000}" name="Fructe" dataDxfId="26"/>
    <tableColumn id="16" xr3:uid="{00000000-0010-0000-1500-000010000000}" name="Mac" dataDxfId="25"/>
    <tableColumn id="15" xr3:uid="{00000000-0010-0000-1500-00000F000000}" name="Coz Special" dataDxfId="24"/>
    <tableColumn id="25" xr3:uid="{00000000-0010-0000-1500-000019000000}" name="Pasca Speciala"/>
    <tableColumn id="21" xr3:uid="{00000000-0010-0000-1500-000015000000}" name="RV Nuca" dataDxfId="23"/>
    <tableColumn id="20" xr3:uid="{00000000-0010-0000-1500-000014000000}" name="RV Turmeric" dataDxfId="22"/>
    <tableColumn id="14" xr3:uid="{00000000-0010-0000-1500-00000E000000}" name="RV Mac" dataDxfId="21"/>
    <tableColumn id="22" xr3:uid="{00000000-0010-0000-1500-000016000000}" name="Praji sau Torturi" dataDxfId="20"/>
    <tableColumn id="4" xr3:uid="{00000000-0010-0000-1500-000004000000}" name="Data Livrare" dataDxfId="19"/>
    <tableColumn id="29" xr3:uid="{00000000-0010-0000-1500-00001D000000}" name="Adresa Soft" dataDxfId="18"/>
    <tableColumn id="5" xr3:uid="{00000000-0010-0000-1500-000005000000}" name="Adresa" dataDxfId="17"/>
    <tableColumn id="23" xr3:uid="{00000000-0010-0000-1500-000017000000}" name="Sector" dataDxfId="16"/>
    <tableColumn id="6" xr3:uid="{00000000-0010-0000-1500-000006000000}" name="Plecare" dataDxfId="15"/>
    <tableColumn id="7" xr3:uid="{00000000-0010-0000-1500-000007000000}" name="Arrival" dataDxfId="14"/>
    <tableColumn id="8" xr3:uid="{00000000-0010-0000-1500-000008000000}" name="To" dataDxfId="13"/>
    <tableColumn id="9" xr3:uid="{00000000-0010-0000-1500-000009000000}" name="Suma Comanda" dataDxfId="12"/>
    <tableColumn id="10" xr3:uid="{00000000-0010-0000-1500-00000A000000}" name="Date Facturare" dataDxfId="11"/>
    <tableColumn id="11" xr3:uid="{00000000-0010-0000-1500-00000B000000}" name="Curier" dataDxfId="10"/>
    <tableColumn id="26" xr3:uid="{00000000-0010-0000-1500-00001A000000}" name="Bifa" dataDxfId="9"/>
    <tableColumn id="27" xr3:uid="{00000000-0010-0000-1500-00001B000000}" name="Observatii" dataDxfId="8"/>
    <tableColumn id="12" xr3:uid="{00000000-0010-0000-1500-00000C000000}" name="Preluare Comanda" dataDxfId="7"/>
    <tableColumn id="13" xr3:uid="{00000000-0010-0000-1500-00000D000000}" name="COD" dataDxfId="6"/>
    <tableColumn id="24" xr3:uid="{00000000-0010-0000-1500-000018000000}" name="Column1" dataDxfId="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6000000}" name="Table151721" displayName="Table151721" ref="B1126:C1156" totalsRowShown="0" headerRowDxfId="4" headerRowBorderDxfId="3" tableBorderDxfId="2">
  <autoFilter ref="B1126:C1156" xr:uid="{00000000-0009-0000-0100-000014000000}">
    <filterColumn colId="1">
      <customFilters>
        <customFilter operator="notEqual" val=" "/>
      </customFilters>
    </filterColumn>
  </autoFilter>
  <tableColumns count="2">
    <tableColumn id="1" xr3:uid="{00000000-0010-0000-1600-000001000000}" name="Data" dataDxfId="1"/>
    <tableColumn id="2" xr3:uid="{00000000-0010-0000-1600-000002000000}" name="Valoare Euro Comenzi Preluate" dataDxfId="0">
      <calculatedColumnFormula>IF(B1127&lt;=TODAY(),SUMIF($A$30:$A$1157,B1127,$V$30:$V$1157)/4.8,"")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mailto:opm@suterpalace.ro" TargetMode="External"/><Relationship Id="rId1" Type="http://schemas.openxmlformats.org/officeDocument/2006/relationships/hyperlink" Target="mailto:paula_baroti2000@yahoo.com" TargetMode="External"/><Relationship Id="rId4" Type="http://schemas.openxmlformats.org/officeDocument/2006/relationships/table" Target="../tables/table19.xml"/></Relationships>
</file>

<file path=xl/worksheets/_rels/sheet18.xml.rels><?xml version="1.0" encoding="UTF-8" standalone="yes"?>
<Relationships xmlns="http://schemas.openxmlformats.org/package/2006/relationships"><Relationship Id="rId8" Type="http://schemas.openxmlformats.org/officeDocument/2006/relationships/hyperlink" Target="mailto:dana.birnea@gmail.com" TargetMode="External"/><Relationship Id="rId3" Type="http://schemas.openxmlformats.org/officeDocument/2006/relationships/hyperlink" Target="mailto:alexandrupopescu80@gmail.com" TargetMode="External"/><Relationship Id="rId7" Type="http://schemas.openxmlformats.org/officeDocument/2006/relationships/hyperlink" Target="mailto:ana.diceanu@brain4strategy.com" TargetMode="External"/><Relationship Id="rId12" Type="http://schemas.openxmlformats.org/officeDocument/2006/relationships/table" Target="../tables/table20.xml"/><Relationship Id="rId2" Type="http://schemas.openxmlformats.org/officeDocument/2006/relationships/hyperlink" Target="mailto:office@purpleeffectevents.ro" TargetMode="External"/><Relationship Id="rId1" Type="http://schemas.openxmlformats.org/officeDocument/2006/relationships/hyperlink" Target="mailto:ioana_badulescu2003@yahoo.com" TargetMode="External"/><Relationship Id="rId6" Type="http://schemas.openxmlformats.org/officeDocument/2006/relationships/hyperlink" Target="mailto:crina.cosoreanu@gmail.com" TargetMode="External"/><Relationship Id="rId11" Type="http://schemas.openxmlformats.org/officeDocument/2006/relationships/printerSettings" Target="../printerSettings/printerSettings17.bin"/><Relationship Id="rId5" Type="http://schemas.openxmlformats.org/officeDocument/2006/relationships/hyperlink" Target="mailto:humamarian@yahoo.com" TargetMode="External"/><Relationship Id="rId10" Type="http://schemas.openxmlformats.org/officeDocument/2006/relationships/hyperlink" Target="mailto:alexandracln_23@yahoo.com" TargetMode="External"/><Relationship Id="rId4" Type="http://schemas.openxmlformats.org/officeDocument/2006/relationships/hyperlink" Target="mailto:neagu_valentina1982@yahoo.com" TargetMode="External"/><Relationship Id="rId9" Type="http://schemas.openxmlformats.org/officeDocument/2006/relationships/hyperlink" Target="mailto:ana.diceanu@brain4strategy.co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mailto:rothsteinmiriams@gmail.com" TargetMode="External"/><Relationship Id="rId13" Type="http://schemas.openxmlformats.org/officeDocument/2006/relationships/hyperlink" Target="mailto:ioana_badulescu2003@yahoo.com" TargetMode="External"/><Relationship Id="rId18" Type="http://schemas.openxmlformats.org/officeDocument/2006/relationships/hyperlink" Target="mailto:crina.cosoreanu@gmail.com" TargetMode="External"/><Relationship Id="rId3" Type="http://schemas.openxmlformats.org/officeDocument/2006/relationships/hyperlink" Target="mailto:liviu.radacineanu@ralcom.ro" TargetMode="External"/><Relationship Id="rId21" Type="http://schemas.openxmlformats.org/officeDocument/2006/relationships/hyperlink" Target="mailto:opm@suterpalace.ro" TargetMode="External"/><Relationship Id="rId7" Type="http://schemas.openxmlformats.org/officeDocument/2006/relationships/hyperlink" Target="mailto:nalmaj@yahoo.com" TargetMode="External"/><Relationship Id="rId12" Type="http://schemas.openxmlformats.org/officeDocument/2006/relationships/hyperlink" Target="mailto:stefana.ungureanuu@yahoo.com" TargetMode="External"/><Relationship Id="rId17" Type="http://schemas.openxmlformats.org/officeDocument/2006/relationships/hyperlink" Target="mailto:humamarian@yahoo.com" TargetMode="External"/><Relationship Id="rId2" Type="http://schemas.openxmlformats.org/officeDocument/2006/relationships/hyperlink" Target="mailto:iulianaradulescu@hotmail.co.uk" TargetMode="External"/><Relationship Id="rId16" Type="http://schemas.openxmlformats.org/officeDocument/2006/relationships/hyperlink" Target="mailto:neagu_valentina1982@yahoo.com" TargetMode="External"/><Relationship Id="rId20" Type="http://schemas.openxmlformats.org/officeDocument/2006/relationships/hyperlink" Target="mailto:ana.diceanu@brain4strategy.com" TargetMode="External"/><Relationship Id="rId1" Type="http://schemas.openxmlformats.org/officeDocument/2006/relationships/hyperlink" Target="mailto:liviu.radacineanu@ralcom.ro" TargetMode="External"/><Relationship Id="rId6" Type="http://schemas.openxmlformats.org/officeDocument/2006/relationships/hyperlink" Target="mailto:biamidan@yahoo.com" TargetMode="External"/><Relationship Id="rId11" Type="http://schemas.openxmlformats.org/officeDocument/2006/relationships/hyperlink" Target="mailto:olguta@gmail.com" TargetMode="External"/><Relationship Id="rId5" Type="http://schemas.openxmlformats.org/officeDocument/2006/relationships/hyperlink" Target="mailto:mateidianamaria@gmail.com" TargetMode="External"/><Relationship Id="rId15" Type="http://schemas.openxmlformats.org/officeDocument/2006/relationships/hyperlink" Target="mailto:alexandrupopescu80@gmail.com" TargetMode="External"/><Relationship Id="rId23" Type="http://schemas.openxmlformats.org/officeDocument/2006/relationships/table" Target="../tables/table21.xml"/><Relationship Id="rId10" Type="http://schemas.openxmlformats.org/officeDocument/2006/relationships/hyperlink" Target="mailto:iulianaradulescu@hotmail.co.uk" TargetMode="External"/><Relationship Id="rId19" Type="http://schemas.openxmlformats.org/officeDocument/2006/relationships/hyperlink" Target="mailto:ana.diceanu@brain4strategy.com" TargetMode="External"/><Relationship Id="rId4" Type="http://schemas.openxmlformats.org/officeDocument/2006/relationships/hyperlink" Target="mailto:ralucamariahrisca@gmail.com" TargetMode="External"/><Relationship Id="rId9" Type="http://schemas.openxmlformats.org/officeDocument/2006/relationships/hyperlink" Target="mailto:andupandu24@yahoo.com" TargetMode="External"/><Relationship Id="rId14" Type="http://schemas.openxmlformats.org/officeDocument/2006/relationships/hyperlink" Target="mailto:office@purpleeffectevents.ro" TargetMode="External"/><Relationship Id="rId22"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hyperlink" Target="mailto:nalmaj@yahoo.com"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Q284"/>
  <sheetViews>
    <sheetView zoomScale="85" zoomScaleNormal="85" workbookViewId="0">
      <selection activeCell="N1" sqref="A1:N1048576"/>
    </sheetView>
  </sheetViews>
  <sheetFormatPr defaultRowHeight="14.5" x14ac:dyDescent="0.35"/>
  <cols>
    <col min="1" max="1" width="37" customWidth="1"/>
    <col min="2" max="2" width="8.54296875" customWidth="1"/>
    <col min="3" max="3" width="8.453125" customWidth="1"/>
    <col min="4" max="4" width="12.08984375" customWidth="1"/>
    <col min="5" max="5" width="10.08984375" customWidth="1"/>
    <col min="6" max="6" width="10.453125" customWidth="1"/>
    <col min="7" max="7" width="7.08984375" customWidth="1"/>
    <col min="8" max="8" width="10.81640625" customWidth="1"/>
    <col min="9" max="11" width="13.36328125" customWidth="1"/>
    <col min="12" max="12" width="8.90625" customWidth="1"/>
    <col min="13" max="13" width="24.54296875" customWidth="1"/>
    <col min="14" max="14" width="13.36328125" style="1361" customWidth="1"/>
    <col min="15" max="15" width="37.36328125" customWidth="1"/>
    <col min="16" max="16" width="21.453125" customWidth="1"/>
  </cols>
  <sheetData>
    <row r="1" spans="1:14" ht="14.4" customHeight="1" x14ac:dyDescent="0.35">
      <c r="A1" s="3253" t="s">
        <v>11796</v>
      </c>
      <c r="B1" s="2925"/>
      <c r="C1" s="2925"/>
      <c r="D1" s="2925"/>
      <c r="E1" s="2925"/>
      <c r="F1" s="2925"/>
      <c r="G1" s="2925"/>
      <c r="H1" s="2925"/>
      <c r="I1" s="2913"/>
      <c r="J1" s="2913"/>
      <c r="K1" s="2913"/>
    </row>
    <row r="2" spans="1:14" ht="30" customHeight="1" x14ac:dyDescent="0.35">
      <c r="A2" s="3254"/>
      <c r="B2" s="2926"/>
      <c r="C2" s="2926"/>
      <c r="D2" s="2926"/>
      <c r="E2" s="2926"/>
      <c r="F2" s="2926"/>
      <c r="G2" s="2926"/>
      <c r="H2" s="2926"/>
      <c r="I2" s="2914"/>
      <c r="J2" s="3013"/>
      <c r="K2" s="3013"/>
    </row>
    <row r="3" spans="1:14" x14ac:dyDescent="0.35">
      <c r="A3" s="2855" t="s">
        <v>11177</v>
      </c>
      <c r="B3" s="2856"/>
      <c r="C3" s="2856"/>
      <c r="D3" s="2856"/>
      <c r="E3" s="2856"/>
      <c r="F3" s="2856"/>
      <c r="G3" s="2856"/>
      <c r="H3" s="2856">
        <v>44335</v>
      </c>
      <c r="I3" s="2855"/>
      <c r="J3" s="3014"/>
      <c r="K3" s="3014"/>
    </row>
    <row r="4" spans="1:14" s="1" customFormat="1" x14ac:dyDescent="0.35">
      <c r="A4" s="2857" t="s">
        <v>11174</v>
      </c>
      <c r="B4" s="2861" t="s">
        <v>11457</v>
      </c>
      <c r="C4" s="2861" t="s">
        <v>11458</v>
      </c>
      <c r="D4" s="2861" t="s">
        <v>11459</v>
      </c>
      <c r="E4" s="2861" t="s">
        <v>11460</v>
      </c>
      <c r="F4" s="2861" t="s">
        <v>11461</v>
      </c>
      <c r="G4" s="2861" t="s">
        <v>11462</v>
      </c>
      <c r="H4" s="2861" t="s">
        <v>11463</v>
      </c>
      <c r="I4" s="2857" t="s">
        <v>12539</v>
      </c>
      <c r="J4" s="3002" t="s">
        <v>12540</v>
      </c>
      <c r="K4" s="3002" t="s">
        <v>12541</v>
      </c>
      <c r="L4" s="3002" t="s">
        <v>12441</v>
      </c>
      <c r="M4" s="3002" t="s">
        <v>12530</v>
      </c>
      <c r="N4" s="1843"/>
    </row>
    <row r="5" spans="1:14" s="2863" customFormat="1" x14ac:dyDescent="0.35">
      <c r="A5" s="3008" t="s">
        <v>12386</v>
      </c>
      <c r="B5" s="3009" cm="1">
        <f t="array" ref="B5">SUM(IF('Aprilie 2020 2.0'!$I$3:$I$680=$B$3,LEN('Aprilie 2020 2.0'!$G$3:$G$680)-LEN(SUBSTITUTE('Aprilie 2020 2.0'!$G$3:$G$680,A5,"")),0))/LEN(A5)</f>
        <v>0</v>
      </c>
      <c r="C5" s="3009" cm="1">
        <f t="array" ref="C5">SUM(IF('Aprilie 2020 2.0'!$I$3:$I$680=$C$3,LEN('Aprilie 2020 2.0'!$G$3:$G$680)-LEN(SUBSTITUTE('Aprilie 2020 2.0'!$G$3:$G$680,A5,"")),0))/LEN(A5)</f>
        <v>0</v>
      </c>
      <c r="D5" s="3009" cm="1">
        <f t="array" ref="D5">SUM(IF('Aprilie 2020 2.0'!$I$3:$I$680=$D$3,LEN('Aprilie 2020 2.0'!$G$3:$G$680)-LEN(SUBSTITUTE('Aprilie 2020 2.0'!$G$3:$G$680,A5,"")),0))/LEN(A5)</f>
        <v>0</v>
      </c>
      <c r="E5" s="3009" cm="1">
        <f t="array" ref="E5">SUM(IF('Aprilie 2020 2.0'!$I$3:$I$680=$E$3,LEN('Aprilie 2020 2.0'!$G$3:$G$680)-LEN(SUBSTITUTE('Aprilie 2020 2.0'!$G$3:$G$680,A5,"")),0))/LEN(A5)</f>
        <v>0</v>
      </c>
      <c r="F5" s="3009" cm="1">
        <f t="array" ref="F5">SUM(IF('Aprilie 2020 2.0'!$I$3:$I$680=$F$3,LEN('Aprilie 2020 2.0'!$G$3:$G$680)-LEN(SUBSTITUTE('Aprilie 2020 2.0'!$G$3:$G$680,A5,"")),0))/LEN(A5)</f>
        <v>0</v>
      </c>
      <c r="G5" s="3009" cm="1">
        <f t="array" ref="G5">SUM(IF('Aprilie 2020 2.0'!$I$3:$I$680=$G$3,LEN('Aprilie 2020 2.0'!$G$3:$G$680)-LEN(SUBSTITUTE('Aprilie 2020 2.0'!$G$3:$G$680,A5,"")),0))/LEN(A5)</f>
        <v>0</v>
      </c>
      <c r="H5" s="3009" cm="1">
        <f t="array" ref="H5">SUM(IF('Aprilie 2020 2.0'!$I$3:$I$680=$H$3,LEN('Aprilie 2020 2.0'!$G$3:$G$680)-LEN(SUBSTITUTE('Aprilie 2020 2.0'!$G$3:$G$680,A5,"")),0))/LEN(A5)</f>
        <v>0</v>
      </c>
      <c r="I5" s="3010">
        <f t="shared" ref="I5:I16" si="0">SUM(B5:H5)</f>
        <v>0</v>
      </c>
      <c r="J5" s="3094"/>
      <c r="K5" s="3094"/>
      <c r="L5" s="3095" t="s">
        <v>7663</v>
      </c>
      <c r="M5" s="3000" t="s">
        <v>12531</v>
      </c>
      <c r="N5" s="1843"/>
    </row>
    <row r="6" spans="1:14" s="2863" customFormat="1" x14ac:dyDescent="0.35">
      <c r="A6" s="3008" t="s">
        <v>12382</v>
      </c>
      <c r="B6" s="3009" cm="1">
        <f t="array" ref="B6">SUM(IF('Aprilie 2020 2.0'!$I$3:$I$680=$B$3,LEN('Aprilie 2020 2.0'!$G$3:$G$680)-LEN(SUBSTITUTE('Aprilie 2020 2.0'!$G$3:$G$680,A6,"")),0))/LEN(A6)</f>
        <v>0</v>
      </c>
      <c r="C6" s="3009" cm="1">
        <f t="array" ref="C6">SUM(IF('Aprilie 2020 2.0'!$I$3:$I$680=$C$3,LEN('Aprilie 2020 2.0'!$G$3:$G$680)-LEN(SUBSTITUTE('Aprilie 2020 2.0'!$G$3:$G$680,A6,"")),0))/LEN(A6)</f>
        <v>0</v>
      </c>
      <c r="D6" s="3009" cm="1">
        <f t="array" ref="D6">SUM(IF('Aprilie 2020 2.0'!$I$3:$I$680=$D$3,LEN('Aprilie 2020 2.0'!$G$3:$G$680)-LEN(SUBSTITUTE('Aprilie 2020 2.0'!$G$3:$G$680,A6,"")),0))/LEN(A6)</f>
        <v>0</v>
      </c>
      <c r="E6" s="3009" cm="1">
        <f t="array" ref="E6">SUM(IF('Aprilie 2020 2.0'!$I$3:$I$680=$E$3,LEN('Aprilie 2020 2.0'!$G$3:$G$680)-LEN(SUBSTITUTE('Aprilie 2020 2.0'!$G$3:$G$680,A6,"")),0))/LEN(A6)</f>
        <v>0</v>
      </c>
      <c r="F6" s="3009" cm="1">
        <f t="array" ref="F6">SUM(IF('Aprilie 2020 2.0'!$I$3:$I$680=$F$3,LEN('Aprilie 2020 2.0'!$G$3:$G$680)-LEN(SUBSTITUTE('Aprilie 2020 2.0'!$G$3:$G$680,A6,"")),0))/LEN(A6)</f>
        <v>0</v>
      </c>
      <c r="G6" s="3009" cm="1">
        <f t="array" ref="G6">SUM(IF('Aprilie 2020 2.0'!$I$3:$I$680=$G$3,LEN('Aprilie 2020 2.0'!$G$3:$G$680)-LEN(SUBSTITUTE('Aprilie 2020 2.0'!$G$3:$G$680,A6,"")),0))/LEN(A6)</f>
        <v>0</v>
      </c>
      <c r="H6" s="3009" cm="1">
        <f t="array" ref="H6">SUM(IF('Aprilie 2020 2.0'!$I$3:$I$680=$H$3,LEN('Aprilie 2020 2.0'!$G$3:$G$680)-LEN(SUBSTITUTE('Aprilie 2020 2.0'!$G$3:$G$680,A6,"")),0))/LEN(A6)</f>
        <v>0</v>
      </c>
      <c r="I6" s="3010">
        <f t="shared" si="0"/>
        <v>0</v>
      </c>
      <c r="J6" s="3010"/>
      <c r="K6" s="3010"/>
      <c r="L6" s="3009" t="s">
        <v>7663</v>
      </c>
      <c r="M6" s="2911" t="s">
        <v>12531</v>
      </c>
      <c r="N6" s="1843"/>
    </row>
    <row r="7" spans="1:14" s="2863" customFormat="1" x14ac:dyDescent="0.35">
      <c r="A7" s="2921" t="s">
        <v>12559</v>
      </c>
      <c r="B7" s="2911" cm="1">
        <f t="array" ref="B7">SUM(IF('Aprilie 2020 2.0'!$I$3:$I$680=$B$3,LEN('Aprilie 2020 2.0'!$G$3:$G$680)-LEN(SUBSTITUTE('Aprilie 2020 2.0'!$G$3:$G$680,A7,"")),0))/LEN(A7)</f>
        <v>0</v>
      </c>
      <c r="C7" s="2911" cm="1">
        <f t="array" ref="C7">SUM(IF('Aprilie 2020 2.0'!$I$3:$I$680=$C$3,LEN('Aprilie 2020 2.0'!$G$3:$G$680)-LEN(SUBSTITUTE('Aprilie 2020 2.0'!$G$3:$G$680,A7,"")),0))/LEN(A7)</f>
        <v>0</v>
      </c>
      <c r="D7" s="2911" cm="1">
        <f t="array" ref="D7">SUM(IF('Aprilie 2020 2.0'!$I$3:$I$680=$D$3,LEN('Aprilie 2020 2.0'!$G$3:$G$680)-LEN(SUBSTITUTE('Aprilie 2020 2.0'!$G$3:$G$680,A7,"")),0))/LEN(A7)</f>
        <v>0</v>
      </c>
      <c r="E7" s="2911" cm="1">
        <f t="array" ref="E7">SUM(IF('Aprilie 2020 2.0'!$I$3:$I$680=$E$3,LEN('Aprilie 2020 2.0'!$G$3:$G$680)-LEN(SUBSTITUTE('Aprilie 2020 2.0'!$G$3:$G$680,A7,"")),0))/LEN(A7)</f>
        <v>0</v>
      </c>
      <c r="F7" s="2911" cm="1">
        <f t="array" ref="F7">SUM(IF('Aprilie 2020 2.0'!$I$3:$I$680=$F$3,LEN('Aprilie 2020 2.0'!$G$3:$G$680)-LEN(SUBSTITUTE('Aprilie 2020 2.0'!$G$3:$G$680,A7,"")),0))/LEN(A7)</f>
        <v>0</v>
      </c>
      <c r="G7" s="2911" cm="1">
        <f t="array" ref="G7">SUM(IF('Aprilie 2020 2.0'!$I$3:$I$680=$G$3,LEN('Aprilie 2020 2.0'!$G$3:$G$680)-LEN(SUBSTITUTE('Aprilie 2020 2.0'!$G$3:$G$680,A7,"")),0))/LEN(A7)</f>
        <v>0</v>
      </c>
      <c r="H7" s="2911" cm="1">
        <f t="array" ref="H7">SUM(IF('Aprilie 2020 2.0'!$I$3:$I$680=$H$3,LEN('Aprilie 2020 2.0'!$G$3:$G$680)-LEN(SUBSTITUTE('Aprilie 2020 2.0'!$G$3:$G$680,A7,"")),0))/LEN(A7)</f>
        <v>0</v>
      </c>
      <c r="I7" s="2918">
        <f t="shared" si="0"/>
        <v>0</v>
      </c>
      <c r="J7" s="2918"/>
      <c r="K7" s="2918"/>
      <c r="L7" s="2911" t="s">
        <v>7663</v>
      </c>
      <c r="M7" s="2911" t="s">
        <v>12531</v>
      </c>
      <c r="N7" s="1843"/>
    </row>
    <row r="8" spans="1:14" s="2863" customFormat="1" x14ac:dyDescent="0.35">
      <c r="A8" s="3008" t="s">
        <v>12384</v>
      </c>
      <c r="B8" s="3009" cm="1">
        <f t="array" ref="B8">SUM(IF('Aprilie 2020 2.0'!$I$3:$I$680=$B$3,LEN('Aprilie 2020 2.0'!$G$3:$G$680)-LEN(SUBSTITUTE('Aprilie 2020 2.0'!$G$3:$G$680,A8,"")),0))/LEN(A8)</f>
        <v>0</v>
      </c>
      <c r="C8" s="3009" cm="1">
        <f t="array" ref="C8">SUM(IF('Aprilie 2020 2.0'!$I$3:$I$680=$C$3,LEN('Aprilie 2020 2.0'!$G$3:$G$680)-LEN(SUBSTITUTE('Aprilie 2020 2.0'!$G$3:$G$680,A8,"")),0))/LEN(A8)</f>
        <v>0</v>
      </c>
      <c r="D8" s="3009" cm="1">
        <f t="array" ref="D8">SUM(IF('Aprilie 2020 2.0'!$I$3:$I$680=$D$3,LEN('Aprilie 2020 2.0'!$G$3:$G$680)-LEN(SUBSTITUTE('Aprilie 2020 2.0'!$G$3:$G$680,A8,"")),0))/LEN(A8)</f>
        <v>0</v>
      </c>
      <c r="E8" s="3009" cm="1">
        <f t="array" ref="E8">SUM(IF('Aprilie 2020 2.0'!$I$3:$I$680=$E$3,LEN('Aprilie 2020 2.0'!$G$3:$G$680)-LEN(SUBSTITUTE('Aprilie 2020 2.0'!$G$3:$G$680,A8,"")),0))/LEN(A8)</f>
        <v>0</v>
      </c>
      <c r="F8" s="3009" cm="1">
        <f t="array" ref="F8">SUM(IF('Aprilie 2020 2.0'!$I$3:$I$680=$F$3,LEN('Aprilie 2020 2.0'!$G$3:$G$680)-LEN(SUBSTITUTE('Aprilie 2020 2.0'!$G$3:$G$680,A8,"")),0))/LEN(A8)</f>
        <v>0</v>
      </c>
      <c r="G8" s="3009" cm="1">
        <f t="array" ref="G8">SUM(IF('Aprilie 2020 2.0'!$I$3:$I$680=$G$3,LEN('Aprilie 2020 2.0'!$G$3:$G$680)-LEN(SUBSTITUTE('Aprilie 2020 2.0'!$G$3:$G$680,A8,"")),0))/LEN(A8)</f>
        <v>0</v>
      </c>
      <c r="H8" s="3009" cm="1">
        <f t="array" ref="H8">SUM(IF('Aprilie 2020 2.0'!$I$3:$I$680=$H$3,LEN('Aprilie 2020 2.0'!$G$3:$G$680)-LEN(SUBSTITUTE('Aprilie 2020 2.0'!$G$3:$G$680,A8,"")),0))/LEN(A8)</f>
        <v>0</v>
      </c>
      <c r="I8" s="3010">
        <f t="shared" si="0"/>
        <v>0</v>
      </c>
      <c r="J8" s="3010"/>
      <c r="K8" s="3010"/>
      <c r="L8" s="3009" t="s">
        <v>7663</v>
      </c>
      <c r="M8" s="2911" t="s">
        <v>12531</v>
      </c>
      <c r="N8" s="1843"/>
    </row>
    <row r="9" spans="1:14" s="2863" customFormat="1" x14ac:dyDescent="0.35">
      <c r="A9" s="3008" t="s">
        <v>12383</v>
      </c>
      <c r="B9" s="3009" cm="1">
        <f t="array" ref="B9">SUM(IF('Aprilie 2020 2.0'!$I$3:$I$680=$B$3,LEN('Aprilie 2020 2.0'!$G$3:$G$680)-LEN(SUBSTITUTE('Aprilie 2020 2.0'!$G$3:$G$680,A9,"")),0))/LEN(A9)</f>
        <v>0</v>
      </c>
      <c r="C9" s="3009" cm="1">
        <f t="array" ref="C9">SUM(IF('Aprilie 2020 2.0'!$I$3:$I$680=$C$3,LEN('Aprilie 2020 2.0'!$G$3:$G$680)-LEN(SUBSTITUTE('Aprilie 2020 2.0'!$G$3:$G$680,A9,"")),0))/LEN(A9)</f>
        <v>0</v>
      </c>
      <c r="D9" s="3009" cm="1">
        <f t="array" ref="D9">SUM(IF('Aprilie 2020 2.0'!$I$3:$I$680=$D$3,LEN('Aprilie 2020 2.0'!$G$3:$G$680)-LEN(SUBSTITUTE('Aprilie 2020 2.0'!$G$3:$G$680,A9,"")),0))/LEN(A9)</f>
        <v>0</v>
      </c>
      <c r="E9" s="3009" cm="1">
        <f t="array" ref="E9">SUM(IF('Aprilie 2020 2.0'!$I$3:$I$680=$E$3,LEN('Aprilie 2020 2.0'!$G$3:$G$680)-LEN(SUBSTITUTE('Aprilie 2020 2.0'!$G$3:$G$680,A9,"")),0))/LEN(A9)</f>
        <v>0</v>
      </c>
      <c r="F9" s="3009" cm="1">
        <f t="array" ref="F9">SUM(IF('Aprilie 2020 2.0'!$I$3:$I$680=$F$3,LEN('Aprilie 2020 2.0'!$G$3:$G$680)-LEN(SUBSTITUTE('Aprilie 2020 2.0'!$G$3:$G$680,A9,"")),0))/LEN(A9)</f>
        <v>0</v>
      </c>
      <c r="G9" s="3009" cm="1">
        <f t="array" ref="G9">SUM(IF('Aprilie 2020 2.0'!$I$3:$I$680=$G$3,LEN('Aprilie 2020 2.0'!$G$3:$G$680)-LEN(SUBSTITUTE('Aprilie 2020 2.0'!$G$3:$G$680,A9,"")),0))/LEN(A9)</f>
        <v>0</v>
      </c>
      <c r="H9" s="3009" cm="1">
        <f t="array" ref="H9">SUM(IF('Aprilie 2020 2.0'!$I$3:$I$680=$H$3,LEN('Aprilie 2020 2.0'!$G$3:$G$680)-LEN(SUBSTITUTE('Aprilie 2020 2.0'!$G$3:$G$680,A9,"")),0))/LEN(A9)</f>
        <v>0</v>
      </c>
      <c r="I9" s="3010">
        <f t="shared" si="0"/>
        <v>0</v>
      </c>
      <c r="J9" s="3010"/>
      <c r="K9" s="3010"/>
      <c r="L9" s="3009" t="s">
        <v>7663</v>
      </c>
      <c r="M9" s="2911" t="s">
        <v>12531</v>
      </c>
      <c r="N9" s="1843"/>
    </row>
    <row r="10" spans="1:14" s="2863" customFormat="1" x14ac:dyDescent="0.35">
      <c r="A10" s="3008" t="s">
        <v>12385</v>
      </c>
      <c r="B10" s="3009" cm="1">
        <f t="array" ref="B10">SUM(IF('Aprilie 2020 2.0'!$I$3:$I$680=$B$3,LEN('Aprilie 2020 2.0'!$G$3:$G$680)-LEN(SUBSTITUTE('Aprilie 2020 2.0'!$G$3:$G$680,A10,"")),0))/LEN(A10)</f>
        <v>0</v>
      </c>
      <c r="C10" s="3009" cm="1">
        <f t="array" ref="C10">SUM(IF('Aprilie 2020 2.0'!$I$3:$I$680=$C$3,LEN('Aprilie 2020 2.0'!$G$3:$G$680)-LEN(SUBSTITUTE('Aprilie 2020 2.0'!$G$3:$G$680,A10,"")),0))/LEN(A10)</f>
        <v>0</v>
      </c>
      <c r="D10" s="3009" cm="1">
        <f t="array" ref="D10">SUM(IF('Aprilie 2020 2.0'!$I$3:$I$680=$D$3,LEN('Aprilie 2020 2.0'!$G$3:$G$680)-LEN(SUBSTITUTE('Aprilie 2020 2.0'!$G$3:$G$680,A10,"")),0))/LEN(A10)</f>
        <v>0</v>
      </c>
      <c r="E10" s="3009" cm="1">
        <f t="array" ref="E10">SUM(IF('Aprilie 2020 2.0'!$I$3:$I$680=$E$3,LEN('Aprilie 2020 2.0'!$G$3:$G$680)-LEN(SUBSTITUTE('Aprilie 2020 2.0'!$G$3:$G$680,A10,"")),0))/LEN(A10)</f>
        <v>0</v>
      </c>
      <c r="F10" s="3009" cm="1">
        <f t="array" ref="F10">SUM(IF('Aprilie 2020 2.0'!$I$3:$I$680=$F$3,LEN('Aprilie 2020 2.0'!$G$3:$G$680)-LEN(SUBSTITUTE('Aprilie 2020 2.0'!$G$3:$G$680,A10,"")),0))/LEN(A10)</f>
        <v>0</v>
      </c>
      <c r="G10" s="3009" cm="1">
        <f t="array" ref="G10">SUM(IF('Aprilie 2020 2.0'!$I$3:$I$680=$G$3,LEN('Aprilie 2020 2.0'!$G$3:$G$680)-LEN(SUBSTITUTE('Aprilie 2020 2.0'!$G$3:$G$680,A10,"")),0))/LEN(A10)</f>
        <v>0</v>
      </c>
      <c r="H10" s="3009" cm="1">
        <f t="array" ref="H10">SUM(IF('Aprilie 2020 2.0'!$I$3:$I$680=$H$3,LEN('Aprilie 2020 2.0'!$G$3:$G$680)-LEN(SUBSTITUTE('Aprilie 2020 2.0'!$G$3:$G$680,A10,"")),0))/LEN(A10)</f>
        <v>0</v>
      </c>
      <c r="I10" s="3010">
        <f t="shared" si="0"/>
        <v>0</v>
      </c>
      <c r="J10" s="3010"/>
      <c r="K10" s="3010"/>
      <c r="L10" s="3009" t="s">
        <v>7663</v>
      </c>
      <c r="M10" s="2911" t="s">
        <v>12531</v>
      </c>
      <c r="N10" s="1843"/>
    </row>
    <row r="11" spans="1:14" s="2863" customFormat="1" x14ac:dyDescent="0.35">
      <c r="A11" s="2921" t="s">
        <v>12554</v>
      </c>
      <c r="B11" s="2911" cm="1">
        <f t="array" ref="B11">SUM(IF('Aprilie 2020 2.0'!$I$3:$I$680=$B$3,LEN('Aprilie 2020 2.0'!$G$3:$G$680)-LEN(SUBSTITUTE('Aprilie 2020 2.0'!$G$3:$G$680,A11,"")),0))/LEN(A11)</f>
        <v>0</v>
      </c>
      <c r="C11" s="2911" cm="1">
        <f t="array" ref="C11">SUM(IF('Aprilie 2020 2.0'!$I$3:$I$680=$C$3,LEN('Aprilie 2020 2.0'!$G$3:$G$680)-LEN(SUBSTITUTE('Aprilie 2020 2.0'!$G$3:$G$680,A11,"")),0))/LEN(A11)</f>
        <v>0</v>
      </c>
      <c r="D11" s="2911" cm="1">
        <f t="array" ref="D11">SUM(IF('Aprilie 2020 2.0'!$I$3:$I$680=$D$3,LEN('Aprilie 2020 2.0'!$G$3:$G$680)-LEN(SUBSTITUTE('Aprilie 2020 2.0'!$G$3:$G$680,A11,"")),0))/LEN(A11)</f>
        <v>0</v>
      </c>
      <c r="E11" s="2911" cm="1">
        <f t="array" ref="E11">SUM(IF('Aprilie 2020 2.0'!$I$3:$I$680=$E$3,LEN('Aprilie 2020 2.0'!$G$3:$G$680)-LEN(SUBSTITUTE('Aprilie 2020 2.0'!$G$3:$G$680,A11,"")),0))/LEN(A11)</f>
        <v>0</v>
      </c>
      <c r="F11" s="2911" cm="1">
        <f t="array" ref="F11">SUM(IF('Aprilie 2020 2.0'!$I$3:$I$680=$F$3,LEN('Aprilie 2020 2.0'!$G$3:$G$680)-LEN(SUBSTITUTE('Aprilie 2020 2.0'!$G$3:$G$680,A11,"")),0))/LEN(A11)</f>
        <v>0</v>
      </c>
      <c r="G11" s="2911" cm="1">
        <f t="array" ref="G11">SUM(IF('Aprilie 2020 2.0'!$I$3:$I$680=$G$3,LEN('Aprilie 2020 2.0'!$G$3:$G$680)-LEN(SUBSTITUTE('Aprilie 2020 2.0'!$G$3:$G$680,A11,"")),0))/LEN(A11)</f>
        <v>0</v>
      </c>
      <c r="H11" s="2911" cm="1">
        <f t="array" ref="H11">SUM(IF('Aprilie 2020 2.0'!$I$3:$I$680=$H$3,LEN('Aprilie 2020 2.0'!$G$3:$G$680)-LEN(SUBSTITUTE('Aprilie 2020 2.0'!$G$3:$G$680,A11,"")),0))/LEN(A11)</f>
        <v>0</v>
      </c>
      <c r="I11" s="2918">
        <f t="shared" si="0"/>
        <v>0</v>
      </c>
      <c r="J11" s="2918"/>
      <c r="K11" s="2918"/>
      <c r="L11" s="3009" t="s">
        <v>7663</v>
      </c>
      <c r="M11" s="2911" t="s">
        <v>12531</v>
      </c>
      <c r="N11" s="1843"/>
    </row>
    <row r="12" spans="1:14" s="2863" customFormat="1" x14ac:dyDescent="0.35">
      <c r="A12" s="3012" t="s">
        <v>11391</v>
      </c>
      <c r="B12" s="3006" cm="1">
        <f t="array" ref="B12">SUM(IF('Aprilie 2020 2.0'!$I$3:$I$680=$B$3,LEN('Aprilie 2020 2.0'!$G$3:$G$680)-LEN(SUBSTITUTE('Aprilie 2020 2.0'!$G$3:$G$680,A12,"")),0))/LEN(A12)</f>
        <v>0</v>
      </c>
      <c r="C12" s="3006" cm="1">
        <f t="array" ref="C12">SUM(IF('Aprilie 2020 2.0'!$I$3:$I$680=$C$3,LEN('Aprilie 2020 2.0'!$G$3:$G$680)-LEN(SUBSTITUTE('Aprilie 2020 2.0'!$G$3:$G$680,A12,"")),0))/LEN(A12)</f>
        <v>0</v>
      </c>
      <c r="D12" s="3006" cm="1">
        <f t="array" ref="D12">SUM(IF('Aprilie 2020 2.0'!$I$3:$I$680=$D$3,LEN('Aprilie 2020 2.0'!$G$3:$G$680)-LEN(SUBSTITUTE('Aprilie 2020 2.0'!$G$3:$G$680,A12,"")),0))/LEN(A12)</f>
        <v>0</v>
      </c>
      <c r="E12" s="3004" cm="1">
        <f t="array" ref="E12">SUM(IF('Aprilie 2020 2.0'!$I$3:$I$680=$E$3,LEN('Aprilie 2020 2.0'!$G$3:$G$680)-LEN(SUBSTITUTE('Aprilie 2020 2.0'!$G$3:$G$680,A12,"")),0))/LEN(A12)</f>
        <v>0</v>
      </c>
      <c r="F12" s="3004" cm="1">
        <f t="array" ref="F12">SUM(IF('Aprilie 2020 2.0'!$I$3:$I$680=$F$3,LEN('Aprilie 2020 2.0'!$G$3:$G$680)-LEN(SUBSTITUTE('Aprilie 2020 2.0'!$G$3:$G$680,A12,"")),0))/LEN(A12)</f>
        <v>0</v>
      </c>
      <c r="G12" s="3004" cm="1">
        <f t="array" ref="G12">SUM(IF('Aprilie 2020 2.0'!$I$3:$I$680=$G$3,LEN('Aprilie 2020 2.0'!$G$3:$G$680)-LEN(SUBSTITUTE('Aprilie 2020 2.0'!$G$3:$G$680,A12,"")),0))/LEN(A12)</f>
        <v>0</v>
      </c>
      <c r="H12" s="3004" cm="1">
        <f t="array" ref="H12">SUM(IF('Aprilie 2020 2.0'!$I$3:$I$680=$H$3,LEN('Aprilie 2020 2.0'!$G$3:$G$680)-LEN(SUBSTITUTE('Aprilie 2020 2.0'!$G$3:$G$680,A12,"")),0))/LEN(A12)</f>
        <v>0</v>
      </c>
      <c r="I12" s="3005">
        <f t="shared" si="0"/>
        <v>0</v>
      </c>
      <c r="J12" s="3005"/>
      <c r="K12" s="3005"/>
      <c r="L12" s="3004" t="s">
        <v>7663</v>
      </c>
      <c r="M12" s="2911" t="s">
        <v>12533</v>
      </c>
      <c r="N12" s="1843"/>
    </row>
    <row r="13" spans="1:14" s="2863" customFormat="1" x14ac:dyDescent="0.35">
      <c r="A13" s="3011" t="s">
        <v>14340</v>
      </c>
      <c r="B13" s="3006" cm="1">
        <f t="array" ref="B13">SUM(IF('Aprilie 2020 2.0'!$I$3:$I$680=$B$3,LEN('Aprilie 2020 2.0'!$G$3:$G$680)-LEN(SUBSTITUTE('Aprilie 2020 2.0'!$G$3:$G$680,A13,"")),0))/LEN(A13)</f>
        <v>0</v>
      </c>
      <c r="C13" s="3006" cm="1">
        <f t="array" ref="C13">SUM(IF('Aprilie 2020 2.0'!$I$3:$I$680=$C$3,LEN('Aprilie 2020 2.0'!$G$3:$G$680)-LEN(SUBSTITUTE('Aprilie 2020 2.0'!$G$3:$G$680,A13,"")),0))/LEN(A13)</f>
        <v>0</v>
      </c>
      <c r="D13" s="3006" cm="1">
        <f t="array" ref="D13">SUM(IF('Aprilie 2020 2.0'!$I$3:$I$680=$D$3,LEN('Aprilie 2020 2.0'!$G$3:$G$680)-LEN(SUBSTITUTE('Aprilie 2020 2.0'!$G$3:$G$680,A13,"")),0))/LEN(A13)</f>
        <v>0</v>
      </c>
      <c r="E13" s="3004" cm="1">
        <f t="array" ref="E13">SUM(IF('Aprilie 2020 2.0'!$I$3:$I$680=$E$3,LEN('Aprilie 2020 2.0'!$G$3:$G$680)-LEN(SUBSTITUTE('Aprilie 2020 2.0'!$G$3:$G$680,A13,"")),0))/LEN(A13)</f>
        <v>0</v>
      </c>
      <c r="F13" s="3004" cm="1">
        <f t="array" ref="F13">SUM(IF('Aprilie 2020 2.0'!$I$3:$I$680=$F$3,LEN('Aprilie 2020 2.0'!$G$3:$G$680)-LEN(SUBSTITUTE('Aprilie 2020 2.0'!$G$3:$G$680,A13,"")),0))/LEN(A13)</f>
        <v>0</v>
      </c>
      <c r="G13" s="3004" cm="1">
        <f t="array" ref="G13">SUM(IF('Aprilie 2020 2.0'!$I$3:$I$680=$G$3,LEN('Aprilie 2020 2.0'!$G$3:$G$680)-LEN(SUBSTITUTE('Aprilie 2020 2.0'!$G$3:$G$680,A13,"")),0))/LEN(A13)</f>
        <v>0</v>
      </c>
      <c r="H13" s="3004" cm="1">
        <f t="array" ref="H13">SUM(IF('Aprilie 2020 2.0'!$I$3:$I$680=$H$3,LEN('Aprilie 2020 2.0'!$G$3:$G$680)-LEN(SUBSTITUTE('Aprilie 2020 2.0'!$G$3:$G$680,A13,"")),0))/LEN(A13)</f>
        <v>0</v>
      </c>
      <c r="I13" s="3005">
        <f t="shared" si="0"/>
        <v>0</v>
      </c>
      <c r="J13" s="3005"/>
      <c r="K13" s="3005"/>
      <c r="L13" s="3004" t="s">
        <v>7663</v>
      </c>
      <c r="M13" s="2911" t="s">
        <v>12533</v>
      </c>
      <c r="N13" s="1843"/>
    </row>
    <row r="14" spans="1:14" s="2863" customFormat="1" x14ac:dyDescent="0.35">
      <c r="A14" s="3012" t="s">
        <v>11086</v>
      </c>
      <c r="B14" s="3006" cm="1">
        <f t="array" ref="B14">SUM(IF('Aprilie 2020 2.0'!$I$3:$I$680=$B$3,LEN('Aprilie 2020 2.0'!$G$3:$G$680)-LEN(SUBSTITUTE('Aprilie 2020 2.0'!$G$3:$G$680,A14,"")),0))/LEN(A14)</f>
        <v>0</v>
      </c>
      <c r="C14" s="3006" cm="1">
        <f t="array" ref="C14">SUM(IF('Aprilie 2020 2.0'!$I$3:$I$680=$C$3,LEN('Aprilie 2020 2.0'!$G$3:$G$680)-LEN(SUBSTITUTE('Aprilie 2020 2.0'!$G$3:$G$680,A14,"")),0))/LEN(A14)</f>
        <v>0</v>
      </c>
      <c r="D14" s="3006" cm="1">
        <f t="array" ref="D14">SUM(IF('Aprilie 2020 2.0'!$I$3:$I$680=$D$3,LEN('Aprilie 2020 2.0'!$G$3:$G$680)-LEN(SUBSTITUTE('Aprilie 2020 2.0'!$G$3:$G$680,A14,"")),0))/LEN(A14)</f>
        <v>0</v>
      </c>
      <c r="E14" s="3004" cm="1">
        <f t="array" ref="E14">SUM(IF('Aprilie 2020 2.0'!$I$3:$I$680=$E$3,LEN('Aprilie 2020 2.0'!$G$3:$G$680)-LEN(SUBSTITUTE('Aprilie 2020 2.0'!$G$3:$G$680,A14,"")),0))/LEN(A14)</f>
        <v>0</v>
      </c>
      <c r="F14" s="3004" cm="1">
        <f t="array" ref="F14">SUM(IF('Aprilie 2020 2.0'!$I$3:$I$680=$F$3,LEN('Aprilie 2020 2.0'!$G$3:$G$680)-LEN(SUBSTITUTE('Aprilie 2020 2.0'!$G$3:$G$680,A14,"")),0))/LEN(A14)</f>
        <v>0</v>
      </c>
      <c r="G14" s="3004" cm="1">
        <f t="array" ref="G14">SUM(IF('Aprilie 2020 2.0'!$I$3:$I$680=$G$3,LEN('Aprilie 2020 2.0'!$G$3:$G$680)-LEN(SUBSTITUTE('Aprilie 2020 2.0'!$G$3:$G$680,A14,"")),0))/LEN(A14)</f>
        <v>0</v>
      </c>
      <c r="H14" s="3004" cm="1">
        <f t="array" ref="H14">SUM(IF('Aprilie 2020 2.0'!$I$3:$I$680=$H$3,LEN('Aprilie 2020 2.0'!$G$3:$G$680)-LEN(SUBSTITUTE('Aprilie 2020 2.0'!$G$3:$G$680,A14,"")),0))/LEN(A14)</f>
        <v>0</v>
      </c>
      <c r="I14" s="3005">
        <f t="shared" si="0"/>
        <v>0</v>
      </c>
      <c r="J14" s="3005"/>
      <c r="K14" s="3005"/>
      <c r="L14" s="3004" t="s">
        <v>7663</v>
      </c>
      <c r="M14" s="2911" t="s">
        <v>12533</v>
      </c>
      <c r="N14" s="1843"/>
    </row>
    <row r="15" spans="1:14" s="2863" customFormat="1" x14ac:dyDescent="0.35">
      <c r="A15" s="3012" t="s">
        <v>11087</v>
      </c>
      <c r="B15" s="3006" cm="1">
        <f t="array" ref="B15">SUM(IF('Aprilie 2020 2.0'!$I$3:$I$680=$B$3,LEN('Aprilie 2020 2.0'!$G$3:$G$680)-LEN(SUBSTITUTE('Aprilie 2020 2.0'!$G$3:$G$680,A15,"")),0))/LEN(A15)</f>
        <v>0</v>
      </c>
      <c r="C15" s="3006" cm="1">
        <f t="array" ref="C15">SUM(IF('Aprilie 2020 2.0'!$I$3:$I$680=$C$3,LEN('Aprilie 2020 2.0'!$G$3:$G$680)-LEN(SUBSTITUTE('Aprilie 2020 2.0'!$G$3:$G$680,A15,"")),0))/LEN(A15)</f>
        <v>0</v>
      </c>
      <c r="D15" s="3006" cm="1">
        <f t="array" ref="D15">SUM(IF('Aprilie 2020 2.0'!$I$3:$I$680=$D$3,LEN('Aprilie 2020 2.0'!$G$3:$G$680)-LEN(SUBSTITUTE('Aprilie 2020 2.0'!$G$3:$G$680,A15,"")),0))/LEN(A15)</f>
        <v>0</v>
      </c>
      <c r="E15" s="3004" cm="1">
        <f t="array" ref="E15">SUM(IF('Aprilie 2020 2.0'!$I$3:$I$680=$E$3,LEN('Aprilie 2020 2.0'!$G$3:$G$680)-LEN(SUBSTITUTE('Aprilie 2020 2.0'!$G$3:$G$680,A15,"")),0))/LEN(A15)</f>
        <v>0</v>
      </c>
      <c r="F15" s="3004" cm="1">
        <f t="array" ref="F15">SUM(IF('Aprilie 2020 2.0'!$I$3:$I$680=$F$3,LEN('Aprilie 2020 2.0'!$G$3:$G$680)-LEN(SUBSTITUTE('Aprilie 2020 2.0'!$G$3:$G$680,A15,"")),0))/LEN(A15)</f>
        <v>0</v>
      </c>
      <c r="G15" s="3004" cm="1">
        <f t="array" ref="G15">SUM(IF('Aprilie 2020 2.0'!$I$3:$I$680=$G$3,LEN('Aprilie 2020 2.0'!$G$3:$G$680)-LEN(SUBSTITUTE('Aprilie 2020 2.0'!$G$3:$G$680,A15,"")),0))/LEN(A15)</f>
        <v>0</v>
      </c>
      <c r="H15" s="3004" cm="1">
        <f t="array" ref="H15">SUM(IF('Aprilie 2020 2.0'!$I$3:$I$680=$H$3,LEN('Aprilie 2020 2.0'!$G$3:$G$680)-LEN(SUBSTITUTE('Aprilie 2020 2.0'!$G$3:$G$680,A15,"")),0))/LEN(A15)</f>
        <v>0</v>
      </c>
      <c r="I15" s="3005">
        <f t="shared" si="0"/>
        <v>0</v>
      </c>
      <c r="J15" s="3005"/>
      <c r="K15" s="3005"/>
      <c r="L15" s="3004" t="s">
        <v>7663</v>
      </c>
      <c r="M15" s="2911" t="s">
        <v>12533</v>
      </c>
      <c r="N15" s="1843">
        <f>(Table25[[#This Row],[Necesar]]-58)*12</f>
        <v>-696</v>
      </c>
    </row>
    <row r="16" spans="1:14" s="2863" customFormat="1" x14ac:dyDescent="0.35">
      <c r="A16" s="3003" t="s">
        <v>11606</v>
      </c>
      <c r="B16" s="3004" cm="1">
        <f t="array" ref="B16">SUM(IF('Aprilie 2020 2.0'!$I$3:$I$680=$B$3,LEN('Aprilie 2020 2.0'!$G$3:$G$680)-LEN(SUBSTITUTE('Aprilie 2020 2.0'!$G$3:$G$680,A16,"")),0))/LEN(A16)</f>
        <v>0</v>
      </c>
      <c r="C16" s="3004" cm="1">
        <f t="array" ref="C16">SUM(IF('Aprilie 2020 2.0'!$I$3:$I$680=$C$3,LEN('Aprilie 2020 2.0'!$G$3:$G$680)-LEN(SUBSTITUTE('Aprilie 2020 2.0'!$G$3:$G$680,A16,"")),0))/LEN(A16)</f>
        <v>0</v>
      </c>
      <c r="D16" s="3004" cm="1">
        <f t="array" ref="D16">SUM(IF('Aprilie 2020 2.0'!$I$3:$I$680=$D$3,LEN('Aprilie 2020 2.0'!$G$3:$G$680)-LEN(SUBSTITUTE('Aprilie 2020 2.0'!$G$3:$G$680,A16,"")),0))/LEN(A16)</f>
        <v>0</v>
      </c>
      <c r="E16" s="3004" cm="1">
        <f t="array" ref="E16">SUM(IF('Aprilie 2020 2.0'!$I$3:$I$680=$E$3,LEN('Aprilie 2020 2.0'!$G$3:$G$680)-LEN(SUBSTITUTE('Aprilie 2020 2.0'!$G$3:$G$680,A16,"")),0))/LEN(A16)</f>
        <v>0</v>
      </c>
      <c r="F16" s="3004" cm="1">
        <f t="array" ref="F16">SUM(IF('Aprilie 2020 2.0'!$I$3:$I$680=$F$3,LEN('Aprilie 2020 2.0'!$G$3:$G$680)-LEN(SUBSTITUTE('Aprilie 2020 2.0'!$G$3:$G$680,A16,"")),0))/LEN(A16)</f>
        <v>0</v>
      </c>
      <c r="G16" s="3004" cm="1">
        <f t="array" ref="G16">SUM(IF('Aprilie 2020 2.0'!$I$3:$I$680=$G$3,LEN('Aprilie 2020 2.0'!$G$3:$G$680)-LEN(SUBSTITUTE('Aprilie 2020 2.0'!$G$3:$G$680,A16,"")),0))/LEN(A16)</f>
        <v>0</v>
      </c>
      <c r="H16" s="3004" cm="1">
        <f t="array" ref="H16">SUM(IF('Aprilie 2020 2.0'!$I$3:$I$680=$H$3,LEN('Aprilie 2020 2.0'!$G$3:$G$680)-LEN(SUBSTITUTE('Aprilie 2020 2.0'!$G$3:$G$680,A16,"")),0))/LEN(A16)</f>
        <v>0</v>
      </c>
      <c r="I16" s="3005">
        <f t="shared" si="0"/>
        <v>0</v>
      </c>
      <c r="J16" s="3005"/>
      <c r="K16" s="3005"/>
      <c r="L16" s="3004" t="s">
        <v>7663</v>
      </c>
      <c r="M16" s="2911" t="s">
        <v>12533</v>
      </c>
      <c r="N16" s="1843"/>
    </row>
    <row r="17" spans="1:14" s="2863" customFormat="1" x14ac:dyDescent="0.35">
      <c r="A17" s="3008" t="s">
        <v>8141</v>
      </c>
      <c r="B17" s="3009" cm="1">
        <f t="array" ref="B17">SUM(IF('Aprilie 2020 2.0'!$I$3:$I$680=$B$3,LEN('Aprilie 2020 2.0'!$G$3:$G$680)-LEN(SUBSTITUTE('Aprilie 2020 2.0'!$G$3:$G$680,A17,"")),0))/LEN(A17)</f>
        <v>0</v>
      </c>
      <c r="C17" s="3009" cm="1">
        <f t="array" ref="C17">SUM(IF('Aprilie 2020 2.0'!$I$3:$I$680=$C$3,LEN('Aprilie 2020 2.0'!$G$3:$G$680)-LEN(SUBSTITUTE('Aprilie 2020 2.0'!$G$3:$G$680,A17,"")),0))/LEN(A17)</f>
        <v>0</v>
      </c>
      <c r="D17" s="3009" cm="1">
        <f t="array" ref="D17">SUM(IF('Aprilie 2020 2.0'!$I$3:$I$680=$D$3,LEN('Aprilie 2020 2.0'!$G$3:$G$680)-LEN(SUBSTITUTE('Aprilie 2020 2.0'!$G$3:$G$680,A17,"")),0))/LEN(A17)</f>
        <v>0</v>
      </c>
      <c r="E17" s="3009" cm="1">
        <f t="array" ref="E17">SUM(IF('Aprilie 2020 2.0'!$I$3:$I$680=$E$3,LEN('Aprilie 2020 2.0'!$G$3:$G$680)-LEN(SUBSTITUTE('Aprilie 2020 2.0'!$G$3:$G$680,A17,"")),0))/LEN(A17)</f>
        <v>0</v>
      </c>
      <c r="F17" s="3009" cm="1">
        <f t="array" ref="F17">SUM(IF('Aprilie 2020 2.0'!$I$3:$I$680=$F$3,LEN('Aprilie 2020 2.0'!$G$3:$G$680)-LEN(SUBSTITUTE('Aprilie 2020 2.0'!$G$3:$G$680,A17,"")),0))/LEN(A17)</f>
        <v>0</v>
      </c>
      <c r="G17" s="3009" cm="1">
        <f t="array" ref="G17">SUM(IF('Aprilie 2020 2.0'!$I$3:$I$680=$G$3,LEN('Aprilie 2020 2.0'!$G$3:$G$680)-LEN(SUBSTITUTE('Aprilie 2020 2.0'!$G$3:$G$680,A17,"")),0))/LEN(A17)</f>
        <v>0</v>
      </c>
      <c r="H17" s="3009" cm="1">
        <f t="array" ref="H17">SUM(IF('Aprilie 2020 2.0'!$I$3:$I$680=$H$3,LEN('Aprilie 2020 2.0'!$G$3:$G$680)-LEN(SUBSTITUTE('Aprilie 2020 2.0'!$G$3:$G$680,A17,"")),0))/LEN(A17)</f>
        <v>0</v>
      </c>
      <c r="I17" s="3010">
        <f>SUM(B17:H17)-I18</f>
        <v>0</v>
      </c>
      <c r="J17" s="3010"/>
      <c r="K17" s="3010"/>
      <c r="L17" s="3009" t="s">
        <v>7663</v>
      </c>
      <c r="M17" s="2911" t="s">
        <v>12533</v>
      </c>
      <c r="N17" s="1843"/>
    </row>
    <row r="18" spans="1:14" s="2863" customFormat="1" x14ac:dyDescent="0.35">
      <c r="A18" s="3008" t="s">
        <v>14295</v>
      </c>
      <c r="B18" s="3009" cm="1">
        <f t="array" ref="B18">SUM(IF('Aprilie 2020 2.0'!$I$3:$I$680=$B$3,LEN('Aprilie 2020 2.0'!$G$3:$G$680)-LEN(SUBSTITUTE('Aprilie 2020 2.0'!$G$3:$G$680,A18,"")),0))/LEN(A18)</f>
        <v>0</v>
      </c>
      <c r="C18" s="3009" cm="1">
        <f t="array" ref="C18">SUM(IF('Aprilie 2020 2.0'!$I$3:$I$680=$C$3,LEN('Aprilie 2020 2.0'!$G$3:$G$680)-LEN(SUBSTITUTE('Aprilie 2020 2.0'!$G$3:$G$680,A18,"")),0))/LEN(A18)</f>
        <v>0</v>
      </c>
      <c r="D18" s="3009" cm="1">
        <f t="array" ref="D18">SUM(IF('Aprilie 2020 2.0'!$I$3:$I$680=$D$3,LEN('Aprilie 2020 2.0'!$G$3:$G$680)-LEN(SUBSTITUTE('Aprilie 2020 2.0'!$G$3:$G$680,A18,"")),0))/LEN(A18)</f>
        <v>0</v>
      </c>
      <c r="E18" s="3009" cm="1">
        <f t="array" ref="E18">SUM(IF('Aprilie 2020 2.0'!$I$3:$I$680=$E$3,LEN('Aprilie 2020 2.0'!$G$3:$G$680)-LEN(SUBSTITUTE('Aprilie 2020 2.0'!$G$3:$G$680,A18,"")),0))/LEN(A18)</f>
        <v>0</v>
      </c>
      <c r="F18" s="3009" cm="1">
        <f t="array" ref="F18">SUM(IF('Aprilie 2020 2.0'!$I$3:$I$680=$F$3,LEN('Aprilie 2020 2.0'!$G$3:$G$680)-LEN(SUBSTITUTE('Aprilie 2020 2.0'!$G$3:$G$680,A18,"")),0))/LEN(A18)</f>
        <v>0</v>
      </c>
      <c r="G18" s="3009" cm="1">
        <f t="array" ref="G18">SUM(IF('Aprilie 2020 2.0'!$I$3:$I$680=$G$3,LEN('Aprilie 2020 2.0'!$G$3:$G$680)-LEN(SUBSTITUTE('Aprilie 2020 2.0'!$G$3:$G$680,A18,"")),0))/LEN(A18)</f>
        <v>0</v>
      </c>
      <c r="H18" s="3009" cm="1">
        <f t="array" ref="H18">SUM(IF('Aprilie 2020 2.0'!$I$3:$I$680=$H$3,LEN('Aprilie 2020 2.0'!$G$3:$G$680)-LEN(SUBSTITUTE('Aprilie 2020 2.0'!$G$3:$G$680,A18,"")),0))/LEN(A18)</f>
        <v>0</v>
      </c>
      <c r="I18" s="3010">
        <f t="shared" ref="I18:I49" si="1">SUM(B18:H18)</f>
        <v>0</v>
      </c>
      <c r="J18" s="3010"/>
      <c r="K18" s="3010"/>
      <c r="L18" s="3009" t="s">
        <v>7663</v>
      </c>
      <c r="M18" s="2911" t="s">
        <v>12533</v>
      </c>
      <c r="N18" s="1843"/>
    </row>
    <row r="19" spans="1:14" x14ac:dyDescent="0.35">
      <c r="A19" s="3007" t="s">
        <v>12395</v>
      </c>
      <c r="B19" s="3004" cm="1">
        <f t="array" ref="B19">SUM(IF('Aprilie 2020 2.0'!$I$3:$I$680=$B$3,LEN('Aprilie 2020 2.0'!$G$3:$G$680)-LEN(SUBSTITUTE('Aprilie 2020 2.0'!$G$3:$G$680,A19,"")),0))/LEN(A19)</f>
        <v>0</v>
      </c>
      <c r="C19" s="3004" cm="1">
        <f t="array" ref="C19">SUM(IF('Aprilie 2020 2.0'!$I$3:$I$680=$C$3,LEN('Aprilie 2020 2.0'!$G$3:$G$680)-LEN(SUBSTITUTE('Aprilie 2020 2.0'!$G$3:$G$680,A19,"")),0))/LEN(A19)</f>
        <v>0</v>
      </c>
      <c r="D19" s="3004" cm="1">
        <f t="array" ref="D19">SUM(IF('Aprilie 2020 2.0'!$I$3:$I$680=$D$3,LEN('Aprilie 2020 2.0'!$G$3:$G$680)-LEN(SUBSTITUTE('Aprilie 2020 2.0'!$G$3:$G$680,A19,"")),0))/LEN(A19)</f>
        <v>0</v>
      </c>
      <c r="E19" s="3004" cm="1">
        <f t="array" ref="E19">SUM(IF('Aprilie 2020 2.0'!$I$3:$I$680=$E$3,LEN('Aprilie 2020 2.0'!$G$3:$G$680)-LEN(SUBSTITUTE('Aprilie 2020 2.0'!$G$3:$G$680,A19,"")),0))/LEN(A19)</f>
        <v>0</v>
      </c>
      <c r="F19" s="3004" cm="1">
        <f t="array" ref="F19">SUM(IF('Aprilie 2020 2.0'!$I$3:$I$680=$F$3,LEN('Aprilie 2020 2.0'!$G$3:$G$680)-LEN(SUBSTITUTE('Aprilie 2020 2.0'!$G$3:$G$680,A19,"")),0))/LEN(A19)</f>
        <v>0</v>
      </c>
      <c r="G19" s="3004" cm="1">
        <f t="array" ref="G19">SUM(IF('Aprilie 2020 2.0'!$I$3:$I$680=$G$3,LEN('Aprilie 2020 2.0'!$G$3:$G$680)-LEN(SUBSTITUTE('Aprilie 2020 2.0'!$G$3:$G$680,A19,"")),0))/LEN(A19)</f>
        <v>0</v>
      </c>
      <c r="H19" s="3004" cm="1">
        <f t="array" ref="H19">SUM(IF('Aprilie 2020 2.0'!$I$3:$I$680=$H$3,LEN('Aprilie 2020 2.0'!$G$3:$G$680)-LEN(SUBSTITUTE('Aprilie 2020 2.0'!$G$3:$G$680,A19,"")),0))/LEN(A19)</f>
        <v>0</v>
      </c>
      <c r="I19" s="3004">
        <f t="shared" si="1"/>
        <v>0</v>
      </c>
      <c r="J19" s="3004"/>
      <c r="K19" s="3004"/>
      <c r="L19" s="3004" t="s">
        <v>7663</v>
      </c>
      <c r="M19" s="2911" t="s">
        <v>12534</v>
      </c>
    </row>
    <row r="20" spans="1:14" ht="16" customHeight="1" x14ac:dyDescent="0.35">
      <c r="A20" s="3011" t="s">
        <v>12396</v>
      </c>
      <c r="B20" s="3004" cm="1">
        <f t="array" ref="B20">SUM(IF('Aprilie 2020 2.0'!$I$3:$I$680=$B$3,LEN('Aprilie 2020 2.0'!$G$3:$G$680)-LEN(SUBSTITUTE('Aprilie 2020 2.0'!$G$3:$G$680,A20,"")),0))/LEN(A20)</f>
        <v>0</v>
      </c>
      <c r="C20" s="3004" cm="1">
        <f t="array" ref="C20">SUM(IF('Aprilie 2020 2.0'!$I$3:$I$680=$C$3,LEN('Aprilie 2020 2.0'!$G$3:$G$680)-LEN(SUBSTITUTE('Aprilie 2020 2.0'!$G$3:$G$680,A20,"")),0))/LEN(A20)</f>
        <v>0</v>
      </c>
      <c r="D20" s="3004" cm="1">
        <f t="array" ref="D20">SUM(IF('Aprilie 2020 2.0'!$I$3:$I$680=$D$3,LEN('Aprilie 2020 2.0'!$G$3:$G$680)-LEN(SUBSTITUTE('Aprilie 2020 2.0'!$G$3:$G$680,A20,"")),0))/LEN(A20)</f>
        <v>0</v>
      </c>
      <c r="E20" s="3004" cm="1">
        <f t="array" ref="E20">SUM(IF('Aprilie 2020 2.0'!$I$3:$I$680=$E$3,LEN('Aprilie 2020 2.0'!$G$3:$G$680)-LEN(SUBSTITUTE('Aprilie 2020 2.0'!$G$3:$G$680,A20,"")),0))/LEN(A20)</f>
        <v>0</v>
      </c>
      <c r="F20" s="3004" cm="1">
        <f t="array" ref="F20">SUM(IF('Aprilie 2020 2.0'!$I$3:$I$680=$F$3,LEN('Aprilie 2020 2.0'!$G$3:$G$680)-LEN(SUBSTITUTE('Aprilie 2020 2.0'!$G$3:$G$680,A20,"")),0))/LEN(A20)</f>
        <v>0</v>
      </c>
      <c r="G20" s="3004" cm="1">
        <f t="array" ref="G20">SUM(IF('Aprilie 2020 2.0'!$I$3:$I$680=$G$3,LEN('Aprilie 2020 2.0'!$G$3:$G$680)-LEN(SUBSTITUTE('Aprilie 2020 2.0'!$G$3:$G$680,A20,"")),0))/LEN(A20)</f>
        <v>0</v>
      </c>
      <c r="H20" s="3004" cm="1">
        <f t="array" ref="H20">SUM(IF('Aprilie 2020 2.0'!$I$3:$I$680=$H$3,LEN('Aprilie 2020 2.0'!$G$3:$G$680)-LEN(SUBSTITUTE('Aprilie 2020 2.0'!$G$3:$G$680,A20,"")),0))/LEN(A20)</f>
        <v>0</v>
      </c>
      <c r="I20" s="3005">
        <f t="shared" si="1"/>
        <v>0</v>
      </c>
      <c r="J20" s="3005"/>
      <c r="K20" s="3005"/>
      <c r="L20" s="3004" t="s">
        <v>7663</v>
      </c>
      <c r="M20" s="2911" t="s">
        <v>12534</v>
      </c>
    </row>
    <row r="21" spans="1:14" ht="16" customHeight="1" x14ac:dyDescent="0.35">
      <c r="A21" s="3011" t="s">
        <v>12389</v>
      </c>
      <c r="B21" s="3004" cm="1">
        <f t="array" ref="B21">SUM(IF('Aprilie 2020 2.0'!$I$3:$I$680=$B$3,LEN('Aprilie 2020 2.0'!$G$3:$G$680)-LEN(SUBSTITUTE('Aprilie 2020 2.0'!$G$3:$G$680,A21,"")),0))/LEN(A21)</f>
        <v>0</v>
      </c>
      <c r="C21" s="3004" cm="1">
        <f t="array" ref="C21">SUM(IF('Aprilie 2020 2.0'!$I$3:$I$680=$C$3,LEN('Aprilie 2020 2.0'!$G$3:$G$680)-LEN(SUBSTITUTE('Aprilie 2020 2.0'!$G$3:$G$680,A21,"")),0))/LEN(A21)</f>
        <v>0</v>
      </c>
      <c r="D21" s="3004" cm="1">
        <f t="array" ref="D21">SUM(IF('Aprilie 2020 2.0'!$I$3:$I$680=$D$3,LEN('Aprilie 2020 2.0'!$G$3:$G$680)-LEN(SUBSTITUTE('Aprilie 2020 2.0'!$G$3:$G$680,A21,"")),0))/LEN(A21)</f>
        <v>0</v>
      </c>
      <c r="E21" s="3004" cm="1">
        <f t="array" ref="E21">SUM(IF('Aprilie 2020 2.0'!$I$3:$I$680=$E$3,LEN('Aprilie 2020 2.0'!$G$3:$G$680)-LEN(SUBSTITUTE('Aprilie 2020 2.0'!$G$3:$G$680,A21,"")),0))/LEN(A21)</f>
        <v>0</v>
      </c>
      <c r="F21" s="3004" cm="1">
        <f t="array" ref="F21">SUM(IF('Aprilie 2020 2.0'!$I$3:$I$680=$F$3,LEN('Aprilie 2020 2.0'!$G$3:$G$680)-LEN(SUBSTITUTE('Aprilie 2020 2.0'!$G$3:$G$680,A21,"")),0))/LEN(A21)</f>
        <v>0</v>
      </c>
      <c r="G21" s="3004" cm="1">
        <f t="array" ref="G21">SUM(IF('Aprilie 2020 2.0'!$I$3:$I$680=$G$3,LEN('Aprilie 2020 2.0'!$G$3:$G$680)-LEN(SUBSTITUTE('Aprilie 2020 2.0'!$G$3:$G$680,A21,"")),0))/LEN(A21)</f>
        <v>0</v>
      </c>
      <c r="H21" s="3004" cm="1">
        <f t="array" ref="H21">SUM(IF('Aprilie 2020 2.0'!$I$3:$I$680=$H$3,LEN('Aprilie 2020 2.0'!$G$3:$G$680)-LEN(SUBSTITUTE('Aprilie 2020 2.0'!$G$3:$G$680,A21,"")),0))/LEN(A21)</f>
        <v>0</v>
      </c>
      <c r="I21" s="3005">
        <f t="shared" si="1"/>
        <v>0</v>
      </c>
      <c r="J21" s="3005"/>
      <c r="K21" s="3005"/>
      <c r="L21" s="3004" t="s">
        <v>7663</v>
      </c>
      <c r="M21" s="2911" t="s">
        <v>12534</v>
      </c>
    </row>
    <row r="22" spans="1:14" ht="13.5" customHeight="1" x14ac:dyDescent="0.35">
      <c r="A22" s="3007" t="s">
        <v>12387</v>
      </c>
      <c r="B22" s="3004" cm="1">
        <f t="array" ref="B22">SUM(IF('Aprilie 2020 2.0'!$I$3:$I$680=$B$3,LEN('Aprilie 2020 2.0'!$G$3:$G$680)-LEN(SUBSTITUTE('Aprilie 2020 2.0'!$G$3:$G$680,A22,"")),0))/LEN(A22)</f>
        <v>0</v>
      </c>
      <c r="C22" s="3004" cm="1">
        <f t="array" ref="C22">SUM(IF('Aprilie 2020 2.0'!$I$3:$I$680=$C$3,LEN('Aprilie 2020 2.0'!$G$3:$G$680)-LEN(SUBSTITUTE('Aprilie 2020 2.0'!$G$3:$G$680,A22,"")),0))/LEN(A22)</f>
        <v>0</v>
      </c>
      <c r="D22" s="3004" cm="1">
        <f t="array" ref="D22">SUM(IF('Aprilie 2020 2.0'!$I$3:$I$680=$D$3,LEN('Aprilie 2020 2.0'!$G$3:$G$680)-LEN(SUBSTITUTE('Aprilie 2020 2.0'!$G$3:$G$680,A22,"")),0))/LEN(A22)</f>
        <v>0</v>
      </c>
      <c r="E22" s="3004" cm="1">
        <f t="array" ref="E22">SUM(IF('Aprilie 2020 2.0'!$I$3:$I$680=$E$3,LEN('Aprilie 2020 2.0'!$G$3:$G$680)-LEN(SUBSTITUTE('Aprilie 2020 2.0'!$G$3:$G$680,A22,"")),0))/LEN(A22)</f>
        <v>0</v>
      </c>
      <c r="F22" s="3004" cm="1">
        <f t="array" ref="F22">SUM(IF('Aprilie 2020 2.0'!$I$3:$I$680=$F$3,LEN('Aprilie 2020 2.0'!$G$3:$G$680)-LEN(SUBSTITUTE('Aprilie 2020 2.0'!$G$3:$G$680,A22,"")),0))/LEN(A22)</f>
        <v>0</v>
      </c>
      <c r="G22" s="3004" cm="1">
        <f t="array" ref="G22">SUM(IF('Aprilie 2020 2.0'!$I$3:$I$680=$G$3,LEN('Aprilie 2020 2.0'!$G$3:$G$680)-LEN(SUBSTITUTE('Aprilie 2020 2.0'!$G$3:$G$680,A22,"")),0))/LEN(A22)</f>
        <v>0</v>
      </c>
      <c r="H22" s="3004" cm="1">
        <f t="array" ref="H22">SUM(IF('Aprilie 2020 2.0'!$I$3:$I$680=$H$3,LEN('Aprilie 2020 2.0'!$G$3:$G$680)-LEN(SUBSTITUTE('Aprilie 2020 2.0'!$G$3:$G$680,A22,"")),0))/LEN(A22)</f>
        <v>0</v>
      </c>
      <c r="I22" s="3004">
        <f t="shared" si="1"/>
        <v>0</v>
      </c>
      <c r="J22" s="3004"/>
      <c r="K22" s="3004"/>
      <c r="L22" s="3004" t="s">
        <v>7663</v>
      </c>
      <c r="M22" s="2911" t="s">
        <v>12534</v>
      </c>
    </row>
    <row r="23" spans="1:14" ht="15" customHeight="1" x14ac:dyDescent="0.35">
      <c r="A23" s="3170" t="s">
        <v>11763</v>
      </c>
      <c r="B23" s="3171" cm="1">
        <f t="array" ref="B23">SUM(IF('Aprilie 2020 2.0'!$I$3:$I$680=$B$3,LEN('Aprilie 2020 2.0'!$G$3:$G$680)-LEN(SUBSTITUTE('Aprilie 2020 2.0'!$G$3:$G$680,A23,"")),0))/LEN(A23)</f>
        <v>0</v>
      </c>
      <c r="C23" s="3171" cm="1">
        <f t="array" ref="C23">SUM(IF('Aprilie 2020 2.0'!$I$3:$I$680=$C$3,LEN('Aprilie 2020 2.0'!$G$3:$G$680)-LEN(SUBSTITUTE('Aprilie 2020 2.0'!$G$3:$G$680,A23,"")),0))/LEN(A23)</f>
        <v>0</v>
      </c>
      <c r="D23" s="3171" cm="1">
        <f t="array" ref="D23">SUM(IF('Aprilie 2020 2.0'!$I$3:$I$680=$D$3,LEN('Aprilie 2020 2.0'!$G$3:$G$680)-LEN(SUBSTITUTE('Aprilie 2020 2.0'!$G$3:$G$680,A23,"")),0))/LEN(A23)</f>
        <v>0</v>
      </c>
      <c r="E23" s="3171" cm="1">
        <f t="array" ref="E23">SUM(IF('Aprilie 2020 2.0'!$I$3:$I$680=$E$3,LEN('Aprilie 2020 2.0'!$G$3:$G$680)-LEN(SUBSTITUTE('Aprilie 2020 2.0'!$G$3:$G$680,A23,"")),0))/LEN(A23)</f>
        <v>0</v>
      </c>
      <c r="F23" s="3171" cm="1">
        <f t="array" ref="F23">SUM(IF('Aprilie 2020 2.0'!$I$3:$I$680=$F$3,LEN('Aprilie 2020 2.0'!$G$3:$G$680)-LEN(SUBSTITUTE('Aprilie 2020 2.0'!$G$3:$G$680,A23,"")),0))/LEN(A23)</f>
        <v>0</v>
      </c>
      <c r="G23" s="3171" cm="1">
        <f t="array" ref="G23">SUM(IF('Aprilie 2020 2.0'!$I$3:$I$680=$G$3,LEN('Aprilie 2020 2.0'!$G$3:$G$680)-LEN(SUBSTITUTE('Aprilie 2020 2.0'!$G$3:$G$680,A23,"")),0))/LEN(A23)</f>
        <v>0</v>
      </c>
      <c r="H23" s="3171" cm="1">
        <f t="array" ref="H23">SUM(IF('Aprilie 2020 2.0'!$I$3:$I$680=$H$3,LEN('Aprilie 2020 2.0'!$G$3:$G$680)-LEN(SUBSTITUTE('Aprilie 2020 2.0'!$G$3:$G$680,A23,"")),0))/LEN(A23)</f>
        <v>0</v>
      </c>
      <c r="I23" s="3171">
        <f t="shared" si="1"/>
        <v>0</v>
      </c>
      <c r="J23" s="3171"/>
      <c r="K23" s="3171"/>
      <c r="L23" s="3171" t="s">
        <v>7663</v>
      </c>
      <c r="M23" s="2911" t="s">
        <v>12535</v>
      </c>
    </row>
    <row r="24" spans="1:14" ht="14" customHeight="1" x14ac:dyDescent="0.35">
      <c r="A24" s="3174" t="s">
        <v>12590</v>
      </c>
      <c r="B24" s="3171" cm="1">
        <f t="array" ref="B24">SUM(IF('Aprilie 2020 2.0'!$I$3:$I$680=$B$3,LEN('Aprilie 2020 2.0'!$G$3:$G$680)-LEN(SUBSTITUTE('Aprilie 2020 2.0'!$G$3:$G$680,A24,"")),0))/LEN(A24)</f>
        <v>0</v>
      </c>
      <c r="C24" s="3171" cm="1">
        <f t="array" ref="C24">SUM(IF('Aprilie 2020 2.0'!$I$3:$I$680=$C$3,LEN('Aprilie 2020 2.0'!$G$3:$G$680)-LEN(SUBSTITUTE('Aprilie 2020 2.0'!$G$3:$G$680,A24,"")),0))/LEN(A24)</f>
        <v>0</v>
      </c>
      <c r="D24" s="3171" cm="1">
        <f t="array" ref="D24">SUM(IF('Aprilie 2020 2.0'!$I$3:$I$680=$D$3,LEN('Aprilie 2020 2.0'!$G$3:$G$680)-LEN(SUBSTITUTE('Aprilie 2020 2.0'!$G$3:$G$680,A24,"")),0))/LEN(A24)</f>
        <v>0</v>
      </c>
      <c r="E24" s="3171" cm="1">
        <f t="array" ref="E24">SUM(IF('Aprilie 2020 2.0'!$I$3:$I$680=$E$3,LEN('Aprilie 2020 2.0'!$G$3:$G$680)-LEN(SUBSTITUTE('Aprilie 2020 2.0'!$G$3:$G$680,A24,"")),0))/LEN(A24)</f>
        <v>0</v>
      </c>
      <c r="F24" s="3171" cm="1">
        <f t="array" ref="F24">SUM(IF('Aprilie 2020 2.0'!$I$3:$I$680=$F$3,LEN('Aprilie 2020 2.0'!$G$3:$G$680)-LEN(SUBSTITUTE('Aprilie 2020 2.0'!$G$3:$G$680,A24,"")),0))/LEN(A24)</f>
        <v>0</v>
      </c>
      <c r="G24" s="3171" cm="1">
        <f t="array" ref="G24">SUM(IF('Aprilie 2020 2.0'!$I$3:$I$680=$G$3,LEN('Aprilie 2020 2.0'!$G$3:$G$680)-LEN(SUBSTITUTE('Aprilie 2020 2.0'!$G$3:$G$680,A24,"")),0))/LEN(A24)</f>
        <v>0</v>
      </c>
      <c r="H24" s="3171" cm="1">
        <f t="array" ref="H24">SUM(IF('Aprilie 2020 2.0'!$I$3:$I$680=$H$3,LEN('Aprilie 2020 2.0'!$G$3:$G$680)-LEN(SUBSTITUTE('Aprilie 2020 2.0'!$G$3:$G$680,A24,"")),0))/LEN(A24)</f>
        <v>0</v>
      </c>
      <c r="I24" s="3171">
        <f t="shared" si="1"/>
        <v>0</v>
      </c>
      <c r="J24" s="3171"/>
      <c r="K24" s="3171"/>
      <c r="L24" s="3171"/>
      <c r="M24" s="2911" t="s">
        <v>12535</v>
      </c>
    </row>
    <row r="25" spans="1:14" ht="14.5" customHeight="1" x14ac:dyDescent="0.35">
      <c r="A25" s="3172" t="s">
        <v>11184</v>
      </c>
      <c r="B25" s="3173" cm="1">
        <f t="array" ref="B25">SUM(IF('Aprilie 2020 2.0'!$I$3:$I$680=$B$3,LEN('Aprilie 2020 2.0'!$G$3:$G$680)-LEN(SUBSTITUTE('Aprilie 2020 2.0'!$G$3:$G$680,A25,"")),0))/LEN(A25)</f>
        <v>0</v>
      </c>
      <c r="C25" s="3173" cm="1">
        <f t="array" ref="C25">SUM(IF('Aprilie 2020 2.0'!$I$3:$I$680=$C$3,LEN('Aprilie 2020 2.0'!$G$3:$G$680)-LEN(SUBSTITUTE('Aprilie 2020 2.0'!$G$3:$G$680,A25,"")),0))/LEN(A25)</f>
        <v>0</v>
      </c>
      <c r="D25" s="3173" cm="1">
        <f t="array" ref="D25">SUM(IF('Aprilie 2020 2.0'!$I$3:$I$680=$D$3,LEN('Aprilie 2020 2.0'!$G$3:$G$680)-LEN(SUBSTITUTE('Aprilie 2020 2.0'!$G$3:$G$680,A25,"")),0))/LEN(A25)</f>
        <v>0</v>
      </c>
      <c r="E25" s="3171" cm="1">
        <f t="array" ref="E25">SUM(IF('Aprilie 2020 2.0'!$I$3:$I$680=$E$3,LEN('Aprilie 2020 2.0'!$G$3:$G$680)-LEN(SUBSTITUTE('Aprilie 2020 2.0'!$G$3:$G$680,A25,"")),0))/LEN(A25)</f>
        <v>0</v>
      </c>
      <c r="F25" s="3171" cm="1">
        <f t="array" ref="F25">SUM(IF('Aprilie 2020 2.0'!$I$3:$I$680=$F$3,LEN('Aprilie 2020 2.0'!$G$3:$G$680)-LEN(SUBSTITUTE('Aprilie 2020 2.0'!$G$3:$G$680,A25,"")),0))/LEN(A25)</f>
        <v>0</v>
      </c>
      <c r="G25" s="3171" cm="1">
        <f t="array" ref="G25">SUM(IF('Aprilie 2020 2.0'!$I$3:$I$680=$G$3,LEN('Aprilie 2020 2.0'!$G$3:$G$680)-LEN(SUBSTITUTE('Aprilie 2020 2.0'!$G$3:$G$680,A25,"")),0))/LEN(A25)</f>
        <v>0</v>
      </c>
      <c r="H25" s="3171" cm="1">
        <f t="array" ref="H25">SUM(IF('Aprilie 2020 2.0'!$I$3:$I$680=$H$3,LEN('Aprilie 2020 2.0'!$G$3:$G$680)-LEN(SUBSTITUTE('Aprilie 2020 2.0'!$G$3:$G$680,A25,"")),0))/LEN(A25)</f>
        <v>1</v>
      </c>
      <c r="I25" s="3171">
        <f t="shared" si="1"/>
        <v>1</v>
      </c>
      <c r="J25" s="3171"/>
      <c r="K25" s="3171"/>
      <c r="L25" s="3171" t="s">
        <v>7663</v>
      </c>
      <c r="M25" s="2911" t="s">
        <v>12535</v>
      </c>
    </row>
    <row r="26" spans="1:14" x14ac:dyDescent="0.35">
      <c r="A26" s="3175" t="s">
        <v>11096</v>
      </c>
      <c r="B26" s="3173" cm="1">
        <f t="array" ref="B26">SUM(IF('Aprilie 2020 2.0'!$I$3:$I$680=$B$3,LEN('Aprilie 2020 2.0'!$G$3:$G$680)-LEN(SUBSTITUTE('Aprilie 2020 2.0'!$G$3:$G$680,A26,"")),0))/LEN(A26)</f>
        <v>0</v>
      </c>
      <c r="C26" s="3173" cm="1">
        <f t="array" ref="C26">SUM(IF('Aprilie 2020 2.0'!$I$3:$I$680=$C$3,LEN('Aprilie 2020 2.0'!$G$3:$G$680)-LEN(SUBSTITUTE('Aprilie 2020 2.0'!$G$3:$G$680,A26,"")),0))/LEN(A26)</f>
        <v>0</v>
      </c>
      <c r="D26" s="3173" cm="1">
        <f t="array" ref="D26">SUM(IF('Aprilie 2020 2.0'!$I$3:$I$680=$D$3,LEN('Aprilie 2020 2.0'!$G$3:$G$680)-LEN(SUBSTITUTE('Aprilie 2020 2.0'!$G$3:$G$680,A26,"")),0))/LEN(A26)</f>
        <v>0</v>
      </c>
      <c r="E26" s="3171" cm="1">
        <f t="array" ref="E26">SUM(IF('Aprilie 2020 2.0'!$I$3:$I$680=$E$3,LEN('Aprilie 2020 2.0'!$G$3:$G$680)-LEN(SUBSTITUTE('Aprilie 2020 2.0'!$G$3:$G$680,A26,"")),0))/LEN(A26)</f>
        <v>0</v>
      </c>
      <c r="F26" s="3171" cm="1">
        <f t="array" ref="F26">SUM(IF('Aprilie 2020 2.0'!$I$3:$I$680=$F$3,LEN('Aprilie 2020 2.0'!$G$3:$G$680)-LEN(SUBSTITUTE('Aprilie 2020 2.0'!$G$3:$G$680,A26,"")),0))/LEN(A26)</f>
        <v>0</v>
      </c>
      <c r="G26" s="3171" cm="1">
        <f t="array" ref="G26">SUM(IF('Aprilie 2020 2.0'!$I$3:$I$680=$G$3,LEN('Aprilie 2020 2.0'!$G$3:$G$680)-LEN(SUBSTITUTE('Aprilie 2020 2.0'!$G$3:$G$680,A26,"")),0))/LEN(A26)</f>
        <v>0</v>
      </c>
      <c r="H26" s="3171" cm="1">
        <f t="array" ref="H26">SUM(IF('Aprilie 2020 2.0'!$I$3:$I$680=$H$3,LEN('Aprilie 2020 2.0'!$G$3:$G$680)-LEN(SUBSTITUTE('Aprilie 2020 2.0'!$G$3:$G$680,A26,"")),0))/LEN(A26)</f>
        <v>0</v>
      </c>
      <c r="I26" s="3176">
        <f t="shared" si="1"/>
        <v>0</v>
      </c>
      <c r="J26" s="3176"/>
      <c r="K26" s="3176"/>
      <c r="L26" s="3171" t="s">
        <v>7663</v>
      </c>
      <c r="M26" s="2911" t="s">
        <v>12535</v>
      </c>
    </row>
    <row r="27" spans="1:14" x14ac:dyDescent="0.35">
      <c r="A27" s="3177" t="s">
        <v>11101</v>
      </c>
      <c r="B27" s="3173" cm="1">
        <f t="array" ref="B27">SUM(IF('Aprilie 2020 2.0'!$I$3:$I$680=$B$3,LEN('Aprilie 2020 2.0'!$G$3:$G$680)-LEN(SUBSTITUTE('Aprilie 2020 2.0'!$G$3:$G$680,A27,"")),0))/LEN(A27)</f>
        <v>0</v>
      </c>
      <c r="C27" s="3173" cm="1">
        <f t="array" ref="C27">SUM(IF('Aprilie 2020 2.0'!$I$3:$I$680=$C$3,LEN('Aprilie 2020 2.0'!$G$3:$G$680)-LEN(SUBSTITUTE('Aprilie 2020 2.0'!$G$3:$G$680,A27,"")),0))/LEN(A27)</f>
        <v>0</v>
      </c>
      <c r="D27" s="3173" cm="1">
        <f t="array" ref="D27">SUM(IF('Aprilie 2020 2.0'!$I$3:$I$680=$D$3,LEN('Aprilie 2020 2.0'!$G$3:$G$680)-LEN(SUBSTITUTE('Aprilie 2020 2.0'!$G$3:$G$680,A27,"")),0))/LEN(A27)</f>
        <v>0</v>
      </c>
      <c r="E27" s="3171" cm="1">
        <f t="array" ref="E27">SUM(IF('Aprilie 2020 2.0'!$I$3:$I$680=$E$3,LEN('Aprilie 2020 2.0'!$G$3:$G$680)-LEN(SUBSTITUTE('Aprilie 2020 2.0'!$G$3:$G$680,A27,"")),0))/LEN(A27)</f>
        <v>0</v>
      </c>
      <c r="F27" s="3171" cm="1">
        <f t="array" ref="F27">SUM(IF('Aprilie 2020 2.0'!$I$3:$I$680=$F$3,LEN('Aprilie 2020 2.0'!$G$3:$G$680)-LEN(SUBSTITUTE('Aprilie 2020 2.0'!$G$3:$G$680,A27,"")),0))/LEN(A27)</f>
        <v>0</v>
      </c>
      <c r="G27" s="3171" cm="1">
        <f t="array" ref="G27">SUM(IF('Aprilie 2020 2.0'!$I$3:$I$680=$G$3,LEN('Aprilie 2020 2.0'!$G$3:$G$680)-LEN(SUBSTITUTE('Aprilie 2020 2.0'!$G$3:$G$680,A27,"")),0))/LEN(A27)</f>
        <v>0</v>
      </c>
      <c r="H27" s="3171" cm="1">
        <f t="array" ref="H27">SUM(IF('Aprilie 2020 2.0'!$I$3:$I$680=$H$3,LEN('Aprilie 2020 2.0'!$G$3:$G$680)-LEN(SUBSTITUTE('Aprilie 2020 2.0'!$G$3:$G$680,A27,"")),0))/LEN(A27)</f>
        <v>0</v>
      </c>
      <c r="I27" s="3176">
        <f t="shared" si="1"/>
        <v>0</v>
      </c>
      <c r="J27" s="3176"/>
      <c r="K27" s="3176"/>
      <c r="L27" s="3171" t="s">
        <v>7663</v>
      </c>
      <c r="M27" s="2911" t="s">
        <v>12535</v>
      </c>
    </row>
    <row r="28" spans="1:14" x14ac:dyDescent="0.35">
      <c r="A28" s="3178" t="s">
        <v>12582</v>
      </c>
      <c r="B28" s="3173" cm="1">
        <f t="array" ref="B28">SUM(IF('Aprilie 2020 2.0'!$I$3:$I$680=$B$3,LEN('Aprilie 2020 2.0'!$G$3:$G$680)-LEN(SUBSTITUTE('Aprilie 2020 2.0'!$G$3:$G$680,A28,"")),0))/LEN(A28)</f>
        <v>0</v>
      </c>
      <c r="C28" s="3173" cm="1">
        <f t="array" ref="C28">SUM(IF('Aprilie 2020 2.0'!$I$3:$I$680=$C$3,LEN('Aprilie 2020 2.0'!$G$3:$G$680)-LEN(SUBSTITUTE('Aprilie 2020 2.0'!$G$3:$G$680,A28,"")),0))/LEN(A28)</f>
        <v>0</v>
      </c>
      <c r="D28" s="3173" cm="1">
        <f t="array" ref="D28">SUM(IF('Aprilie 2020 2.0'!$I$3:$I$680=$D$3,LEN('Aprilie 2020 2.0'!$G$3:$G$680)-LEN(SUBSTITUTE('Aprilie 2020 2.0'!$G$3:$G$680,A28,"")),0))/LEN(A28)</f>
        <v>0</v>
      </c>
      <c r="E28" s="3171" cm="1">
        <f t="array" ref="E28">SUM(IF('Aprilie 2020 2.0'!$I$3:$I$680=$E$3,LEN('Aprilie 2020 2.0'!$G$3:$G$680)-LEN(SUBSTITUTE('Aprilie 2020 2.0'!$G$3:$G$680,A28,"")),0))/LEN(A28)</f>
        <v>0</v>
      </c>
      <c r="F28" s="3171" cm="1">
        <f t="array" ref="F28">SUM(IF('Aprilie 2020 2.0'!$I$3:$I$680=$F$3,LEN('Aprilie 2020 2.0'!$G$3:$G$680)-LEN(SUBSTITUTE('Aprilie 2020 2.0'!$G$3:$G$680,A28,"")),0))/LEN(A28)</f>
        <v>0</v>
      </c>
      <c r="G28" s="3171" cm="1">
        <f t="array" ref="G28">SUM(IF('Aprilie 2020 2.0'!$I$3:$I$680=$G$3,LEN('Aprilie 2020 2.0'!$G$3:$G$680)-LEN(SUBSTITUTE('Aprilie 2020 2.0'!$G$3:$G$680,A28,"")),0))/LEN(A28)</f>
        <v>0</v>
      </c>
      <c r="H28" s="3171" cm="1">
        <f t="array" ref="H28">SUM(IF('Aprilie 2020 2.0'!$I$3:$I$680=$H$3,LEN('Aprilie 2020 2.0'!$G$3:$G$680)-LEN(SUBSTITUTE('Aprilie 2020 2.0'!$G$3:$G$680,A28,"")),0))/LEN(A28)</f>
        <v>0</v>
      </c>
      <c r="I28" s="3176">
        <f t="shared" si="1"/>
        <v>0</v>
      </c>
      <c r="J28" s="3176"/>
      <c r="K28" s="3176"/>
      <c r="L28" s="3171"/>
      <c r="M28" s="2911" t="s">
        <v>12535</v>
      </c>
    </row>
    <row r="29" spans="1:14" ht="14.5" customHeight="1" x14ac:dyDescent="0.35">
      <c r="A29" s="3178" t="s">
        <v>12583</v>
      </c>
      <c r="B29" s="3171" cm="1">
        <f t="array" ref="B29">SUM(IF('Aprilie 2020 2.0'!$I$3:$I$680=$B$3,LEN('Aprilie 2020 2.0'!$G$3:$G$680)-LEN(SUBSTITUTE('Aprilie 2020 2.0'!$G$3:$G$680,A29,"")),0))/LEN(A29)</f>
        <v>0</v>
      </c>
      <c r="C29" s="3171" cm="1">
        <f t="array" ref="C29">SUM(IF('Aprilie 2020 2.0'!$I$3:$I$680=$C$3,LEN('Aprilie 2020 2.0'!$G$3:$G$680)-LEN(SUBSTITUTE('Aprilie 2020 2.0'!$G$3:$G$680,A29,"")),0))/LEN(A29)</f>
        <v>0</v>
      </c>
      <c r="D29" s="3171" cm="1">
        <f t="array" ref="D29">SUM(IF('Aprilie 2020 2.0'!$I$3:$I$680=$D$3,LEN('Aprilie 2020 2.0'!$G$3:$G$680)-LEN(SUBSTITUTE('Aprilie 2020 2.0'!$G$3:$G$680,A29,"")),0))/LEN(A29)</f>
        <v>0</v>
      </c>
      <c r="E29" s="3171" cm="1">
        <f t="array" ref="E29">SUM(IF('Aprilie 2020 2.0'!$I$3:$I$680=$E$3,LEN('Aprilie 2020 2.0'!$G$3:$G$680)-LEN(SUBSTITUTE('Aprilie 2020 2.0'!$G$3:$G$680,A29,"")),0))/LEN(A29)</f>
        <v>0</v>
      </c>
      <c r="F29" s="3171" cm="1">
        <f t="array" ref="F29">SUM(IF('Aprilie 2020 2.0'!$I$3:$I$680=$F$3,LEN('Aprilie 2020 2.0'!$G$3:$G$680)-LEN(SUBSTITUTE('Aprilie 2020 2.0'!$G$3:$G$680,A29,"")),0))/LEN(A29)</f>
        <v>0</v>
      </c>
      <c r="G29" s="3171" cm="1">
        <f t="array" ref="G29">SUM(IF('Aprilie 2020 2.0'!$I$3:$I$680=$G$3,LEN('Aprilie 2020 2.0'!$G$3:$G$680)-LEN(SUBSTITUTE('Aprilie 2020 2.0'!$G$3:$G$680,A29,"")),0))/LEN(A29)</f>
        <v>0</v>
      </c>
      <c r="H29" s="3171" cm="1">
        <f t="array" ref="H29">SUM(IF('Aprilie 2020 2.0'!$I$3:$I$680=$H$3,LEN('Aprilie 2020 2.0'!$G$3:$G$680)-LEN(SUBSTITUTE('Aprilie 2020 2.0'!$G$3:$G$680,A29,"")),0))/LEN(A29)</f>
        <v>0</v>
      </c>
      <c r="I29" s="3176">
        <f t="shared" si="1"/>
        <v>0</v>
      </c>
      <c r="J29" s="3176"/>
      <c r="K29" s="3176"/>
      <c r="L29" s="3171"/>
      <c r="M29" s="2911" t="s">
        <v>12535</v>
      </c>
    </row>
    <row r="30" spans="1:14" x14ac:dyDescent="0.35">
      <c r="A30" s="2905" t="s">
        <v>11180</v>
      </c>
      <c r="B30" s="2911" cm="1">
        <f t="array" ref="B30">SUM(IF('Aprilie 2020 2.0'!$I$3:$I$680=$B$3,LEN('Aprilie 2020 2.0'!$G$3:$G$680)-LEN(SUBSTITUTE('Aprilie 2020 2.0'!$G$3:$G$680,A30,"")),0))/LEN(A30)</f>
        <v>0</v>
      </c>
      <c r="C30" s="2911" cm="1">
        <f t="array" ref="C30">SUM(IF('Aprilie 2020 2.0'!$I$3:$I$680=$C$3,LEN('Aprilie 2020 2.0'!$G$3:$G$680)-LEN(SUBSTITUTE('Aprilie 2020 2.0'!$G$3:$G$680,A30,"")),0))/LEN(A30)</f>
        <v>0</v>
      </c>
      <c r="D30" s="2911" cm="1">
        <f t="array" ref="D30">SUM(IF('Aprilie 2020 2.0'!$I$3:$I$680=$D$3,LEN('Aprilie 2020 2.0'!$G$3:$G$680)-LEN(SUBSTITUTE('Aprilie 2020 2.0'!$G$3:$G$680,A30,"")),0))/LEN(A30)</f>
        <v>0</v>
      </c>
      <c r="E30" s="2911" cm="1">
        <f t="array" ref="E30">SUM(IF('Aprilie 2020 2.0'!$I$3:$I$680=$E$3,LEN('Aprilie 2020 2.0'!$G$3:$G$680)-LEN(SUBSTITUTE('Aprilie 2020 2.0'!$G$3:$G$680,A30,"")),0))/LEN(A30)</f>
        <v>0</v>
      </c>
      <c r="F30" s="2911" cm="1">
        <f t="array" ref="F30">SUM(IF('Aprilie 2020 2.0'!$I$3:$I$680=$F$3,LEN('Aprilie 2020 2.0'!$G$3:$G$680)-LEN(SUBSTITUTE('Aprilie 2020 2.0'!$G$3:$G$680,A30,"")),0))/LEN(A30)</f>
        <v>0</v>
      </c>
      <c r="G30" s="2911" cm="1">
        <f t="array" ref="G30">SUM(IF('Aprilie 2020 2.0'!$I$3:$I$680=$G$3,LEN('Aprilie 2020 2.0'!$G$3:$G$680)-LEN(SUBSTITUTE('Aprilie 2020 2.0'!$G$3:$G$680,A30,"")),0))/LEN(A30)</f>
        <v>0</v>
      </c>
      <c r="H30" s="2911" cm="1">
        <f t="array" ref="H30">SUM(IF('Aprilie 2020 2.0'!$I$3:$I$680=$H$3,LEN('Aprilie 2020 2.0'!$G$3:$G$680)-LEN(SUBSTITUTE('Aprilie 2020 2.0'!$G$3:$G$680,A30,"")),0))/LEN(A30)</f>
        <v>0</v>
      </c>
      <c r="I30" s="2911">
        <f t="shared" si="1"/>
        <v>0</v>
      </c>
      <c r="J30" s="2911"/>
      <c r="K30" s="2911"/>
      <c r="L30" s="3009" t="s">
        <v>7663</v>
      </c>
      <c r="M30" s="2911" t="s">
        <v>12631</v>
      </c>
      <c r="N30" s="1361">
        <f>(Table25[[#This Row],[Necesar]]-58)*15</f>
        <v>-870</v>
      </c>
    </row>
    <row r="31" spans="1:14" ht="16.5" customHeight="1" x14ac:dyDescent="0.35">
      <c r="A31" s="2940" t="s">
        <v>12015</v>
      </c>
      <c r="B31" s="2911" cm="1">
        <f t="array" ref="B31">SUM(IF('Aprilie 2020 2.0'!$I$3:$I$680=$B$3,LEN('Aprilie 2020 2.0'!$G$3:$G$680)-LEN(SUBSTITUTE('Aprilie 2020 2.0'!$G$3:$G$680,A31,"")),0))/LEN(A31)</f>
        <v>0</v>
      </c>
      <c r="C31" s="2911" cm="1">
        <f t="array" ref="C31">SUM(IF('Aprilie 2020 2.0'!$I$3:$I$680=$C$3,LEN('Aprilie 2020 2.0'!$G$3:$G$680)-LEN(SUBSTITUTE('Aprilie 2020 2.0'!$G$3:$G$680,A31,"")),0))/LEN(A31)</f>
        <v>0</v>
      </c>
      <c r="D31" s="2911" cm="1">
        <f t="array" ref="D31">SUM(IF('Aprilie 2020 2.0'!$I$3:$I$680=$D$3,LEN('Aprilie 2020 2.0'!$G$3:$G$680)-LEN(SUBSTITUTE('Aprilie 2020 2.0'!$G$3:$G$680,A31,"")),0))/LEN(A31)</f>
        <v>0</v>
      </c>
      <c r="E31" s="2911" cm="1">
        <f t="array" ref="E31">SUM(IF('Aprilie 2020 2.0'!$I$3:$I$680=$E$3,LEN('Aprilie 2020 2.0'!$G$3:$G$680)-LEN(SUBSTITUTE('Aprilie 2020 2.0'!$G$3:$G$680,A31,"")),0))/LEN(A31)</f>
        <v>0</v>
      </c>
      <c r="F31" s="2911" cm="1">
        <f t="array" ref="F31">SUM(IF('Aprilie 2020 2.0'!$I$3:$I$680=$F$3,LEN('Aprilie 2020 2.0'!$G$3:$G$680)-LEN(SUBSTITUTE('Aprilie 2020 2.0'!$G$3:$G$680,A31,"")),0))/LEN(A31)</f>
        <v>0</v>
      </c>
      <c r="G31" s="2911" cm="1">
        <f t="array" ref="G31">SUM(IF('Aprilie 2020 2.0'!$I$3:$I$680=$G$3,LEN('Aprilie 2020 2.0'!$G$3:$G$680)-LEN(SUBSTITUTE('Aprilie 2020 2.0'!$G$3:$G$680,A31,"")),0))/LEN(A31)</f>
        <v>0</v>
      </c>
      <c r="H31" s="2911" cm="1">
        <f t="array" ref="H31">SUM(IF('Aprilie 2020 2.0'!$I$3:$I$680=$H$3,LEN('Aprilie 2020 2.0'!$G$3:$G$680)-LEN(SUBSTITUTE('Aprilie 2020 2.0'!$G$3:$G$680,A31,"")),0))/LEN(A31)</f>
        <v>0</v>
      </c>
      <c r="I31" s="2911">
        <f t="shared" si="1"/>
        <v>0</v>
      </c>
      <c r="J31" s="2911"/>
      <c r="K31" s="2911"/>
      <c r="L31" s="2911"/>
      <c r="M31" s="2911" t="s">
        <v>12631</v>
      </c>
    </row>
    <row r="32" spans="1:14" ht="15" customHeight="1" x14ac:dyDescent="0.35">
      <c r="A32" s="3186" t="s">
        <v>11084</v>
      </c>
      <c r="B32" s="2912" cm="1">
        <f t="array" ref="B32">SUM(IF('Aprilie 2020 2.0'!$I$3:$I$680=$B$3,LEN('Aprilie 2020 2.0'!$G$3:$G$680)-LEN(SUBSTITUTE('Aprilie 2020 2.0'!$G$3:$G$680,A32,"")),0))/LEN(A32)</f>
        <v>0</v>
      </c>
      <c r="C32" s="2912" cm="1">
        <f t="array" ref="C32">SUM(IF('Aprilie 2020 2.0'!$I$3:$I$680=$C$3,LEN('Aprilie 2020 2.0'!$G$3:$G$680)-LEN(SUBSTITUTE('Aprilie 2020 2.0'!$G$3:$G$680,A32,"")),0))/LEN(A32)</f>
        <v>0</v>
      </c>
      <c r="D32" s="2912" cm="1">
        <f t="array" ref="D32">SUM(IF('Aprilie 2020 2.0'!$I$3:$I$680=$D$3,LEN('Aprilie 2020 2.0'!$G$3:$G$680)-LEN(SUBSTITUTE('Aprilie 2020 2.0'!$G$3:$G$680,A32,"")),0))/LEN(A32)</f>
        <v>0</v>
      </c>
      <c r="E32" s="2912" cm="1">
        <f t="array" ref="E32">SUM(IF('Aprilie 2020 2.0'!$I$3:$I$680=$E$3,LEN('Aprilie 2020 2.0'!$G$3:$G$680)-LEN(SUBSTITUTE('Aprilie 2020 2.0'!$G$3:$G$680,A32,"")),0))/LEN(A32)</f>
        <v>0</v>
      </c>
      <c r="F32" s="2911" cm="1">
        <f t="array" ref="F32">SUM(IF('Aprilie 2020 2.0'!$I$3:$I$680=$F$3,LEN('Aprilie 2020 2.0'!$G$3:$G$680)-LEN(SUBSTITUTE('Aprilie 2020 2.0'!$G$3:$G$680,A32,"")),0))/LEN(A32)</f>
        <v>0</v>
      </c>
      <c r="G32" s="2911" cm="1">
        <f t="array" ref="G32">SUM(IF('Aprilie 2020 2.0'!$I$3:$I$680=$G$3,LEN('Aprilie 2020 2.0'!$G$3:$G$680)-LEN(SUBSTITUTE('Aprilie 2020 2.0'!$G$3:$G$680,A32,"")),0))/LEN(A32)</f>
        <v>0</v>
      </c>
      <c r="H32" s="3180" cm="1">
        <f t="array" ref="H32">SUM(IF('Aprilie 2020 2.0'!$I$3:$I$680=$H$3,LEN('Aprilie 2020 2.0'!$G$3:$G$680)-LEN(SUBSTITUTE('Aprilie 2020 2.0'!$G$3:$G$680,A32,"")),0))/LEN(A32)</f>
        <v>0</v>
      </c>
      <c r="I32" s="3180">
        <f t="shared" si="1"/>
        <v>0</v>
      </c>
      <c r="J32" s="3180"/>
      <c r="K32" s="3180"/>
      <c r="L32" s="3180"/>
      <c r="M32" s="2911" t="s">
        <v>12532</v>
      </c>
    </row>
    <row r="33" spans="1:14" ht="13.5" customHeight="1" x14ac:dyDescent="0.35">
      <c r="A33" s="3179" t="s">
        <v>12271</v>
      </c>
      <c r="B33" s="3180" cm="1">
        <f t="array" ref="B33">SUM(IF('Aprilie 2020 2.0'!$I$3:$I$680=$B$3,LEN('Aprilie 2020 2.0'!$G$3:$G$680)-LEN(SUBSTITUTE('Aprilie 2020 2.0'!$G$3:$G$680,A33,"")),0))/LEN(A33)</f>
        <v>0</v>
      </c>
      <c r="C33" s="3180" cm="1">
        <f t="array" ref="C33">SUM(IF('Aprilie 2020 2.0'!$I$3:$I$680=$C$3,LEN('Aprilie 2020 2.0'!$G$3:$G$680)-LEN(SUBSTITUTE('Aprilie 2020 2.0'!$G$3:$G$680,A33,"")),0))/LEN(A33)</f>
        <v>0</v>
      </c>
      <c r="D33" s="3180" cm="1">
        <f t="array" ref="D33">SUM(IF('Aprilie 2020 2.0'!$I$3:$I$680=$D$3,LEN('Aprilie 2020 2.0'!$G$3:$G$680)-LEN(SUBSTITUTE('Aprilie 2020 2.0'!$G$3:$G$680,A33,"")),0))/LEN(A33)</f>
        <v>0</v>
      </c>
      <c r="E33" s="3180" cm="1">
        <f t="array" ref="E33">SUM(IF('Aprilie 2020 2.0'!$I$3:$I$680=$E$3,LEN('Aprilie 2020 2.0'!$G$3:$G$680)-LEN(SUBSTITUTE('Aprilie 2020 2.0'!$G$3:$G$680,A33,"")),0))/LEN(A33)</f>
        <v>0</v>
      </c>
      <c r="F33" s="3180" cm="1">
        <f t="array" ref="F33">SUM(IF('Aprilie 2020 2.0'!$I$3:$I$680=$F$3,LEN('Aprilie 2020 2.0'!$G$3:$G$680)-LEN(SUBSTITUTE('Aprilie 2020 2.0'!$G$3:$G$680,A33,"")),0))/LEN(A33)</f>
        <v>0</v>
      </c>
      <c r="G33" s="3180" cm="1">
        <f t="array" ref="G33">SUM(IF('Aprilie 2020 2.0'!$I$3:$I$680=$G$3,LEN('Aprilie 2020 2.0'!$G$3:$G$680)-LEN(SUBSTITUTE('Aprilie 2020 2.0'!$G$3:$G$680,A33,"")),0))/LEN(A33)</f>
        <v>0</v>
      </c>
      <c r="H33" s="3180" cm="1">
        <f t="array" ref="H33">SUM(IF('Aprilie 2020 2.0'!$I$3:$I$680=$H$3,LEN('Aprilie 2020 2.0'!$G$3:$G$680)-LEN(SUBSTITUTE('Aprilie 2020 2.0'!$G$3:$G$680,A33,"")),0))/LEN(A33)</f>
        <v>0</v>
      </c>
      <c r="I33" s="3180">
        <f t="shared" si="1"/>
        <v>0</v>
      </c>
      <c r="J33" s="3180"/>
      <c r="K33" s="3180"/>
      <c r="L33" s="3180" t="s">
        <v>7663</v>
      </c>
      <c r="M33" s="2911" t="s">
        <v>12532</v>
      </c>
    </row>
    <row r="34" spans="1:14" ht="13.5" customHeight="1" x14ac:dyDescent="0.35">
      <c r="A34" s="3185" t="s">
        <v>11179</v>
      </c>
      <c r="B34" s="3180" cm="1">
        <f t="array" ref="B34">SUM(IF('Aprilie 2020 2.0'!$I$3:$I$680=$B$3,LEN('Aprilie 2020 2.0'!$G$3:$G$680)-LEN(SUBSTITUTE('Aprilie 2020 2.0'!$G$3:$G$680,A34,"")),0))/LEN(A34)</f>
        <v>0</v>
      </c>
      <c r="C34" s="3180" cm="1">
        <f t="array" ref="C34">SUM(IF('Aprilie 2020 2.0'!$I$3:$I$680=$C$3,LEN('Aprilie 2020 2.0'!$G$3:$G$680)-LEN(SUBSTITUTE('Aprilie 2020 2.0'!$G$3:$G$680,A34,"")),0))/LEN(A34)</f>
        <v>0</v>
      </c>
      <c r="D34" s="3180" cm="1">
        <f t="array" ref="D34">SUM(IF('Aprilie 2020 2.0'!$I$3:$I$680=$D$3,LEN('Aprilie 2020 2.0'!$G$3:$G$680)-LEN(SUBSTITUTE('Aprilie 2020 2.0'!$G$3:$G$680,A34,"")),0))/LEN(A34)</f>
        <v>0</v>
      </c>
      <c r="E34" s="3180" cm="1">
        <f t="array" ref="E34">SUM(IF('Aprilie 2020 2.0'!$I$3:$I$680=$E$3,LEN('Aprilie 2020 2.0'!$G$3:$G$680)-LEN(SUBSTITUTE('Aprilie 2020 2.0'!$G$3:$G$680,A34,"")),0))/LEN(A34)</f>
        <v>0</v>
      </c>
      <c r="F34" s="3180" cm="1">
        <f t="array" ref="F34">SUM(IF('Aprilie 2020 2.0'!$I$3:$I$680=$F$3,LEN('Aprilie 2020 2.0'!$G$3:$G$680)-LEN(SUBSTITUTE('Aprilie 2020 2.0'!$G$3:$G$680,A34,"")),0))/LEN(A34)</f>
        <v>0</v>
      </c>
      <c r="G34" s="3180" cm="1">
        <f t="array" ref="G34">SUM(IF('Aprilie 2020 2.0'!$I$3:$I$680=$G$3,LEN('Aprilie 2020 2.0'!$G$3:$G$680)-LEN(SUBSTITUTE('Aprilie 2020 2.0'!$G$3:$G$680,A34,"")),0))/LEN(A34)</f>
        <v>0</v>
      </c>
      <c r="H34" s="3180" cm="1">
        <f t="array" ref="H34">SUM(IF('Aprilie 2020 2.0'!$I$3:$I$680=$H$3,LEN('Aprilie 2020 2.0'!$G$3:$G$680)-LEN(SUBSTITUTE('Aprilie 2020 2.0'!$G$3:$G$680,A34,"")),0))/LEN(A34)</f>
        <v>0</v>
      </c>
      <c r="I34" s="3180">
        <f t="shared" si="1"/>
        <v>0</v>
      </c>
      <c r="J34" s="3180"/>
      <c r="K34" s="3180"/>
      <c r="L34" s="3180"/>
      <c r="M34" s="2911" t="s">
        <v>12532</v>
      </c>
    </row>
    <row r="35" spans="1:14" ht="13" customHeight="1" x14ac:dyDescent="0.35">
      <c r="A35" s="3249" t="s">
        <v>12578</v>
      </c>
      <c r="B35" s="3184" cm="1">
        <f t="array" ref="B35">SUM(IF('Aprilie 2020 2.0'!$I$3:$I$680=$B$3,LEN('Aprilie 2020 2.0'!$G$3:$G$680)-LEN(SUBSTITUTE('Aprilie 2020 2.0'!$G$3:$G$680,A35,"")),0))/LEN(A35)</f>
        <v>0</v>
      </c>
      <c r="C35" s="3184" cm="1">
        <f t="array" ref="C35">SUM(IF('Aprilie 2020 2.0'!$I$3:$I$680=$C$3,LEN('Aprilie 2020 2.0'!$G$3:$G$680)-LEN(SUBSTITUTE('Aprilie 2020 2.0'!$G$3:$G$680,A35,"")),0))/LEN(A35)</f>
        <v>0</v>
      </c>
      <c r="D35" s="3184" cm="1">
        <f t="array" ref="D35">SUM(IF('Aprilie 2020 2.0'!$I$3:$I$680=$D$3,LEN('Aprilie 2020 2.0'!$G$3:$G$680)-LEN(SUBSTITUTE('Aprilie 2020 2.0'!$G$3:$G$680,A35,"")),0))/LEN(A35)</f>
        <v>0</v>
      </c>
      <c r="E35" s="3180" cm="1">
        <f t="array" ref="E35">SUM(IF('Aprilie 2020 2.0'!$I$3:$I$680=$E$3,LEN('Aprilie 2020 2.0'!$G$3:$G$680)-LEN(SUBSTITUTE('Aprilie 2020 2.0'!$G$3:$G$680,A35,"")),0))/LEN(A35)</f>
        <v>0</v>
      </c>
      <c r="F35" s="3180" cm="1">
        <f t="array" ref="F35">SUM(IF('Aprilie 2020 2.0'!$I$3:$I$680=$F$3,LEN('Aprilie 2020 2.0'!$G$3:$G$680)-LEN(SUBSTITUTE('Aprilie 2020 2.0'!$G$3:$G$680,A35,"")),0))/LEN(A35)</f>
        <v>0</v>
      </c>
      <c r="G35" s="3180" cm="1">
        <f t="array" ref="G35">SUM(IF('Aprilie 2020 2.0'!$I$3:$I$680=$G$3,LEN('Aprilie 2020 2.0'!$G$3:$G$680)-LEN(SUBSTITUTE('Aprilie 2020 2.0'!$G$3:$G$680,A35,"")),0))/LEN(A35)</f>
        <v>0</v>
      </c>
      <c r="H35" s="3180" cm="1">
        <f t="array" ref="H35">SUM(IF('Aprilie 2020 2.0'!$I$3:$I$680=$H$3,LEN('Aprilie 2020 2.0'!$G$3:$G$680)-LEN(SUBSTITUTE('Aprilie 2020 2.0'!$G$3:$G$680,A35,"")),0))/LEN(A35)</f>
        <v>0</v>
      </c>
      <c r="I35" s="3182">
        <f t="shared" si="1"/>
        <v>0</v>
      </c>
      <c r="J35" s="3182"/>
      <c r="K35" s="3182"/>
      <c r="L35" s="3180" t="s">
        <v>7663</v>
      </c>
      <c r="M35" s="2911" t="s">
        <v>12532</v>
      </c>
    </row>
    <row r="36" spans="1:14" x14ac:dyDescent="0.35">
      <c r="A36" s="3183" t="s">
        <v>12579</v>
      </c>
      <c r="B36" s="3180" cm="1">
        <f t="array" ref="B36">SUM(IF('Aprilie 2020 2.0'!$I$3:$I$680=$B$3,LEN('Aprilie 2020 2.0'!$G$3:$G$680)-LEN(SUBSTITUTE('Aprilie 2020 2.0'!$G$3:$G$680,A36,"")),0))/LEN(A36)</f>
        <v>0</v>
      </c>
      <c r="C36" s="3180" cm="1">
        <f t="array" ref="C36">SUM(IF('Aprilie 2020 2.0'!$I$3:$I$680=$C$3,LEN('Aprilie 2020 2.0'!$G$3:$G$680)-LEN(SUBSTITUTE('Aprilie 2020 2.0'!$G$3:$G$680,A36,"")),0))/LEN(A36)</f>
        <v>0</v>
      </c>
      <c r="D36" s="3180" cm="1">
        <f t="array" ref="D36">SUM(IF('Aprilie 2020 2.0'!$I$3:$I$680=$D$3,LEN('Aprilie 2020 2.0'!$G$3:$G$680)-LEN(SUBSTITUTE('Aprilie 2020 2.0'!$G$3:$G$680,A36,"")),0))/LEN(A36)</f>
        <v>0</v>
      </c>
      <c r="E36" s="3180" cm="1">
        <f t="array" ref="E36">SUM(IF('Aprilie 2020 2.0'!$I$3:$I$680=$E$3,LEN('Aprilie 2020 2.0'!$G$3:$G$680)-LEN(SUBSTITUTE('Aprilie 2020 2.0'!$G$3:$G$680,A36,"")),0))/LEN(A36)</f>
        <v>0</v>
      </c>
      <c r="F36" s="3180" cm="1">
        <f t="array" ref="F36">SUM(IF('Aprilie 2020 2.0'!$I$3:$I$680=$F$3,LEN('Aprilie 2020 2.0'!$G$3:$G$680)-LEN(SUBSTITUTE('Aprilie 2020 2.0'!$G$3:$G$680,A36,"")),0))/LEN(A36)</f>
        <v>0</v>
      </c>
      <c r="G36" s="3180" cm="1">
        <f t="array" ref="G36">SUM(IF('Aprilie 2020 2.0'!$I$3:$I$680=$G$3,LEN('Aprilie 2020 2.0'!$G$3:$G$680)-LEN(SUBSTITUTE('Aprilie 2020 2.0'!$G$3:$G$680,A36,"")),0))/LEN(A36)</f>
        <v>0</v>
      </c>
      <c r="H36" s="3180" cm="1">
        <f t="array" ref="H36">SUM(IF('Aprilie 2020 2.0'!$I$3:$I$680=$H$3,LEN('Aprilie 2020 2.0'!$G$3:$G$680)-LEN(SUBSTITUTE('Aprilie 2020 2.0'!$G$3:$G$680,A36,"")),0))/LEN(A36)</f>
        <v>0</v>
      </c>
      <c r="I36" s="3180">
        <f t="shared" si="1"/>
        <v>0</v>
      </c>
      <c r="J36" s="3180"/>
      <c r="K36" s="3180"/>
      <c r="L36" s="3180" t="s">
        <v>7663</v>
      </c>
      <c r="M36" s="2911" t="s">
        <v>12532</v>
      </c>
    </row>
    <row r="37" spans="1:14" ht="11.5" customHeight="1" x14ac:dyDescent="0.35">
      <c r="A37" s="3183" t="s">
        <v>12580</v>
      </c>
      <c r="B37" s="3180" cm="1">
        <f t="array" ref="B37">SUM(IF('Aprilie 2020 2.0'!$I$3:$I$680=$B$3,LEN('Aprilie 2020 2.0'!$G$3:$G$680)-LEN(SUBSTITUTE('Aprilie 2020 2.0'!$G$3:$G$680,A37,"")),0))/LEN(A37)</f>
        <v>0</v>
      </c>
      <c r="C37" s="3180" cm="1">
        <f t="array" ref="C37">SUM(IF('Aprilie 2020 2.0'!$I$3:$I$680=$C$3,LEN('Aprilie 2020 2.0'!$G$3:$G$680)-LEN(SUBSTITUTE('Aprilie 2020 2.0'!$G$3:$G$680,A37,"")),0))/LEN(A37)</f>
        <v>0</v>
      </c>
      <c r="D37" s="3180" cm="1">
        <f t="array" ref="D37">SUM(IF('Aprilie 2020 2.0'!$I$3:$I$680=$D$3,LEN('Aprilie 2020 2.0'!$G$3:$G$680)-LEN(SUBSTITUTE('Aprilie 2020 2.0'!$G$3:$G$680,A37,"")),0))/LEN(A37)</f>
        <v>0</v>
      </c>
      <c r="E37" s="3180" cm="1">
        <f t="array" ref="E37">SUM(IF('Aprilie 2020 2.0'!$I$3:$I$680=$E$3,LEN('Aprilie 2020 2.0'!$G$3:$G$680)-LEN(SUBSTITUTE('Aprilie 2020 2.0'!$G$3:$G$680,A37,"")),0))/LEN(A37)</f>
        <v>0</v>
      </c>
      <c r="F37" s="3180" cm="1">
        <f t="array" ref="F37">SUM(IF('Aprilie 2020 2.0'!$I$3:$I$680=$F$3,LEN('Aprilie 2020 2.0'!$G$3:$G$680)-LEN(SUBSTITUTE('Aprilie 2020 2.0'!$G$3:$G$680,A37,"")),0))/LEN(A37)</f>
        <v>0</v>
      </c>
      <c r="G37" s="3180" cm="1">
        <f t="array" ref="G37">SUM(IF('Aprilie 2020 2.0'!$I$3:$I$680=$G$3,LEN('Aprilie 2020 2.0'!$G$3:$G$680)-LEN(SUBSTITUTE('Aprilie 2020 2.0'!$G$3:$G$680,A37,"")),0))/LEN(A37)</f>
        <v>0</v>
      </c>
      <c r="H37" s="3180" cm="1">
        <f t="array" ref="H37">SUM(IF('Aprilie 2020 2.0'!$I$3:$I$680=$H$3,LEN('Aprilie 2020 2.0'!$G$3:$G$680)-LEN(SUBSTITUTE('Aprilie 2020 2.0'!$G$3:$G$680,A37,"")),0))/LEN(A37)</f>
        <v>0</v>
      </c>
      <c r="I37" s="3180">
        <f t="shared" si="1"/>
        <v>0</v>
      </c>
      <c r="J37" s="3180"/>
      <c r="K37" s="3180"/>
      <c r="L37" s="3180" t="s">
        <v>7663</v>
      </c>
      <c r="M37" s="2911" t="s">
        <v>12532</v>
      </c>
    </row>
    <row r="38" spans="1:14" ht="13" customHeight="1" x14ac:dyDescent="0.35">
      <c r="A38" s="3179" t="s">
        <v>11511</v>
      </c>
      <c r="B38" s="3180" cm="1">
        <f t="array" ref="B38">SUM(IF('Aprilie 2020 2.0'!$I$3:$I$680=$B$3,LEN('Aprilie 2020 2.0'!$G$3:$G$680)-LEN(SUBSTITUTE('Aprilie 2020 2.0'!$G$3:$G$680,A38,"")),0))/LEN(A38)</f>
        <v>0</v>
      </c>
      <c r="C38" s="3180" cm="1">
        <f t="array" ref="C38">SUM(IF('Aprilie 2020 2.0'!$I$3:$I$680=$C$3,LEN('Aprilie 2020 2.0'!$G$3:$G$680)-LEN(SUBSTITUTE('Aprilie 2020 2.0'!$G$3:$G$680,A38,"")),0))/LEN(A38)</f>
        <v>0</v>
      </c>
      <c r="D38" s="3180" cm="1">
        <f t="array" ref="D38">SUM(IF('Aprilie 2020 2.0'!$I$3:$I$680=$D$3,LEN('Aprilie 2020 2.0'!$G$3:$G$680)-LEN(SUBSTITUTE('Aprilie 2020 2.0'!$G$3:$G$680,A38,"")),0))/LEN(A38)</f>
        <v>0</v>
      </c>
      <c r="E38" s="3180" cm="1">
        <f t="array" ref="E38">SUM(IF('Aprilie 2020 2.0'!$I$3:$I$680=$E$3,LEN('Aprilie 2020 2.0'!$G$3:$G$680)-LEN(SUBSTITUTE('Aprilie 2020 2.0'!$G$3:$G$680,A38,"")),0))/LEN(A38)</f>
        <v>0</v>
      </c>
      <c r="F38" s="3180" cm="1">
        <f t="array" ref="F38">SUM(IF('Aprilie 2020 2.0'!$I$3:$I$680=$F$3,LEN('Aprilie 2020 2.0'!$G$3:$G$680)-LEN(SUBSTITUTE('Aprilie 2020 2.0'!$G$3:$G$680,A38,"")),0))/LEN(A38)</f>
        <v>0</v>
      </c>
      <c r="G38" s="3180" cm="1">
        <f t="array" ref="G38">SUM(IF('Aprilie 2020 2.0'!$I$3:$I$680=$G$3,LEN('Aprilie 2020 2.0'!$G$3:$G$680)-LEN(SUBSTITUTE('Aprilie 2020 2.0'!$G$3:$G$680,A38,"")),0))/LEN(A38)</f>
        <v>0</v>
      </c>
      <c r="H38" s="3180" cm="1">
        <f t="array" ref="H38">SUM(IF('Aprilie 2020 2.0'!$I$3:$I$680=$H$3,LEN('Aprilie 2020 2.0'!$G$3:$G$680)-LEN(SUBSTITUTE('Aprilie 2020 2.0'!$G$3:$G$680,A38,"")),0))/LEN(A38)</f>
        <v>0</v>
      </c>
      <c r="I38" s="3180">
        <f t="shared" si="1"/>
        <v>0</v>
      </c>
      <c r="J38" s="3180"/>
      <c r="K38" s="3180"/>
      <c r="L38" s="3180" t="s">
        <v>7663</v>
      </c>
      <c r="M38" s="2911" t="s">
        <v>12532</v>
      </c>
    </row>
    <row r="39" spans="1:14" x14ac:dyDescent="0.35">
      <c r="A39" s="3185" t="s">
        <v>11421</v>
      </c>
      <c r="B39" s="3180" cm="1">
        <f t="array" ref="B39">SUM(IF('Aprilie 2020 2.0'!$I$3:$I$680=$B$3,LEN('Aprilie 2020 2.0'!$G$3:$G$680)-LEN(SUBSTITUTE('Aprilie 2020 2.0'!$G$3:$G$680,A39,"")),0))/LEN(A39)</f>
        <v>0</v>
      </c>
      <c r="C39" s="3180" cm="1">
        <f t="array" ref="C39">SUM(IF('Aprilie 2020 2.0'!$I$3:$I$680=$C$3,LEN('Aprilie 2020 2.0'!$G$3:$G$680)-LEN(SUBSTITUTE('Aprilie 2020 2.0'!$G$3:$G$680,A39,"")),0))/LEN(A39)</f>
        <v>0</v>
      </c>
      <c r="D39" s="3180" cm="1">
        <f t="array" ref="D39">SUM(IF('Aprilie 2020 2.0'!$I$3:$I$680=$D$3,LEN('Aprilie 2020 2.0'!$G$3:$G$680)-LEN(SUBSTITUTE('Aprilie 2020 2.0'!$G$3:$G$680,A39,"")),0))/LEN(A39)</f>
        <v>0</v>
      </c>
      <c r="E39" s="3180" cm="1">
        <f t="array" ref="E39">SUM(IF('Aprilie 2020 2.0'!$I$3:$I$680=$E$3,LEN('Aprilie 2020 2.0'!$G$3:$G$680)-LEN(SUBSTITUTE('Aprilie 2020 2.0'!$G$3:$G$680,A39,"")),0))/LEN(A39)</f>
        <v>0</v>
      </c>
      <c r="F39" s="3180" cm="1">
        <f t="array" ref="F39">SUM(IF('Aprilie 2020 2.0'!$I$3:$I$680=$F$3,LEN('Aprilie 2020 2.0'!$G$3:$G$680)-LEN(SUBSTITUTE('Aprilie 2020 2.0'!$G$3:$G$680,A39,"")),0))/LEN(A39)</f>
        <v>0</v>
      </c>
      <c r="G39" s="3180" cm="1">
        <f t="array" ref="G39">SUM(IF('Aprilie 2020 2.0'!$I$3:$I$680=$G$3,LEN('Aprilie 2020 2.0'!$G$3:$G$680)-LEN(SUBSTITUTE('Aprilie 2020 2.0'!$G$3:$G$680,A39,"")),0))/LEN(A39)</f>
        <v>0</v>
      </c>
      <c r="H39" s="3180" cm="1">
        <f t="array" ref="H39">SUM(IF('Aprilie 2020 2.0'!$I$3:$I$680=$H$3,LEN('Aprilie 2020 2.0'!$G$3:$G$680)-LEN(SUBSTITUTE('Aprilie 2020 2.0'!$G$3:$G$680,A39,"")),0))/LEN(A39)</f>
        <v>0</v>
      </c>
      <c r="I39" s="3180">
        <f t="shared" si="1"/>
        <v>0</v>
      </c>
      <c r="J39" s="3180"/>
      <c r="K39" s="3180"/>
      <c r="L39" s="3180" t="s">
        <v>7663</v>
      </c>
      <c r="M39" s="2911" t="s">
        <v>12532</v>
      </c>
    </row>
    <row r="40" spans="1:14" x14ac:dyDescent="0.35">
      <c r="A40" s="3185" t="s">
        <v>11435</v>
      </c>
      <c r="B40" s="3180" cm="1">
        <f t="array" ref="B40">SUM(IF('Aprilie 2020 2.0'!$I$3:$I$680=$B$3,LEN('Aprilie 2020 2.0'!$G$3:$G$680)-LEN(SUBSTITUTE('Aprilie 2020 2.0'!$G$3:$G$680,A40,"")),0))/LEN(A40)</f>
        <v>0</v>
      </c>
      <c r="C40" s="3180" cm="1">
        <f t="array" ref="C40">SUM(IF('Aprilie 2020 2.0'!$I$3:$I$680=$C$3,LEN('Aprilie 2020 2.0'!$G$3:$G$680)-LEN(SUBSTITUTE('Aprilie 2020 2.0'!$G$3:$G$680,A40,"")),0))/LEN(A40)</f>
        <v>0</v>
      </c>
      <c r="D40" s="3180" cm="1">
        <f t="array" ref="D40">SUM(IF('Aprilie 2020 2.0'!$I$3:$I$680=$D$3,LEN('Aprilie 2020 2.0'!$G$3:$G$680)-LEN(SUBSTITUTE('Aprilie 2020 2.0'!$G$3:$G$680,A40,"")),0))/LEN(A40)</f>
        <v>0</v>
      </c>
      <c r="E40" s="3180" cm="1">
        <f t="array" ref="E40">SUM(IF('Aprilie 2020 2.0'!$I$3:$I$680=$E$3,LEN('Aprilie 2020 2.0'!$G$3:$G$680)-LEN(SUBSTITUTE('Aprilie 2020 2.0'!$G$3:$G$680,A40,"")),0))/LEN(A40)</f>
        <v>0</v>
      </c>
      <c r="F40" s="3180" cm="1">
        <f t="array" ref="F40">SUM(IF('Aprilie 2020 2.0'!$I$3:$I$680=$F$3,LEN('Aprilie 2020 2.0'!$G$3:$G$680)-LEN(SUBSTITUTE('Aprilie 2020 2.0'!$G$3:$G$680,A40,"")),0))/LEN(A40)</f>
        <v>0</v>
      </c>
      <c r="G40" s="3180" cm="1">
        <f t="array" ref="G40">SUM(IF('Aprilie 2020 2.0'!$I$3:$I$680=$G$3,LEN('Aprilie 2020 2.0'!$G$3:$G$680)-LEN(SUBSTITUTE('Aprilie 2020 2.0'!$G$3:$G$680,A40,"")),0))/LEN(A40)</f>
        <v>0</v>
      </c>
      <c r="H40" s="3180" cm="1">
        <f t="array" ref="H40">SUM(IF('Aprilie 2020 2.0'!$I$3:$I$680=$H$3,LEN('Aprilie 2020 2.0'!$G$3:$G$680)-LEN(SUBSTITUTE('Aprilie 2020 2.0'!$G$3:$G$680,A40,"")),0))/LEN(A40)</f>
        <v>0</v>
      </c>
      <c r="I40" s="3180">
        <f t="shared" si="1"/>
        <v>0</v>
      </c>
      <c r="J40" s="3180"/>
      <c r="K40" s="3180"/>
      <c r="L40" s="3180" t="s">
        <v>7663</v>
      </c>
      <c r="M40" s="2911" t="s">
        <v>12532</v>
      </c>
    </row>
    <row r="41" spans="1:14" x14ac:dyDescent="0.35">
      <c r="A41" s="3181" t="s">
        <v>11436</v>
      </c>
      <c r="B41" s="3180" cm="1">
        <f t="array" ref="B41">SUM(IF('Aprilie 2020 2.0'!$I$3:$I$680=$B$3,LEN('Aprilie 2020 2.0'!$G$3:$G$680)-LEN(SUBSTITUTE('Aprilie 2020 2.0'!$G$3:$G$680,A41,"")),0))/LEN(A41)</f>
        <v>0</v>
      </c>
      <c r="C41" s="3180" cm="1">
        <f t="array" ref="C41">SUM(IF('Aprilie 2020 2.0'!$I$3:$I$680=$C$3,LEN('Aprilie 2020 2.0'!$G$3:$G$680)-LEN(SUBSTITUTE('Aprilie 2020 2.0'!$G$3:$G$680,A41,"")),0))/LEN(A41)</f>
        <v>0</v>
      </c>
      <c r="D41" s="3180" cm="1">
        <f t="array" ref="D41">SUM(IF('Aprilie 2020 2.0'!$I$3:$I$680=$D$3,LEN('Aprilie 2020 2.0'!$G$3:$G$680)-LEN(SUBSTITUTE('Aprilie 2020 2.0'!$G$3:$G$680,A41,"")),0))/LEN(A41)</f>
        <v>0</v>
      </c>
      <c r="E41" s="3180" cm="1">
        <f t="array" ref="E41">SUM(IF('Aprilie 2020 2.0'!$I$3:$I$680=$E$3,LEN('Aprilie 2020 2.0'!$G$3:$G$680)-LEN(SUBSTITUTE('Aprilie 2020 2.0'!$G$3:$G$680,A41,"")),0))/LEN(A41)</f>
        <v>0</v>
      </c>
      <c r="F41" s="3180" cm="1">
        <f t="array" ref="F41">SUM(IF('Aprilie 2020 2.0'!$I$3:$I$680=$F$3,LEN('Aprilie 2020 2.0'!$G$3:$G$680)-LEN(SUBSTITUTE('Aprilie 2020 2.0'!$G$3:$G$680,A41,"")),0))/LEN(A41)</f>
        <v>0</v>
      </c>
      <c r="G41" s="3180" cm="1">
        <f t="array" ref="G41">SUM(IF('Aprilie 2020 2.0'!$I$3:$I$680=$G$3,LEN('Aprilie 2020 2.0'!$G$3:$G$680)-LEN(SUBSTITUTE('Aprilie 2020 2.0'!$G$3:$G$680,A41,"")),0))/LEN(A41)</f>
        <v>0</v>
      </c>
      <c r="H41" s="3180" cm="1">
        <f t="array" ref="H41">SUM(IF('Aprilie 2020 2.0'!$I$3:$I$680=$H$3,LEN('Aprilie 2020 2.0'!$G$3:$G$680)-LEN(SUBSTITUTE('Aprilie 2020 2.0'!$G$3:$G$680,A41,"")),0))/LEN(A41)</f>
        <v>0</v>
      </c>
      <c r="I41" s="3182">
        <f t="shared" si="1"/>
        <v>0</v>
      </c>
      <c r="J41" s="3182"/>
      <c r="K41" s="3182"/>
      <c r="L41" s="3180" t="s">
        <v>7663</v>
      </c>
      <c r="M41" s="2911" t="s">
        <v>12532</v>
      </c>
    </row>
    <row r="42" spans="1:14" x14ac:dyDescent="0.35">
      <c r="A42" s="3188" t="s">
        <v>11102</v>
      </c>
      <c r="B42" s="3184" cm="1">
        <f t="array" ref="B42">SUM(IF('Aprilie 2020 2.0'!$I$3:$I$680=$B$3,LEN('Aprilie 2020 2.0'!$G$3:$G$680)-LEN(SUBSTITUTE('Aprilie 2020 2.0'!$G$3:$G$680,A42,"")),0))/LEN(A42)</f>
        <v>0</v>
      </c>
      <c r="C42" s="3184" cm="1">
        <f t="array" ref="C42">SUM(IF('Aprilie 2020 2.0'!$I$3:$I$680=$C$3,LEN('Aprilie 2020 2.0'!$G$3:$G$680)-LEN(SUBSTITUTE('Aprilie 2020 2.0'!$G$3:$G$680,A42,"")),0))/LEN(A42)</f>
        <v>0</v>
      </c>
      <c r="D42" s="3184" cm="1">
        <f t="array" ref="D42">SUM(IF('Aprilie 2020 2.0'!$I$3:$I$680=$D$3,LEN('Aprilie 2020 2.0'!$G$3:$G$680)-LEN(SUBSTITUTE('Aprilie 2020 2.0'!$G$3:$G$680,A42,"")),0))/LEN(A42)</f>
        <v>0</v>
      </c>
      <c r="E42" s="3180" cm="1">
        <f t="array" ref="E42">SUM(IF('Aprilie 2020 2.0'!$I$3:$I$680=$E$3,LEN('Aprilie 2020 2.0'!$G$3:$G$680)-LEN(SUBSTITUTE('Aprilie 2020 2.0'!$G$3:$G$680,A42,"")),0))/LEN(A42)</f>
        <v>0</v>
      </c>
      <c r="F42" s="3180" cm="1">
        <f t="array" ref="F42">SUM(IF('Aprilie 2020 2.0'!$I$3:$I$680=$F$3,LEN('Aprilie 2020 2.0'!$G$3:$G$680)-LEN(SUBSTITUTE('Aprilie 2020 2.0'!$G$3:$G$680,A42,"")),0))/LEN(A42)</f>
        <v>0</v>
      </c>
      <c r="G42" s="3180" cm="1">
        <f t="array" ref="G42">SUM(IF('Aprilie 2020 2.0'!$I$3:$I$680=$G$3,LEN('Aprilie 2020 2.0'!$G$3:$G$680)-LEN(SUBSTITUTE('Aprilie 2020 2.0'!$G$3:$G$680,A42,"")),0))/LEN(A42)</f>
        <v>0</v>
      </c>
      <c r="H42" s="3180" cm="1">
        <f t="array" ref="H42">SUM(IF('Aprilie 2020 2.0'!$I$3:$I$680=$H$3,LEN('Aprilie 2020 2.0'!$G$3:$G$680)-LEN(SUBSTITUTE('Aprilie 2020 2.0'!$G$3:$G$680,A42,"")),0))/LEN(A42)</f>
        <v>0</v>
      </c>
      <c r="I42" s="3182">
        <f t="shared" si="1"/>
        <v>0</v>
      </c>
      <c r="J42" s="3182"/>
      <c r="K42" s="3182"/>
      <c r="L42" s="3180" t="s">
        <v>7663</v>
      </c>
      <c r="M42" s="2911" t="s">
        <v>12532</v>
      </c>
    </row>
    <row r="43" spans="1:14" x14ac:dyDescent="0.35">
      <c r="A43" s="3186" t="s">
        <v>11103</v>
      </c>
      <c r="B43" s="3184" cm="1">
        <f t="array" ref="B43">SUM(IF('Aprilie 2020 2.0'!$I$3:$I$680=$B$3,LEN('Aprilie 2020 2.0'!$G$3:$G$680)-LEN(SUBSTITUTE('Aprilie 2020 2.0'!$G$3:$G$680,A43,"")),0))/LEN(A43)</f>
        <v>0</v>
      </c>
      <c r="C43" s="3184" cm="1">
        <f t="array" ref="C43">SUM(IF('Aprilie 2020 2.0'!$I$3:$I$680=$C$3,LEN('Aprilie 2020 2.0'!$G$3:$G$680)-LEN(SUBSTITUTE('Aprilie 2020 2.0'!$G$3:$G$680,A43,"")),0))/LEN(A43)</f>
        <v>0</v>
      </c>
      <c r="D43" s="3184" cm="1">
        <f t="array" ref="D43">SUM(IF('Aprilie 2020 2.0'!$I$3:$I$680=$D$3,LEN('Aprilie 2020 2.0'!$G$3:$G$680)-LEN(SUBSTITUTE('Aprilie 2020 2.0'!$G$3:$G$680,A43,"")),0))/LEN(A43)</f>
        <v>0</v>
      </c>
      <c r="E43" s="3180" cm="1">
        <f t="array" ref="E43">SUM(IF('Aprilie 2020 2.0'!$I$3:$I$680=$E$3,LEN('Aprilie 2020 2.0'!$G$3:$G$680)-LEN(SUBSTITUTE('Aprilie 2020 2.0'!$G$3:$G$680,A43,"")),0))/LEN(A43)</f>
        <v>0</v>
      </c>
      <c r="F43" s="3180" cm="1">
        <f t="array" ref="F43">SUM(IF('Aprilie 2020 2.0'!$I$3:$I$680=$F$3,LEN('Aprilie 2020 2.0'!$G$3:$G$680)-LEN(SUBSTITUTE('Aprilie 2020 2.0'!$G$3:$G$680,A43,"")),0))/LEN(A43)</f>
        <v>0</v>
      </c>
      <c r="G43" s="3180" cm="1">
        <f t="array" ref="G43">SUM(IF('Aprilie 2020 2.0'!$I$3:$I$680=$G$3,LEN('Aprilie 2020 2.0'!$G$3:$G$680)-LEN(SUBSTITUTE('Aprilie 2020 2.0'!$G$3:$G$680,A43,"")),0))/LEN(A43)</f>
        <v>0</v>
      </c>
      <c r="H43" s="3180" cm="1">
        <f t="array" ref="H43">SUM(IF('Aprilie 2020 2.0'!$I$3:$I$680=$H$3,LEN('Aprilie 2020 2.0'!$G$3:$G$680)-LEN(SUBSTITUTE('Aprilie 2020 2.0'!$G$3:$G$680,A43,"")),0))/LEN(A43)</f>
        <v>0</v>
      </c>
      <c r="I43" s="3180">
        <f t="shared" si="1"/>
        <v>0</v>
      </c>
      <c r="J43" s="3180"/>
      <c r="K43" s="3180"/>
      <c r="L43" s="3180" t="s">
        <v>7663</v>
      </c>
      <c r="M43" s="2911" t="s">
        <v>12532</v>
      </c>
      <c r="N43" s="1361">
        <f>(Table25[[#This Row],[Necesar]]-58)*20</f>
        <v>-1160</v>
      </c>
    </row>
    <row r="44" spans="1:14" ht="14" customHeight="1" x14ac:dyDescent="0.35">
      <c r="A44" s="3183" t="s">
        <v>11104</v>
      </c>
      <c r="B44" s="3184" cm="1">
        <f t="array" ref="B44">SUM(IF('Aprilie 2020 2.0'!$I$3:$I$680=$B$3,LEN('Aprilie 2020 2.0'!$G$3:$G$680)-LEN(SUBSTITUTE('Aprilie 2020 2.0'!$G$3:$G$680,A44,"")),0))/LEN(A44)</f>
        <v>0</v>
      </c>
      <c r="C44" s="3184" cm="1">
        <f t="array" ref="C44">SUM(IF('Aprilie 2020 2.0'!$I$3:$I$680=$C$3,LEN('Aprilie 2020 2.0'!$G$3:$G$680)-LEN(SUBSTITUTE('Aprilie 2020 2.0'!$G$3:$G$680,A44,"")),0))/LEN(A44)</f>
        <v>0</v>
      </c>
      <c r="D44" s="3184" cm="1">
        <f t="array" ref="D44">SUM(IF('Aprilie 2020 2.0'!$I$3:$I$680=$D$3,LEN('Aprilie 2020 2.0'!$G$3:$G$680)-LEN(SUBSTITUTE('Aprilie 2020 2.0'!$G$3:$G$680,A44,"")),0))/LEN(A44)</f>
        <v>0</v>
      </c>
      <c r="E44" s="3180" cm="1">
        <f t="array" ref="E44">SUM(IF('Aprilie 2020 2.0'!$I$3:$I$680=$E$3,LEN('Aprilie 2020 2.0'!$G$3:$G$680)-LEN(SUBSTITUTE('Aprilie 2020 2.0'!$G$3:$G$680,A44,"")),0))/LEN(A44)</f>
        <v>0</v>
      </c>
      <c r="F44" s="3180" cm="1">
        <f t="array" ref="F44">SUM(IF('Aprilie 2020 2.0'!$I$3:$I$680=$F$3,LEN('Aprilie 2020 2.0'!$G$3:$G$680)-LEN(SUBSTITUTE('Aprilie 2020 2.0'!$G$3:$G$680,A44,"")),0))/LEN(A44)</f>
        <v>0</v>
      </c>
      <c r="G44" s="3180" cm="1">
        <f t="array" ref="G44">SUM(IF('Aprilie 2020 2.0'!$I$3:$I$680=$G$3,LEN('Aprilie 2020 2.0'!$G$3:$G$680)-LEN(SUBSTITUTE('Aprilie 2020 2.0'!$G$3:$G$680,A44,"")),0))/LEN(A44)</f>
        <v>0</v>
      </c>
      <c r="H44" s="3180" cm="1">
        <f t="array" ref="H44">SUM(IF('Aprilie 2020 2.0'!$I$3:$I$680=$H$3,LEN('Aprilie 2020 2.0'!$G$3:$G$680)-LEN(SUBSTITUTE('Aprilie 2020 2.0'!$G$3:$G$680,A44,"")),0))/LEN(A44)</f>
        <v>0</v>
      </c>
      <c r="I44" s="3180">
        <f t="shared" si="1"/>
        <v>0</v>
      </c>
      <c r="J44" s="3180"/>
      <c r="K44" s="3180"/>
      <c r="L44" s="3180" t="s">
        <v>7663</v>
      </c>
      <c r="M44" s="2911" t="s">
        <v>12532</v>
      </c>
      <c r="N44" s="1361">
        <f>Table25[[#This Row],[Necesar]]*20</f>
        <v>0</v>
      </c>
    </row>
    <row r="45" spans="1:14" ht="14.5" customHeight="1" x14ac:dyDescent="0.35">
      <c r="A45" s="3191" t="s">
        <v>11105</v>
      </c>
      <c r="B45" s="3184" cm="1">
        <f t="array" ref="B45">SUM(IF('Aprilie 2020 2.0'!$I$3:$I$680=$B$3,LEN('Aprilie 2020 2.0'!$G$3:$G$680)-LEN(SUBSTITUTE('Aprilie 2020 2.0'!$G$3:$G$680,A45,"")),0))/LEN(A45)</f>
        <v>0</v>
      </c>
      <c r="C45" s="3184" cm="1">
        <f t="array" ref="C45">SUM(IF('Aprilie 2020 2.0'!$I$3:$I$680=$C$3,LEN('Aprilie 2020 2.0'!$G$3:$G$680)-LEN(SUBSTITUTE('Aprilie 2020 2.0'!$G$3:$G$680,A45,"")),0))/LEN(A45)</f>
        <v>0</v>
      </c>
      <c r="D45" s="3184" cm="1">
        <f t="array" ref="D45">SUM(IF('Aprilie 2020 2.0'!$I$3:$I$680=$D$3,LEN('Aprilie 2020 2.0'!$G$3:$G$680)-LEN(SUBSTITUTE('Aprilie 2020 2.0'!$G$3:$G$680,A45,"")),0))/LEN(A45)</f>
        <v>0</v>
      </c>
      <c r="E45" s="3180" cm="1">
        <f t="array" ref="E45">SUM(IF('Aprilie 2020 2.0'!$I$3:$I$680=$E$3,LEN('Aprilie 2020 2.0'!$G$3:$G$680)-LEN(SUBSTITUTE('Aprilie 2020 2.0'!$G$3:$G$680,A45,"")),0))/LEN(A45)</f>
        <v>0</v>
      </c>
      <c r="F45" s="3180" cm="1">
        <f t="array" ref="F45">SUM(IF('Aprilie 2020 2.0'!$I$3:$I$680=$F$3,LEN('Aprilie 2020 2.0'!$G$3:$G$680)-LEN(SUBSTITUTE('Aprilie 2020 2.0'!$G$3:$G$680,A45,"")),0))/LEN(A45)</f>
        <v>0</v>
      </c>
      <c r="G45" s="3180" cm="1">
        <f t="array" ref="G45">SUM(IF('Aprilie 2020 2.0'!$I$3:$I$680=$G$3,LEN('Aprilie 2020 2.0'!$G$3:$G$680)-LEN(SUBSTITUTE('Aprilie 2020 2.0'!$G$3:$G$680,A45,"")),0))/LEN(A45)</f>
        <v>0</v>
      </c>
      <c r="H45" s="3180" cm="1">
        <f t="array" ref="H45">SUM(IF('Aprilie 2020 2.0'!$I$3:$I$680=$H$3,LEN('Aprilie 2020 2.0'!$G$3:$G$680)-LEN(SUBSTITUTE('Aprilie 2020 2.0'!$G$3:$G$680,A45,"")),0))/LEN(A45)</f>
        <v>0</v>
      </c>
      <c r="I45" s="3180">
        <f t="shared" si="1"/>
        <v>0</v>
      </c>
      <c r="J45" s="3180"/>
      <c r="K45" s="3180"/>
      <c r="L45" s="3180" t="s">
        <v>7663</v>
      </c>
      <c r="M45" s="2911" t="s">
        <v>12532</v>
      </c>
    </row>
    <row r="46" spans="1:14" ht="14.5" customHeight="1" x14ac:dyDescent="0.35">
      <c r="A46" s="3187" t="s">
        <v>12556</v>
      </c>
      <c r="B46" s="3180" cm="1">
        <f t="array" ref="B46">SUM(IF('Aprilie 2020 2.0'!$I$3:$I$680=$B$3,LEN('Aprilie 2020 2.0'!$G$3:$G$680)-LEN(SUBSTITUTE('Aprilie 2020 2.0'!$G$3:$G$680,A46,"")),0))/LEN(A46)</f>
        <v>0</v>
      </c>
      <c r="C46" s="3180" cm="1">
        <f t="array" ref="C46">SUM(IF('Aprilie 2020 2.0'!$I$3:$I$680=$C$3,LEN('Aprilie 2020 2.0'!$G$3:$G$680)-LEN(SUBSTITUTE('Aprilie 2020 2.0'!$G$3:$G$680,A46,"")),0))/LEN(A46)</f>
        <v>0</v>
      </c>
      <c r="D46" s="3180" cm="1">
        <f t="array" ref="D46">SUM(IF('Aprilie 2020 2.0'!$I$3:$I$680=$D$3,LEN('Aprilie 2020 2.0'!$G$3:$G$680)-LEN(SUBSTITUTE('Aprilie 2020 2.0'!$G$3:$G$680,A46,"")),0))/LEN(A46)</f>
        <v>0</v>
      </c>
      <c r="E46" s="3180" cm="1">
        <f t="array" ref="E46">SUM(IF('Aprilie 2020 2.0'!$I$3:$I$680=$E$3,LEN('Aprilie 2020 2.0'!$G$3:$G$680)-LEN(SUBSTITUTE('Aprilie 2020 2.0'!$G$3:$G$680,A46,"")),0))/LEN(A46)</f>
        <v>0</v>
      </c>
      <c r="F46" s="3180" cm="1">
        <f t="array" ref="F46">SUM(IF('Aprilie 2020 2.0'!$I$3:$I$680=$F$3,LEN('Aprilie 2020 2.0'!$G$3:$G$680)-LEN(SUBSTITUTE('Aprilie 2020 2.0'!$G$3:$G$680,A46,"")),0))/LEN(A46)</f>
        <v>0</v>
      </c>
      <c r="G46" s="3180" cm="1">
        <f t="array" ref="G46">SUM(IF('Aprilie 2020 2.0'!$I$3:$I$680=$G$3,LEN('Aprilie 2020 2.0'!$G$3:$G$680)-LEN(SUBSTITUTE('Aprilie 2020 2.0'!$G$3:$G$680,A46,"")),0))/LEN(A46)</f>
        <v>0</v>
      </c>
      <c r="H46" s="3180" cm="1">
        <f t="array" ref="H46">SUM(IF('Aprilie 2020 2.0'!$I$3:$I$680=$H$3,LEN('Aprilie 2020 2.0'!$G$3:$G$680)-LEN(SUBSTITUTE('Aprilie 2020 2.0'!$G$3:$G$680,A46,"")),0))/LEN(A46)</f>
        <v>0</v>
      </c>
      <c r="I46" s="3182">
        <f t="shared" si="1"/>
        <v>0</v>
      </c>
      <c r="J46" s="3182"/>
      <c r="K46" s="3182"/>
      <c r="L46" s="3180" t="s">
        <v>7663</v>
      </c>
      <c r="M46" s="2911" t="s">
        <v>12532</v>
      </c>
    </row>
    <row r="47" spans="1:14" ht="14.5" customHeight="1" x14ac:dyDescent="0.35">
      <c r="A47" s="3187" t="s">
        <v>11198</v>
      </c>
      <c r="B47" s="2911" cm="1">
        <f t="array" ref="B47">SUM(IF('Aprilie 2020 2.0'!$I$3:$I$680=$B$3,LEN('Aprilie 2020 2.0'!$G$3:$G$680)-LEN(SUBSTITUTE('Aprilie 2020 2.0'!$G$3:$G$680,A47,"")),0))/LEN(A47)</f>
        <v>0</v>
      </c>
      <c r="C47" s="2911" cm="1">
        <f t="array" ref="C47">SUM(IF('Aprilie 2020 2.0'!$I$3:$I$680=$C$3,LEN('Aprilie 2020 2.0'!$G$3:$G$680)-LEN(SUBSTITUTE('Aprilie 2020 2.0'!$G$3:$G$680,A47,"")),0))/LEN(A47)</f>
        <v>0</v>
      </c>
      <c r="D47" s="2911" cm="1">
        <f t="array" ref="D47">SUM(IF('Aprilie 2020 2.0'!$I$3:$I$680=$D$3,LEN('Aprilie 2020 2.0'!$G$3:$G$680)-LEN(SUBSTITUTE('Aprilie 2020 2.0'!$G$3:$G$680,A47,"")),0))/LEN(A47)</f>
        <v>0</v>
      </c>
      <c r="E47" s="2911" cm="1">
        <f t="array" ref="E47">SUM(IF('Aprilie 2020 2.0'!$I$3:$I$680=$E$3,LEN('Aprilie 2020 2.0'!$G$3:$G$680)-LEN(SUBSTITUTE('Aprilie 2020 2.0'!$G$3:$G$680,A47,"")),0))/LEN(A47)</f>
        <v>0</v>
      </c>
      <c r="F47" s="2911" cm="1">
        <f t="array" ref="F47">SUM(IF('Aprilie 2020 2.0'!$I$3:$I$680=$F$3,LEN('Aprilie 2020 2.0'!$G$3:$G$680)-LEN(SUBSTITUTE('Aprilie 2020 2.0'!$G$3:$G$680,A47,"")),0))/LEN(A47)</f>
        <v>0</v>
      </c>
      <c r="G47" s="2911" cm="1">
        <f t="array" ref="G47">SUM(IF('Aprilie 2020 2.0'!$I$3:$I$680=$G$3,LEN('Aprilie 2020 2.0'!$G$3:$G$680)-LEN(SUBSTITUTE('Aprilie 2020 2.0'!$G$3:$G$680,A47,"")),0))/LEN(A47)</f>
        <v>0</v>
      </c>
      <c r="H47" s="3180" cm="1">
        <f t="array" ref="H47">SUM(IF('Aprilie 2020 2.0'!$I$3:$I$680=$H$3,LEN('Aprilie 2020 2.0'!$G$3:$G$680)-LEN(SUBSTITUTE('Aprilie 2020 2.0'!$G$3:$G$680,A47,"")),0))/LEN(A47)</f>
        <v>0</v>
      </c>
      <c r="I47" s="3182">
        <f t="shared" si="1"/>
        <v>0</v>
      </c>
      <c r="J47" s="3182"/>
      <c r="K47" s="3182"/>
      <c r="L47" s="3180"/>
      <c r="M47" s="2911" t="s">
        <v>12532</v>
      </c>
    </row>
    <row r="48" spans="1:14" ht="14.5" customHeight="1" x14ac:dyDescent="0.35">
      <c r="A48" s="3188" t="s">
        <v>11106</v>
      </c>
      <c r="B48" s="3184" cm="1">
        <f t="array" ref="B48">SUM(IF('Aprilie 2020 2.0'!$I$3:$I$680=$B$3,LEN('Aprilie 2020 2.0'!$G$3:$G$680)-LEN(SUBSTITUTE('Aprilie 2020 2.0'!$G$3:$G$680,A48,"")),0))/LEN(A48)</f>
        <v>0</v>
      </c>
      <c r="C48" s="3184" cm="1">
        <f t="array" ref="C48">SUM(IF('Aprilie 2020 2.0'!$I$3:$I$680=$C$3,LEN('Aprilie 2020 2.0'!$G$3:$G$680)-LEN(SUBSTITUTE('Aprilie 2020 2.0'!$G$3:$G$680,A48,"")),0))/LEN(A48)</f>
        <v>0</v>
      </c>
      <c r="D48" s="3184" cm="1">
        <f t="array" ref="D48">SUM(IF('Aprilie 2020 2.0'!$I$3:$I$680=$D$3,LEN('Aprilie 2020 2.0'!$G$3:$G$680)-LEN(SUBSTITUTE('Aprilie 2020 2.0'!$G$3:$G$680,A48,"")),0))/LEN(A48)</f>
        <v>0</v>
      </c>
      <c r="E48" s="3180" cm="1">
        <f t="array" ref="E48">SUM(IF('Aprilie 2020 2.0'!$I$3:$I$680=$E$3,LEN('Aprilie 2020 2.0'!$G$3:$G$680)-LEN(SUBSTITUTE('Aprilie 2020 2.0'!$G$3:$G$680,A48,"")),0))/LEN(A48)</f>
        <v>0</v>
      </c>
      <c r="F48" s="3180" cm="1">
        <f t="array" ref="F48">SUM(IF('Aprilie 2020 2.0'!$I$3:$I$680=$F$3,LEN('Aprilie 2020 2.0'!$G$3:$G$680)-LEN(SUBSTITUTE('Aprilie 2020 2.0'!$G$3:$G$680,A48,"")),0))/LEN(A48)</f>
        <v>0</v>
      </c>
      <c r="G48" s="3180" cm="1">
        <f t="array" ref="G48">SUM(IF('Aprilie 2020 2.0'!$I$3:$I$680=$G$3,LEN('Aprilie 2020 2.0'!$G$3:$G$680)-LEN(SUBSTITUTE('Aprilie 2020 2.0'!$G$3:$G$680,A48,"")),0))/LEN(A48)</f>
        <v>0</v>
      </c>
      <c r="H48" s="3180" cm="1">
        <f t="array" ref="H48">SUM(IF('Aprilie 2020 2.0'!$I$3:$I$680=$H$3,LEN('Aprilie 2020 2.0'!$G$3:$G$680)-LEN(SUBSTITUTE('Aprilie 2020 2.0'!$G$3:$G$680,A48,"")),0))/LEN(A48)</f>
        <v>0</v>
      </c>
      <c r="I48" s="3182">
        <f t="shared" si="1"/>
        <v>0</v>
      </c>
      <c r="J48" s="3182"/>
      <c r="K48" s="3182"/>
      <c r="L48" s="3180" t="s">
        <v>7663</v>
      </c>
      <c r="M48" s="2911" t="s">
        <v>12532</v>
      </c>
    </row>
    <row r="49" spans="1:14" ht="14.5" customHeight="1" x14ac:dyDescent="0.35">
      <c r="A49" s="3188" t="s">
        <v>11111</v>
      </c>
      <c r="B49" s="3184" cm="1">
        <f t="array" ref="B49">SUM(IF('Aprilie 2020 2.0'!$I$3:$I$680=$B$3,LEN('Aprilie 2020 2.0'!$G$3:$G$680)-LEN(SUBSTITUTE('Aprilie 2020 2.0'!$G$3:$G$680,A49,"")),0))/LEN(A49)</f>
        <v>0</v>
      </c>
      <c r="C49" s="3184" cm="1">
        <f t="array" ref="C49">SUM(IF('Aprilie 2020 2.0'!$I$3:$I$680=$C$3,LEN('Aprilie 2020 2.0'!$G$3:$G$680)-LEN(SUBSTITUTE('Aprilie 2020 2.0'!$G$3:$G$680,A49,"")),0))/LEN(A49)</f>
        <v>0</v>
      </c>
      <c r="D49" s="3184" cm="1">
        <f t="array" ref="D49">SUM(IF('Aprilie 2020 2.0'!$I$3:$I$680=$D$3,LEN('Aprilie 2020 2.0'!$G$3:$G$680)-LEN(SUBSTITUTE('Aprilie 2020 2.0'!$G$3:$G$680,A49,"")),0))/LEN(A49)</f>
        <v>0</v>
      </c>
      <c r="E49" s="3180" cm="1">
        <f t="array" ref="E49">SUM(IF('Aprilie 2020 2.0'!$I$3:$I$680=$E$3,LEN('Aprilie 2020 2.0'!$G$3:$G$680)-LEN(SUBSTITUTE('Aprilie 2020 2.0'!$G$3:$G$680,A49,"")),0))/LEN(A49)</f>
        <v>0</v>
      </c>
      <c r="F49" s="3180" cm="1">
        <f t="array" ref="F49">SUM(IF('Aprilie 2020 2.0'!$I$3:$I$680=$F$3,LEN('Aprilie 2020 2.0'!$G$3:$G$680)-LEN(SUBSTITUTE('Aprilie 2020 2.0'!$G$3:$G$680,A49,"")),0))/LEN(A49)</f>
        <v>0</v>
      </c>
      <c r="G49" s="3180" cm="1">
        <f t="array" ref="G49">SUM(IF('Aprilie 2020 2.0'!$I$3:$I$680=$G$3,LEN('Aprilie 2020 2.0'!$G$3:$G$680)-LEN(SUBSTITUTE('Aprilie 2020 2.0'!$G$3:$G$680,A49,"")),0))/LEN(A49)</f>
        <v>0</v>
      </c>
      <c r="H49" s="3180" cm="1">
        <f t="array" ref="H49">SUM(IF('Aprilie 2020 2.0'!$I$3:$I$680=$H$3,LEN('Aprilie 2020 2.0'!$G$3:$G$680)-LEN(SUBSTITUTE('Aprilie 2020 2.0'!$G$3:$G$680,A49,"")),0))/LEN(A49)</f>
        <v>0</v>
      </c>
      <c r="I49" s="3182">
        <f t="shared" si="1"/>
        <v>0</v>
      </c>
      <c r="J49" s="3182"/>
      <c r="K49" s="3182"/>
      <c r="L49" s="3180" t="s">
        <v>7663</v>
      </c>
      <c r="M49" s="2911" t="s">
        <v>12532</v>
      </c>
    </row>
    <row r="50" spans="1:14" ht="14.5" customHeight="1" x14ac:dyDescent="0.35">
      <c r="A50" s="3188" t="s">
        <v>11112</v>
      </c>
      <c r="B50" s="3184" cm="1">
        <f t="array" ref="B50">SUM(IF('Aprilie 2020 2.0'!$I$3:$I$680=$B$3,LEN('Aprilie 2020 2.0'!$G$3:$G$680)-LEN(SUBSTITUTE('Aprilie 2020 2.0'!$G$3:$G$680,A50,"")),0))/LEN(A50)</f>
        <v>0</v>
      </c>
      <c r="C50" s="3184" cm="1">
        <f t="array" ref="C50">SUM(IF('Aprilie 2020 2.0'!$I$3:$I$680=$C$3,LEN('Aprilie 2020 2.0'!$G$3:$G$680)-LEN(SUBSTITUTE('Aprilie 2020 2.0'!$G$3:$G$680,A50,"")),0))/LEN(A50)</f>
        <v>0</v>
      </c>
      <c r="D50" s="3184" cm="1">
        <f t="array" ref="D50">SUM(IF('Aprilie 2020 2.0'!$I$3:$I$680=$D$3,LEN('Aprilie 2020 2.0'!$G$3:$G$680)-LEN(SUBSTITUTE('Aprilie 2020 2.0'!$G$3:$G$680,A50,"")),0))/LEN(A50)</f>
        <v>0</v>
      </c>
      <c r="E50" s="3180" cm="1">
        <f t="array" ref="E50">SUM(IF('Aprilie 2020 2.0'!$I$3:$I$680=$E$3,LEN('Aprilie 2020 2.0'!$G$3:$G$680)-LEN(SUBSTITUTE('Aprilie 2020 2.0'!$G$3:$G$680,A50,"")),0))/LEN(A50)</f>
        <v>0</v>
      </c>
      <c r="F50" s="3180" cm="1">
        <f t="array" ref="F50">SUM(IF('Aprilie 2020 2.0'!$I$3:$I$680=$F$3,LEN('Aprilie 2020 2.0'!$G$3:$G$680)-LEN(SUBSTITUTE('Aprilie 2020 2.0'!$G$3:$G$680,A50,"")),0))/LEN(A50)</f>
        <v>0</v>
      </c>
      <c r="G50" s="3180" cm="1">
        <f t="array" ref="G50">SUM(IF('Aprilie 2020 2.0'!$I$3:$I$680=$G$3,LEN('Aprilie 2020 2.0'!$G$3:$G$680)-LEN(SUBSTITUTE('Aprilie 2020 2.0'!$G$3:$G$680,A50,"")),0))/LEN(A50)</f>
        <v>0</v>
      </c>
      <c r="H50" s="3180" cm="1">
        <f t="array" ref="H50">SUM(IF('Aprilie 2020 2.0'!$I$3:$I$680=$H$3,LEN('Aprilie 2020 2.0'!$G$3:$G$680)-LEN(SUBSTITUTE('Aprilie 2020 2.0'!$G$3:$G$680,A50,"")),0))/LEN(A50)</f>
        <v>0</v>
      </c>
      <c r="I50" s="3182">
        <f t="shared" ref="I50:I81" si="2">SUM(B50:H50)</f>
        <v>0</v>
      </c>
      <c r="J50" s="3182"/>
      <c r="K50" s="3182"/>
      <c r="L50" s="3180" t="s">
        <v>7663</v>
      </c>
      <c r="M50" s="2911" t="s">
        <v>12532</v>
      </c>
    </row>
    <row r="51" spans="1:14" ht="14.5" customHeight="1" x14ac:dyDescent="0.35">
      <c r="A51" s="3188" t="s">
        <v>11113</v>
      </c>
      <c r="B51" s="3184" cm="1">
        <f t="array" ref="B51">SUM(IF('Aprilie 2020 2.0'!$I$3:$I$680=$B$3,LEN('Aprilie 2020 2.0'!$G$3:$G$680)-LEN(SUBSTITUTE('Aprilie 2020 2.0'!$G$3:$G$680,A51,"")),0))/LEN(A51)</f>
        <v>0</v>
      </c>
      <c r="C51" s="3184" cm="1">
        <f t="array" ref="C51">SUM(IF('Aprilie 2020 2.0'!$I$3:$I$680=$C$3,LEN('Aprilie 2020 2.0'!$G$3:$G$680)-LEN(SUBSTITUTE('Aprilie 2020 2.0'!$G$3:$G$680,A51,"")),0))/LEN(A51)</f>
        <v>0</v>
      </c>
      <c r="D51" s="3184" cm="1">
        <f t="array" ref="D51">SUM(IF('Aprilie 2020 2.0'!$I$3:$I$680=$D$3,LEN('Aprilie 2020 2.0'!$G$3:$G$680)-LEN(SUBSTITUTE('Aprilie 2020 2.0'!$G$3:$G$680,A51,"")),0))/LEN(A51)</f>
        <v>0</v>
      </c>
      <c r="E51" s="3180" cm="1">
        <f t="array" ref="E51">SUM(IF('Aprilie 2020 2.0'!$I$3:$I$680=$E$3,LEN('Aprilie 2020 2.0'!$G$3:$G$680)-LEN(SUBSTITUTE('Aprilie 2020 2.0'!$G$3:$G$680,A51,"")),0))/LEN(A51)</f>
        <v>0</v>
      </c>
      <c r="F51" s="3180" cm="1">
        <f t="array" ref="F51">SUM(IF('Aprilie 2020 2.0'!$I$3:$I$680=$F$3,LEN('Aprilie 2020 2.0'!$G$3:$G$680)-LEN(SUBSTITUTE('Aprilie 2020 2.0'!$G$3:$G$680,A51,"")),0))/LEN(A51)</f>
        <v>0</v>
      </c>
      <c r="G51" s="3180" cm="1">
        <f t="array" ref="G51">SUM(IF('Aprilie 2020 2.0'!$I$3:$I$680=$G$3,LEN('Aprilie 2020 2.0'!$G$3:$G$680)-LEN(SUBSTITUTE('Aprilie 2020 2.0'!$G$3:$G$680,A51,"")),0))/LEN(A51)</f>
        <v>0</v>
      </c>
      <c r="H51" s="3180" cm="1">
        <f t="array" ref="H51">SUM(IF('Aprilie 2020 2.0'!$I$3:$I$680=$H$3,LEN('Aprilie 2020 2.0'!$G$3:$G$680)-LEN(SUBSTITUTE('Aprilie 2020 2.0'!$G$3:$G$680,A51,"")),0))/LEN(A51)</f>
        <v>0</v>
      </c>
      <c r="I51" s="3182">
        <f t="shared" si="2"/>
        <v>0</v>
      </c>
      <c r="J51" s="3182"/>
      <c r="K51" s="3182"/>
      <c r="L51" s="3180" t="s">
        <v>7663</v>
      </c>
      <c r="M51" s="2911" t="s">
        <v>12532</v>
      </c>
    </row>
    <row r="52" spans="1:14" ht="15" customHeight="1" x14ac:dyDescent="0.35">
      <c r="A52" s="3186" t="s">
        <v>11425</v>
      </c>
      <c r="B52" s="3180" cm="1">
        <f t="array" ref="B52">SUM(IF('Aprilie 2020 2.0'!$I$3:$I$680=$B$3,LEN('Aprilie 2020 2.0'!$G$3:$G$680)-LEN(SUBSTITUTE('Aprilie 2020 2.0'!$G$3:$G$680,A52,"")),0))/LEN(A52)</f>
        <v>0</v>
      </c>
      <c r="C52" s="3180" cm="1">
        <f t="array" ref="C52">SUM(IF('Aprilie 2020 2.0'!$I$3:$I$680=$C$3,LEN('Aprilie 2020 2.0'!$G$3:$G$680)-LEN(SUBSTITUTE('Aprilie 2020 2.0'!$G$3:$G$680,A52,"")),0))/LEN(A52)</f>
        <v>0</v>
      </c>
      <c r="D52" s="3180" cm="1">
        <f t="array" ref="D52">SUM(IF('Aprilie 2020 2.0'!$I$3:$I$680=$D$3,LEN('Aprilie 2020 2.0'!$G$3:$G$680)-LEN(SUBSTITUTE('Aprilie 2020 2.0'!$G$3:$G$680,A52,"")),0))/LEN(A52)</f>
        <v>0</v>
      </c>
      <c r="E52" s="3180" cm="1">
        <f t="array" ref="E52">SUM(IF('Aprilie 2020 2.0'!$I$3:$I$680=$E$3,LEN('Aprilie 2020 2.0'!$G$3:$G$680)-LEN(SUBSTITUTE('Aprilie 2020 2.0'!$G$3:$G$680,A52,"")),0))/LEN(A52)</f>
        <v>0</v>
      </c>
      <c r="F52" s="3180" cm="1">
        <f t="array" ref="F52">SUM(IF('Aprilie 2020 2.0'!$I$3:$I$680=$F$3,LEN('Aprilie 2020 2.0'!$G$3:$G$680)-LEN(SUBSTITUTE('Aprilie 2020 2.0'!$G$3:$G$680,A52,"")),0))/LEN(A52)</f>
        <v>0</v>
      </c>
      <c r="G52" s="3180" cm="1">
        <f t="array" ref="G52">SUM(IF('Aprilie 2020 2.0'!$I$3:$I$680=$G$3,LEN('Aprilie 2020 2.0'!$G$3:$G$680)-LEN(SUBSTITUTE('Aprilie 2020 2.0'!$G$3:$G$680,A52,"")),0))/LEN(A52)</f>
        <v>0</v>
      </c>
      <c r="H52" s="3180" cm="1">
        <f t="array" ref="H52">SUM(IF('Aprilie 2020 2.0'!$I$3:$I$680=$H$3,LEN('Aprilie 2020 2.0'!$G$3:$G$680)-LEN(SUBSTITUTE('Aprilie 2020 2.0'!$G$3:$G$680,A52,"")),0))/LEN(A52)</f>
        <v>0</v>
      </c>
      <c r="I52" s="3180">
        <f t="shared" si="2"/>
        <v>0</v>
      </c>
      <c r="J52" s="3180"/>
      <c r="K52" s="3180"/>
      <c r="L52" s="3180" t="s">
        <v>7663</v>
      </c>
      <c r="M52" s="2911" t="s">
        <v>12532</v>
      </c>
    </row>
    <row r="53" spans="1:14" ht="15" customHeight="1" x14ac:dyDescent="0.35">
      <c r="A53" s="3188" t="s">
        <v>11454</v>
      </c>
      <c r="B53" s="3180" cm="1">
        <f t="array" ref="B53">SUM(IF('Aprilie 2020 2.0'!$I$3:$I$680=$B$3,LEN('Aprilie 2020 2.0'!$G$3:$G$680)-LEN(SUBSTITUTE('Aprilie 2020 2.0'!$G$3:$G$680,A53,"")),0))/LEN(A53)</f>
        <v>0</v>
      </c>
      <c r="C53" s="3180" cm="1">
        <f t="array" ref="C53">SUM(IF('Aprilie 2020 2.0'!$I$3:$I$680=$C$3,LEN('Aprilie 2020 2.0'!$G$3:$G$680)-LEN(SUBSTITUTE('Aprilie 2020 2.0'!$G$3:$G$680,A53,"")),0))/LEN(A53)</f>
        <v>0</v>
      </c>
      <c r="D53" s="3180" cm="1">
        <f t="array" ref="D53">SUM(IF('Aprilie 2020 2.0'!$I$3:$I$680=$D$3,LEN('Aprilie 2020 2.0'!$G$3:$G$680)-LEN(SUBSTITUTE('Aprilie 2020 2.0'!$G$3:$G$680,A53,"")),0))/LEN(A53)</f>
        <v>0</v>
      </c>
      <c r="E53" s="3180" cm="1">
        <f t="array" ref="E53">SUM(IF('Aprilie 2020 2.0'!$I$3:$I$680=$E$3,LEN('Aprilie 2020 2.0'!$G$3:$G$680)-LEN(SUBSTITUTE('Aprilie 2020 2.0'!$G$3:$G$680,A53,"")),0))/LEN(A53)</f>
        <v>0</v>
      </c>
      <c r="F53" s="3180" cm="1">
        <f t="array" ref="F53">SUM(IF('Aprilie 2020 2.0'!$I$3:$I$680=$F$3,LEN('Aprilie 2020 2.0'!$G$3:$G$680)-LEN(SUBSTITUTE('Aprilie 2020 2.0'!$G$3:$G$680,A53,"")),0))/LEN(A53)</f>
        <v>0</v>
      </c>
      <c r="G53" s="3180" cm="1">
        <f t="array" ref="G53">SUM(IF('Aprilie 2020 2.0'!$I$3:$I$680=$G$3,LEN('Aprilie 2020 2.0'!$G$3:$G$680)-LEN(SUBSTITUTE('Aprilie 2020 2.0'!$G$3:$G$680,A53,"")),0))/LEN(A53)</f>
        <v>0</v>
      </c>
      <c r="H53" s="3180" cm="1">
        <f t="array" ref="H53">SUM(IF('Aprilie 2020 2.0'!$I$3:$I$680=$H$3,LEN('Aprilie 2020 2.0'!$G$3:$G$680)-LEN(SUBSTITUTE('Aprilie 2020 2.0'!$G$3:$G$680,A53,"")),0))/LEN(A53)</f>
        <v>0</v>
      </c>
      <c r="I53" s="3182">
        <f t="shared" si="2"/>
        <v>0</v>
      </c>
      <c r="J53" s="3182"/>
      <c r="K53" s="3182"/>
      <c r="L53" s="3180" t="s">
        <v>7663</v>
      </c>
      <c r="M53" s="2911" t="s">
        <v>12532</v>
      </c>
    </row>
    <row r="54" spans="1:14" ht="15" customHeight="1" x14ac:dyDescent="0.35">
      <c r="A54" s="3188" t="s">
        <v>11424</v>
      </c>
      <c r="B54" s="3180" cm="1">
        <f t="array" ref="B54">SUM(IF('Aprilie 2020 2.0'!$I$3:$I$680=$B$3,LEN('Aprilie 2020 2.0'!$G$3:$G$680)-LEN(SUBSTITUTE('Aprilie 2020 2.0'!$G$3:$G$680,A54,"")),0))/LEN(A54)</f>
        <v>0</v>
      </c>
      <c r="C54" s="3180" cm="1">
        <f t="array" ref="C54">SUM(IF('Aprilie 2020 2.0'!$I$3:$I$680=$C$3,LEN('Aprilie 2020 2.0'!$G$3:$G$680)-LEN(SUBSTITUTE('Aprilie 2020 2.0'!$G$3:$G$680,A54,"")),0))/LEN(A54)</f>
        <v>0</v>
      </c>
      <c r="D54" s="3180" cm="1">
        <f t="array" ref="D54">SUM(IF('Aprilie 2020 2.0'!$I$3:$I$680=$D$3,LEN('Aprilie 2020 2.0'!$G$3:$G$680)-LEN(SUBSTITUTE('Aprilie 2020 2.0'!$G$3:$G$680,A54,"")),0))/LEN(A54)</f>
        <v>0</v>
      </c>
      <c r="E54" s="3180" cm="1">
        <f t="array" ref="E54">SUM(IF('Aprilie 2020 2.0'!$I$3:$I$680=$E$3,LEN('Aprilie 2020 2.0'!$G$3:$G$680)-LEN(SUBSTITUTE('Aprilie 2020 2.0'!$G$3:$G$680,A54,"")),0))/LEN(A54)</f>
        <v>0</v>
      </c>
      <c r="F54" s="3180" cm="1">
        <f t="array" ref="F54">SUM(IF('Aprilie 2020 2.0'!$I$3:$I$680=$F$3,LEN('Aprilie 2020 2.0'!$G$3:$G$680)-LEN(SUBSTITUTE('Aprilie 2020 2.0'!$G$3:$G$680,A54,"")),0))/LEN(A54)</f>
        <v>0</v>
      </c>
      <c r="G54" s="3180" cm="1">
        <f t="array" ref="G54">SUM(IF('Aprilie 2020 2.0'!$I$3:$I$680=$G$3,LEN('Aprilie 2020 2.0'!$G$3:$G$680)-LEN(SUBSTITUTE('Aprilie 2020 2.0'!$G$3:$G$680,A54,"")),0))/LEN(A54)</f>
        <v>0</v>
      </c>
      <c r="H54" s="3180" cm="1">
        <f t="array" ref="H54">SUM(IF('Aprilie 2020 2.0'!$I$3:$I$680=$H$3,LEN('Aprilie 2020 2.0'!$G$3:$G$680)-LEN(SUBSTITUTE('Aprilie 2020 2.0'!$G$3:$G$680,A54,"")),0))/LEN(A54)</f>
        <v>0</v>
      </c>
      <c r="I54" s="3182">
        <f t="shared" si="2"/>
        <v>0</v>
      </c>
      <c r="J54" s="3182"/>
      <c r="K54" s="3182"/>
      <c r="L54" s="3180" t="s">
        <v>7663</v>
      </c>
      <c r="M54" s="2911" t="s">
        <v>12532</v>
      </c>
    </row>
    <row r="55" spans="1:14" ht="15" customHeight="1" x14ac:dyDescent="0.35">
      <c r="A55" s="3188" t="s">
        <v>11455</v>
      </c>
      <c r="B55" s="3180" cm="1">
        <f t="array" ref="B55">SUM(IF('Aprilie 2020 2.0'!$I$3:$I$680=$B$3,LEN('Aprilie 2020 2.0'!$G$3:$G$680)-LEN(SUBSTITUTE('Aprilie 2020 2.0'!$G$3:$G$680,A55,"")),0))/LEN(A55)</f>
        <v>0</v>
      </c>
      <c r="C55" s="3180" cm="1">
        <f t="array" ref="C55">SUM(IF('Aprilie 2020 2.0'!$I$3:$I$680=$C$3,LEN('Aprilie 2020 2.0'!$G$3:$G$680)-LEN(SUBSTITUTE('Aprilie 2020 2.0'!$G$3:$G$680,A55,"")),0))/LEN(A55)</f>
        <v>0</v>
      </c>
      <c r="D55" s="3180" cm="1">
        <f t="array" ref="D55">SUM(IF('Aprilie 2020 2.0'!$I$3:$I$680=$D$3,LEN('Aprilie 2020 2.0'!$G$3:$G$680)-LEN(SUBSTITUTE('Aprilie 2020 2.0'!$G$3:$G$680,A55,"")),0))/LEN(A55)</f>
        <v>0</v>
      </c>
      <c r="E55" s="3180" cm="1">
        <f t="array" ref="E55">SUM(IF('Aprilie 2020 2.0'!$I$3:$I$680=$E$3,LEN('Aprilie 2020 2.0'!$G$3:$G$680)-LEN(SUBSTITUTE('Aprilie 2020 2.0'!$G$3:$G$680,A55,"")),0))/LEN(A55)</f>
        <v>0</v>
      </c>
      <c r="F55" s="3180" cm="1">
        <f t="array" ref="F55">SUM(IF('Aprilie 2020 2.0'!$I$3:$I$680=$F$3,LEN('Aprilie 2020 2.0'!$G$3:$G$680)-LEN(SUBSTITUTE('Aprilie 2020 2.0'!$G$3:$G$680,A55,"")),0))/LEN(A55)</f>
        <v>0</v>
      </c>
      <c r="G55" s="3180" cm="1">
        <f t="array" ref="G55">SUM(IF('Aprilie 2020 2.0'!$I$3:$I$680=$G$3,LEN('Aprilie 2020 2.0'!$G$3:$G$680)-LEN(SUBSTITUTE('Aprilie 2020 2.0'!$G$3:$G$680,A55,"")),0))/LEN(A55)</f>
        <v>0</v>
      </c>
      <c r="H55" s="3180" cm="1">
        <f t="array" ref="H55">SUM(IF('Aprilie 2020 2.0'!$I$3:$I$680=$H$3,LEN('Aprilie 2020 2.0'!$G$3:$G$680)-LEN(SUBSTITUTE('Aprilie 2020 2.0'!$G$3:$G$680,A55,"")),0))/LEN(A55)</f>
        <v>0</v>
      </c>
      <c r="I55" s="3182">
        <f t="shared" si="2"/>
        <v>0</v>
      </c>
      <c r="J55" s="3182"/>
      <c r="K55" s="3182"/>
      <c r="L55" s="3180" t="s">
        <v>7663</v>
      </c>
      <c r="M55" s="2911" t="s">
        <v>12532</v>
      </c>
    </row>
    <row r="56" spans="1:14" ht="15" customHeight="1" x14ac:dyDescent="0.35">
      <c r="A56" s="3188" t="s">
        <v>11115</v>
      </c>
      <c r="B56" s="3184" cm="1">
        <f t="array" ref="B56">SUM(IF('Aprilie 2020 2.0'!$I$3:$I$680=$B$3,LEN('Aprilie 2020 2.0'!$G$3:$G$680)-LEN(SUBSTITUTE('Aprilie 2020 2.0'!$G$3:$G$680,A56,"")),0))/LEN(A56)</f>
        <v>0</v>
      </c>
      <c r="C56" s="3184" cm="1">
        <f t="array" ref="C56">SUM(IF('Aprilie 2020 2.0'!$I$3:$I$680=$C$3,LEN('Aprilie 2020 2.0'!$G$3:$G$680)-LEN(SUBSTITUTE('Aprilie 2020 2.0'!$G$3:$G$680,A56,"")),0))/LEN(A56)</f>
        <v>0</v>
      </c>
      <c r="D56" s="3184" cm="1">
        <f t="array" ref="D56">SUM(IF('Aprilie 2020 2.0'!$I$3:$I$680=$D$3,LEN('Aprilie 2020 2.0'!$G$3:$G$680)-LEN(SUBSTITUTE('Aprilie 2020 2.0'!$G$3:$G$680,A56,"")),0))/LEN(A56)</f>
        <v>0</v>
      </c>
      <c r="E56" s="3180" cm="1">
        <f t="array" ref="E56">SUM(IF('Aprilie 2020 2.0'!$I$3:$I$680=$E$3,LEN('Aprilie 2020 2.0'!$G$3:$G$680)-LEN(SUBSTITUTE('Aprilie 2020 2.0'!$G$3:$G$680,A56,"")),0))/LEN(A56)</f>
        <v>0</v>
      </c>
      <c r="F56" s="3180" cm="1">
        <f t="array" ref="F56">SUM(IF('Aprilie 2020 2.0'!$I$3:$I$680=$F$3,LEN('Aprilie 2020 2.0'!$G$3:$G$680)-LEN(SUBSTITUTE('Aprilie 2020 2.0'!$G$3:$G$680,A56,"")),0))/LEN(A56)</f>
        <v>0</v>
      </c>
      <c r="G56" s="3180" cm="1">
        <f t="array" ref="G56">SUM(IF('Aprilie 2020 2.0'!$I$3:$I$680=$G$3,LEN('Aprilie 2020 2.0'!$G$3:$G$680)-LEN(SUBSTITUTE('Aprilie 2020 2.0'!$G$3:$G$680,A56,"")),0))/LEN(A56)</f>
        <v>0</v>
      </c>
      <c r="H56" s="3180" cm="1">
        <f t="array" ref="H56">SUM(IF('Aprilie 2020 2.0'!$I$3:$I$680=$H$3,LEN('Aprilie 2020 2.0'!$G$3:$G$680)-LEN(SUBSTITUTE('Aprilie 2020 2.0'!$G$3:$G$680,A56,"")),0))/LEN(A56)</f>
        <v>0</v>
      </c>
      <c r="I56" s="3182">
        <f t="shared" si="2"/>
        <v>0</v>
      </c>
      <c r="J56" s="3182"/>
      <c r="K56" s="3182"/>
      <c r="L56" s="3180"/>
      <c r="M56" s="2911" t="s">
        <v>12532</v>
      </c>
    </row>
    <row r="57" spans="1:14" ht="15" customHeight="1" x14ac:dyDescent="0.35">
      <c r="A57" s="3187" t="s">
        <v>11196</v>
      </c>
      <c r="B57" s="3180" cm="1">
        <f t="array" ref="B57">SUM(IF('Aprilie 2020 2.0'!$I$3:$I$680=$B$3,LEN('Aprilie 2020 2.0'!$G$3:$G$680)-LEN(SUBSTITUTE('Aprilie 2020 2.0'!$G$3:$G$680,A57,"")),0))/LEN(A57)</f>
        <v>0</v>
      </c>
      <c r="C57" s="3180" cm="1">
        <f t="array" ref="C57">SUM(IF('Aprilie 2020 2.0'!$I$3:$I$680=$C$3,LEN('Aprilie 2020 2.0'!$G$3:$G$680)-LEN(SUBSTITUTE('Aprilie 2020 2.0'!$G$3:$G$680,A57,"")),0))/LEN(A57)</f>
        <v>0</v>
      </c>
      <c r="D57" s="3180" cm="1">
        <f t="array" ref="D57">SUM(IF('Aprilie 2020 2.0'!$I$3:$I$680=$D$3,LEN('Aprilie 2020 2.0'!$G$3:$G$680)-LEN(SUBSTITUTE('Aprilie 2020 2.0'!$G$3:$G$680,A57,"")),0))/LEN(A57)</f>
        <v>0</v>
      </c>
      <c r="E57" s="3180" cm="1">
        <f t="array" ref="E57">SUM(IF('Aprilie 2020 2.0'!$I$3:$I$680=$E$3,LEN('Aprilie 2020 2.0'!$G$3:$G$680)-LEN(SUBSTITUTE('Aprilie 2020 2.0'!$G$3:$G$680,A57,"")),0))/LEN(A57)</f>
        <v>0</v>
      </c>
      <c r="F57" s="3180" cm="1">
        <f t="array" ref="F57">SUM(IF('Aprilie 2020 2.0'!$I$3:$I$680=$F$3,LEN('Aprilie 2020 2.0'!$G$3:$G$680)-LEN(SUBSTITUTE('Aprilie 2020 2.0'!$G$3:$G$680,A57,"")),0))/LEN(A57)</f>
        <v>0</v>
      </c>
      <c r="G57" s="3180" cm="1">
        <f t="array" ref="G57">SUM(IF('Aprilie 2020 2.0'!$I$3:$I$680=$G$3,LEN('Aprilie 2020 2.0'!$G$3:$G$680)-LEN(SUBSTITUTE('Aprilie 2020 2.0'!$G$3:$G$680,A57,"")),0))/LEN(A57)</f>
        <v>0</v>
      </c>
      <c r="H57" s="3180" cm="1">
        <f t="array" ref="H57">SUM(IF('Aprilie 2020 2.0'!$I$3:$I$680=$H$3,LEN('Aprilie 2020 2.0'!$G$3:$G$680)-LEN(SUBSTITUTE('Aprilie 2020 2.0'!$G$3:$G$680,A57,"")),0))/LEN(A57)</f>
        <v>0</v>
      </c>
      <c r="I57" s="3182">
        <f t="shared" si="2"/>
        <v>0</v>
      </c>
      <c r="J57" s="3182"/>
      <c r="K57" s="3182"/>
      <c r="L57" s="3180"/>
      <c r="M57" s="2911" t="s">
        <v>12532</v>
      </c>
    </row>
    <row r="58" spans="1:14" ht="15.5" customHeight="1" x14ac:dyDescent="0.35">
      <c r="A58" s="3183" t="s">
        <v>11116</v>
      </c>
      <c r="B58" s="3184" cm="1">
        <f t="array" ref="B58">SUM(IF('Aprilie 2020 2.0'!$I$3:$I$680=$B$3,LEN('Aprilie 2020 2.0'!$G$3:$G$680)-LEN(SUBSTITUTE('Aprilie 2020 2.0'!$G$3:$G$680,A58,"")),0))/LEN(A58)</f>
        <v>0</v>
      </c>
      <c r="C58" s="3184" cm="1">
        <f t="array" ref="C58">SUM(IF('Aprilie 2020 2.0'!$I$3:$I$680=$C$3,LEN('Aprilie 2020 2.0'!$G$3:$G$680)-LEN(SUBSTITUTE('Aprilie 2020 2.0'!$G$3:$G$680,A58,"")),0))/LEN(A58)</f>
        <v>0</v>
      </c>
      <c r="D58" s="3184" cm="1">
        <f t="array" ref="D58">SUM(IF('Aprilie 2020 2.0'!$I$3:$I$680=$D$3,LEN('Aprilie 2020 2.0'!$G$3:$G$680)-LEN(SUBSTITUTE('Aprilie 2020 2.0'!$G$3:$G$680,A58,"")),0))/LEN(A58)</f>
        <v>0</v>
      </c>
      <c r="E58" s="3180" cm="1">
        <f t="array" ref="E58">SUM(IF('Aprilie 2020 2.0'!$I$3:$I$680=$E$3,LEN('Aprilie 2020 2.0'!$G$3:$G$680)-LEN(SUBSTITUTE('Aprilie 2020 2.0'!$G$3:$G$680,A58,"")),0))/LEN(A58)</f>
        <v>0</v>
      </c>
      <c r="F58" s="3180" cm="1">
        <f t="array" ref="F58">SUM(IF('Aprilie 2020 2.0'!$I$3:$I$680=$F$3,LEN('Aprilie 2020 2.0'!$G$3:$G$680)-LEN(SUBSTITUTE('Aprilie 2020 2.0'!$G$3:$G$680,A58,"")),0))/LEN(A58)</f>
        <v>0</v>
      </c>
      <c r="G58" s="3180" cm="1">
        <f t="array" ref="G58">SUM(IF('Aprilie 2020 2.0'!$I$3:$I$680=$G$3,LEN('Aprilie 2020 2.0'!$G$3:$G$680)-LEN(SUBSTITUTE('Aprilie 2020 2.0'!$G$3:$G$680,A58,"")),0))/LEN(A58)</f>
        <v>0</v>
      </c>
      <c r="H58" s="3180" cm="1">
        <f t="array" ref="H58">SUM(IF('Aprilie 2020 2.0'!$I$3:$I$680=$H$3,LEN('Aprilie 2020 2.0'!$G$3:$G$680)-LEN(SUBSTITUTE('Aprilie 2020 2.0'!$G$3:$G$680,A58,"")),0))/LEN(A58)</f>
        <v>0</v>
      </c>
      <c r="I58" s="3180">
        <f t="shared" si="2"/>
        <v>0</v>
      </c>
      <c r="J58" s="3180"/>
      <c r="K58" s="3180"/>
      <c r="L58" s="3180"/>
      <c r="M58" s="2911" t="s">
        <v>12532</v>
      </c>
    </row>
    <row r="59" spans="1:14" ht="13" customHeight="1" x14ac:dyDescent="0.35">
      <c r="A59" s="3189" t="s">
        <v>11229</v>
      </c>
      <c r="B59" s="3180" cm="1">
        <f t="array" ref="B59">SUM(IF('Aprilie 2020 2.0'!$I$3:$I$680=$B$3,LEN('Aprilie 2020 2.0'!$G$3:$G$680)-LEN(SUBSTITUTE('Aprilie 2020 2.0'!$G$3:$G$680,A59,"")),0))/LEN(A59)</f>
        <v>0</v>
      </c>
      <c r="C59" s="3180" cm="1">
        <f t="array" ref="C59">SUM(IF('Aprilie 2020 2.0'!$I$3:$I$680=$C$3,LEN('Aprilie 2020 2.0'!$G$3:$G$680)-LEN(SUBSTITUTE('Aprilie 2020 2.0'!$G$3:$G$680,A59,"")),0))/LEN(A59)</f>
        <v>0</v>
      </c>
      <c r="D59" s="3180" cm="1">
        <f t="array" ref="D59">SUM(IF('Aprilie 2020 2.0'!$I$3:$I$680=$D$3,LEN('Aprilie 2020 2.0'!$G$3:$G$680)-LEN(SUBSTITUTE('Aprilie 2020 2.0'!$G$3:$G$680,A59,"")),0))/LEN(A59)</f>
        <v>0</v>
      </c>
      <c r="E59" s="3180" cm="1">
        <f t="array" ref="E59">SUM(IF('Aprilie 2020 2.0'!$I$3:$I$680=$E$3,LEN('Aprilie 2020 2.0'!$G$3:$G$680)-LEN(SUBSTITUTE('Aprilie 2020 2.0'!$G$3:$G$680,A59,"")),0))/LEN(A59)</f>
        <v>0</v>
      </c>
      <c r="F59" s="3180" cm="1">
        <f t="array" ref="F59">SUM(IF('Aprilie 2020 2.0'!$I$3:$I$680=$F$3,LEN('Aprilie 2020 2.0'!$G$3:$G$680)-LEN(SUBSTITUTE('Aprilie 2020 2.0'!$G$3:$G$680,A59,"")),0))/LEN(A59)</f>
        <v>0</v>
      </c>
      <c r="G59" s="3180" cm="1">
        <f t="array" ref="G59">SUM(IF('Aprilie 2020 2.0'!$I$3:$I$680=$G$3,LEN('Aprilie 2020 2.0'!$G$3:$G$680)-LEN(SUBSTITUTE('Aprilie 2020 2.0'!$G$3:$G$680,A59,"")),0))/LEN(A59)</f>
        <v>0</v>
      </c>
      <c r="H59" s="3180" cm="1">
        <f t="array" ref="H59">SUM(IF('Aprilie 2020 2.0'!$I$3:$I$680=$H$3,LEN('Aprilie 2020 2.0'!$G$3:$G$680)-LEN(SUBSTITUTE('Aprilie 2020 2.0'!$G$3:$G$680,A59,"")),0))/LEN(A59)</f>
        <v>0</v>
      </c>
      <c r="I59" s="3180">
        <f t="shared" si="2"/>
        <v>0</v>
      </c>
      <c r="J59" s="3180"/>
      <c r="K59" s="3180"/>
      <c r="L59" s="3180"/>
      <c r="M59" s="2911" t="s">
        <v>12532</v>
      </c>
    </row>
    <row r="60" spans="1:14" x14ac:dyDescent="0.35">
      <c r="A60" s="3186" t="s">
        <v>11117</v>
      </c>
      <c r="B60" s="3184" cm="1">
        <f t="array" ref="B60">SUM(IF('Aprilie 2020 2.0'!$I$3:$I$680=$B$3,LEN('Aprilie 2020 2.0'!$G$3:$G$680)-LEN(SUBSTITUTE('Aprilie 2020 2.0'!$G$3:$G$680,A60,"")),0))/LEN(A60)</f>
        <v>0</v>
      </c>
      <c r="C60" s="3184" cm="1">
        <f t="array" ref="C60">SUM(IF('Aprilie 2020 2.0'!$I$3:$I$680=$C$3,LEN('Aprilie 2020 2.0'!$G$3:$G$680)-LEN(SUBSTITUTE('Aprilie 2020 2.0'!$G$3:$G$680,A60,"")),0))/LEN(A60)</f>
        <v>0</v>
      </c>
      <c r="D60" s="3184" cm="1">
        <f t="array" ref="D60">SUM(IF('Aprilie 2020 2.0'!$I$3:$I$680=$D$3,LEN('Aprilie 2020 2.0'!$G$3:$G$680)-LEN(SUBSTITUTE('Aprilie 2020 2.0'!$G$3:$G$680,A60,"")),0))/LEN(A60)</f>
        <v>0</v>
      </c>
      <c r="E60" s="3180" cm="1">
        <f t="array" ref="E60">SUM(IF('Aprilie 2020 2.0'!$I$3:$I$680=$E$3,LEN('Aprilie 2020 2.0'!$G$3:$G$680)-LEN(SUBSTITUTE('Aprilie 2020 2.0'!$G$3:$G$680,A60,"")),0))/LEN(A60)</f>
        <v>0</v>
      </c>
      <c r="F60" s="3180" cm="1">
        <f t="array" ref="F60">SUM(IF('Aprilie 2020 2.0'!$I$3:$I$680=$F$3,LEN('Aprilie 2020 2.0'!$G$3:$G$680)-LEN(SUBSTITUTE('Aprilie 2020 2.0'!$G$3:$G$680,A60,"")),0))/LEN(A60)</f>
        <v>0</v>
      </c>
      <c r="G60" s="3180" cm="1">
        <f t="array" ref="G60">SUM(IF('Aprilie 2020 2.0'!$I$3:$I$680=$G$3,LEN('Aprilie 2020 2.0'!$G$3:$G$680)-LEN(SUBSTITUTE('Aprilie 2020 2.0'!$G$3:$G$680,A60,"")),0))/LEN(A60)</f>
        <v>0</v>
      </c>
      <c r="H60" s="3180" cm="1">
        <f t="array" ref="H60">SUM(IF('Aprilie 2020 2.0'!$I$3:$I$680=$H$3,LEN('Aprilie 2020 2.0'!$G$3:$G$680)-LEN(SUBSTITUTE('Aprilie 2020 2.0'!$G$3:$G$680,A60,"")),0))/LEN(A60)</f>
        <v>0</v>
      </c>
      <c r="I60" s="3180">
        <f t="shared" si="2"/>
        <v>0</v>
      </c>
      <c r="J60" s="3180"/>
      <c r="K60" s="3180"/>
      <c r="L60" s="3180" t="s">
        <v>7663</v>
      </c>
      <c r="M60" s="2911" t="s">
        <v>12532</v>
      </c>
    </row>
    <row r="61" spans="1:14" x14ac:dyDescent="0.35">
      <c r="A61" s="3183" t="s">
        <v>11118</v>
      </c>
      <c r="B61" s="3184" cm="1">
        <f t="array" ref="B61">SUM(IF('Aprilie 2020 2.0'!$I$3:$I$680=$B$3,LEN('Aprilie 2020 2.0'!$G$3:$G$680)-LEN(SUBSTITUTE('Aprilie 2020 2.0'!$G$3:$G$680,A61,"")),0))/LEN(A61)</f>
        <v>0</v>
      </c>
      <c r="C61" s="3184" cm="1">
        <f t="array" ref="C61">SUM(IF('Aprilie 2020 2.0'!$I$3:$I$680=$C$3,LEN('Aprilie 2020 2.0'!$G$3:$G$680)-LEN(SUBSTITUTE('Aprilie 2020 2.0'!$G$3:$G$680,A61,"")),0))/LEN(A61)</f>
        <v>0</v>
      </c>
      <c r="D61" s="3184" cm="1">
        <f t="array" ref="D61">SUM(IF('Aprilie 2020 2.0'!$I$3:$I$680=$D$3,LEN('Aprilie 2020 2.0'!$G$3:$G$680)-LEN(SUBSTITUTE('Aprilie 2020 2.0'!$G$3:$G$680,A61,"")),0))/LEN(A61)</f>
        <v>0</v>
      </c>
      <c r="E61" s="3180" cm="1">
        <f t="array" ref="E61">SUM(IF('Aprilie 2020 2.0'!$I$3:$I$680=$E$3,LEN('Aprilie 2020 2.0'!$G$3:$G$680)-LEN(SUBSTITUTE('Aprilie 2020 2.0'!$G$3:$G$680,A61,"")),0))/LEN(A61)</f>
        <v>0</v>
      </c>
      <c r="F61" s="3180" cm="1">
        <f t="array" ref="F61">SUM(IF('Aprilie 2020 2.0'!$I$3:$I$680=$F$3,LEN('Aprilie 2020 2.0'!$G$3:$G$680)-LEN(SUBSTITUTE('Aprilie 2020 2.0'!$G$3:$G$680,A61,"")),0))/LEN(A61)</f>
        <v>0</v>
      </c>
      <c r="G61" s="3180" cm="1">
        <f t="array" ref="G61">SUM(IF('Aprilie 2020 2.0'!$I$3:$I$680=$G$3,LEN('Aprilie 2020 2.0'!$G$3:$G$680)-LEN(SUBSTITUTE('Aprilie 2020 2.0'!$G$3:$G$680,A61,"")),0))/LEN(A61)</f>
        <v>0</v>
      </c>
      <c r="H61" s="3180" cm="1">
        <f t="array" ref="H61">SUM(IF('Aprilie 2020 2.0'!$I$3:$I$680=$H$3,LEN('Aprilie 2020 2.0'!$G$3:$G$680)-LEN(SUBSTITUTE('Aprilie 2020 2.0'!$G$3:$G$680,A61,"")),0))/LEN(A61)</f>
        <v>0</v>
      </c>
      <c r="I61" s="3182">
        <f t="shared" si="2"/>
        <v>0</v>
      </c>
      <c r="J61" s="3182"/>
      <c r="K61" s="3182"/>
      <c r="L61" s="3180" t="s">
        <v>7663</v>
      </c>
      <c r="M61" s="2911" t="s">
        <v>12532</v>
      </c>
      <c r="N61" s="1361">
        <f>Table25[[#This Row],[Necesar]]*100</f>
        <v>0</v>
      </c>
    </row>
    <row r="62" spans="1:14" x14ac:dyDescent="0.35">
      <c r="A62" s="3186" t="s">
        <v>12558</v>
      </c>
      <c r="B62" s="3180" cm="1">
        <f t="array" ref="B62">SUM(IF('Aprilie 2020 2.0'!$I$3:$I$680=$B$3,LEN('Aprilie 2020 2.0'!$G$3:$G$680)-LEN(SUBSTITUTE('Aprilie 2020 2.0'!$G$3:$G$680,A62,"")),0))/LEN(A62)</f>
        <v>0</v>
      </c>
      <c r="C62" s="3180" cm="1">
        <f t="array" ref="C62">SUM(IF('Aprilie 2020 2.0'!$I$3:$I$680=$C$3,LEN('Aprilie 2020 2.0'!$G$3:$G$680)-LEN(SUBSTITUTE('Aprilie 2020 2.0'!$G$3:$G$680,A62,"")),0))/LEN(A62)</f>
        <v>0</v>
      </c>
      <c r="D62" s="3180" cm="1">
        <f t="array" ref="D62">SUM(IF('Aprilie 2020 2.0'!$I$3:$I$680=$D$3,LEN('Aprilie 2020 2.0'!$G$3:$G$680)-LEN(SUBSTITUTE('Aprilie 2020 2.0'!$G$3:$G$680,A62,"")),0))/LEN(A62)</f>
        <v>0</v>
      </c>
      <c r="E62" s="3180" cm="1">
        <f t="array" ref="E62">SUM(IF('Aprilie 2020 2.0'!$I$3:$I$680=$E$3,LEN('Aprilie 2020 2.0'!$G$3:$G$680)-LEN(SUBSTITUTE('Aprilie 2020 2.0'!$G$3:$G$680,A62,"")),0))/LEN(A62)</f>
        <v>0</v>
      </c>
      <c r="F62" s="3180" cm="1">
        <f t="array" ref="F62">SUM(IF('Aprilie 2020 2.0'!$I$3:$I$680=$F$3,LEN('Aprilie 2020 2.0'!$G$3:$G$680)-LEN(SUBSTITUTE('Aprilie 2020 2.0'!$G$3:$G$680,A62,"")),0))/LEN(A62)</f>
        <v>0</v>
      </c>
      <c r="G62" s="3180" cm="1">
        <f t="array" ref="G62">SUM(IF('Aprilie 2020 2.0'!$I$3:$I$680=$G$3,LEN('Aprilie 2020 2.0'!$G$3:$G$680)-LEN(SUBSTITUTE('Aprilie 2020 2.0'!$G$3:$G$680,A62,"")),0))/LEN(A62)</f>
        <v>0</v>
      </c>
      <c r="H62" s="3180" cm="1">
        <f t="array" ref="H62">SUM(IF('Aprilie 2020 2.0'!$I$3:$I$680=$H$3,LEN('Aprilie 2020 2.0'!$G$3:$G$680)-LEN(SUBSTITUTE('Aprilie 2020 2.0'!$G$3:$G$680,A62,"")),0))/LEN(A62)</f>
        <v>0</v>
      </c>
      <c r="I62" s="3180">
        <f t="shared" si="2"/>
        <v>0</v>
      </c>
      <c r="J62" s="3180"/>
      <c r="K62" s="3180"/>
      <c r="L62" s="3180" t="s">
        <v>7663</v>
      </c>
      <c r="M62" s="2911" t="s">
        <v>12532</v>
      </c>
      <c r="N62" s="1361">
        <f>Table25[[#This Row],[Necesar]]*100</f>
        <v>0</v>
      </c>
    </row>
    <row r="63" spans="1:14" ht="17" customHeight="1" x14ac:dyDescent="0.35">
      <c r="A63" s="3186" t="s">
        <v>11120</v>
      </c>
      <c r="B63" s="3184" cm="1">
        <f t="array" ref="B63">SUM(IF('Aprilie 2020 2.0'!$I$3:$I$680=$B$3,LEN('Aprilie 2020 2.0'!$G$3:$G$680)-LEN(SUBSTITUTE('Aprilie 2020 2.0'!$G$3:$G$680,A63,"")),0))/LEN(A63)</f>
        <v>0</v>
      </c>
      <c r="C63" s="3184" cm="1">
        <f t="array" ref="C63">SUM(IF('Aprilie 2020 2.0'!$I$3:$I$680=$C$3,LEN('Aprilie 2020 2.0'!$G$3:$G$680)-LEN(SUBSTITUTE('Aprilie 2020 2.0'!$G$3:$G$680,A63,"")),0))/LEN(A63)</f>
        <v>0</v>
      </c>
      <c r="D63" s="3184" cm="1">
        <f t="array" ref="D63">SUM(IF('Aprilie 2020 2.0'!$I$3:$I$680=$D$3,LEN('Aprilie 2020 2.0'!$G$3:$G$680)-LEN(SUBSTITUTE('Aprilie 2020 2.0'!$G$3:$G$680,A63,"")),0))/LEN(A63)</f>
        <v>0</v>
      </c>
      <c r="E63" s="3180" cm="1">
        <f t="array" ref="E63">SUM(IF('Aprilie 2020 2.0'!$I$3:$I$680=$E$3,LEN('Aprilie 2020 2.0'!$G$3:$G$680)-LEN(SUBSTITUTE('Aprilie 2020 2.0'!$G$3:$G$680,A63,"")),0))/LEN(A63)</f>
        <v>0</v>
      </c>
      <c r="F63" s="3180" cm="1">
        <f t="array" ref="F63">SUM(IF('Aprilie 2020 2.0'!$I$3:$I$680=$F$3,LEN('Aprilie 2020 2.0'!$G$3:$G$680)-LEN(SUBSTITUTE('Aprilie 2020 2.0'!$G$3:$G$680,A63,"")),0))/LEN(A63)</f>
        <v>0</v>
      </c>
      <c r="G63" s="3180" cm="1">
        <f t="array" ref="G63">SUM(IF('Aprilie 2020 2.0'!$I$3:$I$680=$G$3,LEN('Aprilie 2020 2.0'!$G$3:$G$680)-LEN(SUBSTITUTE('Aprilie 2020 2.0'!$G$3:$G$680,A63,"")),0))/LEN(A63)</f>
        <v>0</v>
      </c>
      <c r="H63" s="3180" cm="1">
        <f t="array" ref="H63">SUM(IF('Aprilie 2020 2.0'!$I$3:$I$680=$H$3,LEN('Aprilie 2020 2.0'!$G$3:$G$680)-LEN(SUBSTITUTE('Aprilie 2020 2.0'!$G$3:$G$680,A63,"")),0))/LEN(A63)</f>
        <v>0</v>
      </c>
      <c r="I63" s="3180">
        <f t="shared" si="2"/>
        <v>0</v>
      </c>
      <c r="J63" s="3180"/>
      <c r="K63" s="3180"/>
      <c r="L63" s="3180"/>
      <c r="M63" s="2911" t="s">
        <v>12532</v>
      </c>
    </row>
    <row r="64" spans="1:14" ht="17" customHeight="1" x14ac:dyDescent="0.35">
      <c r="A64" s="3186" t="s">
        <v>12555</v>
      </c>
      <c r="B64" s="3180" cm="1">
        <f t="array" ref="B64">SUM(IF('Aprilie 2020 2.0'!$I$3:$I$680=$B$3,LEN('Aprilie 2020 2.0'!$G$3:$G$680)-LEN(SUBSTITUTE('Aprilie 2020 2.0'!$G$3:$G$680,A64,"")),0))/LEN(A64)</f>
        <v>0</v>
      </c>
      <c r="C64" s="3180" cm="1">
        <f t="array" ref="C64">SUM(IF('Aprilie 2020 2.0'!$I$3:$I$680=$C$3,LEN('Aprilie 2020 2.0'!$G$3:$G$680)-LEN(SUBSTITUTE('Aprilie 2020 2.0'!$G$3:$G$680,A64,"")),0))/LEN(A64)</f>
        <v>0</v>
      </c>
      <c r="D64" s="3180" cm="1">
        <f t="array" ref="D64">SUM(IF('Aprilie 2020 2.0'!$I$3:$I$680=$D$3,LEN('Aprilie 2020 2.0'!$G$3:$G$680)-LEN(SUBSTITUTE('Aprilie 2020 2.0'!$G$3:$G$680,A64,"")),0))/LEN(A64)</f>
        <v>0</v>
      </c>
      <c r="E64" s="3180" cm="1">
        <f t="array" ref="E64">SUM(IF('Aprilie 2020 2.0'!$I$3:$I$680=$E$3,LEN('Aprilie 2020 2.0'!$G$3:$G$680)-LEN(SUBSTITUTE('Aprilie 2020 2.0'!$G$3:$G$680,A64,"")),0))/LEN(A64)</f>
        <v>0</v>
      </c>
      <c r="F64" s="3180" cm="1">
        <f t="array" ref="F64">SUM(IF('Aprilie 2020 2.0'!$I$3:$I$680=$F$3,LEN('Aprilie 2020 2.0'!$G$3:$G$680)-LEN(SUBSTITUTE('Aprilie 2020 2.0'!$G$3:$G$680,A64,"")),0))/LEN(A64)</f>
        <v>0</v>
      </c>
      <c r="G64" s="3180" cm="1">
        <f t="array" ref="G64">SUM(IF('Aprilie 2020 2.0'!$I$3:$I$680=$G$3,LEN('Aprilie 2020 2.0'!$G$3:$G$680)-LEN(SUBSTITUTE('Aprilie 2020 2.0'!$G$3:$G$680,A64,"")),0))/LEN(A64)</f>
        <v>0</v>
      </c>
      <c r="H64" s="3180" cm="1">
        <f t="array" ref="H64">SUM(IF('Aprilie 2020 2.0'!$I$3:$I$680=$H$3,LEN('Aprilie 2020 2.0'!$G$3:$G$680)-LEN(SUBSTITUTE('Aprilie 2020 2.0'!$G$3:$G$680,A64,"")),0))/LEN(A64)</f>
        <v>0</v>
      </c>
      <c r="I64" s="3180">
        <f t="shared" si="2"/>
        <v>0</v>
      </c>
      <c r="J64" s="3180"/>
      <c r="K64" s="3180"/>
      <c r="L64" s="3180" t="s">
        <v>7663</v>
      </c>
      <c r="M64" s="2911" t="s">
        <v>12532</v>
      </c>
    </row>
    <row r="65" spans="1:13" ht="17" customHeight="1" x14ac:dyDescent="0.35">
      <c r="A65" s="3190" t="s">
        <v>11121</v>
      </c>
      <c r="B65" s="3184" cm="1">
        <f t="array" ref="B65">SUM(IF('Aprilie 2020 2.0'!$I$3:$I$680=$B$3,LEN('Aprilie 2020 2.0'!$G$3:$G$680)-LEN(SUBSTITUTE('Aprilie 2020 2.0'!$G$3:$G$680,A65,"")),0))/LEN(A65)</f>
        <v>0</v>
      </c>
      <c r="C65" s="3184" cm="1">
        <f t="array" ref="C65">SUM(IF('Aprilie 2020 2.0'!$I$3:$I$680=$C$3,LEN('Aprilie 2020 2.0'!$G$3:$G$680)-LEN(SUBSTITUTE('Aprilie 2020 2.0'!$G$3:$G$680,A65,"")),0))/LEN(A65)</f>
        <v>0</v>
      </c>
      <c r="D65" s="3184" cm="1">
        <f t="array" ref="D65">SUM(IF('Aprilie 2020 2.0'!$I$3:$I$680=$D$3,LEN('Aprilie 2020 2.0'!$G$3:$G$680)-LEN(SUBSTITUTE('Aprilie 2020 2.0'!$G$3:$G$680,A65,"")),0))/LEN(A65)</f>
        <v>0</v>
      </c>
      <c r="E65" s="3180" cm="1">
        <f t="array" ref="E65">SUM(IF('Aprilie 2020 2.0'!$I$3:$I$680=$E$3,LEN('Aprilie 2020 2.0'!$G$3:$G$680)-LEN(SUBSTITUTE('Aprilie 2020 2.0'!$G$3:$G$680,A65,"")),0))/LEN(A65)</f>
        <v>0</v>
      </c>
      <c r="F65" s="3180" cm="1">
        <f t="array" ref="F65">SUM(IF('Aprilie 2020 2.0'!$I$3:$I$680=$F$3,LEN('Aprilie 2020 2.0'!$G$3:$G$680)-LEN(SUBSTITUTE('Aprilie 2020 2.0'!$G$3:$G$680,A65,"")),0))/LEN(A65)</f>
        <v>0</v>
      </c>
      <c r="G65" s="3180" cm="1">
        <f t="array" ref="G65">SUM(IF('Aprilie 2020 2.0'!$I$3:$I$680=$G$3,LEN('Aprilie 2020 2.0'!$G$3:$G$680)-LEN(SUBSTITUTE('Aprilie 2020 2.0'!$G$3:$G$680,A65,"")),0))/LEN(A65)</f>
        <v>0</v>
      </c>
      <c r="H65" s="3180" cm="1">
        <f t="array" ref="H65">SUM(IF('Aprilie 2020 2.0'!$I$3:$I$680=$H$3,LEN('Aprilie 2020 2.0'!$G$3:$G$680)-LEN(SUBSTITUTE('Aprilie 2020 2.0'!$G$3:$G$680,A65,"")),0))/LEN(A65)</f>
        <v>0</v>
      </c>
      <c r="I65" s="3180">
        <f t="shared" si="2"/>
        <v>0</v>
      </c>
      <c r="J65" s="3180"/>
      <c r="K65" s="3180"/>
      <c r="L65" s="3180" t="s">
        <v>7663</v>
      </c>
      <c r="M65" s="2911" t="s">
        <v>12532</v>
      </c>
    </row>
    <row r="66" spans="1:13" ht="15.5" customHeight="1" x14ac:dyDescent="0.35">
      <c r="A66" s="3183" t="s">
        <v>11122</v>
      </c>
      <c r="B66" s="3184" cm="1">
        <f t="array" ref="B66">SUM(IF('Aprilie 2020 2.0'!$I$3:$I$680=$B$3,LEN('Aprilie 2020 2.0'!$G$3:$G$680)-LEN(SUBSTITUTE('Aprilie 2020 2.0'!$G$3:$G$680,A66,"")),0))/LEN(A66)</f>
        <v>0</v>
      </c>
      <c r="C66" s="3184" cm="1">
        <f t="array" ref="C66">SUM(IF('Aprilie 2020 2.0'!$I$3:$I$680=$C$3,LEN('Aprilie 2020 2.0'!$G$3:$G$680)-LEN(SUBSTITUTE('Aprilie 2020 2.0'!$G$3:$G$680,A66,"")),0))/LEN(A66)</f>
        <v>0</v>
      </c>
      <c r="D66" s="3184" cm="1">
        <f t="array" ref="D66">SUM(IF('Aprilie 2020 2.0'!$I$3:$I$680=$D$3,LEN('Aprilie 2020 2.0'!$G$3:$G$680)-LEN(SUBSTITUTE('Aprilie 2020 2.0'!$G$3:$G$680,A66,"")),0))/LEN(A66)</f>
        <v>0</v>
      </c>
      <c r="E66" s="3180" cm="1">
        <f t="array" ref="E66">SUM(IF('Aprilie 2020 2.0'!$I$3:$I$680=$E$3,LEN('Aprilie 2020 2.0'!$G$3:$G$680)-LEN(SUBSTITUTE('Aprilie 2020 2.0'!$G$3:$G$680,A66,"")),0))/LEN(A66)</f>
        <v>0</v>
      </c>
      <c r="F66" s="3180" cm="1">
        <f t="array" ref="F66">SUM(IF('Aprilie 2020 2.0'!$I$3:$I$680=$F$3,LEN('Aprilie 2020 2.0'!$G$3:$G$680)-LEN(SUBSTITUTE('Aprilie 2020 2.0'!$G$3:$G$680,A66,"")),0))/LEN(A66)</f>
        <v>0</v>
      </c>
      <c r="G66" s="3180" cm="1">
        <f t="array" ref="G66">SUM(IF('Aprilie 2020 2.0'!$I$3:$I$680=$G$3,LEN('Aprilie 2020 2.0'!$G$3:$G$680)-LEN(SUBSTITUTE('Aprilie 2020 2.0'!$G$3:$G$680,A66,"")),0))/LEN(A66)</f>
        <v>0</v>
      </c>
      <c r="H66" s="3180" cm="1">
        <f t="array" ref="H66">SUM(IF('Aprilie 2020 2.0'!$I$3:$I$680=$H$3,LEN('Aprilie 2020 2.0'!$G$3:$G$680)-LEN(SUBSTITUTE('Aprilie 2020 2.0'!$G$3:$G$680,A66,"")),0))/LEN(A66)</f>
        <v>0</v>
      </c>
      <c r="I66" s="3180">
        <f t="shared" si="2"/>
        <v>0</v>
      </c>
      <c r="J66" s="3180"/>
      <c r="K66" s="3180"/>
      <c r="L66" s="3180" t="s">
        <v>7663</v>
      </c>
      <c r="M66" s="2911" t="s">
        <v>12532</v>
      </c>
    </row>
    <row r="67" spans="1:13" ht="15" customHeight="1" x14ac:dyDescent="0.35">
      <c r="A67" s="3191" t="s">
        <v>11123</v>
      </c>
      <c r="B67" s="3184" cm="1">
        <f t="array" ref="B67">SUM(IF('Aprilie 2020 2.0'!$I$3:$I$680=$B$3,LEN('Aprilie 2020 2.0'!$G$3:$G$680)-LEN(SUBSTITUTE('Aprilie 2020 2.0'!$G$3:$G$680,A67,"")),0))/LEN(A67)</f>
        <v>0</v>
      </c>
      <c r="C67" s="3184" cm="1">
        <f t="array" ref="C67">SUM(IF('Aprilie 2020 2.0'!$I$3:$I$680=$C$3,LEN('Aprilie 2020 2.0'!$G$3:$G$680)-LEN(SUBSTITUTE('Aprilie 2020 2.0'!$G$3:$G$680,A67,"")),0))/LEN(A67)</f>
        <v>0</v>
      </c>
      <c r="D67" s="3184" cm="1">
        <f t="array" ref="D67">SUM(IF('Aprilie 2020 2.0'!$I$3:$I$680=$D$3,LEN('Aprilie 2020 2.0'!$G$3:$G$680)-LEN(SUBSTITUTE('Aprilie 2020 2.0'!$G$3:$G$680,A67,"")),0))/LEN(A67)</f>
        <v>0</v>
      </c>
      <c r="E67" s="3180" cm="1">
        <f t="array" ref="E67">SUM(IF('Aprilie 2020 2.0'!$I$3:$I$680=$E$3,LEN('Aprilie 2020 2.0'!$G$3:$G$680)-LEN(SUBSTITUTE('Aprilie 2020 2.0'!$G$3:$G$680,A67,"")),0))/LEN(A67)</f>
        <v>0</v>
      </c>
      <c r="F67" s="3180" cm="1">
        <f t="array" ref="F67">SUM(IF('Aprilie 2020 2.0'!$I$3:$I$680=$F$3,LEN('Aprilie 2020 2.0'!$G$3:$G$680)-LEN(SUBSTITUTE('Aprilie 2020 2.0'!$G$3:$G$680,A67,"")),0))/LEN(A67)</f>
        <v>0</v>
      </c>
      <c r="G67" s="3180" cm="1">
        <f t="array" ref="G67">SUM(IF('Aprilie 2020 2.0'!$I$3:$I$680=$G$3,LEN('Aprilie 2020 2.0'!$G$3:$G$680)-LEN(SUBSTITUTE('Aprilie 2020 2.0'!$G$3:$G$680,A67,"")),0))/LEN(A67)</f>
        <v>0</v>
      </c>
      <c r="H67" s="3180" cm="1">
        <f t="array" ref="H67">SUM(IF('Aprilie 2020 2.0'!$I$3:$I$680=$H$3,LEN('Aprilie 2020 2.0'!$G$3:$G$680)-LEN(SUBSTITUTE('Aprilie 2020 2.0'!$G$3:$G$680,A67,"")),0))/LEN(A67)</f>
        <v>0</v>
      </c>
      <c r="I67" s="3180">
        <f t="shared" si="2"/>
        <v>0</v>
      </c>
      <c r="J67" s="3180"/>
      <c r="K67" s="3180"/>
      <c r="L67" s="3180" t="s">
        <v>7663</v>
      </c>
      <c r="M67" s="2911" t="s">
        <v>12532</v>
      </c>
    </row>
    <row r="68" spans="1:13" ht="14.5" customHeight="1" x14ac:dyDescent="0.35">
      <c r="A68" s="3186" t="s">
        <v>11125</v>
      </c>
      <c r="B68" s="3184" cm="1">
        <f t="array" ref="B68">SUM(IF('Aprilie 2020 2.0'!$I$3:$I$680=$B$3,LEN('Aprilie 2020 2.0'!$G$3:$G$680)-LEN(SUBSTITUTE('Aprilie 2020 2.0'!$G$3:$G$680,A68,"")),0))/LEN(A68)</f>
        <v>0</v>
      </c>
      <c r="C68" s="3184" cm="1">
        <f t="array" ref="C68">SUM(IF('Aprilie 2020 2.0'!$I$3:$I$680=$C$3,LEN('Aprilie 2020 2.0'!$G$3:$G$680)-LEN(SUBSTITUTE('Aprilie 2020 2.0'!$G$3:$G$680,A68,"")),0))/LEN(A68)</f>
        <v>0</v>
      </c>
      <c r="D68" s="3184" cm="1">
        <f t="array" ref="D68">SUM(IF('Aprilie 2020 2.0'!$I$3:$I$680=$D$3,LEN('Aprilie 2020 2.0'!$G$3:$G$680)-LEN(SUBSTITUTE('Aprilie 2020 2.0'!$G$3:$G$680,A68,"")),0))/LEN(A68)</f>
        <v>0</v>
      </c>
      <c r="E68" s="3180" cm="1">
        <f t="array" ref="E68">SUM(IF('Aprilie 2020 2.0'!$I$3:$I$680=$E$3,LEN('Aprilie 2020 2.0'!$G$3:$G$680)-LEN(SUBSTITUTE('Aprilie 2020 2.0'!$G$3:$G$680,A68,"")),0))/LEN(A68)</f>
        <v>0</v>
      </c>
      <c r="F68" s="3180" cm="1">
        <f t="array" ref="F68">SUM(IF('Aprilie 2020 2.0'!$I$3:$I$680=$F$3,LEN('Aprilie 2020 2.0'!$G$3:$G$680)-LEN(SUBSTITUTE('Aprilie 2020 2.0'!$G$3:$G$680,A68,"")),0))/LEN(A68)</f>
        <v>0</v>
      </c>
      <c r="G68" s="3180" cm="1">
        <f t="array" ref="G68">SUM(IF('Aprilie 2020 2.0'!$I$3:$I$680=$G$3,LEN('Aprilie 2020 2.0'!$G$3:$G$680)-LEN(SUBSTITUTE('Aprilie 2020 2.0'!$G$3:$G$680,A68,"")),0))/LEN(A68)</f>
        <v>0</v>
      </c>
      <c r="H68" s="3180" cm="1">
        <f t="array" ref="H68">SUM(IF('Aprilie 2020 2.0'!$I$3:$I$680=$H$3,LEN('Aprilie 2020 2.0'!$G$3:$G$680)-LEN(SUBSTITUTE('Aprilie 2020 2.0'!$G$3:$G$680,A68,"")),0))/LEN(A68)</f>
        <v>0</v>
      </c>
      <c r="I68" s="3180">
        <f t="shared" si="2"/>
        <v>0</v>
      </c>
      <c r="J68" s="3180"/>
      <c r="K68" s="3180"/>
      <c r="L68" s="3180" t="s">
        <v>7663</v>
      </c>
      <c r="M68" s="2911" t="s">
        <v>12532</v>
      </c>
    </row>
    <row r="69" spans="1:13" x14ac:dyDescent="0.35">
      <c r="A69" s="3183" t="s">
        <v>11126</v>
      </c>
      <c r="B69" s="2912" cm="1">
        <f t="array" ref="B69">SUM(IF('Aprilie 2020 2.0'!$I$3:$I$680=$B$3,LEN('Aprilie 2020 2.0'!$G$3:$G$680)-LEN(SUBSTITUTE('Aprilie 2020 2.0'!$G$3:$G$680,A69,"")),0))/LEN(A69)</f>
        <v>0</v>
      </c>
      <c r="C69" s="2912" cm="1">
        <f t="array" ref="C69">SUM(IF('Aprilie 2020 2.0'!$I$3:$I$680=$C$3,LEN('Aprilie 2020 2.0'!$G$3:$G$680)-LEN(SUBSTITUTE('Aprilie 2020 2.0'!$G$3:$G$680,A69,"")),0))/LEN(A69)</f>
        <v>0</v>
      </c>
      <c r="D69" s="2912" cm="1">
        <f t="array" ref="D69">SUM(IF('Aprilie 2020 2.0'!$I$3:$I$680=$D$3,LEN('Aprilie 2020 2.0'!$G$3:$G$680)-LEN(SUBSTITUTE('Aprilie 2020 2.0'!$G$3:$G$680,A69,"")),0))/LEN(A69)</f>
        <v>0</v>
      </c>
      <c r="E69" s="2911" cm="1">
        <f t="array" ref="E69">SUM(IF('Aprilie 2020 2.0'!$I$3:$I$680=$E$3,LEN('Aprilie 2020 2.0'!$G$3:$G$680)-LEN(SUBSTITUTE('Aprilie 2020 2.0'!$G$3:$G$680,A69,"")),0))/LEN(A69)</f>
        <v>0</v>
      </c>
      <c r="F69" s="2911" cm="1">
        <f t="array" ref="F69">SUM(IF('Aprilie 2020 2.0'!$I$3:$I$680=$F$3,LEN('Aprilie 2020 2.0'!$G$3:$G$680)-LEN(SUBSTITUTE('Aprilie 2020 2.0'!$G$3:$G$680,A69,"")),0))/LEN(A69)</f>
        <v>0</v>
      </c>
      <c r="G69" s="2911" cm="1">
        <f t="array" ref="G69">SUM(IF('Aprilie 2020 2.0'!$I$3:$I$680=$G$3,LEN('Aprilie 2020 2.0'!$G$3:$G$680)-LEN(SUBSTITUTE('Aprilie 2020 2.0'!$G$3:$G$680,A69,"")),0))/LEN(A69)</f>
        <v>0</v>
      </c>
      <c r="H69" s="3180" cm="1">
        <f t="array" ref="H69">SUM(IF('Aprilie 2020 2.0'!$I$3:$I$680=$H$3,LEN('Aprilie 2020 2.0'!$G$3:$G$680)-LEN(SUBSTITUTE('Aprilie 2020 2.0'!$G$3:$G$680,A69,"")),0))/LEN(A69)</f>
        <v>0</v>
      </c>
      <c r="I69" s="3180">
        <f t="shared" si="2"/>
        <v>0</v>
      </c>
      <c r="J69" s="3180"/>
      <c r="K69" s="3180"/>
      <c r="L69" s="3180"/>
      <c r="M69" s="2911" t="s">
        <v>12532</v>
      </c>
    </row>
    <row r="70" spans="1:13" ht="14.5" customHeight="1" x14ac:dyDescent="0.35">
      <c r="A70" s="3186" t="s">
        <v>11438</v>
      </c>
      <c r="B70" s="3180" cm="1">
        <f t="array" ref="B70">SUM(IF('Aprilie 2020 2.0'!$I$3:$I$680=$B$3,LEN('Aprilie 2020 2.0'!$G$3:$G$680)-LEN(SUBSTITUTE('Aprilie 2020 2.0'!$G$3:$G$680,A70,"")),0))/LEN(A70)</f>
        <v>0</v>
      </c>
      <c r="C70" s="3180" cm="1">
        <f t="array" ref="C70">SUM(IF('Aprilie 2020 2.0'!$I$3:$I$680=$C$3,LEN('Aprilie 2020 2.0'!$G$3:$G$680)-LEN(SUBSTITUTE('Aprilie 2020 2.0'!$G$3:$G$680,A70,"")),0))/LEN(A70)</f>
        <v>0</v>
      </c>
      <c r="D70" s="3180" cm="1">
        <f t="array" ref="D70">SUM(IF('Aprilie 2020 2.0'!$I$3:$I$680=$D$3,LEN('Aprilie 2020 2.0'!$G$3:$G$680)-LEN(SUBSTITUTE('Aprilie 2020 2.0'!$G$3:$G$680,A70,"")),0))/LEN(A70)</f>
        <v>0</v>
      </c>
      <c r="E70" s="3180" cm="1">
        <f t="array" ref="E70">SUM(IF('Aprilie 2020 2.0'!$I$3:$I$680=$E$3,LEN('Aprilie 2020 2.0'!$G$3:$G$680)-LEN(SUBSTITUTE('Aprilie 2020 2.0'!$G$3:$G$680,A70,"")),0))/LEN(A70)</f>
        <v>0</v>
      </c>
      <c r="F70" s="3180" cm="1">
        <f t="array" ref="F70">SUM(IF('Aprilie 2020 2.0'!$I$3:$I$680=$F$3,LEN('Aprilie 2020 2.0'!$G$3:$G$680)-LEN(SUBSTITUTE('Aprilie 2020 2.0'!$G$3:$G$680,A70,"")),0))/LEN(A70)</f>
        <v>0</v>
      </c>
      <c r="G70" s="3180" cm="1">
        <f t="array" ref="G70">SUM(IF('Aprilie 2020 2.0'!$I$3:$I$680=$G$3,LEN('Aprilie 2020 2.0'!$G$3:$G$680)-LEN(SUBSTITUTE('Aprilie 2020 2.0'!$G$3:$G$680,A70,"")),0))/LEN(A70)</f>
        <v>0</v>
      </c>
      <c r="H70" s="3180" cm="1">
        <f t="array" ref="H70">SUM(IF('Aprilie 2020 2.0'!$I$3:$I$680=$H$3,LEN('Aprilie 2020 2.0'!$G$3:$G$680)-LEN(SUBSTITUTE('Aprilie 2020 2.0'!$G$3:$G$680,A70,"")),0))/LEN(A70)</f>
        <v>0</v>
      </c>
      <c r="I70" s="3182">
        <f t="shared" si="2"/>
        <v>0</v>
      </c>
      <c r="J70" s="3182"/>
      <c r="K70" s="3182"/>
      <c r="L70" s="3180" t="s">
        <v>7663</v>
      </c>
      <c r="M70" s="2911" t="s">
        <v>12532</v>
      </c>
    </row>
    <row r="71" spans="1:13" ht="14.5" customHeight="1" x14ac:dyDescent="0.35">
      <c r="A71" s="3186" t="s">
        <v>11127</v>
      </c>
      <c r="B71" s="3184" cm="1">
        <f t="array" ref="B71">SUM(IF('Aprilie 2020 2.0'!$I$3:$I$680=$B$3,LEN('Aprilie 2020 2.0'!$G$3:$G$680)-LEN(SUBSTITUTE('Aprilie 2020 2.0'!$G$3:$G$680,A71,"")),0))/LEN(A71)</f>
        <v>0</v>
      </c>
      <c r="C71" s="3184" cm="1">
        <f t="array" ref="C71">SUM(IF('Aprilie 2020 2.0'!$I$3:$I$680=$C$3,LEN('Aprilie 2020 2.0'!$G$3:$G$680)-LEN(SUBSTITUTE('Aprilie 2020 2.0'!$G$3:$G$680,A71,"")),0))/LEN(A71)</f>
        <v>0</v>
      </c>
      <c r="D71" s="3184" cm="1">
        <f t="array" ref="D71">SUM(IF('Aprilie 2020 2.0'!$I$3:$I$680=$D$3,LEN('Aprilie 2020 2.0'!$G$3:$G$680)-LEN(SUBSTITUTE('Aprilie 2020 2.0'!$G$3:$G$680,A71,"")),0))/LEN(A71)</f>
        <v>0</v>
      </c>
      <c r="E71" s="3180" cm="1">
        <f t="array" ref="E71">SUM(IF('Aprilie 2020 2.0'!$I$3:$I$680=$E$3,LEN('Aprilie 2020 2.0'!$G$3:$G$680)-LEN(SUBSTITUTE('Aprilie 2020 2.0'!$G$3:$G$680,A71,"")),0))/LEN(A71)</f>
        <v>0</v>
      </c>
      <c r="F71" s="3180" cm="1">
        <f t="array" ref="F71">SUM(IF('Aprilie 2020 2.0'!$I$3:$I$680=$F$3,LEN('Aprilie 2020 2.0'!$G$3:$G$680)-LEN(SUBSTITUTE('Aprilie 2020 2.0'!$G$3:$G$680,A71,"")),0))/LEN(A71)</f>
        <v>0</v>
      </c>
      <c r="G71" s="3180" cm="1">
        <f t="array" ref="G71">SUM(IF('Aprilie 2020 2.0'!$I$3:$I$680=$G$3,LEN('Aprilie 2020 2.0'!$G$3:$G$680)-LEN(SUBSTITUTE('Aprilie 2020 2.0'!$G$3:$G$680,A71,"")),0))/LEN(A71)</f>
        <v>0</v>
      </c>
      <c r="H71" s="3180" cm="1">
        <f t="array" ref="H71">SUM(IF('Aprilie 2020 2.0'!$I$3:$I$680=$H$3,LEN('Aprilie 2020 2.0'!$G$3:$G$680)-LEN(SUBSTITUTE('Aprilie 2020 2.0'!$G$3:$G$680,A71,"")),0))/LEN(A71)</f>
        <v>0</v>
      </c>
      <c r="I71" s="3182">
        <f t="shared" si="2"/>
        <v>0</v>
      </c>
      <c r="J71" s="3182"/>
      <c r="K71" s="3182"/>
      <c r="L71" s="3180" t="s">
        <v>7663</v>
      </c>
      <c r="M71" s="2911" t="s">
        <v>12532</v>
      </c>
    </row>
    <row r="72" spans="1:13" ht="16.5" customHeight="1" x14ac:dyDescent="0.35">
      <c r="A72" s="3186" t="s">
        <v>12557</v>
      </c>
      <c r="B72" s="3180" cm="1">
        <f t="array" ref="B72">SUM(IF('Aprilie 2020 2.0'!$I$3:$I$680=$B$3,LEN('Aprilie 2020 2.0'!$G$3:$G$680)-LEN(SUBSTITUTE('Aprilie 2020 2.0'!$G$3:$G$680,A72,"")),0))/LEN(A72)</f>
        <v>0</v>
      </c>
      <c r="C72" s="3180" cm="1">
        <f t="array" ref="C72">SUM(IF('Aprilie 2020 2.0'!$I$3:$I$680=$C$3,LEN('Aprilie 2020 2.0'!$G$3:$G$680)-LEN(SUBSTITUTE('Aprilie 2020 2.0'!$G$3:$G$680,A72,"")),0))/LEN(A72)</f>
        <v>0</v>
      </c>
      <c r="D72" s="3180" cm="1">
        <f t="array" ref="D72">SUM(IF('Aprilie 2020 2.0'!$I$3:$I$680=$D$3,LEN('Aprilie 2020 2.0'!$G$3:$G$680)-LEN(SUBSTITUTE('Aprilie 2020 2.0'!$G$3:$G$680,A72,"")),0))/LEN(A72)</f>
        <v>0</v>
      </c>
      <c r="E72" s="3180" cm="1">
        <f t="array" ref="E72">SUM(IF('Aprilie 2020 2.0'!$I$3:$I$680=$E$3,LEN('Aprilie 2020 2.0'!$G$3:$G$680)-LEN(SUBSTITUTE('Aprilie 2020 2.0'!$G$3:$G$680,A72,"")),0))/LEN(A72)</f>
        <v>0</v>
      </c>
      <c r="F72" s="3180" cm="1">
        <f t="array" ref="F72">SUM(IF('Aprilie 2020 2.0'!$I$3:$I$680=$F$3,LEN('Aprilie 2020 2.0'!$G$3:$G$680)-LEN(SUBSTITUTE('Aprilie 2020 2.0'!$G$3:$G$680,A72,"")),0))/LEN(A72)</f>
        <v>0</v>
      </c>
      <c r="G72" s="3180" cm="1">
        <f t="array" ref="G72">SUM(IF('Aprilie 2020 2.0'!$I$3:$I$680=$G$3,LEN('Aprilie 2020 2.0'!$G$3:$G$680)-LEN(SUBSTITUTE('Aprilie 2020 2.0'!$G$3:$G$680,A72,"")),0))/LEN(A72)</f>
        <v>0</v>
      </c>
      <c r="H72" s="3180" cm="1">
        <f t="array" ref="H72">SUM(IF('Aprilie 2020 2.0'!$I$3:$I$680=$H$3,LEN('Aprilie 2020 2.0'!$G$3:$G$680)-LEN(SUBSTITUTE('Aprilie 2020 2.0'!$G$3:$G$680,A72,"")),0))/LEN(A72)</f>
        <v>0</v>
      </c>
      <c r="I72" s="3182">
        <f t="shared" si="2"/>
        <v>0</v>
      </c>
      <c r="J72" s="3182"/>
      <c r="K72" s="3182"/>
      <c r="L72" s="3180" t="s">
        <v>7663</v>
      </c>
      <c r="M72" s="2911" t="s">
        <v>12532</v>
      </c>
    </row>
    <row r="73" spans="1:13" ht="17" customHeight="1" x14ac:dyDescent="0.35">
      <c r="A73" s="3189" t="s">
        <v>12013</v>
      </c>
      <c r="B73" s="3180" cm="1">
        <f t="array" ref="B73">SUM(IF('Aprilie 2020 2.0'!$I$3:$I$680=$B$3,LEN('Aprilie 2020 2.0'!$G$3:$G$680)-LEN(SUBSTITUTE('Aprilie 2020 2.0'!$G$3:$G$680,A73,"")),0))/LEN(A73)</f>
        <v>0</v>
      </c>
      <c r="C73" s="3180" cm="1">
        <f t="array" ref="C73">SUM(IF('Aprilie 2020 2.0'!$I$3:$I$680=$C$3,LEN('Aprilie 2020 2.0'!$G$3:$G$680)-LEN(SUBSTITUTE('Aprilie 2020 2.0'!$G$3:$G$680,A73,"")),0))/LEN(A73)</f>
        <v>0</v>
      </c>
      <c r="D73" s="3180" cm="1">
        <f t="array" ref="D73">SUM(IF('Aprilie 2020 2.0'!$I$3:$I$680=$D$3,LEN('Aprilie 2020 2.0'!$G$3:$G$680)-LEN(SUBSTITUTE('Aprilie 2020 2.0'!$G$3:$G$680,A73,"")),0))/LEN(A73)</f>
        <v>0</v>
      </c>
      <c r="E73" s="3180" cm="1">
        <f t="array" ref="E73">SUM(IF('Aprilie 2020 2.0'!$I$3:$I$680=$E$3,LEN('Aprilie 2020 2.0'!$G$3:$G$680)-LEN(SUBSTITUTE('Aprilie 2020 2.0'!$G$3:$G$680,A73,"")),0))/LEN(A73)</f>
        <v>0</v>
      </c>
      <c r="F73" s="3180" cm="1">
        <f t="array" ref="F73">SUM(IF('Aprilie 2020 2.0'!$I$3:$I$680=$F$3,LEN('Aprilie 2020 2.0'!$G$3:$G$680)-LEN(SUBSTITUTE('Aprilie 2020 2.0'!$G$3:$G$680,A73,"")),0))/LEN(A73)</f>
        <v>0</v>
      </c>
      <c r="G73" s="3180" cm="1">
        <f t="array" ref="G73">SUM(IF('Aprilie 2020 2.0'!$I$3:$I$680=$G$3,LEN('Aprilie 2020 2.0'!$G$3:$G$680)-LEN(SUBSTITUTE('Aprilie 2020 2.0'!$G$3:$G$680,A73,"")),0))/LEN(A73)</f>
        <v>0</v>
      </c>
      <c r="H73" s="3180" cm="1">
        <f t="array" ref="H73">SUM(IF('Aprilie 2020 2.0'!$I$3:$I$680=$H$3,LEN('Aprilie 2020 2.0'!$G$3:$G$680)-LEN(SUBSTITUTE('Aprilie 2020 2.0'!$G$3:$G$680,A73,"")),0))/LEN(A73)</f>
        <v>0</v>
      </c>
      <c r="I73" s="3180">
        <f t="shared" si="2"/>
        <v>0</v>
      </c>
      <c r="J73" s="3180"/>
      <c r="K73" s="3180"/>
      <c r="L73" s="3180" t="s">
        <v>7663</v>
      </c>
      <c r="M73" s="2911" t="s">
        <v>13275</v>
      </c>
    </row>
    <row r="74" spans="1:13" ht="16.5" customHeight="1" x14ac:dyDescent="0.35">
      <c r="A74" s="3192" t="s">
        <v>14341</v>
      </c>
      <c r="B74" s="3193" cm="1">
        <f t="array" ref="B74">SUM(IF('Aprilie 2020 2.0'!$I$3:$I$680=$B$3,LEN('Aprilie 2020 2.0'!$G$3:$G$680)-LEN(SUBSTITUTE('Aprilie 2020 2.0'!$G$3:$G$680,A74,"")),0))/LEN(A74)</f>
        <v>0</v>
      </c>
      <c r="C74" s="3193" cm="1">
        <f t="array" ref="C74">SUM(IF('Aprilie 2020 2.0'!$I$3:$I$680=$C$3,LEN('Aprilie 2020 2.0'!$G$3:$G$680)-LEN(SUBSTITUTE('Aprilie 2020 2.0'!$G$3:$G$680,A74,"")),0))/LEN(A74)</f>
        <v>0</v>
      </c>
      <c r="D74" s="3193" cm="1">
        <f t="array" ref="D74">SUM(IF('Aprilie 2020 2.0'!$I$3:$I$680=$D$3,LEN('Aprilie 2020 2.0'!$G$3:$G$680)-LEN(SUBSTITUTE('Aprilie 2020 2.0'!$G$3:$G$680,A74,"")),0))/LEN(A74)</f>
        <v>0</v>
      </c>
      <c r="E74" s="3193" cm="1">
        <f t="array" ref="E74">SUM(IF('Aprilie 2020 2.0'!$I$3:$I$680=$E$3,LEN('Aprilie 2020 2.0'!$G$3:$G$680)-LEN(SUBSTITUTE('Aprilie 2020 2.0'!$G$3:$G$680,A74,"")),0))/LEN(A74)</f>
        <v>0</v>
      </c>
      <c r="F74" s="3193" cm="1">
        <f t="array" ref="F74">SUM(IF('Aprilie 2020 2.0'!$I$3:$I$680=$F$3,LEN('Aprilie 2020 2.0'!$G$3:$G$680)-LEN(SUBSTITUTE('Aprilie 2020 2.0'!$G$3:$G$680,A74,"")),0))/LEN(A74)</f>
        <v>0</v>
      </c>
      <c r="G74" s="3193" cm="1">
        <f t="array" ref="G74">SUM(IF('Aprilie 2020 2.0'!$I$3:$I$680=$G$3,LEN('Aprilie 2020 2.0'!$G$3:$G$680)-LEN(SUBSTITUTE('Aprilie 2020 2.0'!$G$3:$G$680,A74,"")),0))/LEN(A74)</f>
        <v>0</v>
      </c>
      <c r="H74" s="3193" cm="1">
        <f t="array" ref="H74">SUM(IF('Aprilie 2020 2.0'!$I$3:$I$680=$H$3,LEN('Aprilie 2020 2.0'!$G$3:$G$680)-LEN(SUBSTITUTE('Aprilie 2020 2.0'!$G$3:$G$680,A74,"")),0))/LEN(A74)</f>
        <v>0</v>
      </c>
      <c r="I74" s="3193">
        <f t="shared" si="2"/>
        <v>0</v>
      </c>
      <c r="J74" s="3193"/>
      <c r="K74" s="3193"/>
      <c r="L74" s="3193"/>
      <c r="M74" s="2911" t="s">
        <v>12537</v>
      </c>
    </row>
    <row r="75" spans="1:13" ht="14.5" customHeight="1" x14ac:dyDescent="0.35">
      <c r="A75" s="3225" t="s">
        <v>14342</v>
      </c>
      <c r="B75" s="3180" cm="1">
        <f t="array" ref="B75">SUM(IF('Aprilie 2020 2.0'!$I$3:$I$680=$B$3,LEN('Aprilie 2020 2.0'!$G$3:$G$680)-LEN(SUBSTITUTE('Aprilie 2020 2.0'!$G$3:$G$680,A75,"")),0))/LEN(A75)</f>
        <v>0</v>
      </c>
      <c r="C75" s="3180" cm="1">
        <f t="array" ref="C75">SUM(IF('Aprilie 2020 2.0'!$I$3:$I$680=$C$3,LEN('Aprilie 2020 2.0'!$G$3:$G$680)-LEN(SUBSTITUTE('Aprilie 2020 2.0'!$G$3:$G$680,A75,"")),0))/LEN(A75)</f>
        <v>0</v>
      </c>
      <c r="D75" s="3180" cm="1">
        <f t="array" ref="D75">SUM(IF('Aprilie 2020 2.0'!$I$3:$I$680=$D$3,LEN('Aprilie 2020 2.0'!$G$3:$G$680)-LEN(SUBSTITUTE('Aprilie 2020 2.0'!$G$3:$G$680,A75,"")),0))/LEN(A75)</f>
        <v>0</v>
      </c>
      <c r="E75" s="3180" cm="1">
        <f t="array" ref="E75">SUM(IF('Aprilie 2020 2.0'!$I$3:$I$680=$E$3,LEN('Aprilie 2020 2.0'!$G$3:$G$680)-LEN(SUBSTITUTE('Aprilie 2020 2.0'!$G$3:$G$680,A75,"")),0))/LEN(A75)</f>
        <v>0</v>
      </c>
      <c r="F75" s="3180" cm="1">
        <f t="array" ref="F75">SUM(IF('Aprilie 2020 2.0'!$I$3:$I$680=$F$3,LEN('Aprilie 2020 2.0'!$G$3:$G$680)-LEN(SUBSTITUTE('Aprilie 2020 2.0'!$G$3:$G$680,A75,"")),0))/LEN(A75)</f>
        <v>0</v>
      </c>
      <c r="G75" s="3180" cm="1">
        <f t="array" ref="G75">SUM(IF('Aprilie 2020 2.0'!$I$3:$I$680=$G$3,LEN('Aprilie 2020 2.0'!$G$3:$G$680)-LEN(SUBSTITUTE('Aprilie 2020 2.0'!$G$3:$G$680,A75,"")),0))/LEN(A75)</f>
        <v>0</v>
      </c>
      <c r="H75" s="3193" cm="1">
        <f t="array" ref="H75">SUM(IF('Aprilie 2020 2.0'!$I$3:$I$680=$H$3,LEN('Aprilie 2020 2.0'!$G$3:$G$680)-LEN(SUBSTITUTE('Aprilie 2020 2.0'!$G$3:$G$680,A75,"")),0))/LEN(A75)</f>
        <v>0</v>
      </c>
      <c r="I75" s="3193">
        <f t="shared" si="2"/>
        <v>0</v>
      </c>
      <c r="J75" s="3193"/>
      <c r="K75" s="3193"/>
      <c r="L75" s="3193" t="s">
        <v>7663</v>
      </c>
      <c r="M75" s="2911" t="s">
        <v>12537</v>
      </c>
    </row>
    <row r="76" spans="1:13" x14ac:dyDescent="0.35">
      <c r="A76" s="3194" t="s">
        <v>14352</v>
      </c>
      <c r="B76" s="3193" cm="1">
        <f t="array" ref="B76">SUM(IF('Aprilie 2020 2.0'!$I$3:$I$680=$B$3,LEN('Aprilie 2020 2.0'!$G$3:$G$680)-LEN(SUBSTITUTE('Aprilie 2020 2.0'!$G$3:$G$680,A76,"")),0))/LEN(A76)</f>
        <v>0</v>
      </c>
      <c r="C76" s="3193" cm="1">
        <f t="array" ref="C76">SUM(IF('Aprilie 2020 2.0'!$I$3:$I$680=$C$3,LEN('Aprilie 2020 2.0'!$G$3:$G$680)-LEN(SUBSTITUTE('Aprilie 2020 2.0'!$G$3:$G$680,A76,"")),0))/LEN(A76)</f>
        <v>0</v>
      </c>
      <c r="D76" s="3193" cm="1">
        <f t="array" ref="D76">SUM(IF('Aprilie 2020 2.0'!$I$3:$I$680=$D$3,LEN('Aprilie 2020 2.0'!$G$3:$G$680)-LEN(SUBSTITUTE('Aprilie 2020 2.0'!$G$3:$G$680,A76,"")),0))/LEN(A76)</f>
        <v>0</v>
      </c>
      <c r="E76" s="3193" cm="1">
        <f t="array" ref="E76">SUM(IF('Aprilie 2020 2.0'!$I$3:$I$680=$E$3,LEN('Aprilie 2020 2.0'!$G$3:$G$680)-LEN(SUBSTITUTE('Aprilie 2020 2.0'!$G$3:$G$680,A76,"")),0))/LEN(A76)</f>
        <v>0</v>
      </c>
      <c r="F76" s="3193" cm="1">
        <f t="array" ref="F76">SUM(IF('Aprilie 2020 2.0'!$I$3:$I$680=$F$3,LEN('Aprilie 2020 2.0'!$G$3:$G$680)-LEN(SUBSTITUTE('Aprilie 2020 2.0'!$G$3:$G$680,A76,"")),0))/LEN(A76)</f>
        <v>0</v>
      </c>
      <c r="G76" s="3193" cm="1">
        <f t="array" ref="G76">SUM(IF('Aprilie 2020 2.0'!$I$3:$I$680=$G$3,LEN('Aprilie 2020 2.0'!$G$3:$G$680)-LEN(SUBSTITUTE('Aprilie 2020 2.0'!$G$3:$G$680,A76,"")),0))/LEN(A76)</f>
        <v>0</v>
      </c>
      <c r="H76" s="3193" cm="1">
        <f t="array" ref="H76">SUM(IF('Aprilie 2020 2.0'!$I$3:$I$680=$H$3,LEN('Aprilie 2020 2.0'!$G$3:$G$680)-LEN(SUBSTITUTE('Aprilie 2020 2.0'!$G$3:$G$680,A76,"")),0))/LEN(A76)</f>
        <v>0</v>
      </c>
      <c r="I76" s="3193">
        <f t="shared" si="2"/>
        <v>0</v>
      </c>
      <c r="J76" s="3193"/>
      <c r="K76" s="3193"/>
      <c r="L76" s="3193" t="s">
        <v>7663</v>
      </c>
      <c r="M76" s="2911" t="s">
        <v>12537</v>
      </c>
    </row>
    <row r="77" spans="1:13" x14ac:dyDescent="0.35">
      <c r="A77" s="3194" t="s">
        <v>12553</v>
      </c>
      <c r="B77" s="3193" cm="1">
        <f t="array" ref="B77">SUM(IF('Aprilie 2020 2.0'!$I$3:$I$680=$B$3,LEN('Aprilie 2020 2.0'!$G$3:$G$680)-LEN(SUBSTITUTE('Aprilie 2020 2.0'!$G$3:$G$680,A77,"")),0))/LEN(A77)</f>
        <v>0</v>
      </c>
      <c r="C77" s="3193" cm="1">
        <f t="array" ref="C77">SUM(IF('Aprilie 2020 2.0'!$I$3:$I$680=$C$3,LEN('Aprilie 2020 2.0'!$G$3:$G$680)-LEN(SUBSTITUTE('Aprilie 2020 2.0'!$G$3:$G$680,A77,"")),0))/LEN(A77)</f>
        <v>0</v>
      </c>
      <c r="D77" s="3193" cm="1">
        <f t="array" ref="D77">SUM(IF('Aprilie 2020 2.0'!$I$3:$I$680=$D$3,LEN('Aprilie 2020 2.0'!$G$3:$G$680)-LEN(SUBSTITUTE('Aprilie 2020 2.0'!$G$3:$G$680,A77,"")),0))/LEN(A77)</f>
        <v>0</v>
      </c>
      <c r="E77" s="3193" cm="1">
        <f t="array" ref="E77">SUM(IF('Aprilie 2020 2.0'!$I$3:$I$680=$E$3,LEN('Aprilie 2020 2.0'!$G$3:$G$680)-LEN(SUBSTITUTE('Aprilie 2020 2.0'!$G$3:$G$680,A77,"")),0))/LEN(A77)</f>
        <v>0</v>
      </c>
      <c r="F77" s="3193" cm="1">
        <f t="array" ref="F77">SUM(IF('Aprilie 2020 2.0'!$I$3:$I$680=$F$3,LEN('Aprilie 2020 2.0'!$G$3:$G$680)-LEN(SUBSTITUTE('Aprilie 2020 2.0'!$G$3:$G$680,A77,"")),0))/LEN(A77)</f>
        <v>0</v>
      </c>
      <c r="G77" s="3193" cm="1">
        <f t="array" ref="G77">SUM(IF('Aprilie 2020 2.0'!$I$3:$I$680=$G$3,LEN('Aprilie 2020 2.0'!$G$3:$G$680)-LEN(SUBSTITUTE('Aprilie 2020 2.0'!$G$3:$G$680,A77,"")),0))/LEN(A77)</f>
        <v>0</v>
      </c>
      <c r="H77" s="3193" cm="1">
        <f t="array" ref="H77">SUM(IF('Aprilie 2020 2.0'!$I$3:$I$680=$H$3,LEN('Aprilie 2020 2.0'!$G$3:$G$680)-LEN(SUBSTITUTE('Aprilie 2020 2.0'!$G$3:$G$680,A77,"")),0))/LEN(A77)</f>
        <v>0</v>
      </c>
      <c r="I77" s="3193">
        <f t="shared" si="2"/>
        <v>0</v>
      </c>
      <c r="J77" s="3193"/>
      <c r="K77" s="3193"/>
      <c r="L77" s="3193" t="s">
        <v>7663</v>
      </c>
      <c r="M77" s="2911" t="s">
        <v>12537</v>
      </c>
    </row>
    <row r="78" spans="1:13" ht="16.5" customHeight="1" x14ac:dyDescent="0.35">
      <c r="A78" s="3194" t="s">
        <v>14296</v>
      </c>
      <c r="B78" s="3193" cm="1">
        <f t="array" ref="B78">SUM(IF('Aprilie 2020 2.0'!$I$3:$I$680=$B$3,LEN('Aprilie 2020 2.0'!$G$3:$G$680)-LEN(SUBSTITUTE('Aprilie 2020 2.0'!$G$3:$G$680,A78,"")),0))/LEN(A78)</f>
        <v>0</v>
      </c>
      <c r="C78" s="3193" cm="1">
        <f t="array" ref="C78">SUM(IF('Aprilie 2020 2.0'!$I$3:$I$680=$C$3,LEN('Aprilie 2020 2.0'!$G$3:$G$680)-LEN(SUBSTITUTE('Aprilie 2020 2.0'!$G$3:$G$680,A78,"")),0))/LEN(A78)</f>
        <v>0</v>
      </c>
      <c r="D78" s="3193" cm="1">
        <f t="array" ref="D78">SUM(IF('Aprilie 2020 2.0'!$I$3:$I$680=$D$3,LEN('Aprilie 2020 2.0'!$G$3:$G$680)-LEN(SUBSTITUTE('Aprilie 2020 2.0'!$G$3:$G$680,A78,"")),0))/LEN(A78)</f>
        <v>0</v>
      </c>
      <c r="E78" s="3193" cm="1">
        <f t="array" ref="E78">SUM(IF('Aprilie 2020 2.0'!$I$3:$I$680=$E$3,LEN('Aprilie 2020 2.0'!$G$3:$G$680)-LEN(SUBSTITUTE('Aprilie 2020 2.0'!$G$3:$G$680,A78,"")),0))/LEN(A78)</f>
        <v>0</v>
      </c>
      <c r="F78" s="3193" cm="1">
        <f t="array" ref="F78">SUM(IF('Aprilie 2020 2.0'!$I$3:$I$680=$F$3,LEN('Aprilie 2020 2.0'!$G$3:$G$680)-LEN(SUBSTITUTE('Aprilie 2020 2.0'!$G$3:$G$680,A78,"")),0))/LEN(A78)</f>
        <v>0</v>
      </c>
      <c r="G78" s="3193" cm="1">
        <f t="array" ref="G78">SUM(IF('Aprilie 2020 2.0'!$I$3:$I$680=$G$3,LEN('Aprilie 2020 2.0'!$G$3:$G$680)-LEN(SUBSTITUTE('Aprilie 2020 2.0'!$G$3:$G$680,A78,"")),0))/LEN(A78)</f>
        <v>0</v>
      </c>
      <c r="H78" s="3193" cm="1">
        <f t="array" ref="H78">SUM(IF('Aprilie 2020 2.0'!$I$3:$I$680=$H$3,LEN('Aprilie 2020 2.0'!$G$3:$G$680)-LEN(SUBSTITUTE('Aprilie 2020 2.0'!$G$3:$G$680,A78,"")),0))/LEN(A78)</f>
        <v>0</v>
      </c>
      <c r="I78" s="3193">
        <f t="shared" si="2"/>
        <v>0</v>
      </c>
      <c r="J78" s="3193"/>
      <c r="K78" s="3193"/>
      <c r="L78" s="3193" t="s">
        <v>7663</v>
      </c>
      <c r="M78" s="2911" t="s">
        <v>12537</v>
      </c>
    </row>
    <row r="79" spans="1:13" ht="16.5" customHeight="1" x14ac:dyDescent="0.35">
      <c r="A79" s="3194" t="s">
        <v>14297</v>
      </c>
      <c r="B79" s="3193" cm="1">
        <f t="array" ref="B79">SUM(IF('Aprilie 2020 2.0'!$I$3:$I$680=$B$3,LEN('Aprilie 2020 2.0'!$G$3:$G$680)-LEN(SUBSTITUTE('Aprilie 2020 2.0'!$G$3:$G$680,A79,"")),0))/LEN(A79)</f>
        <v>0</v>
      </c>
      <c r="C79" s="3193" cm="1">
        <f t="array" ref="C79">SUM(IF('Aprilie 2020 2.0'!$I$3:$I$680=$C$3,LEN('Aprilie 2020 2.0'!$G$3:$G$680)-LEN(SUBSTITUTE('Aprilie 2020 2.0'!$G$3:$G$680,A79,"")),0))/LEN(A79)</f>
        <v>0</v>
      </c>
      <c r="D79" s="3193" cm="1">
        <f t="array" ref="D79">SUM(IF('Aprilie 2020 2.0'!$I$3:$I$680=$D$3,LEN('Aprilie 2020 2.0'!$G$3:$G$680)-LEN(SUBSTITUTE('Aprilie 2020 2.0'!$G$3:$G$680,A79,"")),0))/LEN(A79)</f>
        <v>0</v>
      </c>
      <c r="E79" s="3193" cm="1">
        <f t="array" ref="E79">SUM(IF('Aprilie 2020 2.0'!$I$3:$I$680=$E$3,LEN('Aprilie 2020 2.0'!$G$3:$G$680)-LEN(SUBSTITUTE('Aprilie 2020 2.0'!$G$3:$G$680,A79,"")),0))/LEN(A79)</f>
        <v>0</v>
      </c>
      <c r="F79" s="3193" cm="1">
        <f t="array" ref="F79">SUM(IF('Aprilie 2020 2.0'!$I$3:$I$680=$F$3,LEN('Aprilie 2020 2.0'!$G$3:$G$680)-LEN(SUBSTITUTE('Aprilie 2020 2.0'!$G$3:$G$680,A79,"")),0))/LEN(A79)</f>
        <v>0</v>
      </c>
      <c r="G79" s="3193" cm="1">
        <f t="array" ref="G79">SUM(IF('Aprilie 2020 2.0'!$I$3:$I$680=$G$3,LEN('Aprilie 2020 2.0'!$G$3:$G$680)-LEN(SUBSTITUTE('Aprilie 2020 2.0'!$G$3:$G$680,A79,"")),0))/LEN(A79)</f>
        <v>0</v>
      </c>
      <c r="H79" s="3193" cm="1">
        <f t="array" ref="H79">SUM(IF('Aprilie 2020 2.0'!$I$3:$I$680=$H$3,LEN('Aprilie 2020 2.0'!$G$3:$G$680)-LEN(SUBSTITUTE('Aprilie 2020 2.0'!$G$3:$G$680,A79,"")),0))/LEN(A79)</f>
        <v>0</v>
      </c>
      <c r="I79" s="3193">
        <f t="shared" si="2"/>
        <v>0</v>
      </c>
      <c r="J79" s="3193"/>
      <c r="K79" s="3193"/>
      <c r="L79" s="3193" t="s">
        <v>7663</v>
      </c>
      <c r="M79" s="2911" t="s">
        <v>12537</v>
      </c>
    </row>
    <row r="80" spans="1:13" ht="15" customHeight="1" x14ac:dyDescent="0.35">
      <c r="A80" s="3194" t="s">
        <v>14298</v>
      </c>
      <c r="B80" s="3193" cm="1">
        <f t="array" ref="B80">SUM(IF('Aprilie 2020 2.0'!$I$3:$I$680=$B$3,LEN('Aprilie 2020 2.0'!$G$3:$G$680)-LEN(SUBSTITUTE('Aprilie 2020 2.0'!$G$3:$G$680,A80,"")),0))/LEN(A80)</f>
        <v>0</v>
      </c>
      <c r="C80" s="3193" cm="1">
        <f t="array" ref="C80">SUM(IF('Aprilie 2020 2.0'!$I$3:$I$680=$C$3,LEN('Aprilie 2020 2.0'!$G$3:$G$680)-LEN(SUBSTITUTE('Aprilie 2020 2.0'!$G$3:$G$680,A80,"")),0))/LEN(A80)</f>
        <v>0</v>
      </c>
      <c r="D80" s="3193" cm="1">
        <f t="array" ref="D80">SUM(IF('Aprilie 2020 2.0'!$I$3:$I$680=$D$3,LEN('Aprilie 2020 2.0'!$G$3:$G$680)-LEN(SUBSTITUTE('Aprilie 2020 2.0'!$G$3:$G$680,A80,"")),0))/LEN(A80)</f>
        <v>0</v>
      </c>
      <c r="E80" s="3193" cm="1">
        <f t="array" ref="E80">SUM(IF('Aprilie 2020 2.0'!$I$3:$I$680=$E$3,LEN('Aprilie 2020 2.0'!$G$3:$G$680)-LEN(SUBSTITUTE('Aprilie 2020 2.0'!$G$3:$G$680,A80,"")),0))/LEN(A80)</f>
        <v>0</v>
      </c>
      <c r="F80" s="3193" cm="1">
        <f t="array" ref="F80">SUM(IF('Aprilie 2020 2.0'!$I$3:$I$680=$F$3,LEN('Aprilie 2020 2.0'!$G$3:$G$680)-LEN(SUBSTITUTE('Aprilie 2020 2.0'!$G$3:$G$680,A80,"")),0))/LEN(A80)</f>
        <v>0</v>
      </c>
      <c r="G80" s="3193" cm="1">
        <f t="array" ref="G80">SUM(IF('Aprilie 2020 2.0'!$I$3:$I$680=$G$3,LEN('Aprilie 2020 2.0'!$G$3:$G$680)-LEN(SUBSTITUTE('Aprilie 2020 2.0'!$G$3:$G$680,A80,"")),0))/LEN(A80)</f>
        <v>0</v>
      </c>
      <c r="H80" s="3193" cm="1">
        <f t="array" ref="H80">SUM(IF('Aprilie 2020 2.0'!$I$3:$I$680=$H$3,LEN('Aprilie 2020 2.0'!$G$3:$G$680)-LEN(SUBSTITUTE('Aprilie 2020 2.0'!$G$3:$G$680,A80,"")),0))/LEN(A80)</f>
        <v>0</v>
      </c>
      <c r="I80" s="3193">
        <f t="shared" si="2"/>
        <v>0</v>
      </c>
      <c r="J80" s="3193"/>
      <c r="K80" s="3193"/>
      <c r="L80" s="3193" t="s">
        <v>7663</v>
      </c>
      <c r="M80" s="2911" t="s">
        <v>12537</v>
      </c>
    </row>
    <row r="81" spans="1:13" ht="15" customHeight="1" x14ac:dyDescent="0.35">
      <c r="A81" s="3195" t="s">
        <v>14299</v>
      </c>
      <c r="B81" s="3193" cm="1">
        <f t="array" ref="B81">SUM(IF('Aprilie 2020 2.0'!$I$3:$I$680=$B$3,LEN('Aprilie 2020 2.0'!$G$3:$G$680)-LEN(SUBSTITUTE('Aprilie 2020 2.0'!$G$3:$G$680,A81,"")),0))/LEN(A81)</f>
        <v>0</v>
      </c>
      <c r="C81" s="3193" cm="1">
        <f t="array" ref="C81">SUM(IF('Aprilie 2020 2.0'!$I$3:$I$680=$C$3,LEN('Aprilie 2020 2.0'!$G$3:$G$680)-LEN(SUBSTITUTE('Aprilie 2020 2.0'!$G$3:$G$680,A81,"")),0))/LEN(A81)</f>
        <v>0</v>
      </c>
      <c r="D81" s="3193" cm="1">
        <f t="array" ref="D81">SUM(IF('Aprilie 2020 2.0'!$I$3:$I$680=$D$3,LEN('Aprilie 2020 2.0'!$G$3:$G$680)-LEN(SUBSTITUTE('Aprilie 2020 2.0'!$G$3:$G$680,A81,"")),0))/LEN(A81)</f>
        <v>0</v>
      </c>
      <c r="E81" s="3193" cm="1">
        <f t="array" ref="E81">SUM(IF('Aprilie 2020 2.0'!$I$3:$I$680=$E$3,LEN('Aprilie 2020 2.0'!$G$3:$G$680)-LEN(SUBSTITUTE('Aprilie 2020 2.0'!$G$3:$G$680,A81,"")),0))/LEN(A81)</f>
        <v>0</v>
      </c>
      <c r="F81" s="3193" cm="1">
        <f t="array" ref="F81">SUM(IF('Aprilie 2020 2.0'!$I$3:$I$680=$F$3,LEN('Aprilie 2020 2.0'!$G$3:$G$680)-LEN(SUBSTITUTE('Aprilie 2020 2.0'!$G$3:$G$680,A81,"")),0))/LEN(A81)</f>
        <v>0</v>
      </c>
      <c r="G81" s="3193" cm="1">
        <f t="array" ref="G81">SUM(IF('Aprilie 2020 2.0'!$I$3:$I$680=$G$3,LEN('Aprilie 2020 2.0'!$G$3:$G$680)-LEN(SUBSTITUTE('Aprilie 2020 2.0'!$G$3:$G$680,A81,"")),0))/LEN(A81)</f>
        <v>0</v>
      </c>
      <c r="H81" s="3193" cm="1">
        <f t="array" ref="H81">SUM(IF('Aprilie 2020 2.0'!$I$3:$I$680=$H$3,LEN('Aprilie 2020 2.0'!$G$3:$G$680)-LEN(SUBSTITUTE('Aprilie 2020 2.0'!$G$3:$G$680,A81,"")),0))/LEN(A81)</f>
        <v>0</v>
      </c>
      <c r="I81" s="3196">
        <f t="shared" si="2"/>
        <v>0</v>
      </c>
      <c r="J81" s="3196"/>
      <c r="K81" s="3196"/>
      <c r="L81" s="3193" t="s">
        <v>7663</v>
      </c>
      <c r="M81" s="2911" t="s">
        <v>12537</v>
      </c>
    </row>
    <row r="82" spans="1:13" ht="14" customHeight="1" x14ac:dyDescent="0.35">
      <c r="A82" s="3194" t="s">
        <v>14300</v>
      </c>
      <c r="B82" s="3193" cm="1">
        <f t="array" ref="B82">SUM(IF('Aprilie 2020 2.0'!$I$3:$I$680=$B$3,LEN('Aprilie 2020 2.0'!$G$3:$G$680)-LEN(SUBSTITUTE('Aprilie 2020 2.0'!$G$3:$G$680,A82,"")),0))/LEN(A82)</f>
        <v>0</v>
      </c>
      <c r="C82" s="3193" cm="1">
        <f t="array" ref="C82">SUM(IF('Aprilie 2020 2.0'!$I$3:$I$680=$C$3,LEN('Aprilie 2020 2.0'!$G$3:$G$680)-LEN(SUBSTITUTE('Aprilie 2020 2.0'!$G$3:$G$680,A82,"")),0))/LEN(A82)</f>
        <v>0</v>
      </c>
      <c r="D82" s="3193" cm="1">
        <f t="array" ref="D82">SUM(IF('Aprilie 2020 2.0'!$I$3:$I$680=$D$3,LEN('Aprilie 2020 2.0'!$G$3:$G$680)-LEN(SUBSTITUTE('Aprilie 2020 2.0'!$G$3:$G$680,A82,"")),0))/LEN(A82)</f>
        <v>0</v>
      </c>
      <c r="E82" s="3193" cm="1">
        <f t="array" ref="E82">SUM(IF('Aprilie 2020 2.0'!$I$3:$I$680=$E$3,LEN('Aprilie 2020 2.0'!$G$3:$G$680)-LEN(SUBSTITUTE('Aprilie 2020 2.0'!$G$3:$G$680,A82,"")),0))/LEN(A82)</f>
        <v>0</v>
      </c>
      <c r="F82" s="3193" cm="1">
        <f t="array" ref="F82">SUM(IF('Aprilie 2020 2.0'!$I$3:$I$680=$F$3,LEN('Aprilie 2020 2.0'!$G$3:$G$680)-LEN(SUBSTITUTE('Aprilie 2020 2.0'!$G$3:$G$680,A82,"")),0))/LEN(A82)</f>
        <v>0</v>
      </c>
      <c r="G82" s="3193" cm="1">
        <f t="array" ref="G82">SUM(IF('Aprilie 2020 2.0'!$I$3:$I$680=$G$3,LEN('Aprilie 2020 2.0'!$G$3:$G$680)-LEN(SUBSTITUTE('Aprilie 2020 2.0'!$G$3:$G$680,A82,"")),0))/LEN(A82)</f>
        <v>0</v>
      </c>
      <c r="H82" s="3193" cm="1">
        <f t="array" ref="H82">SUM(IF('Aprilie 2020 2.0'!$I$3:$I$680=$H$3,LEN('Aprilie 2020 2.0'!$G$3:$G$680)-LEN(SUBSTITUTE('Aprilie 2020 2.0'!$G$3:$G$680,A82,"")),0))/LEN(A82)</f>
        <v>0</v>
      </c>
      <c r="I82" s="3193">
        <f t="shared" ref="I82:I113" si="3">SUM(B82:H82)</f>
        <v>0</v>
      </c>
      <c r="J82" s="3193"/>
      <c r="K82" s="3193"/>
      <c r="L82" s="3193" t="s">
        <v>7663</v>
      </c>
      <c r="M82" s="2911" t="s">
        <v>12537</v>
      </c>
    </row>
    <row r="83" spans="1:13" x14ac:dyDescent="0.35">
      <c r="A83" s="3194" t="s">
        <v>14301</v>
      </c>
      <c r="B83" s="3193" cm="1">
        <f t="array" ref="B83">SUM(IF('Aprilie 2020 2.0'!$I$3:$I$680=$B$3,LEN('Aprilie 2020 2.0'!$G$3:$G$680)-LEN(SUBSTITUTE('Aprilie 2020 2.0'!$G$3:$G$680,A83,"")),0))/LEN(A83)</f>
        <v>0</v>
      </c>
      <c r="C83" s="3193" cm="1">
        <f t="array" ref="C83">SUM(IF('Aprilie 2020 2.0'!$I$3:$I$680=$C$3,LEN('Aprilie 2020 2.0'!$G$3:$G$680)-LEN(SUBSTITUTE('Aprilie 2020 2.0'!$G$3:$G$680,A83,"")),0))/LEN(A83)</f>
        <v>0</v>
      </c>
      <c r="D83" s="3193" cm="1">
        <f t="array" ref="D83">SUM(IF('Aprilie 2020 2.0'!$I$3:$I$680=$D$3,LEN('Aprilie 2020 2.0'!$G$3:$G$680)-LEN(SUBSTITUTE('Aprilie 2020 2.0'!$G$3:$G$680,A83,"")),0))/LEN(A83)</f>
        <v>0</v>
      </c>
      <c r="E83" s="3193" cm="1">
        <f t="array" ref="E83">SUM(IF('Aprilie 2020 2.0'!$I$3:$I$680=$E$3,LEN('Aprilie 2020 2.0'!$G$3:$G$680)-LEN(SUBSTITUTE('Aprilie 2020 2.0'!$G$3:$G$680,A83,"")),0))/LEN(A83)</f>
        <v>0</v>
      </c>
      <c r="F83" s="3193" cm="1">
        <f t="array" ref="F83">SUM(IF('Aprilie 2020 2.0'!$I$3:$I$680=$F$3,LEN('Aprilie 2020 2.0'!$G$3:$G$680)-LEN(SUBSTITUTE('Aprilie 2020 2.0'!$G$3:$G$680,A83,"")),0))/LEN(A83)</f>
        <v>0</v>
      </c>
      <c r="G83" s="3193" cm="1">
        <f t="array" ref="G83">SUM(IF('Aprilie 2020 2.0'!$I$3:$I$680=$G$3,LEN('Aprilie 2020 2.0'!$G$3:$G$680)-LEN(SUBSTITUTE('Aprilie 2020 2.0'!$G$3:$G$680,A83,"")),0))/LEN(A83)</f>
        <v>0</v>
      </c>
      <c r="H83" s="3193" cm="1">
        <f t="array" ref="H83">SUM(IF('Aprilie 2020 2.0'!$I$3:$I$680=$H$3,LEN('Aprilie 2020 2.0'!$G$3:$G$680)-LEN(SUBSTITUTE('Aprilie 2020 2.0'!$G$3:$G$680,A83,"")),0))/LEN(A83)</f>
        <v>0</v>
      </c>
      <c r="I83" s="3193">
        <f t="shared" si="3"/>
        <v>0</v>
      </c>
      <c r="J83" s="3193"/>
      <c r="K83" s="3193"/>
      <c r="L83" s="3193" t="s">
        <v>7663</v>
      </c>
      <c r="M83" s="2911" t="s">
        <v>12537</v>
      </c>
    </row>
    <row r="84" spans="1:13" x14ac:dyDescent="0.35">
      <c r="A84" s="3194" t="s">
        <v>14302</v>
      </c>
      <c r="B84" s="3193" cm="1">
        <f t="array" ref="B84">SUM(IF('Aprilie 2020 2.0'!$I$3:$I$680=$B$3,LEN('Aprilie 2020 2.0'!$G$3:$G$680)-LEN(SUBSTITUTE('Aprilie 2020 2.0'!$G$3:$G$680,A84,"")),0))/LEN(A84)</f>
        <v>0</v>
      </c>
      <c r="C84" s="3193" cm="1">
        <f t="array" ref="C84">SUM(IF('Aprilie 2020 2.0'!$I$3:$I$680=$C$3,LEN('Aprilie 2020 2.0'!$G$3:$G$680)-LEN(SUBSTITUTE('Aprilie 2020 2.0'!$G$3:$G$680,A84,"")),0))/LEN(A84)</f>
        <v>0</v>
      </c>
      <c r="D84" s="3193" cm="1">
        <f t="array" ref="D84">SUM(IF('Aprilie 2020 2.0'!$I$3:$I$680=$D$3,LEN('Aprilie 2020 2.0'!$G$3:$G$680)-LEN(SUBSTITUTE('Aprilie 2020 2.0'!$G$3:$G$680,A84,"")),0))/LEN(A84)</f>
        <v>0</v>
      </c>
      <c r="E84" s="3193" cm="1">
        <f t="array" ref="E84">SUM(IF('Aprilie 2020 2.0'!$I$3:$I$680=$E$3,LEN('Aprilie 2020 2.0'!$G$3:$G$680)-LEN(SUBSTITUTE('Aprilie 2020 2.0'!$G$3:$G$680,A84,"")),0))/LEN(A84)</f>
        <v>0</v>
      </c>
      <c r="F84" s="3193" cm="1">
        <f t="array" ref="F84">SUM(IF('Aprilie 2020 2.0'!$I$3:$I$680=$F$3,LEN('Aprilie 2020 2.0'!$G$3:$G$680)-LEN(SUBSTITUTE('Aprilie 2020 2.0'!$G$3:$G$680,A84,"")),0))/LEN(A84)</f>
        <v>0</v>
      </c>
      <c r="G84" s="3193" cm="1">
        <f t="array" ref="G84">SUM(IF('Aprilie 2020 2.0'!$I$3:$I$680=$G$3,LEN('Aprilie 2020 2.0'!$G$3:$G$680)-LEN(SUBSTITUTE('Aprilie 2020 2.0'!$G$3:$G$680,A84,"")),0))/LEN(A84)</f>
        <v>0</v>
      </c>
      <c r="H84" s="3193" cm="1">
        <f t="array" ref="H84">SUM(IF('Aprilie 2020 2.0'!$I$3:$I$680=$H$3,LEN('Aprilie 2020 2.0'!$G$3:$G$680)-LEN(SUBSTITUTE('Aprilie 2020 2.0'!$G$3:$G$680,A84,"")),0))/LEN(A84)</f>
        <v>0</v>
      </c>
      <c r="I84" s="3196">
        <f t="shared" si="3"/>
        <v>0</v>
      </c>
      <c r="J84" s="3196"/>
      <c r="K84" s="3196"/>
      <c r="L84" s="3193" t="s">
        <v>7663</v>
      </c>
      <c r="M84" s="2911" t="s">
        <v>12537</v>
      </c>
    </row>
    <row r="85" spans="1:13" x14ac:dyDescent="0.35">
      <c r="A85" s="3194" t="s">
        <v>14303</v>
      </c>
      <c r="B85" s="3193" cm="1">
        <f t="array" ref="B85">SUM(IF('Aprilie 2020 2.0'!$I$3:$I$680=$B$3,LEN('Aprilie 2020 2.0'!$G$3:$G$680)-LEN(SUBSTITUTE('Aprilie 2020 2.0'!$G$3:$G$680,A85,"")),0))/LEN(A85)</f>
        <v>0</v>
      </c>
      <c r="C85" s="3193" cm="1">
        <f t="array" ref="C85">SUM(IF('Aprilie 2020 2.0'!$I$3:$I$680=$C$3,LEN('Aprilie 2020 2.0'!$G$3:$G$680)-LEN(SUBSTITUTE('Aprilie 2020 2.0'!$G$3:$G$680,A85,"")),0))/LEN(A85)</f>
        <v>0</v>
      </c>
      <c r="D85" s="3193" cm="1">
        <f t="array" ref="D85">SUM(IF('Aprilie 2020 2.0'!$I$3:$I$680=$D$3,LEN('Aprilie 2020 2.0'!$G$3:$G$680)-LEN(SUBSTITUTE('Aprilie 2020 2.0'!$G$3:$G$680,A85,"")),0))/LEN(A85)</f>
        <v>0</v>
      </c>
      <c r="E85" s="3193" cm="1">
        <f t="array" ref="E85">SUM(IF('Aprilie 2020 2.0'!$I$3:$I$680=$E$3,LEN('Aprilie 2020 2.0'!$G$3:$G$680)-LEN(SUBSTITUTE('Aprilie 2020 2.0'!$G$3:$G$680,A85,"")),0))/LEN(A85)</f>
        <v>0</v>
      </c>
      <c r="F85" s="3193" cm="1">
        <f t="array" ref="F85">SUM(IF('Aprilie 2020 2.0'!$I$3:$I$680=$F$3,LEN('Aprilie 2020 2.0'!$G$3:$G$680)-LEN(SUBSTITUTE('Aprilie 2020 2.0'!$G$3:$G$680,A85,"")),0))/LEN(A85)</f>
        <v>0</v>
      </c>
      <c r="G85" s="3193" cm="1">
        <f t="array" ref="G85">SUM(IF('Aprilie 2020 2.0'!$I$3:$I$680=$G$3,LEN('Aprilie 2020 2.0'!$G$3:$G$680)-LEN(SUBSTITUTE('Aprilie 2020 2.0'!$G$3:$G$680,A85,"")),0))/LEN(A85)</f>
        <v>0</v>
      </c>
      <c r="H85" s="3193" cm="1">
        <f t="array" ref="H85">SUM(IF('Aprilie 2020 2.0'!$I$3:$I$680=$H$3,LEN('Aprilie 2020 2.0'!$G$3:$G$680)-LEN(SUBSTITUTE('Aprilie 2020 2.0'!$G$3:$G$680,A85,"")),0))/LEN(A85)</f>
        <v>0</v>
      </c>
      <c r="I85" s="3196">
        <f t="shared" si="3"/>
        <v>0</v>
      </c>
      <c r="J85" s="3196"/>
      <c r="K85" s="3196"/>
      <c r="L85" s="3193" t="s">
        <v>7663</v>
      </c>
      <c r="M85" s="2911" t="s">
        <v>12537</v>
      </c>
    </row>
    <row r="86" spans="1:13" x14ac:dyDescent="0.35">
      <c r="A86" s="3245" t="s">
        <v>12589</v>
      </c>
      <c r="B86" s="2911" cm="1">
        <f t="array" ref="B86">SUM(IF('Aprilie 2020 2.0'!$I$3:$I$680=$B$3,LEN('Aprilie 2020 2.0'!$G$3:$G$680)-LEN(SUBSTITUTE('Aprilie 2020 2.0'!$G$3:$G$680,A86,"")),0))/LEN(A86)</f>
        <v>0</v>
      </c>
      <c r="C86" s="2911" cm="1">
        <f t="array" ref="C86">SUM(IF('Aprilie 2020 2.0'!$I$3:$I$680=$C$3,LEN('Aprilie 2020 2.0'!$G$3:$G$680)-LEN(SUBSTITUTE('Aprilie 2020 2.0'!$G$3:$G$680,A86,"")),0))/LEN(A86)</f>
        <v>0</v>
      </c>
      <c r="D86" s="2911" cm="1">
        <f t="array" ref="D86">SUM(IF('Aprilie 2020 2.0'!$I$3:$I$680=$D$3,LEN('Aprilie 2020 2.0'!$G$3:$G$680)-LEN(SUBSTITUTE('Aprilie 2020 2.0'!$G$3:$G$680,A86,"")),0))/LEN(A86)</f>
        <v>0</v>
      </c>
      <c r="E86" s="2911" cm="1">
        <f t="array" ref="E86">SUM(IF('Aprilie 2020 2.0'!$I$3:$I$680=$E$3,LEN('Aprilie 2020 2.0'!$G$3:$G$680)-LEN(SUBSTITUTE('Aprilie 2020 2.0'!$G$3:$G$680,A86,"")),0))/LEN(A86)</f>
        <v>0</v>
      </c>
      <c r="F86" s="2911" cm="1">
        <f t="array" ref="F86">SUM(IF('Aprilie 2020 2.0'!$I$3:$I$680=$F$3,LEN('Aprilie 2020 2.0'!$G$3:$G$680)-LEN(SUBSTITUTE('Aprilie 2020 2.0'!$G$3:$G$680,A86,"")),0))/LEN(A86)</f>
        <v>0</v>
      </c>
      <c r="G86" s="2911" cm="1">
        <f t="array" ref="G86">SUM(IF('Aprilie 2020 2.0'!$I$3:$I$680=$G$3,LEN('Aprilie 2020 2.0'!$G$3:$G$680)-LEN(SUBSTITUTE('Aprilie 2020 2.0'!$G$3:$G$680,A86,"")),0))/LEN(A86)</f>
        <v>0</v>
      </c>
      <c r="H86" s="3193" cm="1">
        <f t="array" ref="H86">SUM(IF('Aprilie 2020 2.0'!$I$3:$I$680=$H$3,LEN('Aprilie 2020 2.0'!$G$3:$G$680)-LEN(SUBSTITUTE('Aprilie 2020 2.0'!$G$3:$G$680,A86,"")),0))/LEN(A86)</f>
        <v>0</v>
      </c>
      <c r="I86" s="3193">
        <f t="shared" si="3"/>
        <v>0</v>
      </c>
      <c r="J86" s="3193"/>
      <c r="K86" s="3193"/>
      <c r="L86" s="3193" t="s">
        <v>7663</v>
      </c>
      <c r="M86" s="2911" t="s">
        <v>12537</v>
      </c>
    </row>
    <row r="87" spans="1:13" x14ac:dyDescent="0.35">
      <c r="A87" s="3197" t="s">
        <v>11100</v>
      </c>
      <c r="B87" s="3198" cm="1">
        <f t="array" ref="B87">SUM(IF('Aprilie 2020 2.0'!$I$3:$I$680=$B$3,LEN('Aprilie 2020 2.0'!$G$3:$G$680)-LEN(SUBSTITUTE('Aprilie 2020 2.0'!$G$3:$G$680,A87,"")),0))/LEN(A87)</f>
        <v>0</v>
      </c>
      <c r="C87" s="3198" cm="1">
        <f t="array" ref="C87">SUM(IF('Aprilie 2020 2.0'!$I$3:$I$680=$C$3,LEN('Aprilie 2020 2.0'!$G$3:$G$680)-LEN(SUBSTITUTE('Aprilie 2020 2.0'!$G$3:$G$680,A87,"")),0))/LEN(A87)</f>
        <v>0</v>
      </c>
      <c r="D87" s="3198" cm="1">
        <f t="array" ref="D87">SUM(IF('Aprilie 2020 2.0'!$I$3:$I$680=$D$3,LEN('Aprilie 2020 2.0'!$G$3:$G$680)-LEN(SUBSTITUTE('Aprilie 2020 2.0'!$G$3:$G$680,A87,"")),0))/LEN(A87)</f>
        <v>0</v>
      </c>
      <c r="E87" s="3199" cm="1">
        <f t="array" ref="E87">SUM(IF('Aprilie 2020 2.0'!$I$3:$I$680=$E$3,LEN('Aprilie 2020 2.0'!$G$3:$G$680)-LEN(SUBSTITUTE('Aprilie 2020 2.0'!$G$3:$G$680,A87,"")),0))/LEN(A87)</f>
        <v>0</v>
      </c>
      <c r="F87" s="3199" cm="1">
        <f t="array" ref="F87">SUM(IF('Aprilie 2020 2.0'!$I$3:$I$680=$F$3,LEN('Aprilie 2020 2.0'!$G$3:$G$680)-LEN(SUBSTITUTE('Aprilie 2020 2.0'!$G$3:$G$680,A87,"")),0))/LEN(A87)</f>
        <v>0</v>
      </c>
      <c r="G87" s="3199" cm="1">
        <f t="array" ref="G87">SUM(IF('Aprilie 2020 2.0'!$I$3:$I$680=$G$3,LEN('Aprilie 2020 2.0'!$G$3:$G$680)-LEN(SUBSTITUTE('Aprilie 2020 2.0'!$G$3:$G$680,A87,"")),0))/LEN(A87)</f>
        <v>0</v>
      </c>
      <c r="H87" s="3199" cm="1">
        <f t="array" ref="H87">SUM(IF('Aprilie 2020 2.0'!$I$3:$I$680=$H$3,LEN('Aprilie 2020 2.0'!$G$3:$G$680)-LEN(SUBSTITUTE('Aprilie 2020 2.0'!$G$3:$G$680,A87,"")),0))/LEN(A87)</f>
        <v>0</v>
      </c>
      <c r="I87" s="3200">
        <f t="shared" si="3"/>
        <v>0</v>
      </c>
      <c r="J87" s="3200"/>
      <c r="K87" s="3200"/>
      <c r="L87" s="3199"/>
      <c r="M87" s="2911" t="s">
        <v>12536</v>
      </c>
    </row>
    <row r="88" spans="1:13" x14ac:dyDescent="0.35">
      <c r="A88" s="3197" t="s">
        <v>11108</v>
      </c>
      <c r="B88" s="3198" cm="1">
        <f t="array" ref="B88">SUM(IF('Aprilie 2020 2.0'!$I$3:$I$680=$B$3,LEN('Aprilie 2020 2.0'!$G$3:$G$680)-LEN(SUBSTITUTE('Aprilie 2020 2.0'!$G$3:$G$680,A88,"")),0))/LEN(A88)</f>
        <v>0</v>
      </c>
      <c r="C88" s="3198" cm="1">
        <f t="array" ref="C88">SUM(IF('Aprilie 2020 2.0'!$I$3:$I$680=$C$3,LEN('Aprilie 2020 2.0'!$G$3:$G$680)-LEN(SUBSTITUTE('Aprilie 2020 2.0'!$G$3:$G$680,A88,"")),0))/LEN(A88)</f>
        <v>0</v>
      </c>
      <c r="D88" s="3198" cm="1">
        <f t="array" ref="D88">SUM(IF('Aprilie 2020 2.0'!$I$3:$I$680=$D$3,LEN('Aprilie 2020 2.0'!$G$3:$G$680)-LEN(SUBSTITUTE('Aprilie 2020 2.0'!$G$3:$G$680,A88,"")),0))/LEN(A88)</f>
        <v>0</v>
      </c>
      <c r="E88" s="3199" cm="1">
        <f t="array" ref="E88">SUM(IF('Aprilie 2020 2.0'!$I$3:$I$680=$E$3,LEN('Aprilie 2020 2.0'!$G$3:$G$680)-LEN(SUBSTITUTE('Aprilie 2020 2.0'!$G$3:$G$680,A88,"")),0))/LEN(A88)</f>
        <v>0</v>
      </c>
      <c r="F88" s="3199" cm="1">
        <f t="array" ref="F88">SUM(IF('Aprilie 2020 2.0'!$I$3:$I$680=$F$3,LEN('Aprilie 2020 2.0'!$G$3:$G$680)-LEN(SUBSTITUTE('Aprilie 2020 2.0'!$G$3:$G$680,A88,"")),0))/LEN(A88)</f>
        <v>0</v>
      </c>
      <c r="G88" s="3199" cm="1">
        <f t="array" ref="G88">SUM(IF('Aprilie 2020 2.0'!$I$3:$I$680=$G$3,LEN('Aprilie 2020 2.0'!$G$3:$G$680)-LEN(SUBSTITUTE('Aprilie 2020 2.0'!$G$3:$G$680,A88,"")),0))/LEN(A88)</f>
        <v>0</v>
      </c>
      <c r="H88" s="3199" cm="1">
        <f t="array" ref="H88">SUM(IF('Aprilie 2020 2.0'!$I$3:$I$680=$H$3,LEN('Aprilie 2020 2.0'!$G$3:$G$680)-LEN(SUBSTITUTE('Aprilie 2020 2.0'!$G$3:$G$680,A88,"")),0))/LEN(A88)</f>
        <v>0</v>
      </c>
      <c r="I88" s="3200">
        <f t="shared" si="3"/>
        <v>0</v>
      </c>
      <c r="J88" s="3200"/>
      <c r="K88" s="3200"/>
      <c r="L88" s="3199" t="s">
        <v>7663</v>
      </c>
      <c r="M88" s="2911" t="s">
        <v>12536</v>
      </c>
    </row>
    <row r="89" spans="1:13" x14ac:dyDescent="0.35">
      <c r="A89" s="3197" t="s">
        <v>11109</v>
      </c>
      <c r="B89" s="3198" cm="1">
        <f t="array" ref="B89">SUM(IF('Aprilie 2020 2.0'!$I$3:$I$680=$B$3,LEN('Aprilie 2020 2.0'!$G$3:$G$680)-LEN(SUBSTITUTE('Aprilie 2020 2.0'!$G$3:$G$680,A89,"")),0))/LEN(A89)</f>
        <v>0</v>
      </c>
      <c r="C89" s="3198" cm="1">
        <f t="array" ref="C89">SUM(IF('Aprilie 2020 2.0'!$I$3:$I$680=$C$3,LEN('Aprilie 2020 2.0'!$G$3:$G$680)-LEN(SUBSTITUTE('Aprilie 2020 2.0'!$G$3:$G$680,A89,"")),0))/LEN(A89)</f>
        <v>0</v>
      </c>
      <c r="D89" s="3198" cm="1">
        <f t="array" ref="D89">SUM(IF('Aprilie 2020 2.0'!$I$3:$I$680=$D$3,LEN('Aprilie 2020 2.0'!$G$3:$G$680)-LEN(SUBSTITUTE('Aprilie 2020 2.0'!$G$3:$G$680,A89,"")),0))/LEN(A89)</f>
        <v>0</v>
      </c>
      <c r="E89" s="3199" cm="1">
        <f t="array" ref="E89">SUM(IF('Aprilie 2020 2.0'!$I$3:$I$680=$E$3,LEN('Aprilie 2020 2.0'!$G$3:$G$680)-LEN(SUBSTITUTE('Aprilie 2020 2.0'!$G$3:$G$680,A89,"")),0))/LEN(A89)</f>
        <v>0</v>
      </c>
      <c r="F89" s="3199" cm="1">
        <f t="array" ref="F89">SUM(IF('Aprilie 2020 2.0'!$I$3:$I$680=$F$3,LEN('Aprilie 2020 2.0'!$G$3:$G$680)-LEN(SUBSTITUTE('Aprilie 2020 2.0'!$G$3:$G$680,A89,"")),0))/LEN(A89)</f>
        <v>0</v>
      </c>
      <c r="G89" s="3199" cm="1">
        <f t="array" ref="G89">SUM(IF('Aprilie 2020 2.0'!$I$3:$I$680=$G$3,LEN('Aprilie 2020 2.0'!$G$3:$G$680)-LEN(SUBSTITUTE('Aprilie 2020 2.0'!$G$3:$G$680,A89,"")),0))/LEN(A89)</f>
        <v>0</v>
      </c>
      <c r="H89" s="3199" cm="1">
        <f t="array" ref="H89">SUM(IF('Aprilie 2020 2.0'!$I$3:$I$680=$H$3,LEN('Aprilie 2020 2.0'!$G$3:$G$680)-LEN(SUBSTITUTE('Aprilie 2020 2.0'!$G$3:$G$680,A89,"")),0))/LEN(A89)</f>
        <v>0</v>
      </c>
      <c r="I89" s="3199">
        <f t="shared" si="3"/>
        <v>0</v>
      </c>
      <c r="J89" s="3199"/>
      <c r="K89" s="3199"/>
      <c r="L89" s="3199" t="s">
        <v>7663</v>
      </c>
      <c r="M89" s="2911" t="s">
        <v>12536</v>
      </c>
    </row>
    <row r="90" spans="1:13" x14ac:dyDescent="0.35">
      <c r="A90" s="3197" t="s">
        <v>11110</v>
      </c>
      <c r="B90" s="3198" cm="1">
        <f t="array" ref="B90">SUM(IF('Aprilie 2020 2.0'!$I$3:$I$680=$B$3,LEN('Aprilie 2020 2.0'!$G$3:$G$680)-LEN(SUBSTITUTE('Aprilie 2020 2.0'!$G$3:$G$680,A90,"")),0))/LEN(A90)</f>
        <v>0</v>
      </c>
      <c r="C90" s="3198" cm="1">
        <f t="array" ref="C90">SUM(IF('Aprilie 2020 2.0'!$I$3:$I$680=$C$3,LEN('Aprilie 2020 2.0'!$G$3:$G$680)-LEN(SUBSTITUTE('Aprilie 2020 2.0'!$G$3:$G$680,A90,"")),0))/LEN(A90)</f>
        <v>0</v>
      </c>
      <c r="D90" s="3198" cm="1">
        <f t="array" ref="D90">SUM(IF('Aprilie 2020 2.0'!$I$3:$I$680=$D$3,LEN('Aprilie 2020 2.0'!$G$3:$G$680)-LEN(SUBSTITUTE('Aprilie 2020 2.0'!$G$3:$G$680,A90,"")),0))/LEN(A90)</f>
        <v>0</v>
      </c>
      <c r="E90" s="3199" cm="1">
        <f t="array" ref="E90">SUM(IF('Aprilie 2020 2.0'!$I$3:$I$680=$E$3,LEN('Aprilie 2020 2.0'!$G$3:$G$680)-LEN(SUBSTITUTE('Aprilie 2020 2.0'!$G$3:$G$680,A90,"")),0))/LEN(A90)</f>
        <v>0</v>
      </c>
      <c r="F90" s="3199" cm="1">
        <f t="array" ref="F90">SUM(IF('Aprilie 2020 2.0'!$I$3:$I$680=$F$3,LEN('Aprilie 2020 2.0'!$G$3:$G$680)-LEN(SUBSTITUTE('Aprilie 2020 2.0'!$G$3:$G$680,A90,"")),0))/LEN(A90)</f>
        <v>0</v>
      </c>
      <c r="G90" s="3199" cm="1">
        <f t="array" ref="G90">SUM(IF('Aprilie 2020 2.0'!$I$3:$I$680=$G$3,LEN('Aprilie 2020 2.0'!$G$3:$G$680)-LEN(SUBSTITUTE('Aprilie 2020 2.0'!$G$3:$G$680,A90,"")),0))/LEN(A90)</f>
        <v>0</v>
      </c>
      <c r="H90" s="3199" cm="1">
        <f t="array" ref="H90">SUM(IF('Aprilie 2020 2.0'!$I$3:$I$680=$H$3,LEN('Aprilie 2020 2.0'!$G$3:$G$680)-LEN(SUBSTITUTE('Aprilie 2020 2.0'!$G$3:$G$680,A90,"")),0))/LEN(A90)</f>
        <v>0</v>
      </c>
      <c r="I90" s="3199">
        <f t="shared" si="3"/>
        <v>0</v>
      </c>
      <c r="J90" s="3199"/>
      <c r="K90" s="3199"/>
      <c r="L90" s="3199" t="s">
        <v>7663</v>
      </c>
      <c r="M90" s="2911" t="s">
        <v>12536</v>
      </c>
    </row>
    <row r="91" spans="1:13" x14ac:dyDescent="0.35">
      <c r="A91" s="3201" t="s">
        <v>11201</v>
      </c>
      <c r="B91" s="3199" cm="1">
        <f t="array" ref="B91">SUM(IF('Aprilie 2020 2.0'!$I$3:$I$680=$B$3,LEN('Aprilie 2020 2.0'!$G$3:$G$680)-LEN(SUBSTITUTE('Aprilie 2020 2.0'!$G$3:$G$680,A91,"")),0))/LEN(A91)</f>
        <v>0</v>
      </c>
      <c r="C91" s="3199" cm="1">
        <f t="array" ref="C91">SUM(IF('Aprilie 2020 2.0'!$I$3:$I$680=$C$3,LEN('Aprilie 2020 2.0'!$G$3:$G$680)-LEN(SUBSTITUTE('Aprilie 2020 2.0'!$G$3:$G$680,A91,"")),0))/LEN(A91)</f>
        <v>0</v>
      </c>
      <c r="D91" s="3199" cm="1">
        <f t="array" ref="D91">SUM(IF('Aprilie 2020 2.0'!$I$3:$I$680=$D$3,LEN('Aprilie 2020 2.0'!$G$3:$G$680)-LEN(SUBSTITUTE('Aprilie 2020 2.0'!$G$3:$G$680,A91,"")),0))/LEN(A91)</f>
        <v>0</v>
      </c>
      <c r="E91" s="3199" cm="1">
        <f t="array" ref="E91">SUM(IF('Aprilie 2020 2.0'!$I$3:$I$680=$E$3,LEN('Aprilie 2020 2.0'!$G$3:$G$680)-LEN(SUBSTITUTE('Aprilie 2020 2.0'!$G$3:$G$680,A91,"")),0))/LEN(A91)</f>
        <v>0</v>
      </c>
      <c r="F91" s="3199" cm="1">
        <f t="array" ref="F91">SUM(IF('Aprilie 2020 2.0'!$I$3:$I$680=$F$3,LEN('Aprilie 2020 2.0'!$G$3:$G$680)-LEN(SUBSTITUTE('Aprilie 2020 2.0'!$G$3:$G$680,A91,"")),0))/LEN(A91)</f>
        <v>0</v>
      </c>
      <c r="G91" s="3199" cm="1">
        <f t="array" ref="G91">SUM(IF('Aprilie 2020 2.0'!$I$3:$I$680=$G$3,LEN('Aprilie 2020 2.0'!$G$3:$G$680)-LEN(SUBSTITUTE('Aprilie 2020 2.0'!$G$3:$G$680,A91,"")),0))/LEN(A91)</f>
        <v>0</v>
      </c>
      <c r="H91" s="3199" cm="1">
        <f t="array" ref="H91">SUM(IF('Aprilie 2020 2.0'!$I$3:$I$680=$H$3,LEN('Aprilie 2020 2.0'!$G$3:$G$680)-LEN(SUBSTITUTE('Aprilie 2020 2.0'!$G$3:$G$680,A91,"")),0))/LEN(A91)</f>
        <v>0</v>
      </c>
      <c r="I91" s="3199">
        <f t="shared" si="3"/>
        <v>0</v>
      </c>
      <c r="J91" s="3199"/>
      <c r="K91" s="3199"/>
      <c r="L91" s="3199" t="s">
        <v>7663</v>
      </c>
      <c r="M91" s="2911" t="s">
        <v>12536</v>
      </c>
    </row>
    <row r="92" spans="1:13" ht="13" customHeight="1" x14ac:dyDescent="0.35">
      <c r="A92" s="3217" t="s">
        <v>11430</v>
      </c>
      <c r="B92" s="3203" cm="1">
        <f t="array" ref="B92">SUM(IF('Aprilie 2020 2.0'!$I$3:$I$680=$B$3,LEN('Aprilie 2020 2.0'!$G$3:$G$680)-LEN(SUBSTITUTE('Aprilie 2020 2.0'!$G$3:$G$680,A92,"")),0))/LEN(A92)</f>
        <v>0</v>
      </c>
      <c r="C92" s="3203" cm="1">
        <f t="array" ref="C92">SUM(IF('Aprilie 2020 2.0'!$I$3:$I$680=$C$3,LEN('Aprilie 2020 2.0'!$G$3:$G$680)-LEN(SUBSTITUTE('Aprilie 2020 2.0'!$G$3:$G$680,A92,"")),0))/LEN(A92)</f>
        <v>0</v>
      </c>
      <c r="D92" s="3203" cm="1">
        <f t="array" ref="D92">SUM(IF('Aprilie 2020 2.0'!$I$3:$I$680=$D$3,LEN('Aprilie 2020 2.0'!$G$3:$G$680)-LEN(SUBSTITUTE('Aprilie 2020 2.0'!$G$3:$G$680,A92,"")),0))/LEN(A92)</f>
        <v>0</v>
      </c>
      <c r="E92" s="3203" cm="1">
        <f t="array" ref="E92">SUM(IF('Aprilie 2020 2.0'!$I$3:$I$680=$E$3,LEN('Aprilie 2020 2.0'!$G$3:$G$680)-LEN(SUBSTITUTE('Aprilie 2020 2.0'!$G$3:$G$680,A92,"")),0))/LEN(A92)</f>
        <v>0</v>
      </c>
      <c r="F92" s="3203" cm="1">
        <f t="array" ref="F92">SUM(IF('Aprilie 2020 2.0'!$I$3:$I$680=$F$3,LEN('Aprilie 2020 2.0'!$G$3:$G$680)-LEN(SUBSTITUTE('Aprilie 2020 2.0'!$G$3:$G$680,A92,"")),0))/LEN(A92)</f>
        <v>0</v>
      </c>
      <c r="G92" s="3203" cm="1">
        <f t="array" ref="G92">SUM(IF('Aprilie 2020 2.0'!$I$3:$I$680=$G$3,LEN('Aprilie 2020 2.0'!$G$3:$G$680)-LEN(SUBSTITUTE('Aprilie 2020 2.0'!$G$3:$G$680,A92,"")),0))/LEN(A92)</f>
        <v>0</v>
      </c>
      <c r="H92" s="3203" cm="1">
        <f t="array" ref="H92">SUM(IF('Aprilie 2020 2.0'!$I$3:$I$680=$H$3,LEN('Aprilie 2020 2.0'!$G$3:$G$680)-LEN(SUBSTITUTE('Aprilie 2020 2.0'!$G$3:$G$680,A92,"")),0))/LEN(A92)</f>
        <v>0</v>
      </c>
      <c r="I92" s="3203">
        <f t="shared" si="3"/>
        <v>0</v>
      </c>
      <c r="J92" s="3203"/>
      <c r="K92" s="3203"/>
      <c r="L92" s="3203" t="s">
        <v>7663</v>
      </c>
      <c r="M92" s="2911" t="s">
        <v>3511</v>
      </c>
    </row>
    <row r="93" spans="1:13" x14ac:dyDescent="0.35">
      <c r="A93" s="3202" t="s">
        <v>12175</v>
      </c>
      <c r="B93" s="3203" cm="1">
        <f t="array" ref="B93">SUM(IF('Aprilie 2020 2.0'!$I$3:$I$680=$B$3,LEN('Aprilie 2020 2.0'!$G$3:$G$680)-LEN(SUBSTITUTE('Aprilie 2020 2.0'!$G$3:$G$680,A93,"")),0))/LEN(A93)</f>
        <v>0</v>
      </c>
      <c r="C93" s="3203" cm="1">
        <f t="array" ref="C93">SUM(IF('Aprilie 2020 2.0'!$I$3:$I$680=$C$3,LEN('Aprilie 2020 2.0'!$G$3:$G$680)-LEN(SUBSTITUTE('Aprilie 2020 2.0'!$G$3:$G$680,A93,"")),0))/LEN(A93)</f>
        <v>0</v>
      </c>
      <c r="D93" s="3203" cm="1">
        <f t="array" ref="D93">SUM(IF('Aprilie 2020 2.0'!$I$3:$I$680=$D$3,LEN('Aprilie 2020 2.0'!$G$3:$G$680)-LEN(SUBSTITUTE('Aprilie 2020 2.0'!$G$3:$G$680,A93,"")),0))/LEN(A93)</f>
        <v>0</v>
      </c>
      <c r="E93" s="3203" cm="1">
        <f t="array" ref="E93">SUM(IF('Aprilie 2020 2.0'!$I$3:$I$680=$E$3,LEN('Aprilie 2020 2.0'!$G$3:$G$680)-LEN(SUBSTITUTE('Aprilie 2020 2.0'!$G$3:$G$680,A93,"")),0))/LEN(A93)</f>
        <v>0</v>
      </c>
      <c r="F93" s="3203" cm="1">
        <f t="array" ref="F93">SUM(IF('Aprilie 2020 2.0'!$I$3:$I$680=$F$3,LEN('Aprilie 2020 2.0'!$G$3:$G$680)-LEN(SUBSTITUTE('Aprilie 2020 2.0'!$G$3:$G$680,A93,"")),0))/LEN(A93)</f>
        <v>0</v>
      </c>
      <c r="G93" s="3203" cm="1">
        <f t="array" ref="G93">SUM(IF('Aprilie 2020 2.0'!$I$3:$I$680=$G$3,LEN('Aprilie 2020 2.0'!$G$3:$G$680)-LEN(SUBSTITUTE('Aprilie 2020 2.0'!$G$3:$G$680,A93,"")),0))/LEN(A93)</f>
        <v>0</v>
      </c>
      <c r="H93" s="3203" cm="1">
        <f t="array" ref="H93">SUM(IF('Aprilie 2020 2.0'!$I$3:$I$680=$H$3,LEN('Aprilie 2020 2.0'!$G$3:$G$680)-LEN(SUBSTITUTE('Aprilie 2020 2.0'!$G$3:$G$680,A93,"")),0))/LEN(A93)</f>
        <v>0</v>
      </c>
      <c r="I93" s="3203">
        <f t="shared" si="3"/>
        <v>0</v>
      </c>
      <c r="J93" s="3203"/>
      <c r="K93" s="3203"/>
      <c r="L93" s="3203" t="s">
        <v>7663</v>
      </c>
      <c r="M93" s="2911" t="s">
        <v>3511</v>
      </c>
    </row>
    <row r="94" spans="1:13" x14ac:dyDescent="0.35">
      <c r="A94" s="3210" t="s">
        <v>11393</v>
      </c>
      <c r="B94" s="3204" cm="1">
        <f t="array" ref="B94">SUM(IF('Aprilie 2020 2.0'!$I$3:$I$680=$B$3,LEN('Aprilie 2020 2.0'!$G$3:$G$680)-LEN(SUBSTITUTE('Aprilie 2020 2.0'!$G$3:$G$680,A94,"")),0))/LEN(A94)</f>
        <v>0</v>
      </c>
      <c r="C94" s="3204" cm="1">
        <f t="array" ref="C94">SUM(IF('Aprilie 2020 2.0'!$I$3:$I$680=$C$3,LEN('Aprilie 2020 2.0'!$G$3:$G$680)-LEN(SUBSTITUTE('Aprilie 2020 2.0'!$G$3:$G$680,A94,"")),0))/LEN(A94)</f>
        <v>0</v>
      </c>
      <c r="D94" s="3204" cm="1">
        <f t="array" ref="D94">SUM(IF('Aprilie 2020 2.0'!$I$3:$I$680=$D$3,LEN('Aprilie 2020 2.0'!$G$3:$G$680)-LEN(SUBSTITUTE('Aprilie 2020 2.0'!$G$3:$G$680,A94,"")),0))/LEN(A94)</f>
        <v>0</v>
      </c>
      <c r="E94" s="3203" cm="1">
        <f t="array" ref="E94">SUM(IF('Aprilie 2020 2.0'!$I$3:$I$680=$E$3,LEN('Aprilie 2020 2.0'!$G$3:$G$680)-LEN(SUBSTITUTE('Aprilie 2020 2.0'!$G$3:$G$680,A94,"")),0))/LEN(A94)</f>
        <v>0</v>
      </c>
      <c r="F94" s="3203" cm="1">
        <f t="array" ref="F94">SUM(IF('Aprilie 2020 2.0'!$I$3:$I$680=$F$3,LEN('Aprilie 2020 2.0'!$G$3:$G$680)-LEN(SUBSTITUTE('Aprilie 2020 2.0'!$G$3:$G$680,A94,"")),0))/LEN(A94)</f>
        <v>0</v>
      </c>
      <c r="G94" s="3203" cm="1">
        <f t="array" ref="G94">SUM(IF('Aprilie 2020 2.0'!$I$3:$I$680=$G$3,LEN('Aprilie 2020 2.0'!$G$3:$G$680)-LEN(SUBSTITUTE('Aprilie 2020 2.0'!$G$3:$G$680,A94,"")),0))/LEN(A94)</f>
        <v>0</v>
      </c>
      <c r="H94" s="3203" cm="1">
        <f t="array" ref="H94">SUM(IF('Aprilie 2020 2.0'!$I$3:$I$680=$H$3,LEN('Aprilie 2020 2.0'!$G$3:$G$680)-LEN(SUBSTITUTE('Aprilie 2020 2.0'!$G$3:$G$680,A94,"")),0))/LEN(A94)</f>
        <v>0</v>
      </c>
      <c r="I94" s="3207">
        <f t="shared" si="3"/>
        <v>0</v>
      </c>
      <c r="J94" s="3207"/>
      <c r="K94" s="3207"/>
      <c r="L94" s="3203" t="s">
        <v>7663</v>
      </c>
      <c r="M94" s="2911" t="s">
        <v>3511</v>
      </c>
    </row>
    <row r="95" spans="1:13" x14ac:dyDescent="0.35">
      <c r="A95" s="3206" t="s">
        <v>11525</v>
      </c>
      <c r="B95" s="3203" cm="1">
        <f t="array" ref="B95">SUM(IF('Aprilie 2020 2.0'!$I$3:$I$680=$B$3,LEN('Aprilie 2020 2.0'!$G$3:$G$680)-LEN(SUBSTITUTE('Aprilie 2020 2.0'!$G$3:$G$680,A95,"")),0))/LEN(A95)</f>
        <v>0</v>
      </c>
      <c r="C95" s="3203" cm="1">
        <f t="array" ref="C95">SUM(IF('Aprilie 2020 2.0'!$I$3:$I$680=$C$3,LEN('Aprilie 2020 2.0'!$G$3:$G$680)-LEN(SUBSTITUTE('Aprilie 2020 2.0'!$G$3:$G$680,A95,"")),0))/LEN(A95)</f>
        <v>0</v>
      </c>
      <c r="D95" s="3203" cm="1">
        <f t="array" ref="D95">SUM(IF('Aprilie 2020 2.0'!$I$3:$I$680=$D$3,LEN('Aprilie 2020 2.0'!$G$3:$G$680)-LEN(SUBSTITUTE('Aprilie 2020 2.0'!$G$3:$G$680,A95,"")),0))/LEN(A95)</f>
        <v>0</v>
      </c>
      <c r="E95" s="3203" cm="1">
        <f t="array" ref="E95">SUM(IF('Aprilie 2020 2.0'!$I$3:$I$680=$E$3,LEN('Aprilie 2020 2.0'!$G$3:$G$680)-LEN(SUBSTITUTE('Aprilie 2020 2.0'!$G$3:$G$680,A95,"")),0))/LEN(A95)</f>
        <v>0</v>
      </c>
      <c r="F95" s="3203" cm="1">
        <f t="array" ref="F95">SUM(IF('Aprilie 2020 2.0'!$I$3:$I$680=$F$3,LEN('Aprilie 2020 2.0'!$G$3:$G$680)-LEN(SUBSTITUTE('Aprilie 2020 2.0'!$G$3:$G$680,A95,"")),0))/LEN(A95)</f>
        <v>0</v>
      </c>
      <c r="G95" s="3203" cm="1">
        <f t="array" ref="G95">SUM(IF('Aprilie 2020 2.0'!$I$3:$I$680=$G$3,LEN('Aprilie 2020 2.0'!$G$3:$G$680)-LEN(SUBSTITUTE('Aprilie 2020 2.0'!$G$3:$G$680,A95,"")),0))/LEN(A95)</f>
        <v>0</v>
      </c>
      <c r="H95" s="3203" cm="1">
        <f t="array" ref="H95">SUM(IF('Aprilie 2020 2.0'!$I$3:$I$680=$H$3,LEN('Aprilie 2020 2.0'!$G$3:$G$680)-LEN(SUBSTITUTE('Aprilie 2020 2.0'!$G$3:$G$680,A95,"")),0))/LEN(A95)</f>
        <v>0</v>
      </c>
      <c r="I95" s="3207">
        <f t="shared" si="3"/>
        <v>0</v>
      </c>
      <c r="J95" s="3207"/>
      <c r="K95" s="3207"/>
      <c r="L95" s="3203" t="s">
        <v>7663</v>
      </c>
      <c r="M95" s="2911" t="s">
        <v>3511</v>
      </c>
    </row>
    <row r="96" spans="1:13" x14ac:dyDescent="0.35">
      <c r="A96" s="3251" t="s">
        <v>11526</v>
      </c>
      <c r="B96" s="3203" cm="1">
        <f t="array" ref="B96">SUM(IF('Aprilie 2020 2.0'!$I$3:$I$680=$B$3,LEN('Aprilie 2020 2.0'!$G$3:$G$680)-LEN(SUBSTITUTE('Aprilie 2020 2.0'!$G$3:$G$680,A96,"")),0))/LEN(A96)</f>
        <v>0</v>
      </c>
      <c r="C96" s="3203" cm="1">
        <f t="array" ref="C96">SUM(IF('Aprilie 2020 2.0'!$I$3:$I$680=$C$3,LEN('Aprilie 2020 2.0'!$G$3:$G$680)-LEN(SUBSTITUTE('Aprilie 2020 2.0'!$G$3:$G$680,A96,"")),0))/LEN(A96)</f>
        <v>0</v>
      </c>
      <c r="D96" s="3203" cm="1">
        <f t="array" ref="D96">SUM(IF('Aprilie 2020 2.0'!$I$3:$I$680=$D$3,LEN('Aprilie 2020 2.0'!$G$3:$G$680)-LEN(SUBSTITUTE('Aprilie 2020 2.0'!$G$3:$G$680,A96,"")),0))/LEN(A96)</f>
        <v>0</v>
      </c>
      <c r="E96" s="3203" cm="1">
        <f t="array" ref="E96">SUM(IF('Aprilie 2020 2.0'!$I$3:$I$680=$E$3,LEN('Aprilie 2020 2.0'!$G$3:$G$680)-LEN(SUBSTITUTE('Aprilie 2020 2.0'!$G$3:$G$680,A96,"")),0))/LEN(A96)</f>
        <v>0</v>
      </c>
      <c r="F96" s="3203" cm="1">
        <f t="array" ref="F96">SUM(IF('Aprilie 2020 2.0'!$I$3:$I$680=$F$3,LEN('Aprilie 2020 2.0'!$G$3:$G$680)-LEN(SUBSTITUTE('Aprilie 2020 2.0'!$G$3:$G$680,A96,"")),0))/LEN(A96)</f>
        <v>0</v>
      </c>
      <c r="G96" s="3203" cm="1">
        <f t="array" ref="G96">SUM(IF('Aprilie 2020 2.0'!$I$3:$I$680=$G$3,LEN('Aprilie 2020 2.0'!$G$3:$G$680)-LEN(SUBSTITUTE('Aprilie 2020 2.0'!$G$3:$G$680,A96,"")),0))/LEN(A96)</f>
        <v>0</v>
      </c>
      <c r="H96" s="3203" cm="1">
        <f t="array" ref="H96">SUM(IF('Aprilie 2020 2.0'!$I$3:$I$680=$H$3,LEN('Aprilie 2020 2.0'!$G$3:$G$680)-LEN(SUBSTITUTE('Aprilie 2020 2.0'!$G$3:$G$680,A96,"")),0))/LEN(A96)</f>
        <v>0</v>
      </c>
      <c r="I96" s="3207">
        <f t="shared" si="3"/>
        <v>0</v>
      </c>
      <c r="J96" s="3207"/>
      <c r="K96" s="3207"/>
      <c r="L96" s="3203" t="s">
        <v>7663</v>
      </c>
      <c r="M96" s="2911" t="s">
        <v>3511</v>
      </c>
    </row>
    <row r="97" spans="1:14" ht="14.5" customHeight="1" x14ac:dyDescent="0.35">
      <c r="A97" s="3205" t="s">
        <v>11396</v>
      </c>
      <c r="B97" s="3203" cm="1">
        <f t="array" ref="B97">SUM(IF('Aprilie 2020 2.0'!$I$3:$I$680=$B$3,LEN('Aprilie 2020 2.0'!$G$3:$G$680)-LEN(SUBSTITUTE('Aprilie 2020 2.0'!$G$3:$G$680,A97,"")),0))/LEN(A97)</f>
        <v>0</v>
      </c>
      <c r="C97" s="3203" cm="1">
        <f t="array" ref="C97">SUM(IF('Aprilie 2020 2.0'!$I$3:$I$680=$C$3,LEN('Aprilie 2020 2.0'!$G$3:$G$680)-LEN(SUBSTITUTE('Aprilie 2020 2.0'!$G$3:$G$680,A97,"")),0))/LEN(A97)</f>
        <v>0</v>
      </c>
      <c r="D97" s="3203" cm="1">
        <f t="array" ref="D97">SUM(IF('Aprilie 2020 2.0'!$I$3:$I$680=$D$3,LEN('Aprilie 2020 2.0'!$G$3:$G$680)-LEN(SUBSTITUTE('Aprilie 2020 2.0'!$G$3:$G$680,A97,"")),0))/LEN(A97)</f>
        <v>0</v>
      </c>
      <c r="E97" s="3203" cm="1">
        <f t="array" ref="E97">SUM(IF('Aprilie 2020 2.0'!$I$3:$I$680=$E$3,LEN('Aprilie 2020 2.0'!$G$3:$G$680)-LEN(SUBSTITUTE('Aprilie 2020 2.0'!$G$3:$G$680,A97,"")),0))/LEN(A97)</f>
        <v>0</v>
      </c>
      <c r="F97" s="3203" cm="1">
        <f t="array" ref="F97">SUM(IF('Aprilie 2020 2.0'!$I$3:$I$680=$F$3,LEN('Aprilie 2020 2.0'!$G$3:$G$680)-LEN(SUBSTITUTE('Aprilie 2020 2.0'!$G$3:$G$680,A97,"")),0))/LEN(A97)</f>
        <v>0</v>
      </c>
      <c r="G97" s="3203" cm="1">
        <f t="array" ref="G97">SUM(IF('Aprilie 2020 2.0'!$I$3:$I$680=$G$3,LEN('Aprilie 2020 2.0'!$G$3:$G$680)-LEN(SUBSTITUTE('Aprilie 2020 2.0'!$G$3:$G$680,A97,"")),0))/LEN(A97)</f>
        <v>0</v>
      </c>
      <c r="H97" s="3203" cm="1">
        <f t="array" ref="H97">SUM(IF('Aprilie 2020 2.0'!$I$3:$I$680=$H$3,LEN('Aprilie 2020 2.0'!$G$3:$G$680)-LEN(SUBSTITUTE('Aprilie 2020 2.0'!$G$3:$G$680,A97,"")),0))/LEN(A97)</f>
        <v>0</v>
      </c>
      <c r="I97" s="3203">
        <f t="shared" si="3"/>
        <v>0</v>
      </c>
      <c r="J97" s="3203"/>
      <c r="K97" s="3203"/>
      <c r="L97" s="3203" t="s">
        <v>7663</v>
      </c>
      <c r="M97" s="2911" t="s">
        <v>3511</v>
      </c>
    </row>
    <row r="98" spans="1:14" x14ac:dyDescent="0.35">
      <c r="A98" s="3209" t="s">
        <v>11473</v>
      </c>
      <c r="B98" s="2911" cm="1">
        <f t="array" ref="B98">SUM(IF('Aprilie 2020 2.0'!$I$3:$I$680=$B$3,LEN('Aprilie 2020 2.0'!$G$3:$G$680)-LEN(SUBSTITUTE('Aprilie 2020 2.0'!$G$3:$G$680,A98,"")),0))/LEN(A98)</f>
        <v>0</v>
      </c>
      <c r="C98" s="2911" cm="1">
        <f t="array" ref="C98">SUM(IF('Aprilie 2020 2.0'!$I$3:$I$680=$C$3,LEN('Aprilie 2020 2.0'!$G$3:$G$680)-LEN(SUBSTITUTE('Aprilie 2020 2.0'!$G$3:$G$680,A98,"")),0))/LEN(A98)</f>
        <v>0</v>
      </c>
      <c r="D98" s="2911" cm="1">
        <f t="array" ref="D98">SUM(IF('Aprilie 2020 2.0'!$I$3:$I$680=$D$3,LEN('Aprilie 2020 2.0'!$G$3:$G$680)-LEN(SUBSTITUTE('Aprilie 2020 2.0'!$G$3:$G$680,A98,"")),0))/LEN(A98)</f>
        <v>0</v>
      </c>
      <c r="E98" s="2911" cm="1">
        <f t="array" ref="E98">SUM(IF('Aprilie 2020 2.0'!$I$3:$I$680=$E$3,LEN('Aprilie 2020 2.0'!$G$3:$G$680)-LEN(SUBSTITUTE('Aprilie 2020 2.0'!$G$3:$G$680,A98,"")),0))/LEN(A98)</f>
        <v>0</v>
      </c>
      <c r="F98" s="2911" cm="1">
        <f t="array" ref="F98">SUM(IF('Aprilie 2020 2.0'!$I$3:$I$680=$F$3,LEN('Aprilie 2020 2.0'!$G$3:$G$680)-LEN(SUBSTITUTE('Aprilie 2020 2.0'!$G$3:$G$680,A98,"")),0))/LEN(A98)</f>
        <v>0</v>
      </c>
      <c r="G98" s="2911" cm="1">
        <f t="array" ref="G98">SUM(IF('Aprilie 2020 2.0'!$I$3:$I$680=$G$3,LEN('Aprilie 2020 2.0'!$G$3:$G$680)-LEN(SUBSTITUTE('Aprilie 2020 2.0'!$G$3:$G$680,A98,"")),0))/LEN(A98)</f>
        <v>0</v>
      </c>
      <c r="H98" s="3203" cm="1">
        <f t="array" ref="H98">SUM(IF('Aprilie 2020 2.0'!$I$3:$I$680=$H$3,LEN('Aprilie 2020 2.0'!$G$3:$G$680)-LEN(SUBSTITUTE('Aprilie 2020 2.0'!$G$3:$G$680,A98,"")),0))/LEN(A98)</f>
        <v>0</v>
      </c>
      <c r="I98" s="3203">
        <f t="shared" si="3"/>
        <v>0</v>
      </c>
      <c r="J98" s="3203"/>
      <c r="K98" s="3203"/>
      <c r="L98" s="3203" t="s">
        <v>7663</v>
      </c>
      <c r="M98" s="2911" t="s">
        <v>3511</v>
      </c>
    </row>
    <row r="99" spans="1:14" x14ac:dyDescent="0.35">
      <c r="A99" s="3209" t="s">
        <v>11397</v>
      </c>
      <c r="B99" s="3203" cm="1">
        <f t="array" ref="B99">SUM(IF('Aprilie 2020 2.0'!$I$3:$I$680=$B$3,LEN('Aprilie 2020 2.0'!$G$3:$G$680)-LEN(SUBSTITUTE('Aprilie 2020 2.0'!$G$3:$G$680,A99,"")),0))/LEN(A99)</f>
        <v>0</v>
      </c>
      <c r="C99" s="3203" cm="1">
        <f t="array" ref="C99">SUM(IF('Aprilie 2020 2.0'!$I$3:$I$680=$C$3,LEN('Aprilie 2020 2.0'!$G$3:$G$680)-LEN(SUBSTITUTE('Aprilie 2020 2.0'!$G$3:$G$680,A99,"")),0))/LEN(A99)</f>
        <v>0</v>
      </c>
      <c r="D99" s="3203" cm="1">
        <f t="array" ref="D99">SUM(IF('Aprilie 2020 2.0'!$I$3:$I$680=$D$3,LEN('Aprilie 2020 2.0'!$G$3:$G$680)-LEN(SUBSTITUTE('Aprilie 2020 2.0'!$G$3:$G$680,A99,"")),0))/LEN(A99)</f>
        <v>0</v>
      </c>
      <c r="E99" s="3203" cm="1">
        <f t="array" ref="E99">SUM(IF('Aprilie 2020 2.0'!$I$3:$I$680=$E$3,LEN('Aprilie 2020 2.0'!$G$3:$G$680)-LEN(SUBSTITUTE('Aprilie 2020 2.0'!$G$3:$G$680,A99,"")),0))/LEN(A99)</f>
        <v>0</v>
      </c>
      <c r="F99" s="3203" cm="1">
        <f t="array" ref="F99">SUM(IF('Aprilie 2020 2.0'!$I$3:$I$680=$F$3,LEN('Aprilie 2020 2.0'!$G$3:$G$680)-LEN(SUBSTITUTE('Aprilie 2020 2.0'!$G$3:$G$680,A99,"")),0))/LEN(A99)</f>
        <v>0</v>
      </c>
      <c r="G99" s="3203" cm="1">
        <f t="array" ref="G99">SUM(IF('Aprilie 2020 2.0'!$I$3:$I$680=$G$3,LEN('Aprilie 2020 2.0'!$G$3:$G$680)-LEN(SUBSTITUTE('Aprilie 2020 2.0'!$G$3:$G$680,A99,"")),0))/LEN(A99)</f>
        <v>0</v>
      </c>
      <c r="H99" s="3203" cm="1">
        <f t="array" ref="H99">SUM(IF('Aprilie 2020 2.0'!$I$3:$I$680=$H$3,LEN('Aprilie 2020 2.0'!$G$3:$G$680)-LEN(SUBSTITUTE('Aprilie 2020 2.0'!$G$3:$G$680,A99,"")),0))/LEN(A99)</f>
        <v>0</v>
      </c>
      <c r="I99" s="3207">
        <f t="shared" si="3"/>
        <v>0</v>
      </c>
      <c r="J99" s="3207"/>
      <c r="K99" s="3207"/>
      <c r="L99" s="3203" t="s">
        <v>7663</v>
      </c>
      <c r="M99" s="2911" t="s">
        <v>3511</v>
      </c>
    </row>
    <row r="100" spans="1:14" x14ac:dyDescent="0.35">
      <c r="A100" s="3208" t="s">
        <v>11239</v>
      </c>
      <c r="B100" s="3203" cm="1">
        <f t="array" ref="B100">SUM(IF('Aprilie 2020 2.0'!$I$3:$I$680=$B$3,LEN('Aprilie 2020 2.0'!$G$3:$G$680)-LEN(SUBSTITUTE('Aprilie 2020 2.0'!$G$3:$G$680,A100,"")),0))/LEN(A100)</f>
        <v>0</v>
      </c>
      <c r="C100" s="3203" cm="1">
        <f t="array" ref="C100">SUM(IF('Aprilie 2020 2.0'!$I$3:$I$680=$C$3,LEN('Aprilie 2020 2.0'!$G$3:$G$680)-LEN(SUBSTITUTE('Aprilie 2020 2.0'!$G$3:$G$680,A100,"")),0))/LEN(A100)</f>
        <v>0</v>
      </c>
      <c r="D100" s="3203" cm="1">
        <f t="array" ref="D100">SUM(IF('Aprilie 2020 2.0'!$I$3:$I$680=$D$3,LEN('Aprilie 2020 2.0'!$G$3:$G$680)-LEN(SUBSTITUTE('Aprilie 2020 2.0'!$G$3:$G$680,A100,"")),0))/LEN(A100)</f>
        <v>0</v>
      </c>
      <c r="E100" s="3203" cm="1">
        <f t="array" ref="E100">SUM(IF('Aprilie 2020 2.0'!$I$3:$I$680=$E$3,LEN('Aprilie 2020 2.0'!$G$3:$G$680)-LEN(SUBSTITUTE('Aprilie 2020 2.0'!$G$3:$G$680,A100,"")),0))/LEN(A100)</f>
        <v>0</v>
      </c>
      <c r="F100" s="3203" cm="1">
        <f t="array" ref="F100">SUM(IF('Aprilie 2020 2.0'!$I$3:$I$680=$F$3,LEN('Aprilie 2020 2.0'!$G$3:$G$680)-LEN(SUBSTITUTE('Aprilie 2020 2.0'!$G$3:$G$680,A100,"")),0))/LEN(A100)</f>
        <v>0</v>
      </c>
      <c r="G100" s="3203" cm="1">
        <f t="array" ref="G100">SUM(IF('Aprilie 2020 2.0'!$I$3:$I$680=$G$3,LEN('Aprilie 2020 2.0'!$G$3:$G$680)-LEN(SUBSTITUTE('Aprilie 2020 2.0'!$G$3:$G$680,A100,"")),0))/LEN(A100)</f>
        <v>0</v>
      </c>
      <c r="H100" s="3203" cm="1">
        <f t="array" ref="H100">SUM(IF('Aprilie 2020 2.0'!$I$3:$I$680=$H$3,LEN('Aprilie 2020 2.0'!$G$3:$G$680)-LEN(SUBSTITUTE('Aprilie 2020 2.0'!$G$3:$G$680,A100,"")),0))/LEN(A100)</f>
        <v>0</v>
      </c>
      <c r="I100" s="3207">
        <f t="shared" si="3"/>
        <v>0</v>
      </c>
      <c r="J100" s="3207"/>
      <c r="K100" s="3207"/>
      <c r="L100" s="3203" t="s">
        <v>7663</v>
      </c>
      <c r="M100" s="2911" t="s">
        <v>3511</v>
      </c>
    </row>
    <row r="101" spans="1:14" ht="13.5" customHeight="1" x14ac:dyDescent="0.35">
      <c r="A101" s="3206" t="s">
        <v>11398</v>
      </c>
      <c r="B101" s="3204" cm="1">
        <f t="array" ref="B101">SUM(IF('Aprilie 2020 2.0'!$I$3:$I$680=$B$3,LEN('Aprilie 2020 2.0'!$G$3:$G$680)-LEN(SUBSTITUTE('Aprilie 2020 2.0'!$G$3:$G$680,A101,"")),0))/LEN(A101)</f>
        <v>0</v>
      </c>
      <c r="C101" s="3204" cm="1">
        <f t="array" ref="C101">SUM(IF('Aprilie 2020 2.0'!$I$3:$I$680=$C$3,LEN('Aprilie 2020 2.0'!$G$3:$G$680)-LEN(SUBSTITUTE('Aprilie 2020 2.0'!$G$3:$G$680,A101,"")),0))/LEN(A101)</f>
        <v>0</v>
      </c>
      <c r="D101" s="3204" cm="1">
        <f t="array" ref="D101">SUM(IF('Aprilie 2020 2.0'!$I$3:$I$680=$D$3,LEN('Aprilie 2020 2.0'!$G$3:$G$680)-LEN(SUBSTITUTE('Aprilie 2020 2.0'!$G$3:$G$680,A101,"")),0))/LEN(A101)</f>
        <v>0</v>
      </c>
      <c r="E101" s="3203" cm="1">
        <f t="array" ref="E101">SUM(IF('Aprilie 2020 2.0'!$I$3:$I$680=$E$3,LEN('Aprilie 2020 2.0'!$G$3:$G$680)-LEN(SUBSTITUTE('Aprilie 2020 2.0'!$G$3:$G$680,A101,"")),0))/LEN(A101)</f>
        <v>0</v>
      </c>
      <c r="F101" s="3203" cm="1">
        <f t="array" ref="F101">SUM(IF('Aprilie 2020 2.0'!$I$3:$I$680=$F$3,LEN('Aprilie 2020 2.0'!$G$3:$G$680)-LEN(SUBSTITUTE('Aprilie 2020 2.0'!$G$3:$G$680,A101,"")),0))/LEN(A101)</f>
        <v>0</v>
      </c>
      <c r="G101" s="3203" cm="1">
        <f t="array" ref="G101">SUM(IF('Aprilie 2020 2.0'!$I$3:$I$680=$G$3,LEN('Aprilie 2020 2.0'!$G$3:$G$680)-LEN(SUBSTITUTE('Aprilie 2020 2.0'!$G$3:$G$680,A101,"")),0))/LEN(A101)</f>
        <v>0</v>
      </c>
      <c r="H101" s="3203" cm="1">
        <f t="array" ref="H101">SUM(IF('Aprilie 2020 2.0'!$I$3:$I$680=$H$3,LEN('Aprilie 2020 2.0'!$G$3:$G$680)-LEN(SUBSTITUTE('Aprilie 2020 2.0'!$G$3:$G$680,A101,"")),0))/LEN(A101)</f>
        <v>0</v>
      </c>
      <c r="I101" s="3207">
        <f t="shared" si="3"/>
        <v>0</v>
      </c>
      <c r="J101" s="3207"/>
      <c r="K101" s="3207"/>
      <c r="L101" s="3203" t="s">
        <v>7663</v>
      </c>
      <c r="M101" s="2911" t="s">
        <v>3511</v>
      </c>
    </row>
    <row r="102" spans="1:14" ht="13.5" customHeight="1" x14ac:dyDescent="0.35">
      <c r="A102" s="3210" t="s">
        <v>11208</v>
      </c>
      <c r="B102" s="3204" cm="1">
        <f t="array" ref="B102">SUM(IF('Aprilie 2020 2.0'!$I$3:$I$680=$B$3,LEN('Aprilie 2020 2.0'!$G$3:$G$680)-LEN(SUBSTITUTE('Aprilie 2020 2.0'!$G$3:$G$680,A102,"")),0))/LEN(A102)</f>
        <v>0</v>
      </c>
      <c r="C102" s="3204" cm="1">
        <f t="array" ref="C102">SUM(IF('Aprilie 2020 2.0'!$I$3:$I$680=$C$3,LEN('Aprilie 2020 2.0'!$G$3:$G$680)-LEN(SUBSTITUTE('Aprilie 2020 2.0'!$G$3:$G$680,A102,"")),0))/LEN(A102)</f>
        <v>0</v>
      </c>
      <c r="D102" s="3204" cm="1">
        <f t="array" ref="D102">SUM(IF('Aprilie 2020 2.0'!$I$3:$I$680=$D$3,LEN('Aprilie 2020 2.0'!$G$3:$G$680)-LEN(SUBSTITUTE('Aprilie 2020 2.0'!$G$3:$G$680,A102,"")),0))/LEN(A102)</f>
        <v>0</v>
      </c>
      <c r="E102" s="3203" cm="1">
        <f t="array" ref="E102">SUM(IF('Aprilie 2020 2.0'!$I$3:$I$680=$E$3,LEN('Aprilie 2020 2.0'!$G$3:$G$680)-LEN(SUBSTITUTE('Aprilie 2020 2.0'!$G$3:$G$680,A102,"")),0))/LEN(A102)</f>
        <v>0</v>
      </c>
      <c r="F102" s="3203" cm="1">
        <f t="array" ref="F102">SUM(IF('Aprilie 2020 2.0'!$I$3:$I$680=$F$3,LEN('Aprilie 2020 2.0'!$G$3:$G$680)-LEN(SUBSTITUTE('Aprilie 2020 2.0'!$G$3:$G$680,A102,"")),0))/LEN(A102)</f>
        <v>0</v>
      </c>
      <c r="G102" s="3203" cm="1">
        <f t="array" ref="G102">SUM(IF('Aprilie 2020 2.0'!$I$3:$I$680=$G$3,LEN('Aprilie 2020 2.0'!$G$3:$G$680)-LEN(SUBSTITUTE('Aprilie 2020 2.0'!$G$3:$G$680,A102,"")),0))/LEN(A102)</f>
        <v>0</v>
      </c>
      <c r="H102" s="3203" cm="1">
        <f t="array" ref="H102">SUM(IF('Aprilie 2020 2.0'!$I$3:$I$680=$H$3,LEN('Aprilie 2020 2.0'!$G$3:$G$680)-LEN(SUBSTITUTE('Aprilie 2020 2.0'!$G$3:$G$680,A102,"")),0))/LEN(A102)</f>
        <v>0</v>
      </c>
      <c r="I102" s="3207">
        <f t="shared" si="3"/>
        <v>0</v>
      </c>
      <c r="J102" s="3207"/>
      <c r="K102" s="3207"/>
      <c r="L102" s="3203" t="s">
        <v>7663</v>
      </c>
      <c r="M102" s="2911" t="s">
        <v>3511</v>
      </c>
    </row>
    <row r="103" spans="1:14" ht="13.5" customHeight="1" x14ac:dyDescent="0.35">
      <c r="A103" s="3210" t="s">
        <v>11399</v>
      </c>
      <c r="B103" s="3204" cm="1">
        <f t="array" ref="B103">SUM(IF('Aprilie 2020 2.0'!$I$3:$I$680=$B$3,LEN('Aprilie 2020 2.0'!$G$3:$G$680)-LEN(SUBSTITUTE('Aprilie 2020 2.0'!$G$3:$G$680,A103,"")),0))/LEN(A103)</f>
        <v>0</v>
      </c>
      <c r="C103" s="3204" cm="1">
        <f t="array" ref="C103">SUM(IF('Aprilie 2020 2.0'!$I$3:$I$680=$C$3,LEN('Aprilie 2020 2.0'!$G$3:$G$680)-LEN(SUBSTITUTE('Aprilie 2020 2.0'!$G$3:$G$680,A103,"")),0))/LEN(A103)</f>
        <v>0</v>
      </c>
      <c r="D103" s="3204" cm="1">
        <f t="array" ref="D103">SUM(IF('Aprilie 2020 2.0'!$I$3:$I$680=$D$3,LEN('Aprilie 2020 2.0'!$G$3:$G$680)-LEN(SUBSTITUTE('Aprilie 2020 2.0'!$G$3:$G$680,A103,"")),0))/LEN(A103)</f>
        <v>0</v>
      </c>
      <c r="E103" s="3203" cm="1">
        <f t="array" ref="E103">SUM(IF('Aprilie 2020 2.0'!$I$3:$I$680=$E$3,LEN('Aprilie 2020 2.0'!$G$3:$G$680)-LEN(SUBSTITUTE('Aprilie 2020 2.0'!$G$3:$G$680,A103,"")),0))/LEN(A103)</f>
        <v>0</v>
      </c>
      <c r="F103" s="3203" cm="1">
        <f t="array" ref="F103">SUM(IF('Aprilie 2020 2.0'!$I$3:$I$680=$F$3,LEN('Aprilie 2020 2.0'!$G$3:$G$680)-LEN(SUBSTITUTE('Aprilie 2020 2.0'!$G$3:$G$680,A103,"")),0))/LEN(A103)</f>
        <v>0</v>
      </c>
      <c r="G103" s="3203" cm="1">
        <f t="array" ref="G103">SUM(IF('Aprilie 2020 2.0'!$I$3:$I$680=$G$3,LEN('Aprilie 2020 2.0'!$G$3:$G$680)-LEN(SUBSTITUTE('Aprilie 2020 2.0'!$G$3:$G$680,A103,"")),0))/LEN(A103)</f>
        <v>0</v>
      </c>
      <c r="H103" s="3203" cm="1">
        <f t="array" ref="H103">SUM(IF('Aprilie 2020 2.0'!$I$3:$I$680=$H$3,LEN('Aprilie 2020 2.0'!$G$3:$G$680)-LEN(SUBSTITUTE('Aprilie 2020 2.0'!$G$3:$G$680,A103,"")),0))/LEN(A103)</f>
        <v>0</v>
      </c>
      <c r="I103" s="3207">
        <f t="shared" si="3"/>
        <v>0</v>
      </c>
      <c r="J103" s="3207"/>
      <c r="K103" s="3207"/>
      <c r="L103" s="3203" t="s">
        <v>7663</v>
      </c>
      <c r="M103" s="2911" t="s">
        <v>3511</v>
      </c>
    </row>
    <row r="104" spans="1:14" ht="13.5" customHeight="1" x14ac:dyDescent="0.35">
      <c r="A104" s="3206" t="s">
        <v>11209</v>
      </c>
      <c r="B104" s="3204" cm="1">
        <f t="array" ref="B104">SUM(IF('Aprilie 2020 2.0'!$I$3:$I$680=$B$3,LEN('Aprilie 2020 2.0'!$G$3:$G$680)-LEN(SUBSTITUTE('Aprilie 2020 2.0'!$G$3:$G$680,A104,"")),0))/LEN(A104)</f>
        <v>0</v>
      </c>
      <c r="C104" s="3204" cm="1">
        <f t="array" ref="C104">SUM(IF('Aprilie 2020 2.0'!$I$3:$I$680=$C$3,LEN('Aprilie 2020 2.0'!$G$3:$G$680)-LEN(SUBSTITUTE('Aprilie 2020 2.0'!$G$3:$G$680,A104,"")),0))/LEN(A104)</f>
        <v>0</v>
      </c>
      <c r="D104" s="3204" cm="1">
        <f t="array" ref="D104">SUM(IF('Aprilie 2020 2.0'!$I$3:$I$680=$D$3,LEN('Aprilie 2020 2.0'!$G$3:$G$680)-LEN(SUBSTITUTE('Aprilie 2020 2.0'!$G$3:$G$680,A104,"")),0))/LEN(A104)</f>
        <v>0</v>
      </c>
      <c r="E104" s="3203" cm="1">
        <f t="array" ref="E104">SUM(IF('Aprilie 2020 2.0'!$I$3:$I$680=$E$3,LEN('Aprilie 2020 2.0'!$G$3:$G$680)-LEN(SUBSTITUTE('Aprilie 2020 2.0'!$G$3:$G$680,A104,"")),0))/LEN(A104)</f>
        <v>0</v>
      </c>
      <c r="F104" s="3203" cm="1">
        <f t="array" ref="F104">SUM(IF('Aprilie 2020 2.0'!$I$3:$I$680=$F$3,LEN('Aprilie 2020 2.0'!$G$3:$G$680)-LEN(SUBSTITUTE('Aprilie 2020 2.0'!$G$3:$G$680,A104,"")),0))/LEN(A104)</f>
        <v>0</v>
      </c>
      <c r="G104" s="3203" cm="1">
        <f t="array" ref="G104">SUM(IF('Aprilie 2020 2.0'!$I$3:$I$680=$G$3,LEN('Aprilie 2020 2.0'!$G$3:$G$680)-LEN(SUBSTITUTE('Aprilie 2020 2.0'!$G$3:$G$680,A104,"")),0))/LEN(A104)</f>
        <v>0</v>
      </c>
      <c r="H104" s="3203" cm="1">
        <f t="array" ref="H104">SUM(IF('Aprilie 2020 2.0'!$I$3:$I$680=$H$3,LEN('Aprilie 2020 2.0'!$G$3:$G$680)-LEN(SUBSTITUTE('Aprilie 2020 2.0'!$G$3:$G$680,A104,"")),0))/LEN(A104)</f>
        <v>0</v>
      </c>
      <c r="I104" s="3207">
        <f t="shared" si="3"/>
        <v>0</v>
      </c>
      <c r="J104" s="3207"/>
      <c r="K104" s="3207"/>
      <c r="L104" s="3203" t="s">
        <v>7663</v>
      </c>
      <c r="M104" s="2911" t="s">
        <v>3511</v>
      </c>
    </row>
    <row r="105" spans="1:14" ht="13.5" customHeight="1" x14ac:dyDescent="0.35">
      <c r="A105" s="3208" t="s">
        <v>11236</v>
      </c>
      <c r="B105" s="2911" cm="1">
        <f t="array" ref="B105">SUM(IF('Aprilie 2020 2.0'!$I$3:$I$680=$B$3,LEN('Aprilie 2020 2.0'!$G$3:$G$680)-LEN(SUBSTITUTE('Aprilie 2020 2.0'!$G$3:$G$680,A105,"")),0))/LEN(A105)</f>
        <v>0</v>
      </c>
      <c r="C105" s="2911" cm="1">
        <f t="array" ref="C105">SUM(IF('Aprilie 2020 2.0'!$I$3:$I$680=$C$3,LEN('Aprilie 2020 2.0'!$G$3:$G$680)-LEN(SUBSTITUTE('Aprilie 2020 2.0'!$G$3:$G$680,A105,"")),0))/LEN(A105)</f>
        <v>0</v>
      </c>
      <c r="D105" s="2911" cm="1">
        <f t="array" ref="D105">SUM(IF('Aprilie 2020 2.0'!$I$3:$I$680=$D$3,LEN('Aprilie 2020 2.0'!$G$3:$G$680)-LEN(SUBSTITUTE('Aprilie 2020 2.0'!$G$3:$G$680,A105,"")),0))/LEN(A105)</f>
        <v>0</v>
      </c>
      <c r="E105" s="2911" cm="1">
        <f t="array" ref="E105">SUM(IF('Aprilie 2020 2.0'!$I$3:$I$680=$E$3,LEN('Aprilie 2020 2.0'!$G$3:$G$680)-LEN(SUBSTITUTE('Aprilie 2020 2.0'!$G$3:$G$680,A105,"")),0))/LEN(A105)</f>
        <v>0</v>
      </c>
      <c r="F105" s="2911" cm="1">
        <f t="array" ref="F105">SUM(IF('Aprilie 2020 2.0'!$I$3:$I$680=$F$3,LEN('Aprilie 2020 2.0'!$G$3:$G$680)-LEN(SUBSTITUTE('Aprilie 2020 2.0'!$G$3:$G$680,A105,"")),0))/LEN(A105)</f>
        <v>0</v>
      </c>
      <c r="G105" s="2911" cm="1">
        <f t="array" ref="G105">SUM(IF('Aprilie 2020 2.0'!$I$3:$I$680=$G$3,LEN('Aprilie 2020 2.0'!$G$3:$G$680)-LEN(SUBSTITUTE('Aprilie 2020 2.0'!$G$3:$G$680,A105,"")),0))/LEN(A105)</f>
        <v>0</v>
      </c>
      <c r="H105" s="3203" cm="1">
        <f t="array" ref="H105">SUM(IF('Aprilie 2020 2.0'!$I$3:$I$680=$H$3,LEN('Aprilie 2020 2.0'!$G$3:$G$680)-LEN(SUBSTITUTE('Aprilie 2020 2.0'!$G$3:$G$680,A105,"")),0))/LEN(A105)</f>
        <v>0</v>
      </c>
      <c r="I105" s="3207">
        <f t="shared" si="3"/>
        <v>0</v>
      </c>
      <c r="J105" s="3207"/>
      <c r="K105" s="3207"/>
      <c r="L105" s="3203" t="s">
        <v>7663</v>
      </c>
      <c r="M105" s="2911" t="s">
        <v>3511</v>
      </c>
    </row>
    <row r="106" spans="1:14" ht="13.5" customHeight="1" x14ac:dyDescent="0.35">
      <c r="A106" s="3208" t="s">
        <v>11516</v>
      </c>
      <c r="B106" s="3203" cm="1">
        <f t="array" ref="B106">SUM(IF('Aprilie 2020 2.0'!$I$3:$I$680=$B$3,LEN('Aprilie 2020 2.0'!$G$3:$G$680)-LEN(SUBSTITUTE('Aprilie 2020 2.0'!$G$3:$G$680,A106,"")),0))/LEN(A106)</f>
        <v>0</v>
      </c>
      <c r="C106" s="3203" cm="1">
        <f t="array" ref="C106">SUM(IF('Aprilie 2020 2.0'!$I$3:$I$680=$C$3,LEN('Aprilie 2020 2.0'!$G$3:$G$680)-LEN(SUBSTITUTE('Aprilie 2020 2.0'!$G$3:$G$680,A106,"")),0))/LEN(A106)</f>
        <v>0</v>
      </c>
      <c r="D106" s="3203" cm="1">
        <f t="array" ref="D106">SUM(IF('Aprilie 2020 2.0'!$I$3:$I$680=$D$3,LEN('Aprilie 2020 2.0'!$G$3:$G$680)-LEN(SUBSTITUTE('Aprilie 2020 2.0'!$G$3:$G$680,A106,"")),0))/LEN(A106)</f>
        <v>0</v>
      </c>
      <c r="E106" s="3203" cm="1">
        <f t="array" ref="E106">SUM(IF('Aprilie 2020 2.0'!$I$3:$I$680=$E$3,LEN('Aprilie 2020 2.0'!$G$3:$G$680)-LEN(SUBSTITUTE('Aprilie 2020 2.0'!$G$3:$G$680,A106,"")),0))/LEN(A106)</f>
        <v>0</v>
      </c>
      <c r="F106" s="3203" cm="1">
        <f t="array" ref="F106">SUM(IF('Aprilie 2020 2.0'!$I$3:$I$680=$F$3,LEN('Aprilie 2020 2.0'!$G$3:$G$680)-LEN(SUBSTITUTE('Aprilie 2020 2.0'!$G$3:$G$680,A106,"")),0))/LEN(A106)</f>
        <v>0</v>
      </c>
      <c r="G106" s="3203" cm="1">
        <f t="array" ref="G106">SUM(IF('Aprilie 2020 2.0'!$I$3:$I$680=$G$3,LEN('Aprilie 2020 2.0'!$G$3:$G$680)-LEN(SUBSTITUTE('Aprilie 2020 2.0'!$G$3:$G$680,A106,"")),0))/LEN(A106)</f>
        <v>0</v>
      </c>
      <c r="H106" s="3203" cm="1">
        <f t="array" ref="H106">SUM(IF('Aprilie 2020 2.0'!$I$3:$I$680=$H$3,LEN('Aprilie 2020 2.0'!$G$3:$G$680)-LEN(SUBSTITUTE('Aprilie 2020 2.0'!$G$3:$G$680,A106,"")),0))/LEN(A106)</f>
        <v>0</v>
      </c>
      <c r="I106" s="3207">
        <f t="shared" si="3"/>
        <v>0</v>
      </c>
      <c r="J106" s="3207"/>
      <c r="K106" s="3207"/>
      <c r="L106" s="3203" t="s">
        <v>7663</v>
      </c>
      <c r="M106" s="2911" t="s">
        <v>3511</v>
      </c>
      <c r="N106" s="1361">
        <f>Table25[[#This Row],[Necesar]]*240</f>
        <v>0</v>
      </c>
    </row>
    <row r="107" spans="1:14" ht="13.5" customHeight="1" x14ac:dyDescent="0.35">
      <c r="A107" s="3211" t="s">
        <v>11400</v>
      </c>
      <c r="B107" s="3204" cm="1">
        <f t="array" ref="B107">SUM(IF('Aprilie 2020 2.0'!$I$3:$I$680=$B$3,LEN('Aprilie 2020 2.0'!$G$3:$G$680)-LEN(SUBSTITUTE('Aprilie 2020 2.0'!$G$3:$G$680,A107,"")),0))/LEN(A107)</f>
        <v>0</v>
      </c>
      <c r="C107" s="3204" cm="1">
        <f t="array" ref="C107">SUM(IF('Aprilie 2020 2.0'!$I$3:$I$680=$C$3,LEN('Aprilie 2020 2.0'!$G$3:$G$680)-LEN(SUBSTITUTE('Aprilie 2020 2.0'!$G$3:$G$680,A107,"")),0))/LEN(A107)</f>
        <v>0</v>
      </c>
      <c r="D107" s="3204" cm="1">
        <f t="array" ref="D107">SUM(IF('Aprilie 2020 2.0'!$I$3:$I$680=$D$3,LEN('Aprilie 2020 2.0'!$G$3:$G$680)-LEN(SUBSTITUTE('Aprilie 2020 2.0'!$G$3:$G$680,A107,"")),0))/LEN(A107)</f>
        <v>0</v>
      </c>
      <c r="E107" s="3203" cm="1">
        <f t="array" ref="E107">SUM(IF('Aprilie 2020 2.0'!$I$3:$I$680=$E$3,LEN('Aprilie 2020 2.0'!$G$3:$G$680)-LEN(SUBSTITUTE('Aprilie 2020 2.0'!$G$3:$G$680,A107,"")),0))/LEN(A107)</f>
        <v>0</v>
      </c>
      <c r="F107" s="3203" cm="1">
        <f t="array" ref="F107">SUM(IF('Aprilie 2020 2.0'!$I$3:$I$680=$F$3,LEN('Aprilie 2020 2.0'!$G$3:$G$680)-LEN(SUBSTITUTE('Aprilie 2020 2.0'!$G$3:$G$680,A107,"")),0))/LEN(A107)</f>
        <v>0</v>
      </c>
      <c r="G107" s="3203" cm="1">
        <f t="array" ref="G107">SUM(IF('Aprilie 2020 2.0'!$I$3:$I$680=$G$3,LEN('Aprilie 2020 2.0'!$G$3:$G$680)-LEN(SUBSTITUTE('Aprilie 2020 2.0'!$G$3:$G$680,A107,"")),0))/LEN(A107)</f>
        <v>0</v>
      </c>
      <c r="H107" s="3203" cm="1">
        <f t="array" ref="H107">SUM(IF('Aprilie 2020 2.0'!$I$3:$I$680=$H$3,LEN('Aprilie 2020 2.0'!$G$3:$G$680)-LEN(SUBSTITUTE('Aprilie 2020 2.0'!$G$3:$G$680,A107,"")),0))/LEN(A107)</f>
        <v>0</v>
      </c>
      <c r="I107" s="3207">
        <f t="shared" si="3"/>
        <v>0</v>
      </c>
      <c r="J107" s="3207"/>
      <c r="K107" s="3207"/>
      <c r="L107" s="3203" t="s">
        <v>7663</v>
      </c>
      <c r="M107" s="2911" t="s">
        <v>3511</v>
      </c>
    </row>
    <row r="108" spans="1:14" ht="16" customHeight="1" x14ac:dyDescent="0.35">
      <c r="A108" s="3209" t="s">
        <v>11401</v>
      </c>
      <c r="B108" s="3203" cm="1">
        <f t="array" ref="B108">SUM(IF('Aprilie 2020 2.0'!$I$3:$I$680=$B$3,LEN('Aprilie 2020 2.0'!$G$3:$G$680)-LEN(SUBSTITUTE('Aprilie 2020 2.0'!$G$3:$G$680,A108,"")),0))/LEN(A108)</f>
        <v>0</v>
      </c>
      <c r="C108" s="3203" cm="1">
        <f t="array" ref="C108">SUM(IF('Aprilie 2020 2.0'!$I$3:$I$680=$C$3,LEN('Aprilie 2020 2.0'!$G$3:$G$680)-LEN(SUBSTITUTE('Aprilie 2020 2.0'!$G$3:$G$680,A108,"")),0))/LEN(A108)</f>
        <v>0</v>
      </c>
      <c r="D108" s="3203" cm="1">
        <f t="array" ref="D108">SUM(IF('Aprilie 2020 2.0'!$I$3:$I$680=$D$3,LEN('Aprilie 2020 2.0'!$G$3:$G$680)-LEN(SUBSTITUTE('Aprilie 2020 2.0'!$G$3:$G$680,A108,"")),0))/LEN(A108)</f>
        <v>0</v>
      </c>
      <c r="E108" s="3203" cm="1">
        <f t="array" ref="E108">SUM(IF('Aprilie 2020 2.0'!$I$3:$I$680=$E$3,LEN('Aprilie 2020 2.0'!$G$3:$G$680)-LEN(SUBSTITUTE('Aprilie 2020 2.0'!$G$3:$G$680,A108,"")),0))/LEN(A108)</f>
        <v>0</v>
      </c>
      <c r="F108" s="3203" cm="1">
        <f t="array" ref="F108">SUM(IF('Aprilie 2020 2.0'!$I$3:$I$680=$F$3,LEN('Aprilie 2020 2.0'!$G$3:$G$680)-LEN(SUBSTITUTE('Aprilie 2020 2.0'!$G$3:$G$680,A108,"")),0))/LEN(A108)</f>
        <v>0</v>
      </c>
      <c r="G108" s="3203" cm="1">
        <f t="array" ref="G108">SUM(IF('Aprilie 2020 2.0'!$I$3:$I$680=$G$3,LEN('Aprilie 2020 2.0'!$G$3:$G$680)-LEN(SUBSTITUTE('Aprilie 2020 2.0'!$G$3:$G$680,A108,"")),0))/LEN(A108)</f>
        <v>0</v>
      </c>
      <c r="H108" s="3203" cm="1">
        <f t="array" ref="H108">SUM(IF('Aprilie 2020 2.0'!$I$3:$I$680=$H$3,LEN('Aprilie 2020 2.0'!$G$3:$G$680)-LEN(SUBSTITUTE('Aprilie 2020 2.0'!$G$3:$G$680,A108,"")),0))/LEN(A108)</f>
        <v>1</v>
      </c>
      <c r="I108" s="3203">
        <f t="shared" si="3"/>
        <v>1</v>
      </c>
      <c r="J108" s="3203"/>
      <c r="K108" s="3203"/>
      <c r="L108" s="3203" t="s">
        <v>7663</v>
      </c>
      <c r="M108" s="2911" t="s">
        <v>3511</v>
      </c>
      <c r="N108" s="1361">
        <f>Table25[[#This Row],[Necesar]]*325</f>
        <v>325</v>
      </c>
    </row>
    <row r="109" spans="1:14" ht="13" customHeight="1" x14ac:dyDescent="0.35">
      <c r="A109" s="3248" t="s">
        <v>11248</v>
      </c>
      <c r="B109" s="3203" cm="1">
        <f t="array" ref="B109">SUM(IF('Aprilie 2020 2.0'!$I$3:$I$680=$B$3,LEN('Aprilie 2020 2.0'!$G$3:$G$680)-LEN(SUBSTITUTE('Aprilie 2020 2.0'!$G$3:$G$680,A109,"")),0))/LEN(A109)</f>
        <v>0</v>
      </c>
      <c r="C109" s="3203" cm="1">
        <f t="array" ref="C109">SUM(IF('Aprilie 2020 2.0'!$I$3:$I$680=$C$3,LEN('Aprilie 2020 2.0'!$G$3:$G$680)-LEN(SUBSTITUTE('Aprilie 2020 2.0'!$G$3:$G$680,A109,"")),0))/LEN(A109)</f>
        <v>0</v>
      </c>
      <c r="D109" s="3203" cm="1">
        <f t="array" ref="D109">SUM(IF('Aprilie 2020 2.0'!$I$3:$I$680=$D$3,LEN('Aprilie 2020 2.0'!$G$3:$G$680)-LEN(SUBSTITUTE('Aprilie 2020 2.0'!$G$3:$G$680,A109,"")),0))/LEN(A109)</f>
        <v>0</v>
      </c>
      <c r="E109" s="3203" cm="1">
        <f t="array" ref="E109">SUM(IF('Aprilie 2020 2.0'!$I$3:$I$680=$E$3,LEN('Aprilie 2020 2.0'!$G$3:$G$680)-LEN(SUBSTITUTE('Aprilie 2020 2.0'!$G$3:$G$680,A109,"")),0))/LEN(A109)</f>
        <v>0</v>
      </c>
      <c r="F109" s="3203" cm="1">
        <f t="array" ref="F109">SUM(IF('Aprilie 2020 2.0'!$I$3:$I$680=$F$3,LEN('Aprilie 2020 2.0'!$G$3:$G$680)-LEN(SUBSTITUTE('Aprilie 2020 2.0'!$G$3:$G$680,A109,"")),0))/LEN(A109)</f>
        <v>0</v>
      </c>
      <c r="G109" s="3203" cm="1">
        <f t="array" ref="G109">SUM(IF('Aprilie 2020 2.0'!$I$3:$I$680=$G$3,LEN('Aprilie 2020 2.0'!$G$3:$G$680)-LEN(SUBSTITUTE('Aprilie 2020 2.0'!$G$3:$G$680,A109,"")),0))/LEN(A109)</f>
        <v>0</v>
      </c>
      <c r="H109" s="3203" cm="1">
        <f t="array" ref="H109">SUM(IF('Aprilie 2020 2.0'!$I$3:$I$680=$H$3,LEN('Aprilie 2020 2.0'!$G$3:$G$680)-LEN(SUBSTITUTE('Aprilie 2020 2.0'!$G$3:$G$680,A109,"")),0))/LEN(A109)</f>
        <v>0</v>
      </c>
      <c r="I109" s="3203">
        <f t="shared" si="3"/>
        <v>0</v>
      </c>
      <c r="J109" s="3203"/>
      <c r="K109" s="3203"/>
      <c r="L109" s="3203" t="s">
        <v>7663</v>
      </c>
      <c r="M109" s="2911" t="s">
        <v>3511</v>
      </c>
    </row>
    <row r="110" spans="1:14" ht="12" customHeight="1" x14ac:dyDescent="0.35">
      <c r="A110" s="3211" t="s">
        <v>11404</v>
      </c>
      <c r="B110" s="3204" cm="1">
        <f t="array" ref="B110">SUM(IF('Aprilie 2020 2.0'!$I$3:$I$680=$B$3,LEN('Aprilie 2020 2.0'!$G$3:$G$680)-LEN(SUBSTITUTE('Aprilie 2020 2.0'!$G$3:$G$680,A110,"")),0))/LEN(A110)</f>
        <v>0</v>
      </c>
      <c r="C110" s="3204" cm="1">
        <f t="array" ref="C110">SUM(IF('Aprilie 2020 2.0'!$I$3:$I$680=$C$3,LEN('Aprilie 2020 2.0'!$G$3:$G$680)-LEN(SUBSTITUTE('Aprilie 2020 2.0'!$G$3:$G$680,A110,"")),0))/LEN(A110)</f>
        <v>0</v>
      </c>
      <c r="D110" s="3204" cm="1">
        <f t="array" ref="D110">SUM(IF('Aprilie 2020 2.0'!$I$3:$I$680=$D$3,LEN('Aprilie 2020 2.0'!$G$3:$G$680)-LEN(SUBSTITUTE('Aprilie 2020 2.0'!$G$3:$G$680,A110,"")),0))/LEN(A110)</f>
        <v>0</v>
      </c>
      <c r="E110" s="3203" cm="1">
        <f t="array" ref="E110">SUM(IF('Aprilie 2020 2.0'!$I$3:$I$680=$E$3,LEN('Aprilie 2020 2.0'!$G$3:$G$680)-LEN(SUBSTITUTE('Aprilie 2020 2.0'!$G$3:$G$680,A110,"")),0))/LEN(A110)</f>
        <v>0</v>
      </c>
      <c r="F110" s="3203" cm="1">
        <f t="array" ref="F110">SUM(IF('Aprilie 2020 2.0'!$I$3:$I$680=$F$3,LEN('Aprilie 2020 2.0'!$G$3:$G$680)-LEN(SUBSTITUTE('Aprilie 2020 2.0'!$G$3:$G$680,A110,"")),0))/LEN(A110)</f>
        <v>0</v>
      </c>
      <c r="G110" s="3203" cm="1">
        <f t="array" ref="G110">SUM(IF('Aprilie 2020 2.0'!$I$3:$I$680=$G$3,LEN('Aprilie 2020 2.0'!$G$3:$G$680)-LEN(SUBSTITUTE('Aprilie 2020 2.0'!$G$3:$G$680,A110,"")),0))/LEN(A110)</f>
        <v>0</v>
      </c>
      <c r="H110" s="3203" cm="1">
        <f t="array" ref="H110">SUM(IF('Aprilie 2020 2.0'!$I$3:$I$680=$H$3,LEN('Aprilie 2020 2.0'!$G$3:$G$680)-LEN(SUBSTITUTE('Aprilie 2020 2.0'!$G$3:$G$680,A110,"")),0))/LEN(A110)</f>
        <v>0</v>
      </c>
      <c r="I110" s="3207">
        <f t="shared" si="3"/>
        <v>0</v>
      </c>
      <c r="J110" s="3207"/>
      <c r="K110" s="3207"/>
      <c r="L110" s="3203" t="s">
        <v>7663</v>
      </c>
      <c r="M110" s="2911" t="s">
        <v>3511</v>
      </c>
    </row>
    <row r="111" spans="1:14" ht="12" customHeight="1" x14ac:dyDescent="0.35">
      <c r="A111" s="3211" t="s">
        <v>11211</v>
      </c>
      <c r="B111" s="3204" cm="1">
        <f t="array" ref="B111">SUM(IF('Aprilie 2020 2.0'!$I$3:$I$680=$B$3,LEN('Aprilie 2020 2.0'!$G$3:$G$680)-LEN(SUBSTITUTE('Aprilie 2020 2.0'!$G$3:$G$680,A111,"")),0))/LEN(A111)</f>
        <v>0</v>
      </c>
      <c r="C111" s="3204" cm="1">
        <f t="array" ref="C111">SUM(IF('Aprilie 2020 2.0'!$I$3:$I$680=$C$3,LEN('Aprilie 2020 2.0'!$G$3:$G$680)-LEN(SUBSTITUTE('Aprilie 2020 2.0'!$G$3:$G$680,A111,"")),0))/LEN(A111)</f>
        <v>0</v>
      </c>
      <c r="D111" s="3204" cm="1">
        <f t="array" ref="D111">SUM(IF('Aprilie 2020 2.0'!$I$3:$I$680=$D$3,LEN('Aprilie 2020 2.0'!$G$3:$G$680)-LEN(SUBSTITUTE('Aprilie 2020 2.0'!$G$3:$G$680,A111,"")),0))/LEN(A111)</f>
        <v>0</v>
      </c>
      <c r="E111" s="3203" cm="1">
        <f t="array" ref="E111">SUM(IF('Aprilie 2020 2.0'!$I$3:$I$680=$E$3,LEN('Aprilie 2020 2.0'!$G$3:$G$680)-LEN(SUBSTITUTE('Aprilie 2020 2.0'!$G$3:$G$680,A111,"")),0))/LEN(A111)</f>
        <v>0</v>
      </c>
      <c r="F111" s="3203" cm="1">
        <f t="array" ref="F111">SUM(IF('Aprilie 2020 2.0'!$I$3:$I$680=$F$3,LEN('Aprilie 2020 2.0'!$G$3:$G$680)-LEN(SUBSTITUTE('Aprilie 2020 2.0'!$G$3:$G$680,A111,"")),0))/LEN(A111)</f>
        <v>0</v>
      </c>
      <c r="G111" s="3203" cm="1">
        <f t="array" ref="G111">SUM(IF('Aprilie 2020 2.0'!$I$3:$I$680=$G$3,LEN('Aprilie 2020 2.0'!$G$3:$G$680)-LEN(SUBSTITUTE('Aprilie 2020 2.0'!$G$3:$G$680,A111,"")),0))/LEN(A111)</f>
        <v>0</v>
      </c>
      <c r="H111" s="3203" cm="1">
        <f t="array" ref="H111">SUM(IF('Aprilie 2020 2.0'!$I$3:$I$680=$H$3,LEN('Aprilie 2020 2.0'!$G$3:$G$680)-LEN(SUBSTITUTE('Aprilie 2020 2.0'!$G$3:$G$680,A111,"")),0))/LEN(A111)</f>
        <v>0</v>
      </c>
      <c r="I111" s="3207">
        <f t="shared" si="3"/>
        <v>0</v>
      </c>
      <c r="J111" s="3207"/>
      <c r="K111" s="3207"/>
      <c r="L111" s="3203" t="s">
        <v>7663</v>
      </c>
      <c r="M111" s="2911" t="s">
        <v>3511</v>
      </c>
    </row>
    <row r="112" spans="1:14" ht="12" customHeight="1" x14ac:dyDescent="0.35">
      <c r="A112" s="3208" t="s">
        <v>11402</v>
      </c>
      <c r="B112" s="3203" cm="1">
        <f t="array" ref="B112">SUM(IF('Aprilie 2020 2.0'!$I$3:$I$680=$B$3,LEN('Aprilie 2020 2.0'!$G$3:$G$680)-LEN(SUBSTITUTE('Aprilie 2020 2.0'!$G$3:$G$680,A112,"")),0))/LEN(A112)</f>
        <v>0</v>
      </c>
      <c r="C112" s="3203" cm="1">
        <f t="array" ref="C112">SUM(IF('Aprilie 2020 2.0'!$I$3:$I$680=$C$3,LEN('Aprilie 2020 2.0'!$G$3:$G$680)-LEN(SUBSTITUTE('Aprilie 2020 2.0'!$G$3:$G$680,A112,"")),0))/LEN(A112)</f>
        <v>0</v>
      </c>
      <c r="D112" s="3203" cm="1">
        <f t="array" ref="D112">SUM(IF('Aprilie 2020 2.0'!$I$3:$I$680=$D$3,LEN('Aprilie 2020 2.0'!$G$3:$G$680)-LEN(SUBSTITUTE('Aprilie 2020 2.0'!$G$3:$G$680,A112,"")),0))/LEN(A112)</f>
        <v>0</v>
      </c>
      <c r="E112" s="3203" cm="1">
        <f t="array" ref="E112">SUM(IF('Aprilie 2020 2.0'!$I$3:$I$680=$E$3,LEN('Aprilie 2020 2.0'!$G$3:$G$680)-LEN(SUBSTITUTE('Aprilie 2020 2.0'!$G$3:$G$680,A112,"")),0))/LEN(A112)</f>
        <v>0</v>
      </c>
      <c r="F112" s="3203" cm="1">
        <f t="array" ref="F112">SUM(IF('Aprilie 2020 2.0'!$I$3:$I$680=$F$3,LEN('Aprilie 2020 2.0'!$G$3:$G$680)-LEN(SUBSTITUTE('Aprilie 2020 2.0'!$G$3:$G$680,A112,"")),0))/LEN(A112)</f>
        <v>0</v>
      </c>
      <c r="G112" s="3203" cm="1">
        <f t="array" ref="G112">SUM(IF('Aprilie 2020 2.0'!$I$3:$I$680=$G$3,LEN('Aprilie 2020 2.0'!$G$3:$G$680)-LEN(SUBSTITUTE('Aprilie 2020 2.0'!$G$3:$G$680,A112,"")),0))/LEN(A112)</f>
        <v>0</v>
      </c>
      <c r="H112" s="3203" cm="1">
        <f t="array" ref="H112">SUM(IF('Aprilie 2020 2.0'!$I$3:$I$680=$H$3,LEN('Aprilie 2020 2.0'!$G$3:$G$680)-LEN(SUBSTITUTE('Aprilie 2020 2.0'!$G$3:$G$680,A112,"")),0))/LEN(A112)</f>
        <v>0</v>
      </c>
      <c r="I112" s="3207">
        <f t="shared" si="3"/>
        <v>0</v>
      </c>
      <c r="J112" s="3207"/>
      <c r="K112" s="3207"/>
      <c r="L112" s="3203" t="s">
        <v>7663</v>
      </c>
      <c r="M112" s="2911" t="s">
        <v>3511</v>
      </c>
    </row>
    <row r="113" spans="1:14" ht="12" customHeight="1" x14ac:dyDescent="0.35">
      <c r="A113" s="3208" t="s">
        <v>11262</v>
      </c>
      <c r="B113" s="3203" cm="1">
        <f t="array" ref="B113">SUM(IF('Aprilie 2020 2.0'!$I$3:$I$680=$B$3,LEN('Aprilie 2020 2.0'!$G$3:$G$680)-LEN(SUBSTITUTE('Aprilie 2020 2.0'!$G$3:$G$680,A113,"")),0))/LEN(A113)</f>
        <v>0</v>
      </c>
      <c r="C113" s="3203" cm="1">
        <f t="array" ref="C113">SUM(IF('Aprilie 2020 2.0'!$I$3:$I$680=$C$3,LEN('Aprilie 2020 2.0'!$G$3:$G$680)-LEN(SUBSTITUTE('Aprilie 2020 2.0'!$G$3:$G$680,A113,"")),0))/LEN(A113)</f>
        <v>0</v>
      </c>
      <c r="D113" s="3203" cm="1">
        <f t="array" ref="D113">SUM(IF('Aprilie 2020 2.0'!$I$3:$I$680=$D$3,LEN('Aprilie 2020 2.0'!$G$3:$G$680)-LEN(SUBSTITUTE('Aprilie 2020 2.0'!$G$3:$G$680,A113,"")),0))/LEN(A113)</f>
        <v>0</v>
      </c>
      <c r="E113" s="3203" cm="1">
        <f t="array" ref="E113">SUM(IF('Aprilie 2020 2.0'!$I$3:$I$680=$E$3,LEN('Aprilie 2020 2.0'!$G$3:$G$680)-LEN(SUBSTITUTE('Aprilie 2020 2.0'!$G$3:$G$680,A113,"")),0))/LEN(A113)</f>
        <v>0</v>
      </c>
      <c r="F113" s="3203" cm="1">
        <f t="array" ref="F113">SUM(IF('Aprilie 2020 2.0'!$I$3:$I$680=$F$3,LEN('Aprilie 2020 2.0'!$G$3:$G$680)-LEN(SUBSTITUTE('Aprilie 2020 2.0'!$G$3:$G$680,A113,"")),0))/LEN(A113)</f>
        <v>0</v>
      </c>
      <c r="G113" s="3203" cm="1">
        <f t="array" ref="G113">SUM(IF('Aprilie 2020 2.0'!$I$3:$I$680=$G$3,LEN('Aprilie 2020 2.0'!$G$3:$G$680)-LEN(SUBSTITUTE('Aprilie 2020 2.0'!$G$3:$G$680,A113,"")),0))/LEN(A113)</f>
        <v>0</v>
      </c>
      <c r="H113" s="3203" cm="1">
        <f t="array" ref="H113">SUM(IF('Aprilie 2020 2.0'!$I$3:$I$680=$H$3,LEN('Aprilie 2020 2.0'!$G$3:$G$680)-LEN(SUBSTITUTE('Aprilie 2020 2.0'!$G$3:$G$680,A113,"")),0))/LEN(A113)</f>
        <v>0</v>
      </c>
      <c r="I113" s="3207">
        <f t="shared" si="3"/>
        <v>0</v>
      </c>
      <c r="J113" s="3207"/>
      <c r="K113" s="3207"/>
      <c r="L113" s="3203" t="s">
        <v>7663</v>
      </c>
      <c r="M113" s="2911" t="s">
        <v>3511</v>
      </c>
    </row>
    <row r="114" spans="1:14" ht="12" customHeight="1" x14ac:dyDescent="0.35">
      <c r="A114" s="3208" t="s">
        <v>11263</v>
      </c>
      <c r="B114" s="3203" cm="1">
        <f t="array" ref="B114">SUM(IF('Aprilie 2020 2.0'!$I$3:$I$680=$B$3,LEN('Aprilie 2020 2.0'!$G$3:$G$680)-LEN(SUBSTITUTE('Aprilie 2020 2.0'!$G$3:$G$680,A114,"")),0))/LEN(A114)</f>
        <v>0</v>
      </c>
      <c r="C114" s="3203" cm="1">
        <f t="array" ref="C114">SUM(IF('Aprilie 2020 2.0'!$I$3:$I$680=$C$3,LEN('Aprilie 2020 2.0'!$G$3:$G$680)-LEN(SUBSTITUTE('Aprilie 2020 2.0'!$G$3:$G$680,A114,"")),0))/LEN(A114)</f>
        <v>0</v>
      </c>
      <c r="D114" s="3203" cm="1">
        <f t="array" ref="D114">SUM(IF('Aprilie 2020 2.0'!$I$3:$I$680=$D$3,LEN('Aprilie 2020 2.0'!$G$3:$G$680)-LEN(SUBSTITUTE('Aprilie 2020 2.0'!$G$3:$G$680,A114,"")),0))/LEN(A114)</f>
        <v>0</v>
      </c>
      <c r="E114" s="3203" cm="1">
        <f t="array" ref="E114">SUM(IF('Aprilie 2020 2.0'!$I$3:$I$680=$E$3,LEN('Aprilie 2020 2.0'!$G$3:$G$680)-LEN(SUBSTITUTE('Aprilie 2020 2.0'!$G$3:$G$680,A114,"")),0))/LEN(A114)</f>
        <v>0</v>
      </c>
      <c r="F114" s="3203" cm="1">
        <f t="array" ref="F114">SUM(IF('Aprilie 2020 2.0'!$I$3:$I$680=$F$3,LEN('Aprilie 2020 2.0'!$G$3:$G$680)-LEN(SUBSTITUTE('Aprilie 2020 2.0'!$G$3:$G$680,A114,"")),0))/LEN(A114)</f>
        <v>0</v>
      </c>
      <c r="G114" s="3203" cm="1">
        <f t="array" ref="G114">SUM(IF('Aprilie 2020 2.0'!$I$3:$I$680=$G$3,LEN('Aprilie 2020 2.0'!$G$3:$G$680)-LEN(SUBSTITUTE('Aprilie 2020 2.0'!$G$3:$G$680,A114,"")),0))/LEN(A114)</f>
        <v>0</v>
      </c>
      <c r="H114" s="3203" cm="1">
        <f t="array" ref="H114">SUM(IF('Aprilie 2020 2.0'!$I$3:$I$680=$H$3,LEN('Aprilie 2020 2.0'!$G$3:$G$680)-LEN(SUBSTITUTE('Aprilie 2020 2.0'!$G$3:$G$680,A114,"")),0))/LEN(A114)</f>
        <v>0</v>
      </c>
      <c r="I114" s="3207">
        <f t="shared" ref="I114:I145" si="4">SUM(B114:H114)</f>
        <v>0</v>
      </c>
      <c r="J114" s="3207"/>
      <c r="K114" s="3207"/>
      <c r="L114" s="3203" t="s">
        <v>7663</v>
      </c>
      <c r="M114" s="2911" t="s">
        <v>3511</v>
      </c>
    </row>
    <row r="115" spans="1:14" ht="12" customHeight="1" x14ac:dyDescent="0.35">
      <c r="A115" s="3213" t="s">
        <v>11178</v>
      </c>
      <c r="B115" s="3203" cm="1">
        <f t="array" ref="B115">SUM(IF('Aprilie 2020 2.0'!$I$3:$I$680=$B$3,LEN('Aprilie 2020 2.0'!$G$3:$G$680)-LEN(SUBSTITUTE('Aprilie 2020 2.0'!$G$3:$G$680,A115,"")),0))/LEN(A115)</f>
        <v>0</v>
      </c>
      <c r="C115" s="3203" cm="1">
        <f t="array" ref="C115">SUM(IF('Aprilie 2020 2.0'!$I$3:$I$680=$C$3,LEN('Aprilie 2020 2.0'!$G$3:$G$680)-LEN(SUBSTITUTE('Aprilie 2020 2.0'!$G$3:$G$680,A115,"")),0))/LEN(A115)</f>
        <v>0</v>
      </c>
      <c r="D115" s="3203" cm="1">
        <f t="array" ref="D115">SUM(IF('Aprilie 2020 2.0'!$I$3:$I$680=$D$3,LEN('Aprilie 2020 2.0'!$G$3:$G$680)-LEN(SUBSTITUTE('Aprilie 2020 2.0'!$G$3:$G$680,A115,"")),0))/LEN(A115)</f>
        <v>0</v>
      </c>
      <c r="E115" s="3203" cm="1">
        <f t="array" ref="E115">SUM(IF('Aprilie 2020 2.0'!$I$3:$I$680=$E$3,LEN('Aprilie 2020 2.0'!$G$3:$G$680)-LEN(SUBSTITUTE('Aprilie 2020 2.0'!$G$3:$G$680,A115,"")),0))/LEN(A115)</f>
        <v>0</v>
      </c>
      <c r="F115" s="3203" cm="1">
        <f t="array" ref="F115">SUM(IF('Aprilie 2020 2.0'!$I$3:$I$680=$F$3,LEN('Aprilie 2020 2.0'!$G$3:$G$680)-LEN(SUBSTITUTE('Aprilie 2020 2.0'!$G$3:$G$680,A115,"")),0))/LEN(A115)</f>
        <v>0</v>
      </c>
      <c r="G115" s="3203" cm="1">
        <f t="array" ref="G115">SUM(IF('Aprilie 2020 2.0'!$I$3:$I$680=$G$3,LEN('Aprilie 2020 2.0'!$G$3:$G$680)-LEN(SUBSTITUTE('Aprilie 2020 2.0'!$G$3:$G$680,A115,"")),0))/LEN(A115)</f>
        <v>0</v>
      </c>
      <c r="H115" s="3203" cm="1">
        <f t="array" ref="H115">SUM(IF('Aprilie 2020 2.0'!$I$3:$I$680=$H$3,LEN('Aprilie 2020 2.0'!$G$3:$G$680)-LEN(SUBSTITUTE('Aprilie 2020 2.0'!$G$3:$G$680,A115,"")),0))/LEN(A115)</f>
        <v>2</v>
      </c>
      <c r="I115" s="3207">
        <f t="shared" si="4"/>
        <v>2</v>
      </c>
      <c r="J115" s="3207"/>
      <c r="K115" s="3207"/>
      <c r="L115" s="3203" t="s">
        <v>7663</v>
      </c>
      <c r="M115" s="2911" t="s">
        <v>3511</v>
      </c>
    </row>
    <row r="116" spans="1:14" ht="12" customHeight="1" x14ac:dyDescent="0.35">
      <c r="A116" s="3214" t="s">
        <v>11406</v>
      </c>
      <c r="B116" s="3204" cm="1">
        <f t="array" ref="B116">SUM(IF('Aprilie 2020 2.0'!$I$3:$I$680=$B$3,LEN('Aprilie 2020 2.0'!$G$3:$G$680)-LEN(SUBSTITUTE('Aprilie 2020 2.0'!$G$3:$G$680,A116,"")),0))/LEN(A116)</f>
        <v>0</v>
      </c>
      <c r="C116" s="3204" cm="1">
        <f t="array" ref="C116">SUM(IF('Aprilie 2020 2.0'!$I$3:$I$680=$C$3,LEN('Aprilie 2020 2.0'!$G$3:$G$680)-LEN(SUBSTITUTE('Aprilie 2020 2.0'!$G$3:$G$680,A116,"")),0))/LEN(A116)</f>
        <v>0</v>
      </c>
      <c r="D116" s="3204" cm="1">
        <f t="array" ref="D116">SUM(IF('Aprilie 2020 2.0'!$I$3:$I$680=$D$3,LEN('Aprilie 2020 2.0'!$G$3:$G$680)-LEN(SUBSTITUTE('Aprilie 2020 2.0'!$G$3:$G$680,A116,"")),0))/LEN(A116)</f>
        <v>0</v>
      </c>
      <c r="E116" s="3203" cm="1">
        <f t="array" ref="E116">SUM(IF('Aprilie 2020 2.0'!$I$3:$I$680=$E$3,LEN('Aprilie 2020 2.0'!$G$3:$G$680)-LEN(SUBSTITUTE('Aprilie 2020 2.0'!$G$3:$G$680,A116,"")),0))/LEN(A116)</f>
        <v>0</v>
      </c>
      <c r="F116" s="3203" cm="1">
        <f t="array" ref="F116">SUM(IF('Aprilie 2020 2.0'!$I$3:$I$680=$F$3,LEN('Aprilie 2020 2.0'!$G$3:$G$680)-LEN(SUBSTITUTE('Aprilie 2020 2.0'!$G$3:$G$680,A116,"")),0))/LEN(A116)</f>
        <v>0</v>
      </c>
      <c r="G116" s="3203" cm="1">
        <f t="array" ref="G116">SUM(IF('Aprilie 2020 2.0'!$I$3:$I$680=$G$3,LEN('Aprilie 2020 2.0'!$G$3:$G$680)-LEN(SUBSTITUTE('Aprilie 2020 2.0'!$G$3:$G$680,A116,"")),0))/LEN(A116)</f>
        <v>0</v>
      </c>
      <c r="H116" s="3203" cm="1">
        <f t="array" ref="H116">SUM(IF('Aprilie 2020 2.0'!$I$3:$I$680=$H$3,LEN('Aprilie 2020 2.0'!$G$3:$G$680)-LEN(SUBSTITUTE('Aprilie 2020 2.0'!$G$3:$G$680,A116,"")),0))/LEN(A116)</f>
        <v>0</v>
      </c>
      <c r="I116" s="3207">
        <f t="shared" si="4"/>
        <v>0</v>
      </c>
      <c r="J116" s="3207"/>
      <c r="K116" s="3207"/>
      <c r="L116" s="3203" t="s">
        <v>7663</v>
      </c>
      <c r="M116" s="2911" t="s">
        <v>3511</v>
      </c>
    </row>
    <row r="117" spans="1:14" x14ac:dyDescent="0.35">
      <c r="A117" s="3215" t="s">
        <v>11212</v>
      </c>
      <c r="B117" s="3204" cm="1">
        <f t="array" ref="B117">SUM(IF('Aprilie 2020 2.0'!$I$3:$I$680=$B$3,LEN('Aprilie 2020 2.0'!$G$3:$G$680)-LEN(SUBSTITUTE('Aprilie 2020 2.0'!$G$3:$G$680,A117,"")),0))/LEN(A117)</f>
        <v>0</v>
      </c>
      <c r="C117" s="3204" cm="1">
        <f t="array" ref="C117">SUM(IF('Aprilie 2020 2.0'!$I$3:$I$680=$C$3,LEN('Aprilie 2020 2.0'!$G$3:$G$680)-LEN(SUBSTITUTE('Aprilie 2020 2.0'!$G$3:$G$680,A117,"")),0))/LEN(A117)</f>
        <v>0</v>
      </c>
      <c r="D117" s="3204" cm="1">
        <f t="array" ref="D117">SUM(IF('Aprilie 2020 2.0'!$I$3:$I$680=$D$3,LEN('Aprilie 2020 2.0'!$G$3:$G$680)-LEN(SUBSTITUTE('Aprilie 2020 2.0'!$G$3:$G$680,A117,"")),0))/LEN(A117)</f>
        <v>0</v>
      </c>
      <c r="E117" s="3203" cm="1">
        <f t="array" ref="E117">SUM(IF('Aprilie 2020 2.0'!$I$3:$I$680=$E$3,LEN('Aprilie 2020 2.0'!$G$3:$G$680)-LEN(SUBSTITUTE('Aprilie 2020 2.0'!$G$3:$G$680,A117,"")),0))/LEN(A117)</f>
        <v>0</v>
      </c>
      <c r="F117" s="3203" cm="1">
        <f t="array" ref="F117">SUM(IF('Aprilie 2020 2.0'!$I$3:$I$680=$F$3,LEN('Aprilie 2020 2.0'!$G$3:$G$680)-LEN(SUBSTITUTE('Aprilie 2020 2.0'!$G$3:$G$680,A117,"")),0))/LEN(A117)</f>
        <v>0</v>
      </c>
      <c r="G117" s="3203" cm="1">
        <f t="array" ref="G117">SUM(IF('Aprilie 2020 2.0'!$I$3:$I$680=$G$3,LEN('Aprilie 2020 2.0'!$G$3:$G$680)-LEN(SUBSTITUTE('Aprilie 2020 2.0'!$G$3:$G$680,A117,"")),0))/LEN(A117)</f>
        <v>0</v>
      </c>
      <c r="H117" s="3203" cm="1">
        <f t="array" ref="H117">SUM(IF('Aprilie 2020 2.0'!$I$3:$I$680=$H$3,LEN('Aprilie 2020 2.0'!$G$3:$G$680)-LEN(SUBSTITUTE('Aprilie 2020 2.0'!$G$3:$G$680,A117,"")),0))/LEN(A117)</f>
        <v>0</v>
      </c>
      <c r="I117" s="3203">
        <f t="shared" si="4"/>
        <v>0</v>
      </c>
      <c r="J117" s="3203"/>
      <c r="K117" s="3203"/>
      <c r="L117" s="3203" t="s">
        <v>7663</v>
      </c>
      <c r="M117" s="2911" t="s">
        <v>3511</v>
      </c>
    </row>
    <row r="118" spans="1:14" x14ac:dyDescent="0.35">
      <c r="A118" s="3212" t="s">
        <v>11407</v>
      </c>
      <c r="B118" s="3204" cm="1">
        <f t="array" ref="B118">SUM(IF('Aprilie 2020 2.0'!$I$3:$I$680=$B$3,LEN('Aprilie 2020 2.0'!$G$3:$G$680)-LEN(SUBSTITUTE('Aprilie 2020 2.0'!$G$3:$G$680,A118,"")),0))/LEN(A118)</f>
        <v>0</v>
      </c>
      <c r="C118" s="3204" cm="1">
        <f t="array" ref="C118">SUM(IF('Aprilie 2020 2.0'!$I$3:$I$680=$C$3,LEN('Aprilie 2020 2.0'!$G$3:$G$680)-LEN(SUBSTITUTE('Aprilie 2020 2.0'!$G$3:$G$680,A118,"")),0))/LEN(A118)</f>
        <v>0</v>
      </c>
      <c r="D118" s="3204" cm="1">
        <f t="array" ref="D118">SUM(IF('Aprilie 2020 2.0'!$I$3:$I$680=$D$3,LEN('Aprilie 2020 2.0'!$G$3:$G$680)-LEN(SUBSTITUTE('Aprilie 2020 2.0'!$G$3:$G$680,A118,"")),0))/LEN(A118)</f>
        <v>0</v>
      </c>
      <c r="E118" s="3203" cm="1">
        <f t="array" ref="E118">SUM(IF('Aprilie 2020 2.0'!$I$3:$I$680=$E$3,LEN('Aprilie 2020 2.0'!$G$3:$G$680)-LEN(SUBSTITUTE('Aprilie 2020 2.0'!$G$3:$G$680,A118,"")),0))/LEN(A118)</f>
        <v>0</v>
      </c>
      <c r="F118" s="3203" cm="1">
        <f t="array" ref="F118">SUM(IF('Aprilie 2020 2.0'!$I$3:$I$680=$F$3,LEN('Aprilie 2020 2.0'!$G$3:$G$680)-LEN(SUBSTITUTE('Aprilie 2020 2.0'!$G$3:$G$680,A118,"")),0))/LEN(A118)</f>
        <v>0</v>
      </c>
      <c r="G118" s="3203" cm="1">
        <f t="array" ref="G118">SUM(IF('Aprilie 2020 2.0'!$I$3:$I$680=$G$3,LEN('Aprilie 2020 2.0'!$G$3:$G$680)-LEN(SUBSTITUTE('Aprilie 2020 2.0'!$G$3:$G$680,A118,"")),0))/LEN(A118)</f>
        <v>0</v>
      </c>
      <c r="H118" s="3203" cm="1">
        <f t="array" ref="H118">SUM(IF('Aprilie 2020 2.0'!$I$3:$I$680=$H$3,LEN('Aprilie 2020 2.0'!$G$3:$G$680)-LEN(SUBSTITUTE('Aprilie 2020 2.0'!$G$3:$G$680,A118,"")),0))/LEN(A118)</f>
        <v>1</v>
      </c>
      <c r="I118" s="3207">
        <f t="shared" si="4"/>
        <v>1</v>
      </c>
      <c r="J118" s="3207"/>
      <c r="K118" s="3207"/>
      <c r="L118" s="3203" t="s">
        <v>7663</v>
      </c>
      <c r="M118" s="2911" t="s">
        <v>3511</v>
      </c>
    </row>
    <row r="119" spans="1:14" x14ac:dyDescent="0.35">
      <c r="A119" s="3215" t="s">
        <v>11213</v>
      </c>
      <c r="B119" s="3204" cm="1">
        <f t="array" ref="B119">SUM(IF('Aprilie 2020 2.0'!$I$3:$I$680=$B$3,LEN('Aprilie 2020 2.0'!$G$3:$G$680)-LEN(SUBSTITUTE('Aprilie 2020 2.0'!$G$3:$G$680,A119,"")),0))/LEN(A119)</f>
        <v>0</v>
      </c>
      <c r="C119" s="3204" cm="1">
        <f t="array" ref="C119">SUM(IF('Aprilie 2020 2.0'!$I$3:$I$680=$C$3,LEN('Aprilie 2020 2.0'!$G$3:$G$680)-LEN(SUBSTITUTE('Aprilie 2020 2.0'!$G$3:$G$680,A119,"")),0))/LEN(A119)</f>
        <v>0</v>
      </c>
      <c r="D119" s="3204" cm="1">
        <f t="array" ref="D119">SUM(IF('Aprilie 2020 2.0'!$I$3:$I$680=$D$3,LEN('Aprilie 2020 2.0'!$G$3:$G$680)-LEN(SUBSTITUTE('Aprilie 2020 2.0'!$G$3:$G$680,A119,"")),0))/LEN(A119)</f>
        <v>0</v>
      </c>
      <c r="E119" s="3203" cm="1">
        <f t="array" ref="E119">SUM(IF('Aprilie 2020 2.0'!$I$3:$I$680=$E$3,LEN('Aprilie 2020 2.0'!$G$3:$G$680)-LEN(SUBSTITUTE('Aprilie 2020 2.0'!$G$3:$G$680,A119,"")),0))/LEN(A119)</f>
        <v>0</v>
      </c>
      <c r="F119" s="3203" cm="1">
        <f t="array" ref="F119">SUM(IF('Aprilie 2020 2.0'!$I$3:$I$680=$F$3,LEN('Aprilie 2020 2.0'!$G$3:$G$680)-LEN(SUBSTITUTE('Aprilie 2020 2.0'!$G$3:$G$680,A119,"")),0))/LEN(A119)</f>
        <v>0</v>
      </c>
      <c r="G119" s="3203" cm="1">
        <f t="array" ref="G119">SUM(IF('Aprilie 2020 2.0'!$I$3:$I$680=$G$3,LEN('Aprilie 2020 2.0'!$G$3:$G$680)-LEN(SUBSTITUTE('Aprilie 2020 2.0'!$G$3:$G$680,A119,"")),0))/LEN(A119)</f>
        <v>0</v>
      </c>
      <c r="H119" s="3203" cm="1">
        <f t="array" ref="H119">SUM(IF('Aprilie 2020 2.0'!$I$3:$I$680=$H$3,LEN('Aprilie 2020 2.0'!$G$3:$G$680)-LEN(SUBSTITUTE('Aprilie 2020 2.0'!$G$3:$G$680,A119,"")),0))/LEN(A119)</f>
        <v>0</v>
      </c>
      <c r="I119" s="3203">
        <f t="shared" si="4"/>
        <v>0</v>
      </c>
      <c r="J119" s="3203"/>
      <c r="K119" s="3203"/>
      <c r="L119" s="3203" t="s">
        <v>7663</v>
      </c>
      <c r="M119" s="2911" t="s">
        <v>3511</v>
      </c>
    </row>
    <row r="120" spans="1:14" x14ac:dyDescent="0.35">
      <c r="A120" s="3216" t="s">
        <v>11408</v>
      </c>
      <c r="B120" s="3204" cm="1">
        <f t="array" ref="B120">SUM(IF('Aprilie 2020 2.0'!$I$3:$I$680=$B$3,LEN('Aprilie 2020 2.0'!$G$3:$G$680)-LEN(SUBSTITUTE('Aprilie 2020 2.0'!$G$3:$G$680,A120,"")),0))/LEN(A120)</f>
        <v>0</v>
      </c>
      <c r="C120" s="3204" cm="1">
        <f t="array" ref="C120">SUM(IF('Aprilie 2020 2.0'!$I$3:$I$680=$C$3,LEN('Aprilie 2020 2.0'!$G$3:$G$680)-LEN(SUBSTITUTE('Aprilie 2020 2.0'!$G$3:$G$680,A120,"")),0))/LEN(A120)</f>
        <v>0</v>
      </c>
      <c r="D120" s="3204" cm="1">
        <f t="array" ref="D120">SUM(IF('Aprilie 2020 2.0'!$I$3:$I$680=$D$3,LEN('Aprilie 2020 2.0'!$G$3:$G$680)-LEN(SUBSTITUTE('Aprilie 2020 2.0'!$G$3:$G$680,A120,"")),0))/LEN(A120)</f>
        <v>0</v>
      </c>
      <c r="E120" s="3203" cm="1">
        <f t="array" ref="E120">SUM(IF('Aprilie 2020 2.0'!$I$3:$I$680=$E$3,LEN('Aprilie 2020 2.0'!$G$3:$G$680)-LEN(SUBSTITUTE('Aprilie 2020 2.0'!$G$3:$G$680,A120,"")),0))/LEN(A120)</f>
        <v>0</v>
      </c>
      <c r="F120" s="3203" cm="1">
        <f t="array" ref="F120">SUM(IF('Aprilie 2020 2.0'!$I$3:$I$680=$F$3,LEN('Aprilie 2020 2.0'!$G$3:$G$680)-LEN(SUBSTITUTE('Aprilie 2020 2.0'!$G$3:$G$680,A120,"")),0))/LEN(A120)</f>
        <v>0</v>
      </c>
      <c r="G120" s="3203" cm="1">
        <f t="array" ref="G120">SUM(IF('Aprilie 2020 2.0'!$I$3:$I$680=$G$3,LEN('Aprilie 2020 2.0'!$G$3:$G$680)-LEN(SUBSTITUTE('Aprilie 2020 2.0'!$G$3:$G$680,A120,"")),0))/LEN(A120)</f>
        <v>0</v>
      </c>
      <c r="H120" s="3203" cm="1">
        <f t="array" ref="H120">SUM(IF('Aprilie 2020 2.0'!$I$3:$I$680=$H$3,LEN('Aprilie 2020 2.0'!$G$3:$G$680)-LEN(SUBSTITUTE('Aprilie 2020 2.0'!$G$3:$G$680,A120,"")),0))/LEN(A120)</f>
        <v>1</v>
      </c>
      <c r="I120" s="3203">
        <f t="shared" si="4"/>
        <v>1</v>
      </c>
      <c r="J120" s="3203"/>
      <c r="K120" s="3203"/>
      <c r="L120" s="3203" t="s">
        <v>7663</v>
      </c>
      <c r="M120" s="2911" t="s">
        <v>3511</v>
      </c>
    </row>
    <row r="121" spans="1:14" x14ac:dyDescent="0.35">
      <c r="A121" s="3215" t="s">
        <v>11214</v>
      </c>
      <c r="B121" s="3204" cm="1">
        <f t="array" ref="B121">SUM(IF('Aprilie 2020 2.0'!$I$3:$I$680=$B$3,LEN('Aprilie 2020 2.0'!$G$3:$G$680)-LEN(SUBSTITUTE('Aprilie 2020 2.0'!$G$3:$G$680,A121,"")),0))/LEN(A121)</f>
        <v>0</v>
      </c>
      <c r="C121" s="3204" cm="1">
        <f t="array" ref="C121">SUM(IF('Aprilie 2020 2.0'!$I$3:$I$680=$C$3,LEN('Aprilie 2020 2.0'!$G$3:$G$680)-LEN(SUBSTITUTE('Aprilie 2020 2.0'!$G$3:$G$680,A121,"")),0))/LEN(A121)</f>
        <v>0</v>
      </c>
      <c r="D121" s="3204" cm="1">
        <f t="array" ref="D121">SUM(IF('Aprilie 2020 2.0'!$I$3:$I$680=$D$3,LEN('Aprilie 2020 2.0'!$G$3:$G$680)-LEN(SUBSTITUTE('Aprilie 2020 2.0'!$G$3:$G$680,A121,"")),0))/LEN(A121)</f>
        <v>0</v>
      </c>
      <c r="E121" s="3203" cm="1">
        <f t="array" ref="E121">SUM(IF('Aprilie 2020 2.0'!$I$3:$I$680=$E$3,LEN('Aprilie 2020 2.0'!$G$3:$G$680)-LEN(SUBSTITUTE('Aprilie 2020 2.0'!$G$3:$G$680,A121,"")),0))/LEN(A121)</f>
        <v>0</v>
      </c>
      <c r="F121" s="3203" cm="1">
        <f t="array" ref="F121">SUM(IF('Aprilie 2020 2.0'!$I$3:$I$680=$F$3,LEN('Aprilie 2020 2.0'!$G$3:$G$680)-LEN(SUBSTITUTE('Aprilie 2020 2.0'!$G$3:$G$680,A121,"")),0))/LEN(A121)</f>
        <v>0</v>
      </c>
      <c r="G121" s="3203" cm="1">
        <f t="array" ref="G121">SUM(IF('Aprilie 2020 2.0'!$I$3:$I$680=$G$3,LEN('Aprilie 2020 2.0'!$G$3:$G$680)-LEN(SUBSTITUTE('Aprilie 2020 2.0'!$G$3:$G$680,A121,"")),0))/LEN(A121)</f>
        <v>0</v>
      </c>
      <c r="H121" s="3203" cm="1">
        <f t="array" ref="H121">SUM(IF('Aprilie 2020 2.0'!$I$3:$I$680=$H$3,LEN('Aprilie 2020 2.0'!$G$3:$G$680)-LEN(SUBSTITUTE('Aprilie 2020 2.0'!$G$3:$G$680,A121,"")),0))/LEN(A121)</f>
        <v>0</v>
      </c>
      <c r="I121" s="3203">
        <f t="shared" si="4"/>
        <v>0</v>
      </c>
      <c r="J121" s="3203"/>
      <c r="K121" s="3203"/>
      <c r="L121" s="3203" t="s">
        <v>7663</v>
      </c>
      <c r="M121" s="2911" t="s">
        <v>3511</v>
      </c>
    </row>
    <row r="122" spans="1:14" x14ac:dyDescent="0.35">
      <c r="A122" s="3202" t="s">
        <v>12051</v>
      </c>
      <c r="B122" s="3203" cm="1">
        <f t="array" ref="B122">SUM(IF('Aprilie 2020 2.0'!$I$3:$I$680=$B$3,LEN('Aprilie 2020 2.0'!$G$3:$G$680)-LEN(SUBSTITUTE('Aprilie 2020 2.0'!$G$3:$G$680,A122,"")),0))/LEN(A122)</f>
        <v>0</v>
      </c>
      <c r="C122" s="3203" cm="1">
        <f t="array" ref="C122">SUM(IF('Aprilie 2020 2.0'!$I$3:$I$680=$C$3,LEN('Aprilie 2020 2.0'!$G$3:$G$680)-LEN(SUBSTITUTE('Aprilie 2020 2.0'!$G$3:$G$680,A122,"")),0))/LEN(A122)</f>
        <v>0</v>
      </c>
      <c r="D122" s="3203" cm="1">
        <f t="array" ref="D122">SUM(IF('Aprilie 2020 2.0'!$I$3:$I$680=$D$3,LEN('Aprilie 2020 2.0'!$G$3:$G$680)-LEN(SUBSTITUTE('Aprilie 2020 2.0'!$G$3:$G$680,A122,"")),0))/LEN(A122)</f>
        <v>0</v>
      </c>
      <c r="E122" s="3203" cm="1">
        <f t="array" ref="E122">SUM(IF('Aprilie 2020 2.0'!$I$3:$I$680=$E$3,LEN('Aprilie 2020 2.0'!$G$3:$G$680)-LEN(SUBSTITUTE('Aprilie 2020 2.0'!$G$3:$G$680,A122,"")),0))/LEN(A122)</f>
        <v>0</v>
      </c>
      <c r="F122" s="3203" cm="1">
        <f t="array" ref="F122">SUM(IF('Aprilie 2020 2.0'!$I$3:$I$680=$F$3,LEN('Aprilie 2020 2.0'!$G$3:$G$680)-LEN(SUBSTITUTE('Aprilie 2020 2.0'!$G$3:$G$680,A122,"")),0))/LEN(A122)</f>
        <v>0</v>
      </c>
      <c r="G122" s="3203" cm="1">
        <f t="array" ref="G122">SUM(IF('Aprilie 2020 2.0'!$I$3:$I$680=$G$3,LEN('Aprilie 2020 2.0'!$G$3:$G$680)-LEN(SUBSTITUTE('Aprilie 2020 2.0'!$G$3:$G$680,A122,"")),0))/LEN(A122)</f>
        <v>0</v>
      </c>
      <c r="H122" s="3203" cm="1">
        <f t="array" ref="H122">SUM(IF('Aprilie 2020 2.0'!$I$3:$I$680=$H$3,LEN('Aprilie 2020 2.0'!$G$3:$G$680)-LEN(SUBSTITUTE('Aprilie 2020 2.0'!$G$3:$G$680,A122,"")),0))/LEN(A122)</f>
        <v>0</v>
      </c>
      <c r="I122" s="3203">
        <f t="shared" si="4"/>
        <v>0</v>
      </c>
      <c r="J122" s="3203"/>
      <c r="K122" s="3203"/>
      <c r="L122" s="3203" t="s">
        <v>7663</v>
      </c>
      <c r="M122" s="2911" t="s">
        <v>3511</v>
      </c>
    </row>
    <row r="123" spans="1:14" x14ac:dyDescent="0.35">
      <c r="A123" s="3209" t="s">
        <v>12020</v>
      </c>
      <c r="B123" s="3203" cm="1">
        <f t="array" ref="B123">SUM(IF('Aprilie 2020 2.0'!$I$3:$I$680=$B$3,LEN('Aprilie 2020 2.0'!$G$3:$G$680)-LEN(SUBSTITUTE('Aprilie 2020 2.0'!$G$3:$G$680,A123,"")),0))/LEN(A123)</f>
        <v>0</v>
      </c>
      <c r="C123" s="3203" cm="1">
        <f t="array" ref="C123">SUM(IF('Aprilie 2020 2.0'!$I$3:$I$680=$C$3,LEN('Aprilie 2020 2.0'!$G$3:$G$680)-LEN(SUBSTITUTE('Aprilie 2020 2.0'!$G$3:$G$680,A123,"")),0))/LEN(A123)</f>
        <v>0</v>
      </c>
      <c r="D123" s="3203" cm="1">
        <f t="array" ref="D123">SUM(IF('Aprilie 2020 2.0'!$I$3:$I$680=$D$3,LEN('Aprilie 2020 2.0'!$G$3:$G$680)-LEN(SUBSTITUTE('Aprilie 2020 2.0'!$G$3:$G$680,A123,"")),0))/LEN(A123)</f>
        <v>0</v>
      </c>
      <c r="E123" s="3203" cm="1">
        <f t="array" ref="E123">SUM(IF('Aprilie 2020 2.0'!$I$3:$I$680=$E$3,LEN('Aprilie 2020 2.0'!$G$3:$G$680)-LEN(SUBSTITUTE('Aprilie 2020 2.0'!$G$3:$G$680,A123,"")),0))/LEN(A123)</f>
        <v>0</v>
      </c>
      <c r="F123" s="3203" cm="1">
        <f t="array" ref="F123">SUM(IF('Aprilie 2020 2.0'!$I$3:$I$680=$F$3,LEN('Aprilie 2020 2.0'!$G$3:$G$680)-LEN(SUBSTITUTE('Aprilie 2020 2.0'!$G$3:$G$680,A123,"")),0))/LEN(A123)</f>
        <v>0</v>
      </c>
      <c r="G123" s="3203" cm="1">
        <f t="array" ref="G123">SUM(IF('Aprilie 2020 2.0'!$I$3:$I$680=$G$3,LEN('Aprilie 2020 2.0'!$G$3:$G$680)-LEN(SUBSTITUTE('Aprilie 2020 2.0'!$G$3:$G$680,A123,"")),0))/LEN(A123)</f>
        <v>0</v>
      </c>
      <c r="H123" s="3203" cm="1">
        <f t="array" ref="H123">SUM(IF('Aprilie 2020 2.0'!$I$3:$I$680=$H$3,LEN('Aprilie 2020 2.0'!$G$3:$G$680)-LEN(SUBSTITUTE('Aprilie 2020 2.0'!$G$3:$G$680,A123,"")),0))/LEN(A123)</f>
        <v>0</v>
      </c>
      <c r="I123" s="3203">
        <f t="shared" si="4"/>
        <v>0</v>
      </c>
      <c r="J123" s="3203"/>
      <c r="K123" s="3203"/>
      <c r="L123" s="3203" t="s">
        <v>7663</v>
      </c>
      <c r="M123" s="2911" t="s">
        <v>3511</v>
      </c>
    </row>
    <row r="124" spans="1:14" x14ac:dyDescent="0.35">
      <c r="A124" s="3208" t="s">
        <v>12050</v>
      </c>
      <c r="B124" s="3203" cm="1">
        <f t="array" ref="B124">SUM(IF('Aprilie 2020 2.0'!$I$3:$I$680=$B$3,LEN('Aprilie 2020 2.0'!$G$3:$G$680)-LEN(SUBSTITUTE('Aprilie 2020 2.0'!$G$3:$G$680,A124,"")),0))/LEN(A124)</f>
        <v>0</v>
      </c>
      <c r="C124" s="3203" cm="1">
        <f t="array" ref="C124">SUM(IF('Aprilie 2020 2.0'!$I$3:$I$680=$C$3,LEN('Aprilie 2020 2.0'!$G$3:$G$680)-LEN(SUBSTITUTE('Aprilie 2020 2.0'!$G$3:$G$680,A124,"")),0))/LEN(A124)</f>
        <v>0</v>
      </c>
      <c r="D124" s="3203" cm="1">
        <f t="array" ref="D124">SUM(IF('Aprilie 2020 2.0'!$I$3:$I$680=$D$3,LEN('Aprilie 2020 2.0'!$G$3:$G$680)-LEN(SUBSTITUTE('Aprilie 2020 2.0'!$G$3:$G$680,A124,"")),0))/LEN(A124)</f>
        <v>0</v>
      </c>
      <c r="E124" s="3203" cm="1">
        <f t="array" ref="E124">SUM(IF('Aprilie 2020 2.0'!$I$3:$I$680=$E$3,LEN('Aprilie 2020 2.0'!$G$3:$G$680)-LEN(SUBSTITUTE('Aprilie 2020 2.0'!$G$3:$G$680,A124,"")),0))/LEN(A124)</f>
        <v>0</v>
      </c>
      <c r="F124" s="3203" cm="1">
        <f t="array" ref="F124">SUM(IF('Aprilie 2020 2.0'!$I$3:$I$680=$F$3,LEN('Aprilie 2020 2.0'!$G$3:$G$680)-LEN(SUBSTITUTE('Aprilie 2020 2.0'!$G$3:$G$680,A124,"")),0))/LEN(A124)</f>
        <v>0</v>
      </c>
      <c r="G124" s="3203" cm="1">
        <f t="array" ref="G124">SUM(IF('Aprilie 2020 2.0'!$I$3:$I$680=$G$3,LEN('Aprilie 2020 2.0'!$G$3:$G$680)-LEN(SUBSTITUTE('Aprilie 2020 2.0'!$G$3:$G$680,A124,"")),0))/LEN(A124)</f>
        <v>0</v>
      </c>
      <c r="H124" s="3203" cm="1">
        <f t="array" ref="H124">SUM(IF('Aprilie 2020 2.0'!$I$3:$I$680=$H$3,LEN('Aprilie 2020 2.0'!$G$3:$G$680)-LEN(SUBSTITUTE('Aprilie 2020 2.0'!$G$3:$G$680,A124,"")),0))/LEN(A124)</f>
        <v>0</v>
      </c>
      <c r="I124" s="3207">
        <v>2</v>
      </c>
      <c r="J124" s="3207"/>
      <c r="K124" s="3207"/>
      <c r="L124" s="3203" t="s">
        <v>7663</v>
      </c>
      <c r="M124" s="2911" t="s">
        <v>3511</v>
      </c>
    </row>
    <row r="125" spans="1:14" x14ac:dyDescent="0.35">
      <c r="A125" s="3213" t="s">
        <v>11403</v>
      </c>
      <c r="B125" s="3203" cm="1">
        <f t="array" ref="B125">SUM(IF('Aprilie 2020 2.0'!$I$3:$I$680=$B$3,LEN('Aprilie 2020 2.0'!$G$3:$G$680)-LEN(SUBSTITUTE('Aprilie 2020 2.0'!$G$3:$G$680,A125,"")),0))/LEN(A125)</f>
        <v>0</v>
      </c>
      <c r="C125" s="3203" cm="1">
        <f t="array" ref="C125">SUM(IF('Aprilie 2020 2.0'!$I$3:$I$680=$C$3,LEN('Aprilie 2020 2.0'!$G$3:$G$680)-LEN(SUBSTITUTE('Aprilie 2020 2.0'!$G$3:$G$680,A125,"")),0))/LEN(A125)</f>
        <v>0</v>
      </c>
      <c r="D125" s="3203" cm="1">
        <f t="array" ref="D125">SUM(IF('Aprilie 2020 2.0'!$I$3:$I$680=$D$3,LEN('Aprilie 2020 2.0'!$G$3:$G$680)-LEN(SUBSTITUTE('Aprilie 2020 2.0'!$G$3:$G$680,A125,"")),0))/LEN(A125)</f>
        <v>0</v>
      </c>
      <c r="E125" s="3203" cm="1">
        <f t="array" ref="E125">SUM(IF('Aprilie 2020 2.0'!$I$3:$I$680=$E$3,LEN('Aprilie 2020 2.0'!$G$3:$G$680)-LEN(SUBSTITUTE('Aprilie 2020 2.0'!$G$3:$G$680,A125,"")),0))/LEN(A125)</f>
        <v>0</v>
      </c>
      <c r="F125" s="3203" cm="1">
        <f t="array" ref="F125">SUM(IF('Aprilie 2020 2.0'!$I$3:$I$680=$F$3,LEN('Aprilie 2020 2.0'!$G$3:$G$680)-LEN(SUBSTITUTE('Aprilie 2020 2.0'!$G$3:$G$680,A125,"")),0))/LEN(A125)</f>
        <v>0</v>
      </c>
      <c r="G125" s="3203" cm="1">
        <f t="array" ref="G125">SUM(IF('Aprilie 2020 2.0'!$I$3:$I$680=$G$3,LEN('Aprilie 2020 2.0'!$G$3:$G$680)-LEN(SUBSTITUTE('Aprilie 2020 2.0'!$G$3:$G$680,A125,"")),0))/LEN(A125)</f>
        <v>0</v>
      </c>
      <c r="H125" s="3203" cm="1">
        <f t="array" ref="H125">SUM(IF('Aprilie 2020 2.0'!$I$3:$I$680=$H$3,LEN('Aprilie 2020 2.0'!$G$3:$G$680)-LEN(SUBSTITUTE('Aprilie 2020 2.0'!$G$3:$G$680,A125,"")),0))/LEN(A125)</f>
        <v>0</v>
      </c>
      <c r="I125" s="3207">
        <f t="shared" ref="I125:I156" si="5">SUM(B125:H125)</f>
        <v>0</v>
      </c>
      <c r="J125" s="3207"/>
      <c r="K125" s="3207"/>
      <c r="L125" s="3203" t="s">
        <v>7663</v>
      </c>
      <c r="M125" s="2911" t="s">
        <v>3511</v>
      </c>
      <c r="N125" s="1361">
        <f>29*100</f>
        <v>2900</v>
      </c>
    </row>
    <row r="126" spans="1:14" x14ac:dyDescent="0.35">
      <c r="A126" s="3213" t="s">
        <v>11252</v>
      </c>
      <c r="B126" s="3203" cm="1">
        <f t="array" ref="B126">SUM(IF('Aprilie 2020 2.0'!$I$3:$I$680=$B$3,LEN('Aprilie 2020 2.0'!$G$3:$G$680)-LEN(SUBSTITUTE('Aprilie 2020 2.0'!$G$3:$G$680,A126,"")),0))/LEN(A126)</f>
        <v>0</v>
      </c>
      <c r="C126" s="3203" cm="1">
        <f t="array" ref="C126">SUM(IF('Aprilie 2020 2.0'!$I$3:$I$680=$C$3,LEN('Aprilie 2020 2.0'!$G$3:$G$680)-LEN(SUBSTITUTE('Aprilie 2020 2.0'!$G$3:$G$680,A126,"")),0))/LEN(A126)</f>
        <v>0</v>
      </c>
      <c r="D126" s="3203" cm="1">
        <f t="array" ref="D126">SUM(IF('Aprilie 2020 2.0'!$I$3:$I$680=$D$3,LEN('Aprilie 2020 2.0'!$G$3:$G$680)-LEN(SUBSTITUTE('Aprilie 2020 2.0'!$G$3:$G$680,A126,"")),0))/LEN(A126)</f>
        <v>0</v>
      </c>
      <c r="E126" s="3203" cm="1">
        <f t="array" ref="E126">SUM(IF('Aprilie 2020 2.0'!$I$3:$I$680=$E$3,LEN('Aprilie 2020 2.0'!$G$3:$G$680)-LEN(SUBSTITUTE('Aprilie 2020 2.0'!$G$3:$G$680,A126,"")),0))/LEN(A126)</f>
        <v>0</v>
      </c>
      <c r="F126" s="3203" cm="1">
        <f t="array" ref="F126">SUM(IF('Aprilie 2020 2.0'!$I$3:$I$680=$F$3,LEN('Aprilie 2020 2.0'!$G$3:$G$680)-LEN(SUBSTITUTE('Aprilie 2020 2.0'!$G$3:$G$680,A126,"")),0))/LEN(A126)</f>
        <v>0</v>
      </c>
      <c r="G126" s="3203" cm="1">
        <f t="array" ref="G126">SUM(IF('Aprilie 2020 2.0'!$I$3:$I$680=$G$3,LEN('Aprilie 2020 2.0'!$G$3:$G$680)-LEN(SUBSTITUTE('Aprilie 2020 2.0'!$G$3:$G$680,A126,"")),0))/LEN(A126)</f>
        <v>0</v>
      </c>
      <c r="H126" s="3203" cm="1">
        <f t="array" ref="H126">SUM(IF('Aprilie 2020 2.0'!$I$3:$I$680=$H$3,LEN('Aprilie 2020 2.0'!$G$3:$G$680)-LEN(SUBSTITUTE('Aprilie 2020 2.0'!$G$3:$G$680,A126,"")),0))/LEN(A126)</f>
        <v>0</v>
      </c>
      <c r="I126" s="3207">
        <f t="shared" si="5"/>
        <v>0</v>
      </c>
      <c r="J126" s="3207"/>
      <c r="K126" s="3207"/>
      <c r="L126" s="3203" t="s">
        <v>7663</v>
      </c>
      <c r="M126" s="2911" t="s">
        <v>3511</v>
      </c>
      <c r="N126" s="1361">
        <f>Table25[[#This Row],[Necesar]]*450</f>
        <v>0</v>
      </c>
    </row>
    <row r="127" spans="1:14" x14ac:dyDescent="0.35">
      <c r="A127" s="3214" t="s">
        <v>11410</v>
      </c>
      <c r="B127" s="3204" cm="1">
        <f t="array" ref="B127">SUM(IF('Aprilie 2020 2.0'!$I$3:$I$680=$B$3,LEN('Aprilie 2020 2.0'!$G$3:$G$680)-LEN(SUBSTITUTE('Aprilie 2020 2.0'!$G$3:$G$680,A127,"")),0))/LEN(A127)</f>
        <v>0</v>
      </c>
      <c r="C127" s="3204" cm="1">
        <f t="array" ref="C127">SUM(IF('Aprilie 2020 2.0'!$I$3:$I$680=$C$3,LEN('Aprilie 2020 2.0'!$G$3:$G$680)-LEN(SUBSTITUTE('Aprilie 2020 2.0'!$G$3:$G$680,A127,"")),0))/LEN(A127)</f>
        <v>0</v>
      </c>
      <c r="D127" s="3204" cm="1">
        <f t="array" ref="D127">SUM(IF('Aprilie 2020 2.0'!$I$3:$I$680=$D$3,LEN('Aprilie 2020 2.0'!$G$3:$G$680)-LEN(SUBSTITUTE('Aprilie 2020 2.0'!$G$3:$G$680,A127,"")),0))/LEN(A127)</f>
        <v>0</v>
      </c>
      <c r="E127" s="3203" cm="1">
        <f t="array" ref="E127">SUM(IF('Aprilie 2020 2.0'!$I$3:$I$680=$E$3,LEN('Aprilie 2020 2.0'!$G$3:$G$680)-LEN(SUBSTITUTE('Aprilie 2020 2.0'!$G$3:$G$680,A127,"")),0))/LEN(A127)</f>
        <v>0</v>
      </c>
      <c r="F127" s="3203" cm="1">
        <f t="array" ref="F127">SUM(IF('Aprilie 2020 2.0'!$I$3:$I$680=$F$3,LEN('Aprilie 2020 2.0'!$G$3:$G$680)-LEN(SUBSTITUTE('Aprilie 2020 2.0'!$G$3:$G$680,A127,"")),0))/LEN(A127)</f>
        <v>0</v>
      </c>
      <c r="G127" s="3203" cm="1">
        <f t="array" ref="G127">SUM(IF('Aprilie 2020 2.0'!$I$3:$I$680=$G$3,LEN('Aprilie 2020 2.0'!$G$3:$G$680)-LEN(SUBSTITUTE('Aprilie 2020 2.0'!$G$3:$G$680,A127,"")),0))/LEN(A127)</f>
        <v>0</v>
      </c>
      <c r="H127" s="3203" cm="1">
        <f t="array" ref="H127">SUM(IF('Aprilie 2020 2.0'!$I$3:$I$680=$H$3,LEN('Aprilie 2020 2.0'!$G$3:$G$680)-LEN(SUBSTITUTE('Aprilie 2020 2.0'!$G$3:$G$680,A127,"")),0))/LEN(A127)</f>
        <v>1</v>
      </c>
      <c r="I127" s="3207">
        <f t="shared" si="5"/>
        <v>1</v>
      </c>
      <c r="J127" s="3207"/>
      <c r="K127" s="3207"/>
      <c r="L127" s="3203" t="s">
        <v>7663</v>
      </c>
      <c r="M127" s="2911" t="s">
        <v>3511</v>
      </c>
      <c r="N127" s="1361">
        <f>Table25[[#This Row],[Necesar]]*150</f>
        <v>150</v>
      </c>
    </row>
    <row r="128" spans="1:14" x14ac:dyDescent="0.35">
      <c r="A128" s="3212" t="s">
        <v>11411</v>
      </c>
      <c r="B128" s="3204" cm="1">
        <f t="array" ref="B128">SUM(IF('Aprilie 2020 2.0'!$I$3:$I$680=$B$3,LEN('Aprilie 2020 2.0'!$G$3:$G$680)-LEN(SUBSTITUTE('Aprilie 2020 2.0'!$G$3:$G$680,A128,"")),0))/LEN(A128)</f>
        <v>0</v>
      </c>
      <c r="C128" s="3204" cm="1">
        <f t="array" ref="C128">SUM(IF('Aprilie 2020 2.0'!$I$3:$I$680=$C$3,LEN('Aprilie 2020 2.0'!$G$3:$G$680)-LEN(SUBSTITUTE('Aprilie 2020 2.0'!$G$3:$G$680,A128,"")),0))/LEN(A128)</f>
        <v>0</v>
      </c>
      <c r="D128" s="3204" cm="1">
        <f t="array" ref="D128">SUM(IF('Aprilie 2020 2.0'!$I$3:$I$680=$D$3,LEN('Aprilie 2020 2.0'!$G$3:$G$680)-LEN(SUBSTITUTE('Aprilie 2020 2.0'!$G$3:$G$680,A128,"")),0))/LEN(A128)</f>
        <v>0</v>
      </c>
      <c r="E128" s="3203" cm="1">
        <f t="array" ref="E128">SUM(IF('Aprilie 2020 2.0'!$I$3:$I$680=$E$3,LEN('Aprilie 2020 2.0'!$G$3:$G$680)-LEN(SUBSTITUTE('Aprilie 2020 2.0'!$G$3:$G$680,A128,"")),0))/LEN(A128)</f>
        <v>0</v>
      </c>
      <c r="F128" s="3203" cm="1">
        <f t="array" ref="F128">SUM(IF('Aprilie 2020 2.0'!$I$3:$I$680=$F$3,LEN('Aprilie 2020 2.0'!$G$3:$G$680)-LEN(SUBSTITUTE('Aprilie 2020 2.0'!$G$3:$G$680,A128,"")),0))/LEN(A128)</f>
        <v>0</v>
      </c>
      <c r="G128" s="3203" cm="1">
        <f t="array" ref="G128">SUM(IF('Aprilie 2020 2.0'!$I$3:$I$680=$G$3,LEN('Aprilie 2020 2.0'!$G$3:$G$680)-LEN(SUBSTITUTE('Aprilie 2020 2.0'!$G$3:$G$680,A128,"")),0))/LEN(A128)</f>
        <v>0</v>
      </c>
      <c r="H128" s="3203" cm="1">
        <f t="array" ref="H128">SUM(IF('Aprilie 2020 2.0'!$I$3:$I$680=$H$3,LEN('Aprilie 2020 2.0'!$G$3:$G$680)-LEN(SUBSTITUTE('Aprilie 2020 2.0'!$G$3:$G$680,A128,"")),0))/LEN(A128)</f>
        <v>0</v>
      </c>
      <c r="I128" s="3207">
        <f t="shared" si="5"/>
        <v>0</v>
      </c>
      <c r="J128" s="3207"/>
      <c r="K128" s="3207"/>
      <c r="L128" s="3203" t="s">
        <v>7663</v>
      </c>
      <c r="M128" s="2911" t="s">
        <v>3511</v>
      </c>
    </row>
    <row r="129" spans="1:13" x14ac:dyDescent="0.35">
      <c r="A129" s="3212" t="s">
        <v>11217</v>
      </c>
      <c r="B129" s="3204" cm="1">
        <f t="array" ref="B129">SUM(IF('Aprilie 2020 2.0'!$I$3:$I$680=$B$3,LEN('Aprilie 2020 2.0'!$G$3:$G$680)-LEN(SUBSTITUTE('Aprilie 2020 2.0'!$G$3:$G$680,A129,"")),0))/LEN(A129)</f>
        <v>0</v>
      </c>
      <c r="C129" s="3204" cm="1">
        <f t="array" ref="C129">SUM(IF('Aprilie 2020 2.0'!$I$3:$I$680=$C$3,LEN('Aprilie 2020 2.0'!$G$3:$G$680)-LEN(SUBSTITUTE('Aprilie 2020 2.0'!$G$3:$G$680,A129,"")),0))/LEN(A129)</f>
        <v>0</v>
      </c>
      <c r="D129" s="3204" cm="1">
        <f t="array" ref="D129">SUM(IF('Aprilie 2020 2.0'!$I$3:$I$680=$D$3,LEN('Aprilie 2020 2.0'!$G$3:$G$680)-LEN(SUBSTITUTE('Aprilie 2020 2.0'!$G$3:$G$680,A129,"")),0))/LEN(A129)</f>
        <v>0</v>
      </c>
      <c r="E129" s="3203" cm="1">
        <f t="array" ref="E129">SUM(IF('Aprilie 2020 2.0'!$I$3:$I$680=$E$3,LEN('Aprilie 2020 2.0'!$G$3:$G$680)-LEN(SUBSTITUTE('Aprilie 2020 2.0'!$G$3:$G$680,A129,"")),0))/LEN(A129)</f>
        <v>0</v>
      </c>
      <c r="F129" s="3203" cm="1">
        <f t="array" ref="F129">SUM(IF('Aprilie 2020 2.0'!$I$3:$I$680=$F$3,LEN('Aprilie 2020 2.0'!$G$3:$G$680)-LEN(SUBSTITUTE('Aprilie 2020 2.0'!$G$3:$G$680,A129,"")),0))/LEN(A129)</f>
        <v>0</v>
      </c>
      <c r="G129" s="3203" cm="1">
        <f t="array" ref="G129">SUM(IF('Aprilie 2020 2.0'!$I$3:$I$680=$G$3,LEN('Aprilie 2020 2.0'!$G$3:$G$680)-LEN(SUBSTITUTE('Aprilie 2020 2.0'!$G$3:$G$680,A129,"")),0))/LEN(A129)</f>
        <v>0</v>
      </c>
      <c r="H129" s="3203" cm="1">
        <f t="array" ref="H129">SUM(IF('Aprilie 2020 2.0'!$I$3:$I$680=$H$3,LEN('Aprilie 2020 2.0'!$G$3:$G$680)-LEN(SUBSTITUTE('Aprilie 2020 2.0'!$G$3:$G$680,A129,"")),0))/LEN(A129)</f>
        <v>0</v>
      </c>
      <c r="I129" s="3207">
        <f t="shared" si="5"/>
        <v>0</v>
      </c>
      <c r="J129" s="3207"/>
      <c r="K129" s="3207"/>
      <c r="L129" s="3203" t="s">
        <v>7663</v>
      </c>
      <c r="M129" s="2911" t="s">
        <v>3511</v>
      </c>
    </row>
    <row r="130" spans="1:13" x14ac:dyDescent="0.35">
      <c r="A130" s="3212" t="s">
        <v>11412</v>
      </c>
      <c r="B130" s="3204" cm="1">
        <f t="array" ref="B130">SUM(IF('Aprilie 2020 2.0'!$I$3:$I$680=$B$3,LEN('Aprilie 2020 2.0'!$G$3:$G$680)-LEN(SUBSTITUTE('Aprilie 2020 2.0'!$G$3:$G$680,A130,"")),0))/LEN(A130)</f>
        <v>0</v>
      </c>
      <c r="C130" s="3204" cm="1">
        <f t="array" ref="C130">SUM(IF('Aprilie 2020 2.0'!$I$3:$I$680=$C$3,LEN('Aprilie 2020 2.0'!$G$3:$G$680)-LEN(SUBSTITUTE('Aprilie 2020 2.0'!$G$3:$G$680,A130,"")),0))/LEN(A130)</f>
        <v>0</v>
      </c>
      <c r="D130" s="3204" cm="1">
        <f t="array" ref="D130">SUM(IF('Aprilie 2020 2.0'!$I$3:$I$680=$D$3,LEN('Aprilie 2020 2.0'!$G$3:$G$680)-LEN(SUBSTITUTE('Aprilie 2020 2.0'!$G$3:$G$680,A130,"")),0))/LEN(A130)</f>
        <v>0</v>
      </c>
      <c r="E130" s="3203" cm="1">
        <f t="array" ref="E130">SUM(IF('Aprilie 2020 2.0'!$I$3:$I$680=$E$3,LEN('Aprilie 2020 2.0'!$G$3:$G$680)-LEN(SUBSTITUTE('Aprilie 2020 2.0'!$G$3:$G$680,A130,"")),0))/LEN(A130)</f>
        <v>0</v>
      </c>
      <c r="F130" s="3203" cm="1">
        <f t="array" ref="F130">SUM(IF('Aprilie 2020 2.0'!$I$3:$I$680=$F$3,LEN('Aprilie 2020 2.0'!$G$3:$G$680)-LEN(SUBSTITUTE('Aprilie 2020 2.0'!$G$3:$G$680,A130,"")),0))/LEN(A130)</f>
        <v>0</v>
      </c>
      <c r="G130" s="3203" cm="1">
        <f t="array" ref="G130">SUM(IF('Aprilie 2020 2.0'!$I$3:$I$680=$G$3,LEN('Aprilie 2020 2.0'!$G$3:$G$680)-LEN(SUBSTITUTE('Aprilie 2020 2.0'!$G$3:$G$680,A130,"")),0))/LEN(A130)</f>
        <v>0</v>
      </c>
      <c r="H130" s="3203" cm="1">
        <f t="array" ref="H130">SUM(IF('Aprilie 2020 2.0'!$I$3:$I$680=$H$3,LEN('Aprilie 2020 2.0'!$G$3:$G$680)-LEN(SUBSTITUTE('Aprilie 2020 2.0'!$G$3:$G$680,A130,"")),0))/LEN(A130)</f>
        <v>0</v>
      </c>
      <c r="I130" s="3207">
        <f t="shared" si="5"/>
        <v>0</v>
      </c>
      <c r="J130" s="3207"/>
      <c r="K130" s="3207"/>
      <c r="L130" s="3203" t="s">
        <v>7663</v>
      </c>
      <c r="M130" s="2911" t="s">
        <v>3511</v>
      </c>
    </row>
    <row r="131" spans="1:13" x14ac:dyDescent="0.35">
      <c r="A131" s="3212" t="s">
        <v>11218</v>
      </c>
      <c r="B131" s="3204" cm="1">
        <f t="array" ref="B131">SUM(IF('Aprilie 2020 2.0'!$I$3:$I$680=$B$3,LEN('Aprilie 2020 2.0'!$G$3:$G$680)-LEN(SUBSTITUTE('Aprilie 2020 2.0'!$G$3:$G$680,A131,"")),0))/LEN(A131)</f>
        <v>0</v>
      </c>
      <c r="C131" s="3204" cm="1">
        <f t="array" ref="C131">SUM(IF('Aprilie 2020 2.0'!$I$3:$I$680=$C$3,LEN('Aprilie 2020 2.0'!$G$3:$G$680)-LEN(SUBSTITUTE('Aprilie 2020 2.0'!$G$3:$G$680,A131,"")),0))/LEN(A131)</f>
        <v>0</v>
      </c>
      <c r="D131" s="3204" cm="1">
        <f t="array" ref="D131">SUM(IF('Aprilie 2020 2.0'!$I$3:$I$680=$D$3,LEN('Aprilie 2020 2.0'!$G$3:$G$680)-LEN(SUBSTITUTE('Aprilie 2020 2.0'!$G$3:$G$680,A131,"")),0))/LEN(A131)</f>
        <v>0</v>
      </c>
      <c r="E131" s="3203" cm="1">
        <f t="array" ref="E131">SUM(IF('Aprilie 2020 2.0'!$I$3:$I$680=$E$3,LEN('Aprilie 2020 2.0'!$G$3:$G$680)-LEN(SUBSTITUTE('Aprilie 2020 2.0'!$G$3:$G$680,A131,"")),0))/LEN(A131)</f>
        <v>0</v>
      </c>
      <c r="F131" s="3203" cm="1">
        <f t="array" ref="F131">SUM(IF('Aprilie 2020 2.0'!$I$3:$I$680=$F$3,LEN('Aprilie 2020 2.0'!$G$3:$G$680)-LEN(SUBSTITUTE('Aprilie 2020 2.0'!$G$3:$G$680,A131,"")),0))/LEN(A131)</f>
        <v>0</v>
      </c>
      <c r="G131" s="3203" cm="1">
        <f t="array" ref="G131">SUM(IF('Aprilie 2020 2.0'!$I$3:$I$680=$G$3,LEN('Aprilie 2020 2.0'!$G$3:$G$680)-LEN(SUBSTITUTE('Aprilie 2020 2.0'!$G$3:$G$680,A131,"")),0))/LEN(A131)</f>
        <v>0</v>
      </c>
      <c r="H131" s="3203" cm="1">
        <f t="array" ref="H131">SUM(IF('Aprilie 2020 2.0'!$I$3:$I$680=$H$3,LEN('Aprilie 2020 2.0'!$G$3:$G$680)-LEN(SUBSTITUTE('Aprilie 2020 2.0'!$G$3:$G$680,A131,"")),0))/LEN(A131)</f>
        <v>0</v>
      </c>
      <c r="I131" s="3207">
        <f t="shared" si="5"/>
        <v>0</v>
      </c>
      <c r="J131" s="3207"/>
      <c r="K131" s="3207"/>
      <c r="L131" s="3203" t="s">
        <v>7663</v>
      </c>
      <c r="M131" s="2911" t="s">
        <v>3511</v>
      </c>
    </row>
    <row r="132" spans="1:13" x14ac:dyDescent="0.35">
      <c r="A132" s="3216" t="s">
        <v>11413</v>
      </c>
      <c r="B132" s="3204" cm="1">
        <f t="array" ref="B132">SUM(IF('Aprilie 2020 2.0'!$I$3:$I$680=$B$3,LEN('Aprilie 2020 2.0'!$G$3:$G$680)-LEN(SUBSTITUTE('Aprilie 2020 2.0'!$G$3:$G$680,A132,"")),0))/LEN(A132)</f>
        <v>0</v>
      </c>
      <c r="C132" s="3204" cm="1">
        <f t="array" ref="C132">SUM(IF('Aprilie 2020 2.0'!$I$3:$I$680=$C$3,LEN('Aprilie 2020 2.0'!$G$3:$G$680)-LEN(SUBSTITUTE('Aprilie 2020 2.0'!$G$3:$G$680,A132,"")),0))/LEN(A132)</f>
        <v>0</v>
      </c>
      <c r="D132" s="3204" cm="1">
        <f t="array" ref="D132">SUM(IF('Aprilie 2020 2.0'!$I$3:$I$680=$D$3,LEN('Aprilie 2020 2.0'!$G$3:$G$680)-LEN(SUBSTITUTE('Aprilie 2020 2.0'!$G$3:$G$680,A132,"")),0))/LEN(A132)</f>
        <v>0</v>
      </c>
      <c r="E132" s="3203" cm="1">
        <f t="array" ref="E132">SUM(IF('Aprilie 2020 2.0'!$I$3:$I$680=$E$3,LEN('Aprilie 2020 2.0'!$G$3:$G$680)-LEN(SUBSTITUTE('Aprilie 2020 2.0'!$G$3:$G$680,A132,"")),0))/LEN(A132)</f>
        <v>0</v>
      </c>
      <c r="F132" s="3203" cm="1">
        <f t="array" ref="F132">SUM(IF('Aprilie 2020 2.0'!$I$3:$I$680=$F$3,LEN('Aprilie 2020 2.0'!$G$3:$G$680)-LEN(SUBSTITUTE('Aprilie 2020 2.0'!$G$3:$G$680,A132,"")),0))/LEN(A132)</f>
        <v>0</v>
      </c>
      <c r="G132" s="3203" cm="1">
        <f t="array" ref="G132">SUM(IF('Aprilie 2020 2.0'!$I$3:$I$680=$G$3,LEN('Aprilie 2020 2.0'!$G$3:$G$680)-LEN(SUBSTITUTE('Aprilie 2020 2.0'!$G$3:$G$680,A132,"")),0))/LEN(A132)</f>
        <v>0</v>
      </c>
      <c r="H132" s="3203" cm="1">
        <f t="array" ref="H132">SUM(IF('Aprilie 2020 2.0'!$I$3:$I$680=$H$3,LEN('Aprilie 2020 2.0'!$G$3:$G$680)-LEN(SUBSTITUTE('Aprilie 2020 2.0'!$G$3:$G$680,A132,"")),0))/LEN(A132)</f>
        <v>0</v>
      </c>
      <c r="I132" s="3203">
        <f t="shared" si="5"/>
        <v>0</v>
      </c>
      <c r="J132" s="3203"/>
      <c r="K132" s="3203"/>
      <c r="L132" s="3203" t="s">
        <v>7663</v>
      </c>
      <c r="M132" s="2911" t="s">
        <v>3511</v>
      </c>
    </row>
    <row r="133" spans="1:13" x14ac:dyDescent="0.35">
      <c r="A133" s="3215" t="s">
        <v>11219</v>
      </c>
      <c r="B133" s="3204" cm="1">
        <f t="array" ref="B133">SUM(IF('Aprilie 2020 2.0'!$I$3:$I$680=$B$3,LEN('Aprilie 2020 2.0'!$G$3:$G$680)-LEN(SUBSTITUTE('Aprilie 2020 2.0'!$G$3:$G$680,A133,"")),0))/LEN(A133)</f>
        <v>0</v>
      </c>
      <c r="C133" s="3204" cm="1">
        <f t="array" ref="C133">SUM(IF('Aprilie 2020 2.0'!$I$3:$I$680=$C$3,LEN('Aprilie 2020 2.0'!$G$3:$G$680)-LEN(SUBSTITUTE('Aprilie 2020 2.0'!$G$3:$G$680,A133,"")),0))/LEN(A133)</f>
        <v>0</v>
      </c>
      <c r="D133" s="3204" cm="1">
        <f t="array" ref="D133">SUM(IF('Aprilie 2020 2.0'!$I$3:$I$680=$D$3,LEN('Aprilie 2020 2.0'!$G$3:$G$680)-LEN(SUBSTITUTE('Aprilie 2020 2.0'!$G$3:$G$680,A133,"")),0))/LEN(A133)</f>
        <v>0</v>
      </c>
      <c r="E133" s="3203" cm="1">
        <f t="array" ref="E133">SUM(IF('Aprilie 2020 2.0'!$I$3:$I$680=$E$3,LEN('Aprilie 2020 2.0'!$G$3:$G$680)-LEN(SUBSTITUTE('Aprilie 2020 2.0'!$G$3:$G$680,A133,"")),0))/LEN(A133)</f>
        <v>0</v>
      </c>
      <c r="F133" s="3203" cm="1">
        <f t="array" ref="F133">SUM(IF('Aprilie 2020 2.0'!$I$3:$I$680=$F$3,LEN('Aprilie 2020 2.0'!$G$3:$G$680)-LEN(SUBSTITUTE('Aprilie 2020 2.0'!$G$3:$G$680,A133,"")),0))/LEN(A133)</f>
        <v>0</v>
      </c>
      <c r="G133" s="3203" cm="1">
        <f t="array" ref="G133">SUM(IF('Aprilie 2020 2.0'!$I$3:$I$680=$G$3,LEN('Aprilie 2020 2.0'!$G$3:$G$680)-LEN(SUBSTITUTE('Aprilie 2020 2.0'!$G$3:$G$680,A133,"")),0))/LEN(A133)</f>
        <v>0</v>
      </c>
      <c r="H133" s="3203" cm="1">
        <f t="array" ref="H133">SUM(IF('Aprilie 2020 2.0'!$I$3:$I$680=$H$3,LEN('Aprilie 2020 2.0'!$G$3:$G$680)-LEN(SUBSTITUTE('Aprilie 2020 2.0'!$G$3:$G$680,A133,"")),0))/LEN(A133)</f>
        <v>0</v>
      </c>
      <c r="I133" s="3203">
        <f t="shared" si="5"/>
        <v>0</v>
      </c>
      <c r="J133" s="3203"/>
      <c r="K133" s="3203"/>
      <c r="L133" s="3203" t="s">
        <v>7663</v>
      </c>
      <c r="M133" s="2911" t="s">
        <v>3511</v>
      </c>
    </row>
    <row r="134" spans="1:13" x14ac:dyDescent="0.35">
      <c r="A134" s="3215" t="s">
        <v>11415</v>
      </c>
      <c r="B134" s="3204" cm="1">
        <f t="array" ref="B134">SUM(IF('Aprilie 2020 2.0'!$I$3:$I$680=$B$3,LEN('Aprilie 2020 2.0'!$G$3:$G$680)-LEN(SUBSTITUTE('Aprilie 2020 2.0'!$G$3:$G$680,A134,"")),0))/LEN(A134)</f>
        <v>0</v>
      </c>
      <c r="C134" s="3204" cm="1">
        <f t="array" ref="C134">SUM(IF('Aprilie 2020 2.0'!$I$3:$I$680=$C$3,LEN('Aprilie 2020 2.0'!$G$3:$G$680)-LEN(SUBSTITUTE('Aprilie 2020 2.0'!$G$3:$G$680,A134,"")),0))/LEN(A134)</f>
        <v>0</v>
      </c>
      <c r="D134" s="3204" cm="1">
        <f t="array" ref="D134">SUM(IF('Aprilie 2020 2.0'!$I$3:$I$680=$D$3,LEN('Aprilie 2020 2.0'!$G$3:$G$680)-LEN(SUBSTITUTE('Aprilie 2020 2.0'!$G$3:$G$680,A134,"")),0))/LEN(A134)</f>
        <v>0</v>
      </c>
      <c r="E134" s="3203" cm="1">
        <f t="array" ref="E134">SUM(IF('Aprilie 2020 2.0'!$I$3:$I$680=$E$3,LEN('Aprilie 2020 2.0'!$G$3:$G$680)-LEN(SUBSTITUTE('Aprilie 2020 2.0'!$G$3:$G$680,A134,"")),0))/LEN(A134)</f>
        <v>0</v>
      </c>
      <c r="F134" s="3203" cm="1">
        <f t="array" ref="F134">SUM(IF('Aprilie 2020 2.0'!$I$3:$I$680=$F$3,LEN('Aprilie 2020 2.0'!$G$3:$G$680)-LEN(SUBSTITUTE('Aprilie 2020 2.0'!$G$3:$G$680,A134,"")),0))/LEN(A134)</f>
        <v>0</v>
      </c>
      <c r="G134" s="3203" cm="1">
        <f t="array" ref="G134">SUM(IF('Aprilie 2020 2.0'!$I$3:$I$680=$G$3,LEN('Aprilie 2020 2.0'!$G$3:$G$680)-LEN(SUBSTITUTE('Aprilie 2020 2.0'!$G$3:$G$680,A134,"")),0))/LEN(A134)</f>
        <v>0</v>
      </c>
      <c r="H134" s="3203" cm="1">
        <f t="array" ref="H134">SUM(IF('Aprilie 2020 2.0'!$I$3:$I$680=$H$3,LEN('Aprilie 2020 2.0'!$G$3:$G$680)-LEN(SUBSTITUTE('Aprilie 2020 2.0'!$G$3:$G$680,A134,"")),0))/LEN(A134)</f>
        <v>0</v>
      </c>
      <c r="I134" s="3203">
        <f t="shared" si="5"/>
        <v>0</v>
      </c>
      <c r="J134" s="3203"/>
      <c r="K134" s="3203"/>
      <c r="L134" s="3203" t="s">
        <v>7663</v>
      </c>
      <c r="M134" s="2911" t="s">
        <v>3511</v>
      </c>
    </row>
    <row r="135" spans="1:13" x14ac:dyDescent="0.35">
      <c r="A135" s="3215" t="s">
        <v>11418</v>
      </c>
      <c r="B135" s="3203" cm="1">
        <f t="array" ref="B135">SUM(IF('Aprilie 2020 2.0'!$I$3:$I$680=$B$3,LEN('Aprilie 2020 2.0'!$G$3:$G$680)-LEN(SUBSTITUTE('Aprilie 2020 2.0'!$G$3:$G$680,A135,"")),0))/LEN(A135)</f>
        <v>0</v>
      </c>
      <c r="C135" s="3203" cm="1">
        <f t="array" ref="C135">SUM(IF('Aprilie 2020 2.0'!$I$3:$I$680=$C$3,LEN('Aprilie 2020 2.0'!$G$3:$G$680)-LEN(SUBSTITUTE('Aprilie 2020 2.0'!$G$3:$G$680,A135,"")),0))/LEN(A135)</f>
        <v>0</v>
      </c>
      <c r="D135" s="3203" cm="1">
        <f t="array" ref="D135">SUM(IF('Aprilie 2020 2.0'!$I$3:$I$680=$D$3,LEN('Aprilie 2020 2.0'!$G$3:$G$680)-LEN(SUBSTITUTE('Aprilie 2020 2.0'!$G$3:$G$680,A135,"")),0))/LEN(A135)</f>
        <v>0</v>
      </c>
      <c r="E135" s="3203" cm="1">
        <f t="array" ref="E135">SUM(IF('Aprilie 2020 2.0'!$I$3:$I$680=$E$3,LEN('Aprilie 2020 2.0'!$G$3:$G$680)-LEN(SUBSTITUTE('Aprilie 2020 2.0'!$G$3:$G$680,A135,"")),0))/LEN(A135)</f>
        <v>0</v>
      </c>
      <c r="F135" s="3203" cm="1">
        <f t="array" ref="F135">SUM(IF('Aprilie 2020 2.0'!$I$3:$I$680=$F$3,LEN('Aprilie 2020 2.0'!$G$3:$G$680)-LEN(SUBSTITUTE('Aprilie 2020 2.0'!$G$3:$G$680,A135,"")),0))/LEN(A135)</f>
        <v>0</v>
      </c>
      <c r="G135" s="3203" cm="1">
        <f t="array" ref="G135">SUM(IF('Aprilie 2020 2.0'!$I$3:$I$680=$G$3,LEN('Aprilie 2020 2.0'!$G$3:$G$680)-LEN(SUBSTITUTE('Aprilie 2020 2.0'!$G$3:$G$680,A135,"")),0))/LEN(A135)</f>
        <v>0</v>
      </c>
      <c r="H135" s="3203" cm="1">
        <f t="array" ref="H135">SUM(IF('Aprilie 2020 2.0'!$I$3:$I$680=$H$3,LEN('Aprilie 2020 2.0'!$G$3:$G$680)-LEN(SUBSTITUTE('Aprilie 2020 2.0'!$G$3:$G$680,A135,"")),0))/LEN(A135)</f>
        <v>0</v>
      </c>
      <c r="I135" s="3203">
        <f t="shared" si="5"/>
        <v>0</v>
      </c>
      <c r="J135" s="3203"/>
      <c r="K135" s="3203"/>
      <c r="L135" s="3203" t="s">
        <v>7663</v>
      </c>
      <c r="M135" s="2911" t="s">
        <v>3511</v>
      </c>
    </row>
    <row r="136" spans="1:13" x14ac:dyDescent="0.35">
      <c r="A136" s="3212" t="s">
        <v>11419</v>
      </c>
      <c r="B136" s="3203" cm="1">
        <f t="array" ref="B136">SUM(IF('Aprilie 2020 2.0'!$I$3:$I$680=$B$3,LEN('Aprilie 2020 2.0'!$G$3:$G$680)-LEN(SUBSTITUTE('Aprilie 2020 2.0'!$G$3:$G$680,A136,"")),0))/LEN(A136)</f>
        <v>0</v>
      </c>
      <c r="C136" s="3203" cm="1">
        <f t="array" ref="C136">SUM(IF('Aprilie 2020 2.0'!$I$3:$I$680=$C$3,LEN('Aprilie 2020 2.0'!$G$3:$G$680)-LEN(SUBSTITUTE('Aprilie 2020 2.0'!$G$3:$G$680,A136,"")),0))/LEN(A136)</f>
        <v>0</v>
      </c>
      <c r="D136" s="3203" cm="1">
        <f t="array" ref="D136">SUM(IF('Aprilie 2020 2.0'!$I$3:$I$680=$D$3,LEN('Aprilie 2020 2.0'!$G$3:$G$680)-LEN(SUBSTITUTE('Aprilie 2020 2.0'!$G$3:$G$680,A136,"")),0))/LEN(A136)</f>
        <v>0</v>
      </c>
      <c r="E136" s="3203" cm="1">
        <f t="array" ref="E136">SUM(IF('Aprilie 2020 2.0'!$I$3:$I$680=$E$3,LEN('Aprilie 2020 2.0'!$G$3:$G$680)-LEN(SUBSTITUTE('Aprilie 2020 2.0'!$G$3:$G$680,A136,"")),0))/LEN(A136)</f>
        <v>0</v>
      </c>
      <c r="F136" s="3203" cm="1">
        <f t="array" ref="F136">SUM(IF('Aprilie 2020 2.0'!$I$3:$I$680=$F$3,LEN('Aprilie 2020 2.0'!$G$3:$G$680)-LEN(SUBSTITUTE('Aprilie 2020 2.0'!$G$3:$G$680,A136,"")),0))/LEN(A136)</f>
        <v>0</v>
      </c>
      <c r="G136" s="3203" cm="1">
        <f t="array" ref="G136">SUM(IF('Aprilie 2020 2.0'!$I$3:$I$680=$G$3,LEN('Aprilie 2020 2.0'!$G$3:$G$680)-LEN(SUBSTITUTE('Aprilie 2020 2.0'!$G$3:$G$680,A136,"")),0))/LEN(A136)</f>
        <v>0</v>
      </c>
      <c r="H136" s="3203" cm="1">
        <f t="array" ref="H136">SUM(IF('Aprilie 2020 2.0'!$I$3:$I$680=$H$3,LEN('Aprilie 2020 2.0'!$G$3:$G$680)-LEN(SUBSTITUTE('Aprilie 2020 2.0'!$G$3:$G$680,A136,"")),0))/LEN(A136)</f>
        <v>0</v>
      </c>
      <c r="I136" s="3207">
        <f t="shared" si="5"/>
        <v>0</v>
      </c>
      <c r="J136" s="3207"/>
      <c r="K136" s="3207"/>
      <c r="L136" s="3203" t="s">
        <v>7663</v>
      </c>
      <c r="M136" s="2911" t="s">
        <v>3511</v>
      </c>
    </row>
    <row r="137" spans="1:13" x14ac:dyDescent="0.35">
      <c r="A137" s="3215" t="s">
        <v>11433</v>
      </c>
      <c r="B137" s="3203" cm="1">
        <f t="array" ref="B137">SUM(IF('Aprilie 2020 2.0'!$I$3:$I$680=$B$3,LEN('Aprilie 2020 2.0'!$G$3:$G$680)-LEN(SUBSTITUTE('Aprilie 2020 2.0'!$G$3:$G$680,A137,"")),0))/LEN(A137)</f>
        <v>0</v>
      </c>
      <c r="C137" s="3203" cm="1">
        <f t="array" ref="C137">SUM(IF('Aprilie 2020 2.0'!$I$3:$I$680=$C$3,LEN('Aprilie 2020 2.0'!$G$3:$G$680)-LEN(SUBSTITUTE('Aprilie 2020 2.0'!$G$3:$G$680,A137,"")),0))/LEN(A137)</f>
        <v>0</v>
      </c>
      <c r="D137" s="3203" cm="1">
        <f t="array" ref="D137">SUM(IF('Aprilie 2020 2.0'!$I$3:$I$680=$D$3,LEN('Aprilie 2020 2.0'!$G$3:$G$680)-LEN(SUBSTITUTE('Aprilie 2020 2.0'!$G$3:$G$680,A137,"")),0))/LEN(A137)</f>
        <v>0</v>
      </c>
      <c r="E137" s="3203" cm="1">
        <f t="array" ref="E137">SUM(IF('Aprilie 2020 2.0'!$I$3:$I$680=$E$3,LEN('Aprilie 2020 2.0'!$G$3:$G$680)-LEN(SUBSTITUTE('Aprilie 2020 2.0'!$G$3:$G$680,A137,"")),0))/LEN(A137)</f>
        <v>0</v>
      </c>
      <c r="F137" s="3203" cm="1">
        <f t="array" ref="F137">SUM(IF('Aprilie 2020 2.0'!$I$3:$I$680=$F$3,LEN('Aprilie 2020 2.0'!$G$3:$G$680)-LEN(SUBSTITUTE('Aprilie 2020 2.0'!$G$3:$G$680,A137,"")),0))/LEN(A137)</f>
        <v>0</v>
      </c>
      <c r="G137" s="3203" cm="1">
        <f t="array" ref="G137">SUM(IF('Aprilie 2020 2.0'!$I$3:$I$680=$G$3,LEN('Aprilie 2020 2.0'!$G$3:$G$680)-LEN(SUBSTITUTE('Aprilie 2020 2.0'!$G$3:$G$680,A137,"")),0))/LEN(A137)</f>
        <v>0</v>
      </c>
      <c r="H137" s="3203" cm="1">
        <f t="array" ref="H137">SUM(IF('Aprilie 2020 2.0'!$I$3:$I$680=$H$3,LEN('Aprilie 2020 2.0'!$G$3:$G$680)-LEN(SUBSTITUTE('Aprilie 2020 2.0'!$G$3:$G$680,A137,"")),0))/LEN(A137)</f>
        <v>0</v>
      </c>
      <c r="I137" s="3203">
        <f t="shared" si="5"/>
        <v>0</v>
      </c>
      <c r="J137" s="3203"/>
      <c r="K137" s="3203"/>
      <c r="L137" s="3203" t="s">
        <v>7663</v>
      </c>
      <c r="M137" s="2911" t="s">
        <v>3511</v>
      </c>
    </row>
    <row r="138" spans="1:13" x14ac:dyDescent="0.35">
      <c r="A138" s="3215" t="s">
        <v>11434</v>
      </c>
      <c r="B138" s="3203" cm="1">
        <f t="array" ref="B138">SUM(IF('Aprilie 2020 2.0'!$I$3:$I$680=$B$3,LEN('Aprilie 2020 2.0'!$G$3:$G$680)-LEN(SUBSTITUTE('Aprilie 2020 2.0'!$G$3:$G$680,A138,"")),0))/LEN(A138)</f>
        <v>0</v>
      </c>
      <c r="C138" s="3203" cm="1">
        <f t="array" ref="C138">SUM(IF('Aprilie 2020 2.0'!$I$3:$I$680=$C$3,LEN('Aprilie 2020 2.0'!$G$3:$G$680)-LEN(SUBSTITUTE('Aprilie 2020 2.0'!$G$3:$G$680,A138,"")),0))/LEN(A138)</f>
        <v>0</v>
      </c>
      <c r="D138" s="3203" cm="1">
        <f t="array" ref="D138">SUM(IF('Aprilie 2020 2.0'!$I$3:$I$680=$D$3,LEN('Aprilie 2020 2.0'!$G$3:$G$680)-LEN(SUBSTITUTE('Aprilie 2020 2.0'!$G$3:$G$680,A138,"")),0))/LEN(A138)</f>
        <v>0</v>
      </c>
      <c r="E138" s="3203" cm="1">
        <f t="array" ref="E138">SUM(IF('Aprilie 2020 2.0'!$I$3:$I$680=$E$3,LEN('Aprilie 2020 2.0'!$G$3:$G$680)-LEN(SUBSTITUTE('Aprilie 2020 2.0'!$G$3:$G$680,A138,"")),0))/LEN(A138)</f>
        <v>0</v>
      </c>
      <c r="F138" s="3203" cm="1">
        <f t="array" ref="F138">SUM(IF('Aprilie 2020 2.0'!$I$3:$I$680=$F$3,LEN('Aprilie 2020 2.0'!$G$3:$G$680)-LEN(SUBSTITUTE('Aprilie 2020 2.0'!$G$3:$G$680,A138,"")),0))/LEN(A138)</f>
        <v>0</v>
      </c>
      <c r="G138" s="3203" cm="1">
        <f t="array" ref="G138">SUM(IF('Aprilie 2020 2.0'!$I$3:$I$680=$G$3,LEN('Aprilie 2020 2.0'!$G$3:$G$680)-LEN(SUBSTITUTE('Aprilie 2020 2.0'!$G$3:$G$680,A138,"")),0))/LEN(A138)</f>
        <v>0</v>
      </c>
      <c r="H138" s="3203" cm="1">
        <f t="array" ref="H138">SUM(IF('Aprilie 2020 2.0'!$I$3:$I$680=$H$3,LEN('Aprilie 2020 2.0'!$G$3:$G$680)-LEN(SUBSTITUTE('Aprilie 2020 2.0'!$G$3:$G$680,A138,"")),0))/LEN(A138)</f>
        <v>0</v>
      </c>
      <c r="I138" s="3203">
        <f t="shared" si="5"/>
        <v>0</v>
      </c>
      <c r="J138" s="3203"/>
      <c r="K138" s="3203"/>
      <c r="L138" s="3203" t="s">
        <v>7663</v>
      </c>
      <c r="M138" s="2911" t="s">
        <v>3511</v>
      </c>
    </row>
    <row r="139" spans="1:13" x14ac:dyDescent="0.35">
      <c r="A139" s="3212" t="s">
        <v>11222</v>
      </c>
      <c r="B139" s="3204" cm="1">
        <f t="array" ref="B139">SUM(IF('Aprilie 2020 2.0'!$I$3:$I$680=$B$3,LEN('Aprilie 2020 2.0'!$G$3:$G$680)-LEN(SUBSTITUTE('Aprilie 2020 2.0'!$G$3:$G$680,A139,"")),0))/LEN(A139)</f>
        <v>0</v>
      </c>
      <c r="C139" s="3204" cm="1">
        <f t="array" ref="C139">SUM(IF('Aprilie 2020 2.0'!$I$3:$I$680=$C$3,LEN('Aprilie 2020 2.0'!$G$3:$G$680)-LEN(SUBSTITUTE('Aprilie 2020 2.0'!$G$3:$G$680,A139,"")),0))/LEN(A139)</f>
        <v>0</v>
      </c>
      <c r="D139" s="3204" cm="1">
        <f t="array" ref="D139">SUM(IF('Aprilie 2020 2.0'!$I$3:$I$680=$D$3,LEN('Aprilie 2020 2.0'!$G$3:$G$680)-LEN(SUBSTITUTE('Aprilie 2020 2.0'!$G$3:$G$680,A139,"")),0))/LEN(A139)</f>
        <v>0</v>
      </c>
      <c r="E139" s="3203" cm="1">
        <f t="array" ref="E139">SUM(IF('Aprilie 2020 2.0'!$I$3:$I$680=$E$3,LEN('Aprilie 2020 2.0'!$G$3:$G$680)-LEN(SUBSTITUTE('Aprilie 2020 2.0'!$G$3:$G$680,A139,"")),0))/LEN(A139)</f>
        <v>0</v>
      </c>
      <c r="F139" s="3203" cm="1">
        <f t="array" ref="F139">SUM(IF('Aprilie 2020 2.0'!$I$3:$I$680=$F$3,LEN('Aprilie 2020 2.0'!$G$3:$G$680)-LEN(SUBSTITUTE('Aprilie 2020 2.0'!$G$3:$G$680,A139,"")),0))/LEN(A139)</f>
        <v>0</v>
      </c>
      <c r="G139" s="3203" cm="1">
        <f t="array" ref="G139">SUM(IF('Aprilie 2020 2.0'!$I$3:$I$680=$G$3,LEN('Aprilie 2020 2.0'!$G$3:$G$680)-LEN(SUBSTITUTE('Aprilie 2020 2.0'!$G$3:$G$680,A139,"")),0))/LEN(A139)</f>
        <v>0</v>
      </c>
      <c r="H139" s="3203" cm="1">
        <f t="array" ref="H139">SUM(IF('Aprilie 2020 2.0'!$I$3:$I$680=$H$3,LEN('Aprilie 2020 2.0'!$G$3:$G$680)-LEN(SUBSTITUTE('Aprilie 2020 2.0'!$G$3:$G$680,A139,"")),0))/LEN(A139)</f>
        <v>0</v>
      </c>
      <c r="I139" s="3207">
        <f t="shared" si="5"/>
        <v>0</v>
      </c>
      <c r="J139" s="3207"/>
      <c r="K139" s="3207"/>
      <c r="L139" s="3203" t="s">
        <v>7663</v>
      </c>
      <c r="M139" s="2911" t="s">
        <v>3511</v>
      </c>
    </row>
    <row r="140" spans="1:13" x14ac:dyDescent="0.35">
      <c r="A140" s="3214" t="s">
        <v>11173</v>
      </c>
      <c r="B140" s="2912" cm="1">
        <f t="array" ref="B140">SUM(IF('Aprilie 2020 2.0'!$I$3:$I$680=$B$3,LEN('Aprilie 2020 2.0'!$G$3:$G$680)-LEN(SUBSTITUTE('Aprilie 2020 2.0'!$G$3:$G$680,A140,"")),0))/LEN(A140)</f>
        <v>0</v>
      </c>
      <c r="C140" s="2912" cm="1">
        <f t="array" ref="C140">SUM(IF('Aprilie 2020 2.0'!$I$3:$I$680=$C$3,LEN('Aprilie 2020 2.0'!$G$3:$G$680)-LEN(SUBSTITUTE('Aprilie 2020 2.0'!$G$3:$G$680,A140,"")),0))/LEN(A140)</f>
        <v>0</v>
      </c>
      <c r="D140" s="2912" cm="1">
        <f t="array" ref="D140">SUM(IF('Aprilie 2020 2.0'!$I$3:$I$680=$D$3,LEN('Aprilie 2020 2.0'!$G$3:$G$680)-LEN(SUBSTITUTE('Aprilie 2020 2.0'!$G$3:$G$680,A140,"")),0))/LEN(A140)</f>
        <v>0</v>
      </c>
      <c r="E140" s="2911" cm="1">
        <f t="array" ref="E140">SUM(IF('Aprilie 2020 2.0'!$I$3:$I$680=$E$3,LEN('Aprilie 2020 2.0'!$G$3:$G$680)-LEN(SUBSTITUTE('Aprilie 2020 2.0'!$G$3:$G$680,A140,"")),0))/LEN(A140)</f>
        <v>0</v>
      </c>
      <c r="F140" s="2911" cm="1">
        <f t="array" ref="F140">SUM(IF('Aprilie 2020 2.0'!$I$3:$I$680=$F$3,LEN('Aprilie 2020 2.0'!$G$3:$G$680)-LEN(SUBSTITUTE('Aprilie 2020 2.0'!$G$3:$G$680,A140,"")),0))/LEN(A140)</f>
        <v>0</v>
      </c>
      <c r="G140" s="2911" cm="1">
        <f t="array" ref="G140">SUM(IF('Aprilie 2020 2.0'!$I$3:$I$680=$G$3,LEN('Aprilie 2020 2.0'!$G$3:$G$680)-LEN(SUBSTITUTE('Aprilie 2020 2.0'!$G$3:$G$680,A140,"")),0))/LEN(A140)</f>
        <v>0</v>
      </c>
      <c r="H140" s="3203" cm="1">
        <f t="array" ref="H140">SUM(IF('Aprilie 2020 2.0'!$I$3:$I$680=$H$3,LEN('Aprilie 2020 2.0'!$G$3:$G$680)-LEN(SUBSTITUTE('Aprilie 2020 2.0'!$G$3:$G$680,A140,"")),0))/LEN(A140)</f>
        <v>0</v>
      </c>
      <c r="I140" s="3207">
        <f t="shared" si="5"/>
        <v>0</v>
      </c>
      <c r="J140" s="3207"/>
      <c r="K140" s="3207"/>
      <c r="L140" s="3203"/>
      <c r="M140" s="2911" t="s">
        <v>3511</v>
      </c>
    </row>
    <row r="141" spans="1:13" x14ac:dyDescent="0.35">
      <c r="A141" s="3224" t="s">
        <v>14306</v>
      </c>
      <c r="B141" s="3218" cm="1">
        <f t="array" ref="B141">SUM(IF('Aprilie 2020 2.0'!$I$3:$I$680=$B$3,LEN('Aprilie 2020 2.0'!$G$3:$G$680)-LEN(SUBSTITUTE('Aprilie 2020 2.0'!$G$3:$G$680,A141,"")),0))/LEN(A141)</f>
        <v>0</v>
      </c>
      <c r="C141" s="3218" cm="1">
        <f t="array" ref="C141">SUM(IF('Aprilie 2020 2.0'!$I$3:$I$680=$C$3,LEN('Aprilie 2020 2.0'!$G$3:$G$680)-LEN(SUBSTITUTE('Aprilie 2020 2.0'!$G$3:$G$680,A141,"")),0))/LEN(A141)</f>
        <v>0</v>
      </c>
      <c r="D141" s="3218" cm="1">
        <f t="array" ref="D141">SUM(IF('Aprilie 2020 2.0'!$I$3:$I$680=$D$3,LEN('Aprilie 2020 2.0'!$G$3:$G$680)-LEN(SUBSTITUTE('Aprilie 2020 2.0'!$G$3:$G$680,A141,"")),0))/LEN(A141)</f>
        <v>0</v>
      </c>
      <c r="E141" s="3218" cm="1">
        <f t="array" ref="E141">SUM(IF('Aprilie 2020 2.0'!$I$3:$I$680=$E$3,LEN('Aprilie 2020 2.0'!$G$3:$G$680)-LEN(SUBSTITUTE('Aprilie 2020 2.0'!$G$3:$G$680,A141,"")),0))/LEN(A141)</f>
        <v>0</v>
      </c>
      <c r="F141" s="3218" cm="1">
        <f t="array" ref="F141">SUM(IF('Aprilie 2020 2.0'!$I$3:$I$680=$F$3,LEN('Aprilie 2020 2.0'!$G$3:$G$680)-LEN(SUBSTITUTE('Aprilie 2020 2.0'!$G$3:$G$680,A141,"")),0))/LEN(A141)</f>
        <v>0</v>
      </c>
      <c r="G141" s="3218" cm="1">
        <f t="array" ref="G141">SUM(IF('Aprilie 2020 2.0'!$I$3:$I$680=$G$3,LEN('Aprilie 2020 2.0'!$G$3:$G$680)-LEN(SUBSTITUTE('Aprilie 2020 2.0'!$G$3:$G$680,A141,"")),0))/LEN(A141)</f>
        <v>0</v>
      </c>
      <c r="H141" s="3218" cm="1">
        <f t="array" ref="H141">SUM(IF('Aprilie 2020 2.0'!$I$3:$I$680=$H$3,LEN('Aprilie 2020 2.0'!$G$3:$G$680)-LEN(SUBSTITUTE('Aprilie 2020 2.0'!$G$3:$G$680,A141,"")),0))/LEN(A141)</f>
        <v>0</v>
      </c>
      <c r="I141" s="3220">
        <f t="shared" si="5"/>
        <v>0</v>
      </c>
      <c r="J141" s="3220"/>
      <c r="K141" s="3220"/>
      <c r="L141" s="3218" t="s">
        <v>7663</v>
      </c>
      <c r="M141" s="2911" t="s">
        <v>12538</v>
      </c>
    </row>
    <row r="142" spans="1:13" x14ac:dyDescent="0.35">
      <c r="A142" s="3224" t="s">
        <v>14309</v>
      </c>
      <c r="B142" s="2911" cm="1">
        <f t="array" ref="B142">SUM(IF('Aprilie 2020 2.0'!$I$3:$I$680=$B$3,LEN('Aprilie 2020 2.0'!$G$3:$G$680)-LEN(SUBSTITUTE('Aprilie 2020 2.0'!$G$3:$G$680,A142,"")),0))/LEN(A142)</f>
        <v>0</v>
      </c>
      <c r="C142" s="2911" cm="1">
        <f t="array" ref="C142">SUM(IF('Aprilie 2020 2.0'!$I$3:$I$680=$C$3,LEN('Aprilie 2020 2.0'!$G$3:$G$680)-LEN(SUBSTITUTE('Aprilie 2020 2.0'!$G$3:$G$680,A142,"")),0))/LEN(A142)</f>
        <v>0</v>
      </c>
      <c r="D142" s="2911" cm="1">
        <f t="array" ref="D142">SUM(IF('Aprilie 2020 2.0'!$I$3:$I$680=$D$3,LEN('Aprilie 2020 2.0'!$G$3:$G$680)-LEN(SUBSTITUTE('Aprilie 2020 2.0'!$G$3:$G$680,A142,"")),0))/LEN(A142)</f>
        <v>0</v>
      </c>
      <c r="E142" s="2911" cm="1">
        <f t="array" ref="E142">SUM(IF('Aprilie 2020 2.0'!$I$3:$I$680=$E$3,LEN('Aprilie 2020 2.0'!$G$3:$G$680)-LEN(SUBSTITUTE('Aprilie 2020 2.0'!$G$3:$G$680,A142,"")),0))/LEN(A142)</f>
        <v>0</v>
      </c>
      <c r="F142" s="2911" cm="1">
        <f t="array" ref="F142">SUM(IF('Aprilie 2020 2.0'!$I$3:$I$680=$F$3,LEN('Aprilie 2020 2.0'!$G$3:$G$680)-LEN(SUBSTITUTE('Aprilie 2020 2.0'!$G$3:$G$680,A142,"")),0))/LEN(A142)</f>
        <v>0</v>
      </c>
      <c r="G142" s="2911" cm="1">
        <f t="array" ref="G142">SUM(IF('Aprilie 2020 2.0'!$I$3:$I$680=$G$3,LEN('Aprilie 2020 2.0'!$G$3:$G$680)-LEN(SUBSTITUTE('Aprilie 2020 2.0'!$G$3:$G$680,A142,"")),0))/LEN(A142)</f>
        <v>0</v>
      </c>
      <c r="H142" s="3218" cm="1">
        <f t="array" ref="H142">SUM(IF('Aprilie 2020 2.0'!$I$3:$I$680=$H$3,LEN('Aprilie 2020 2.0'!$G$3:$G$680)-LEN(SUBSTITUTE('Aprilie 2020 2.0'!$G$3:$G$680,A142,"")),0))/LEN(A142)</f>
        <v>0</v>
      </c>
      <c r="I142" s="3220">
        <f t="shared" si="5"/>
        <v>0</v>
      </c>
      <c r="J142" s="3220"/>
      <c r="K142" s="3220"/>
      <c r="L142" s="3218" t="s">
        <v>7663</v>
      </c>
      <c r="M142" s="2911" t="s">
        <v>12538</v>
      </c>
    </row>
    <row r="143" spans="1:13" x14ac:dyDescent="0.35">
      <c r="A143" s="3219" t="s">
        <v>14313</v>
      </c>
      <c r="B143" s="3218" cm="1">
        <f t="array" ref="B143">SUM(IF('Aprilie 2020 2.0'!$I$3:$I$680=$B$3,LEN('Aprilie 2020 2.0'!$G$3:$G$680)-LEN(SUBSTITUTE('Aprilie 2020 2.0'!$G$3:$G$680,A143,"")),0))/LEN(A143)</f>
        <v>0</v>
      </c>
      <c r="C143" s="3218" cm="1">
        <f t="array" ref="C143">SUM(IF('Aprilie 2020 2.0'!$I$3:$I$680=$C$3,LEN('Aprilie 2020 2.0'!$G$3:$G$680)-LEN(SUBSTITUTE('Aprilie 2020 2.0'!$G$3:$G$680,A143,"")),0))/LEN(A143)</f>
        <v>0</v>
      </c>
      <c r="D143" s="3218" cm="1">
        <f t="array" ref="D143">SUM(IF('Aprilie 2020 2.0'!$I$3:$I$680=$D$3,LEN('Aprilie 2020 2.0'!$G$3:$G$680)-LEN(SUBSTITUTE('Aprilie 2020 2.0'!$G$3:$G$680,A143,"")),0))/LEN(A143)</f>
        <v>0</v>
      </c>
      <c r="E143" s="3218" cm="1">
        <f t="array" ref="E143">SUM(IF('Aprilie 2020 2.0'!$I$3:$I$680=$E$3,LEN('Aprilie 2020 2.0'!$G$3:$G$680)-LEN(SUBSTITUTE('Aprilie 2020 2.0'!$G$3:$G$680,A143,"")),0))/LEN(A143)</f>
        <v>0</v>
      </c>
      <c r="F143" s="3218" cm="1">
        <f t="array" ref="F143">SUM(IF('Aprilie 2020 2.0'!$I$3:$I$680=$F$3,LEN('Aprilie 2020 2.0'!$G$3:$G$680)-LEN(SUBSTITUTE('Aprilie 2020 2.0'!$G$3:$G$680,A143,"")),0))/LEN(A143)</f>
        <v>0</v>
      </c>
      <c r="G143" s="3218" cm="1">
        <f t="array" ref="G143">SUM(IF('Aprilie 2020 2.0'!$I$3:$I$680=$G$3,LEN('Aprilie 2020 2.0'!$G$3:$G$680)-LEN(SUBSTITUTE('Aprilie 2020 2.0'!$G$3:$G$680,A143,"")),0))/LEN(A143)</f>
        <v>0</v>
      </c>
      <c r="H143" s="3218" cm="1">
        <f t="array" ref="H143">SUM(IF('Aprilie 2020 2.0'!$I$3:$I$680=$H$3,LEN('Aprilie 2020 2.0'!$G$3:$G$680)-LEN(SUBSTITUTE('Aprilie 2020 2.0'!$G$3:$G$680,A143,"")),0))/LEN(A143)</f>
        <v>0</v>
      </c>
      <c r="I143" s="3220">
        <f t="shared" si="5"/>
        <v>0</v>
      </c>
      <c r="J143" s="3220"/>
      <c r="K143" s="3220"/>
      <c r="L143" s="3218" t="s">
        <v>7663</v>
      </c>
      <c r="M143" s="2911" t="s">
        <v>12538</v>
      </c>
    </row>
    <row r="144" spans="1:13" x14ac:dyDescent="0.35">
      <c r="A144" s="3221" t="s">
        <v>14314</v>
      </c>
      <c r="B144" s="3218" cm="1">
        <f t="array" ref="B144">SUM(IF('Aprilie 2020 2.0'!$I$3:$I$680=$B$3,LEN('Aprilie 2020 2.0'!$G$3:$G$680)-LEN(SUBSTITUTE('Aprilie 2020 2.0'!$G$3:$G$680,A144,"")),0))/LEN(A144)</f>
        <v>0</v>
      </c>
      <c r="C144" s="3218" cm="1">
        <f t="array" ref="C144">SUM(IF('Aprilie 2020 2.0'!$I$3:$I$680=$C$3,LEN('Aprilie 2020 2.0'!$G$3:$G$680)-LEN(SUBSTITUTE('Aprilie 2020 2.0'!$G$3:$G$680,A144,"")),0))/LEN(A144)</f>
        <v>0</v>
      </c>
      <c r="D144" s="3218" cm="1">
        <f t="array" ref="D144">SUM(IF('Aprilie 2020 2.0'!$I$3:$I$680=$D$3,LEN('Aprilie 2020 2.0'!$G$3:$G$680)-LEN(SUBSTITUTE('Aprilie 2020 2.0'!$G$3:$G$680,A144,"")),0))/LEN(A144)</f>
        <v>0</v>
      </c>
      <c r="E144" s="3218" cm="1">
        <f t="array" ref="E144">SUM(IF('Aprilie 2020 2.0'!$I$3:$I$680=$E$3,LEN('Aprilie 2020 2.0'!$G$3:$G$680)-LEN(SUBSTITUTE('Aprilie 2020 2.0'!$G$3:$G$680,A144,"")),0))/LEN(A144)</f>
        <v>0</v>
      </c>
      <c r="F144" s="3218" cm="1">
        <f t="array" ref="F144">SUM(IF('Aprilie 2020 2.0'!$I$3:$I$680=$F$3,LEN('Aprilie 2020 2.0'!$G$3:$G$680)-LEN(SUBSTITUTE('Aprilie 2020 2.0'!$G$3:$G$680,A144,"")),0))/LEN(A144)</f>
        <v>0</v>
      </c>
      <c r="G144" s="3218" cm="1">
        <f t="array" ref="G144">SUM(IF('Aprilie 2020 2.0'!$I$3:$I$680=$G$3,LEN('Aprilie 2020 2.0'!$G$3:$G$680)-LEN(SUBSTITUTE('Aprilie 2020 2.0'!$G$3:$G$680,A144,"")),0))/LEN(A144)</f>
        <v>0</v>
      </c>
      <c r="H144" s="3218" cm="1">
        <f t="array" ref="H144">SUM(IF('Aprilie 2020 2.0'!$I$3:$I$680=$H$3,LEN('Aprilie 2020 2.0'!$G$3:$G$680)-LEN(SUBSTITUTE('Aprilie 2020 2.0'!$G$3:$G$680,A144,"")),0))/LEN(A144)</f>
        <v>0</v>
      </c>
      <c r="I144" s="3220">
        <f t="shared" si="5"/>
        <v>0</v>
      </c>
      <c r="J144" s="3220"/>
      <c r="K144" s="3220"/>
      <c r="L144" s="3218" t="s">
        <v>7663</v>
      </c>
      <c r="M144" s="2911" t="s">
        <v>12538</v>
      </c>
    </row>
    <row r="145" spans="1:13" x14ac:dyDescent="0.35">
      <c r="A145" s="3223" t="s">
        <v>14315</v>
      </c>
      <c r="B145" s="3218" cm="1">
        <f t="array" ref="B145">SUM(IF('Aprilie 2020 2.0'!$I$3:$I$680=$B$3,LEN('Aprilie 2020 2.0'!$G$3:$G$680)-LEN(SUBSTITUTE('Aprilie 2020 2.0'!$G$3:$G$680,A145,"")),0))/LEN(A145)</f>
        <v>0</v>
      </c>
      <c r="C145" s="3218" cm="1">
        <f t="array" ref="C145">SUM(IF('Aprilie 2020 2.0'!$I$3:$I$680=$C$3,LEN('Aprilie 2020 2.0'!$G$3:$G$680)-LEN(SUBSTITUTE('Aprilie 2020 2.0'!$G$3:$G$680,A145,"")),0))/LEN(A145)</f>
        <v>0</v>
      </c>
      <c r="D145" s="3218" cm="1">
        <f t="array" ref="D145">SUM(IF('Aprilie 2020 2.0'!$I$3:$I$680=$D$3,LEN('Aprilie 2020 2.0'!$G$3:$G$680)-LEN(SUBSTITUTE('Aprilie 2020 2.0'!$G$3:$G$680,A145,"")),0))/LEN(A145)</f>
        <v>0</v>
      </c>
      <c r="E145" s="3218" cm="1">
        <f t="array" ref="E145">SUM(IF('Aprilie 2020 2.0'!$I$3:$I$680=$E$3,LEN('Aprilie 2020 2.0'!$G$3:$G$680)-LEN(SUBSTITUTE('Aprilie 2020 2.0'!$G$3:$G$680,A145,"")),0))/LEN(A145)</f>
        <v>0</v>
      </c>
      <c r="F145" s="3218" cm="1">
        <f t="array" ref="F145">SUM(IF('Aprilie 2020 2.0'!$I$3:$I$680=$F$3,LEN('Aprilie 2020 2.0'!$G$3:$G$680)-LEN(SUBSTITUTE('Aprilie 2020 2.0'!$G$3:$G$680,A145,"")),0))/LEN(A145)</f>
        <v>0</v>
      </c>
      <c r="G145" s="3218" cm="1">
        <f t="array" ref="G145">SUM(IF('Aprilie 2020 2.0'!$I$3:$I$680=$G$3,LEN('Aprilie 2020 2.0'!$G$3:$G$680)-LEN(SUBSTITUTE('Aprilie 2020 2.0'!$G$3:$G$680,A145,"")),0))/LEN(A145)</f>
        <v>0</v>
      </c>
      <c r="H145" s="3218" cm="1">
        <f t="array" ref="H145">SUM(IF('Aprilie 2020 2.0'!$I$3:$I$680=$H$3,LEN('Aprilie 2020 2.0'!$G$3:$G$680)-LEN(SUBSTITUTE('Aprilie 2020 2.0'!$G$3:$G$680,A145,"")),0))/LEN(A145)</f>
        <v>0</v>
      </c>
      <c r="I145" s="3220">
        <f t="shared" si="5"/>
        <v>0</v>
      </c>
      <c r="J145" s="3220"/>
      <c r="K145" s="3220"/>
      <c r="L145" s="3218" t="s">
        <v>7663</v>
      </c>
      <c r="M145" s="2911" t="s">
        <v>12538</v>
      </c>
    </row>
    <row r="146" spans="1:13" x14ac:dyDescent="0.35">
      <c r="A146" s="3221" t="s">
        <v>14322</v>
      </c>
      <c r="B146" s="3218" cm="1">
        <f t="array" ref="B146">SUM(IF('Aprilie 2020 2.0'!$I$3:$I$680=$B$3,LEN('Aprilie 2020 2.0'!$G$3:$G$680)-LEN(SUBSTITUTE('Aprilie 2020 2.0'!$G$3:$G$680,A146,"")),0))/LEN(A146)</f>
        <v>0</v>
      </c>
      <c r="C146" s="3218" cm="1">
        <f t="array" ref="C146">SUM(IF('Aprilie 2020 2.0'!$I$3:$I$680=$C$3,LEN('Aprilie 2020 2.0'!$G$3:$G$680)-LEN(SUBSTITUTE('Aprilie 2020 2.0'!$G$3:$G$680,A146,"")),0))/LEN(A146)</f>
        <v>0</v>
      </c>
      <c r="D146" s="3218" cm="1">
        <f t="array" ref="D146">SUM(IF('Aprilie 2020 2.0'!$I$3:$I$680=$D$3,LEN('Aprilie 2020 2.0'!$G$3:$G$680)-LEN(SUBSTITUTE('Aprilie 2020 2.0'!$G$3:$G$680,A146,"")),0))/LEN(A146)</f>
        <v>0</v>
      </c>
      <c r="E146" s="3218" cm="1">
        <f t="array" ref="E146">SUM(IF('Aprilie 2020 2.0'!$I$3:$I$680=$E$3,LEN('Aprilie 2020 2.0'!$G$3:$G$680)-LEN(SUBSTITUTE('Aprilie 2020 2.0'!$G$3:$G$680,A146,"")),0))/LEN(A146)</f>
        <v>0</v>
      </c>
      <c r="F146" s="3218" cm="1">
        <f t="array" ref="F146">SUM(IF('Aprilie 2020 2.0'!$I$3:$I$680=$F$3,LEN('Aprilie 2020 2.0'!$G$3:$G$680)-LEN(SUBSTITUTE('Aprilie 2020 2.0'!$G$3:$G$680,A146,"")),0))/LEN(A146)</f>
        <v>0</v>
      </c>
      <c r="G146" s="3218" cm="1">
        <f t="array" ref="G146">SUM(IF('Aprilie 2020 2.0'!$I$3:$I$680=$G$3,LEN('Aprilie 2020 2.0'!$G$3:$G$680)-LEN(SUBSTITUTE('Aprilie 2020 2.0'!$G$3:$G$680,A146,"")),0))/LEN(A146)</f>
        <v>0</v>
      </c>
      <c r="H146" s="3218" cm="1">
        <f t="array" ref="H146">SUM(IF('Aprilie 2020 2.0'!$I$3:$I$680=$H$3,LEN('Aprilie 2020 2.0'!$G$3:$G$680)-LEN(SUBSTITUTE('Aprilie 2020 2.0'!$G$3:$G$680,A146,"")),0))/LEN(A146)</f>
        <v>0</v>
      </c>
      <c r="I146" s="3220">
        <f t="shared" si="5"/>
        <v>0</v>
      </c>
      <c r="J146" s="3220"/>
      <c r="K146" s="3220"/>
      <c r="L146" s="3218" t="s">
        <v>7663</v>
      </c>
      <c r="M146" s="2911" t="s">
        <v>12538</v>
      </c>
    </row>
    <row r="147" spans="1:13" x14ac:dyDescent="0.35">
      <c r="A147" s="3221" t="s">
        <v>14334</v>
      </c>
      <c r="B147" s="3218" cm="1">
        <f t="array" ref="B147">SUM(IF('Aprilie 2020 2.0'!$I$3:$I$680=$B$3,LEN('Aprilie 2020 2.0'!$G$3:$G$680)-LEN(SUBSTITUTE('Aprilie 2020 2.0'!$G$3:$G$680,A147,"")),0))/LEN(A147)</f>
        <v>0</v>
      </c>
      <c r="C147" s="3218" cm="1">
        <f t="array" ref="C147">SUM(IF('Aprilie 2020 2.0'!$I$3:$I$680=$C$3,LEN('Aprilie 2020 2.0'!$G$3:$G$680)-LEN(SUBSTITUTE('Aprilie 2020 2.0'!$G$3:$G$680,A147,"")),0))/LEN(A147)</f>
        <v>0</v>
      </c>
      <c r="D147" s="3218" cm="1">
        <f t="array" ref="D147">SUM(IF('Aprilie 2020 2.0'!$I$3:$I$680=$D$3,LEN('Aprilie 2020 2.0'!$G$3:$G$680)-LEN(SUBSTITUTE('Aprilie 2020 2.0'!$G$3:$G$680,A147,"")),0))/LEN(A147)</f>
        <v>0</v>
      </c>
      <c r="E147" s="3218" cm="1">
        <f t="array" ref="E147">SUM(IF('Aprilie 2020 2.0'!$I$3:$I$680=$E$3,LEN('Aprilie 2020 2.0'!$G$3:$G$680)-LEN(SUBSTITUTE('Aprilie 2020 2.0'!$G$3:$G$680,A147,"")),0))/LEN(A147)</f>
        <v>0</v>
      </c>
      <c r="F147" s="3218" cm="1">
        <f t="array" ref="F147">SUM(IF('Aprilie 2020 2.0'!$I$3:$I$680=$F$3,LEN('Aprilie 2020 2.0'!$G$3:$G$680)-LEN(SUBSTITUTE('Aprilie 2020 2.0'!$G$3:$G$680,A147,"")),0))/LEN(A147)</f>
        <v>0</v>
      </c>
      <c r="G147" s="3218" cm="1">
        <f t="array" ref="G147">SUM(IF('Aprilie 2020 2.0'!$I$3:$I$680=$G$3,LEN('Aprilie 2020 2.0'!$G$3:$G$680)-LEN(SUBSTITUTE('Aprilie 2020 2.0'!$G$3:$G$680,A147,"")),0))/LEN(A147)</f>
        <v>0</v>
      </c>
      <c r="H147" s="3218" cm="1">
        <f t="array" ref="H147">SUM(IF('Aprilie 2020 2.0'!$I$3:$I$680=$H$3,LEN('Aprilie 2020 2.0'!$G$3:$G$680)-LEN(SUBSTITUTE('Aprilie 2020 2.0'!$G$3:$G$680,A147,"")),0))/LEN(A147)</f>
        <v>0</v>
      </c>
      <c r="I147" s="3220">
        <f t="shared" si="5"/>
        <v>0</v>
      </c>
      <c r="J147" s="3220"/>
      <c r="K147" s="3220"/>
      <c r="L147" s="3218" t="s">
        <v>7663</v>
      </c>
      <c r="M147" s="2911" t="s">
        <v>12538</v>
      </c>
    </row>
    <row r="148" spans="1:13" x14ac:dyDescent="0.35">
      <c r="A148" s="3221" t="s">
        <v>14327</v>
      </c>
      <c r="B148" s="3218" cm="1">
        <f t="array" ref="B148">SUM(IF('Aprilie 2020 2.0'!$I$3:$I$680=$B$3,LEN('Aprilie 2020 2.0'!$G$3:$G$680)-LEN(SUBSTITUTE('Aprilie 2020 2.0'!$G$3:$G$680,A148,"")),0))/LEN(A148)</f>
        <v>0</v>
      </c>
      <c r="C148" s="3218" cm="1">
        <f t="array" ref="C148">SUM(IF('Aprilie 2020 2.0'!$I$3:$I$680=$C$3,LEN('Aprilie 2020 2.0'!$G$3:$G$680)-LEN(SUBSTITUTE('Aprilie 2020 2.0'!$G$3:$G$680,A148,"")),0))/LEN(A148)</f>
        <v>0</v>
      </c>
      <c r="D148" s="3218" cm="1">
        <f t="array" ref="D148">SUM(IF('Aprilie 2020 2.0'!$I$3:$I$680=$D$3,LEN('Aprilie 2020 2.0'!$G$3:$G$680)-LEN(SUBSTITUTE('Aprilie 2020 2.0'!$G$3:$G$680,A148,"")),0))/LEN(A148)</f>
        <v>0</v>
      </c>
      <c r="E148" s="3218" cm="1">
        <f t="array" ref="E148">SUM(IF('Aprilie 2020 2.0'!$I$3:$I$680=$E$3,LEN('Aprilie 2020 2.0'!$G$3:$G$680)-LEN(SUBSTITUTE('Aprilie 2020 2.0'!$G$3:$G$680,A148,"")),0))/LEN(A148)</f>
        <v>0</v>
      </c>
      <c r="F148" s="3218" cm="1">
        <f t="array" ref="F148">SUM(IF('Aprilie 2020 2.0'!$I$3:$I$680=$F$3,LEN('Aprilie 2020 2.0'!$G$3:$G$680)-LEN(SUBSTITUTE('Aprilie 2020 2.0'!$G$3:$G$680,A148,"")),0))/LEN(A148)</f>
        <v>0</v>
      </c>
      <c r="G148" s="3218" cm="1">
        <f t="array" ref="G148">SUM(IF('Aprilie 2020 2.0'!$I$3:$I$680=$G$3,LEN('Aprilie 2020 2.0'!$G$3:$G$680)-LEN(SUBSTITUTE('Aprilie 2020 2.0'!$G$3:$G$680,A148,"")),0))/LEN(A148)</f>
        <v>0</v>
      </c>
      <c r="H148" s="3218" cm="1">
        <f t="array" ref="H148">SUM(IF('Aprilie 2020 2.0'!$I$3:$I$680=$H$3,LEN('Aprilie 2020 2.0'!$G$3:$G$680)-LEN(SUBSTITUTE('Aprilie 2020 2.0'!$G$3:$G$680,A148,"")),0))/LEN(A148)</f>
        <v>0</v>
      </c>
      <c r="I148" s="3220">
        <f t="shared" si="5"/>
        <v>0</v>
      </c>
      <c r="J148" s="3220"/>
      <c r="K148" s="3220"/>
      <c r="L148" s="3218" t="s">
        <v>7663</v>
      </c>
      <c r="M148" s="2911" t="s">
        <v>12538</v>
      </c>
    </row>
    <row r="149" spans="1:13" x14ac:dyDescent="0.35">
      <c r="A149" s="3221" t="s">
        <v>14333</v>
      </c>
      <c r="B149" s="3218" cm="1">
        <f t="array" ref="B149">SUM(IF('Aprilie 2020 2.0'!$I$3:$I$680=$B$3,LEN('Aprilie 2020 2.0'!$G$3:$G$680)-LEN(SUBSTITUTE('Aprilie 2020 2.0'!$G$3:$G$680,A149,"")),0))/LEN(A149)</f>
        <v>0</v>
      </c>
      <c r="C149" s="3218" cm="1">
        <f t="array" ref="C149">SUM(IF('Aprilie 2020 2.0'!$I$3:$I$680=$C$3,LEN('Aprilie 2020 2.0'!$G$3:$G$680)-LEN(SUBSTITUTE('Aprilie 2020 2.0'!$G$3:$G$680,A149,"")),0))/LEN(A149)</f>
        <v>0</v>
      </c>
      <c r="D149" s="3218" cm="1">
        <f t="array" ref="D149">SUM(IF('Aprilie 2020 2.0'!$I$3:$I$680=$D$3,LEN('Aprilie 2020 2.0'!$G$3:$G$680)-LEN(SUBSTITUTE('Aprilie 2020 2.0'!$G$3:$G$680,A149,"")),0))/LEN(A149)</f>
        <v>0</v>
      </c>
      <c r="E149" s="3218" cm="1">
        <f t="array" ref="E149">SUM(IF('Aprilie 2020 2.0'!$I$3:$I$680=$E$3,LEN('Aprilie 2020 2.0'!$G$3:$G$680)-LEN(SUBSTITUTE('Aprilie 2020 2.0'!$G$3:$G$680,A149,"")),0))/LEN(A149)</f>
        <v>0</v>
      </c>
      <c r="F149" s="3218" cm="1">
        <f t="array" ref="F149">SUM(IF('Aprilie 2020 2.0'!$I$3:$I$680=$F$3,LEN('Aprilie 2020 2.0'!$G$3:$G$680)-LEN(SUBSTITUTE('Aprilie 2020 2.0'!$G$3:$G$680,A149,"")),0))/LEN(A149)</f>
        <v>0</v>
      </c>
      <c r="G149" s="3218" cm="1">
        <f t="array" ref="G149">SUM(IF('Aprilie 2020 2.0'!$I$3:$I$680=$G$3,LEN('Aprilie 2020 2.0'!$G$3:$G$680)-LEN(SUBSTITUTE('Aprilie 2020 2.0'!$G$3:$G$680,A149,"")),0))/LEN(A149)</f>
        <v>0</v>
      </c>
      <c r="H149" s="3218" cm="1">
        <f t="array" ref="H149">SUM(IF('Aprilie 2020 2.0'!$I$3:$I$680=$H$3,LEN('Aprilie 2020 2.0'!$G$3:$G$680)-LEN(SUBSTITUTE('Aprilie 2020 2.0'!$G$3:$G$680,A149,"")),0))/LEN(A149)</f>
        <v>0</v>
      </c>
      <c r="I149" s="3220">
        <f t="shared" si="5"/>
        <v>0</v>
      </c>
      <c r="J149" s="3220"/>
      <c r="K149" s="3220"/>
      <c r="L149" s="3218" t="s">
        <v>7663</v>
      </c>
      <c r="M149" s="2911" t="s">
        <v>12538</v>
      </c>
    </row>
    <row r="150" spans="1:13" x14ac:dyDescent="0.35">
      <c r="A150" s="3244" t="s">
        <v>14335</v>
      </c>
      <c r="B150" s="3218" cm="1">
        <f t="array" ref="B150">SUM(IF('Aprilie 2020 2.0'!$I$3:$I$680=$B$3,LEN('Aprilie 2020 2.0'!$G$3:$G$680)-LEN(SUBSTITUTE('Aprilie 2020 2.0'!$G$3:$G$680,A150,"")),0))/LEN(A150)</f>
        <v>0</v>
      </c>
      <c r="C150" s="3218" cm="1">
        <f t="array" ref="C150">SUM(IF('Aprilie 2020 2.0'!$I$3:$I$680=$C$3,LEN('Aprilie 2020 2.0'!$G$3:$G$680)-LEN(SUBSTITUTE('Aprilie 2020 2.0'!$G$3:$G$680,A150,"")),0))/LEN(A150)</f>
        <v>0</v>
      </c>
      <c r="D150" s="3218" cm="1">
        <f t="array" ref="D150">SUM(IF('Aprilie 2020 2.0'!$I$3:$I$680=$D$3,LEN('Aprilie 2020 2.0'!$G$3:$G$680)-LEN(SUBSTITUTE('Aprilie 2020 2.0'!$G$3:$G$680,A150,"")),0))/LEN(A150)</f>
        <v>0</v>
      </c>
      <c r="E150" s="3218" cm="1">
        <f t="array" ref="E150">SUM(IF('Aprilie 2020 2.0'!$I$3:$I$680=$E$3,LEN('Aprilie 2020 2.0'!$G$3:$G$680)-LEN(SUBSTITUTE('Aprilie 2020 2.0'!$G$3:$G$680,A150,"")),0))/LEN(A150)</f>
        <v>0</v>
      </c>
      <c r="F150" s="3218" cm="1">
        <f t="array" ref="F150">SUM(IF('Aprilie 2020 2.0'!$I$3:$I$680=$F$3,LEN('Aprilie 2020 2.0'!$G$3:$G$680)-LEN(SUBSTITUTE('Aprilie 2020 2.0'!$G$3:$G$680,A150,"")),0))/LEN(A150)</f>
        <v>0</v>
      </c>
      <c r="G150" s="3218" cm="1">
        <f t="array" ref="G150">SUM(IF('Aprilie 2020 2.0'!$I$3:$I$680=$G$3,LEN('Aprilie 2020 2.0'!$G$3:$G$680)-LEN(SUBSTITUTE('Aprilie 2020 2.0'!$G$3:$G$680,A150,"")),0))/LEN(A150)</f>
        <v>0</v>
      </c>
      <c r="H150" s="3218" cm="1">
        <f t="array" ref="H150">SUM(IF('Aprilie 2020 2.0'!$I$3:$I$680=$H$3,LEN('Aprilie 2020 2.0'!$G$3:$G$680)-LEN(SUBSTITUTE('Aprilie 2020 2.0'!$G$3:$G$680,A150,"")),0))/LEN(A150)</f>
        <v>0</v>
      </c>
      <c r="I150" s="3218">
        <f t="shared" si="5"/>
        <v>0</v>
      </c>
      <c r="J150" s="3218"/>
      <c r="K150" s="3218"/>
      <c r="L150" s="3218" t="s">
        <v>7663</v>
      </c>
      <c r="M150" s="2911" t="s">
        <v>12538</v>
      </c>
    </row>
    <row r="151" spans="1:13" x14ac:dyDescent="0.35">
      <c r="A151" s="3221" t="s">
        <v>14336</v>
      </c>
      <c r="B151" s="3218" cm="1">
        <f t="array" ref="B151">SUM(IF('Aprilie 2020 2.0'!$I$3:$I$680=$B$3,LEN('Aprilie 2020 2.0'!$G$3:$G$680)-LEN(SUBSTITUTE('Aprilie 2020 2.0'!$G$3:$G$680,A151,"")),0))/LEN(A151)</f>
        <v>0</v>
      </c>
      <c r="C151" s="3218" cm="1">
        <f t="array" ref="C151">SUM(IF('Aprilie 2020 2.0'!$I$3:$I$680=$C$3,LEN('Aprilie 2020 2.0'!$G$3:$G$680)-LEN(SUBSTITUTE('Aprilie 2020 2.0'!$G$3:$G$680,A151,"")),0))/LEN(A151)</f>
        <v>0</v>
      </c>
      <c r="D151" s="3218" cm="1">
        <f t="array" ref="D151">SUM(IF('Aprilie 2020 2.0'!$I$3:$I$680=$D$3,LEN('Aprilie 2020 2.0'!$G$3:$G$680)-LEN(SUBSTITUTE('Aprilie 2020 2.0'!$G$3:$G$680,A151,"")),0))/LEN(A151)</f>
        <v>0</v>
      </c>
      <c r="E151" s="3218" cm="1">
        <f t="array" ref="E151">SUM(IF('Aprilie 2020 2.0'!$I$3:$I$680=$E$3,LEN('Aprilie 2020 2.0'!$G$3:$G$680)-LEN(SUBSTITUTE('Aprilie 2020 2.0'!$G$3:$G$680,A151,"")),0))/LEN(A151)</f>
        <v>0</v>
      </c>
      <c r="F151" s="3218" cm="1">
        <f t="array" ref="F151">SUM(IF('Aprilie 2020 2.0'!$I$3:$I$680=$F$3,LEN('Aprilie 2020 2.0'!$G$3:$G$680)-LEN(SUBSTITUTE('Aprilie 2020 2.0'!$G$3:$G$680,A151,"")),0))/LEN(A151)</f>
        <v>0</v>
      </c>
      <c r="G151" s="3218" cm="1">
        <f t="array" ref="G151">SUM(IF('Aprilie 2020 2.0'!$I$3:$I$680=$G$3,LEN('Aprilie 2020 2.0'!$G$3:$G$680)-LEN(SUBSTITUTE('Aprilie 2020 2.0'!$G$3:$G$680,A151,"")),0))/LEN(A151)</f>
        <v>0</v>
      </c>
      <c r="H151" s="3218" cm="1">
        <f t="array" ref="H151">SUM(IF('Aprilie 2020 2.0'!$I$3:$I$680=$H$3,LEN('Aprilie 2020 2.0'!$G$3:$G$680)-LEN(SUBSTITUTE('Aprilie 2020 2.0'!$G$3:$G$680,A151,"")),0))/LEN(A151)</f>
        <v>0</v>
      </c>
      <c r="I151" s="3220">
        <f t="shared" si="5"/>
        <v>0</v>
      </c>
      <c r="J151" s="3220"/>
      <c r="K151" s="3220"/>
      <c r="L151" s="3218" t="s">
        <v>7663</v>
      </c>
      <c r="M151" s="2911" t="s">
        <v>12538</v>
      </c>
    </row>
    <row r="152" spans="1:13" x14ac:dyDescent="0.35">
      <c r="A152" s="3221" t="s">
        <v>11417</v>
      </c>
      <c r="B152" s="3222" cm="1">
        <f t="array" ref="B152">SUM(IF('Aprilie 2020 2.0'!$I$3:$I$680=$B$3,LEN('Aprilie 2020 2.0'!$G$3:$G$680)-LEN(SUBSTITUTE('Aprilie 2020 2.0'!$G$3:$G$680,A152,"")),0))/LEN(A152)</f>
        <v>0</v>
      </c>
      <c r="C152" s="3222" cm="1">
        <f t="array" ref="C152">SUM(IF('Aprilie 2020 2.0'!$I$3:$I$680=$C$3,LEN('Aprilie 2020 2.0'!$G$3:$G$680)-LEN(SUBSTITUTE('Aprilie 2020 2.0'!$G$3:$G$680,A152,"")),0))/LEN(A152)</f>
        <v>0</v>
      </c>
      <c r="D152" s="3222" cm="1">
        <f t="array" ref="D152">SUM(IF('Aprilie 2020 2.0'!$I$3:$I$680=$D$3,LEN('Aprilie 2020 2.0'!$G$3:$G$680)-LEN(SUBSTITUTE('Aprilie 2020 2.0'!$G$3:$G$680,A152,"")),0))/LEN(A152)</f>
        <v>0</v>
      </c>
      <c r="E152" s="3218" cm="1">
        <f t="array" ref="E152">SUM(IF('Aprilie 2020 2.0'!$I$3:$I$680=$E$3,LEN('Aprilie 2020 2.0'!$G$3:$G$680)-LEN(SUBSTITUTE('Aprilie 2020 2.0'!$G$3:$G$680,A152,"")),0))/LEN(A152)</f>
        <v>0</v>
      </c>
      <c r="F152" s="3218" cm="1">
        <f t="array" ref="F152">SUM(IF('Aprilie 2020 2.0'!$I$3:$I$680=$F$3,LEN('Aprilie 2020 2.0'!$G$3:$G$680)-LEN(SUBSTITUTE('Aprilie 2020 2.0'!$G$3:$G$680,A152,"")),0))/LEN(A152)</f>
        <v>0</v>
      </c>
      <c r="G152" s="3218" cm="1">
        <f t="array" ref="G152">SUM(IF('Aprilie 2020 2.0'!$I$3:$I$680=$G$3,LEN('Aprilie 2020 2.0'!$G$3:$G$680)-LEN(SUBSTITUTE('Aprilie 2020 2.0'!$G$3:$G$680,A152,"")),0))/LEN(A152)</f>
        <v>0</v>
      </c>
      <c r="H152" s="3218" cm="1">
        <f t="array" ref="H152">SUM(IF('Aprilie 2020 2.0'!$I$3:$I$680=$H$3,LEN('Aprilie 2020 2.0'!$G$3:$G$680)-LEN(SUBSTITUTE('Aprilie 2020 2.0'!$G$3:$G$680,A152,"")),0))/LEN(A152)</f>
        <v>0</v>
      </c>
      <c r="I152" s="3220">
        <f t="shared" si="5"/>
        <v>0</v>
      </c>
      <c r="J152" s="3220"/>
      <c r="K152" s="3220"/>
      <c r="L152" s="3218" t="s">
        <v>7663</v>
      </c>
      <c r="M152" s="2911" t="s">
        <v>12538</v>
      </c>
    </row>
    <row r="153" spans="1:13" x14ac:dyDescent="0.35">
      <c r="A153" s="2916" t="s">
        <v>11453</v>
      </c>
      <c r="B153" s="2911" cm="1">
        <f t="array" ref="B153">SUM(IF('Aprilie 2020 2.0'!$I$3:$I$680=$B$3,LEN('Aprilie 2020 2.0'!$G$3:$G$680)-LEN(SUBSTITUTE('Aprilie 2020 2.0'!$G$3:$G$680,A153,"")),0))/LEN(A153)</f>
        <v>0</v>
      </c>
      <c r="C153" s="2911" cm="1">
        <f t="array" ref="C153">SUM(IF('Aprilie 2020 2.0'!$I$3:$I$680=$C$3,LEN('Aprilie 2020 2.0'!$G$3:$G$680)-LEN(SUBSTITUTE('Aprilie 2020 2.0'!$G$3:$G$680,A153,"")),0))/LEN(A153)</f>
        <v>0</v>
      </c>
      <c r="D153" s="2911" cm="1">
        <f t="array" ref="D153">SUM(IF('Aprilie 2020 2.0'!$I$3:$I$680=$D$3,LEN('Aprilie 2020 2.0'!$G$3:$G$680)-LEN(SUBSTITUTE('Aprilie 2020 2.0'!$G$3:$G$680,A153,"")),0))/LEN(A153)</f>
        <v>0</v>
      </c>
      <c r="E153" s="2911" cm="1">
        <f t="array" ref="E153">SUM(IF('Aprilie 2020 2.0'!$I$3:$I$680=$E$3,LEN('Aprilie 2020 2.0'!$G$3:$G$680)-LEN(SUBSTITUTE('Aprilie 2020 2.0'!$G$3:$G$680,A153,"")),0))/LEN(A153)</f>
        <v>0</v>
      </c>
      <c r="F153" s="2911" cm="1">
        <f t="array" ref="F153">SUM(IF('Aprilie 2020 2.0'!$I$3:$I$680=$F$3,LEN('Aprilie 2020 2.0'!$G$3:$G$680)-LEN(SUBSTITUTE('Aprilie 2020 2.0'!$G$3:$G$680,A153,"")),0))/LEN(A153)</f>
        <v>0</v>
      </c>
      <c r="G153" s="2911" cm="1">
        <f t="array" ref="G153">SUM(IF('Aprilie 2020 2.0'!$I$3:$I$680=$G$3,LEN('Aprilie 2020 2.0'!$G$3:$G$680)-LEN(SUBSTITUTE('Aprilie 2020 2.0'!$G$3:$G$680,A153,"")),0))/LEN(A153)</f>
        <v>0</v>
      </c>
      <c r="H153" s="2911" cm="1">
        <f t="array" ref="H153">SUM(IF('Aprilie 2020 2.0'!$I$3:$I$680=$H$3,LEN('Aprilie 2020 2.0'!$G$3:$G$680)-LEN(SUBSTITUTE('Aprilie 2020 2.0'!$G$3:$G$680,A153,"")),0))/LEN(A153)</f>
        <v>0</v>
      </c>
      <c r="I153" s="2918">
        <f t="shared" si="5"/>
        <v>0</v>
      </c>
      <c r="J153" s="2918"/>
      <c r="K153" s="2918"/>
      <c r="L153" s="2911"/>
      <c r="M153" s="2911"/>
    </row>
    <row r="154" spans="1:13" x14ac:dyDescent="0.35">
      <c r="A154" s="2917" t="s">
        <v>10763</v>
      </c>
      <c r="B154" s="2912" cm="1">
        <f t="array" ref="B154">SUM(IF('Aprilie 2020 2.0'!$I$3:$I$680=$B$3,LEN('Aprilie 2020 2.0'!$G$3:$G$680)-LEN(SUBSTITUTE('Aprilie 2020 2.0'!$G$3:$G$680,A154,"")),0))/LEN(A154)</f>
        <v>0</v>
      </c>
      <c r="C154" s="2912" cm="1">
        <f t="array" ref="C154">SUM(IF('Aprilie 2020 2.0'!$I$3:$I$680=$C$3,LEN('Aprilie 2020 2.0'!$G$3:$G$680)-LEN(SUBSTITUTE('Aprilie 2020 2.0'!$G$3:$G$680,A154,"")),0))/LEN(A154)</f>
        <v>0</v>
      </c>
      <c r="D154" s="2912" cm="1">
        <f t="array" ref="D154">SUM(IF('Aprilie 2020 2.0'!$I$3:$I$680=$D$3,LEN('Aprilie 2020 2.0'!$G$3:$G$680)-LEN(SUBSTITUTE('Aprilie 2020 2.0'!$G$3:$G$680,A154,"")),0))/LEN(A154)</f>
        <v>0</v>
      </c>
      <c r="E154" s="2911" cm="1">
        <f t="array" ref="E154">SUM(IF('Aprilie 2020 2.0'!$I$3:$I$680=$E$3,LEN('Aprilie 2020 2.0'!$G$3:$G$680)-LEN(SUBSTITUTE('Aprilie 2020 2.0'!$G$3:$G$680,A154,"")),0))/LEN(A154)</f>
        <v>0</v>
      </c>
      <c r="F154" s="2911" cm="1">
        <f t="array" ref="F154">SUM(IF('Aprilie 2020 2.0'!$I$3:$I$680=$F$3,LEN('Aprilie 2020 2.0'!$G$3:$G$680)-LEN(SUBSTITUTE('Aprilie 2020 2.0'!$G$3:$G$680,A154,"")),0))/LEN(A154)</f>
        <v>0</v>
      </c>
      <c r="G154" s="2911" cm="1">
        <f t="array" ref="G154">SUM(IF('Aprilie 2020 2.0'!$I$3:$I$680=$G$3,LEN('Aprilie 2020 2.0'!$G$3:$G$680)-LEN(SUBSTITUTE('Aprilie 2020 2.0'!$G$3:$G$680,A154,"")),0))/LEN(A154)</f>
        <v>0</v>
      </c>
      <c r="H154" s="2911" cm="1">
        <f t="array" ref="H154">SUM(IF('Aprilie 2020 2.0'!$I$3:$I$680=$H$3,LEN('Aprilie 2020 2.0'!$G$3:$G$680)-LEN(SUBSTITUTE('Aprilie 2020 2.0'!$G$3:$G$680,A154,"")),0))/LEN(A154)</f>
        <v>0</v>
      </c>
      <c r="I154" s="2918">
        <f t="shared" si="5"/>
        <v>0</v>
      </c>
      <c r="J154" s="2918"/>
      <c r="K154" s="2918"/>
      <c r="L154" s="2911"/>
      <c r="M154" s="2911"/>
    </row>
    <row r="155" spans="1:13" x14ac:dyDescent="0.35">
      <c r="A155" s="2906" t="s">
        <v>11443</v>
      </c>
      <c r="B155" s="2911" cm="1">
        <f t="array" ref="B155">SUM(IF('Aprilie 2020 2.0'!$I$3:$I$680=$B$3,LEN('Aprilie 2020 2.0'!$G$3:$G$680)-LEN(SUBSTITUTE('Aprilie 2020 2.0'!$G$3:$G$680,A155,"")),0))/LEN(A155)</f>
        <v>0</v>
      </c>
      <c r="C155" s="2911" cm="1">
        <f t="array" ref="C155">SUM(IF('Aprilie 2020 2.0'!$I$3:$I$680=$C$3,LEN('Aprilie 2020 2.0'!$G$3:$G$680)-LEN(SUBSTITUTE('Aprilie 2020 2.0'!$G$3:$G$680,A155,"")),0))/LEN(A155)</f>
        <v>0</v>
      </c>
      <c r="D155" s="2911" cm="1">
        <f t="array" ref="D155">SUM(IF('Aprilie 2020 2.0'!$I$3:$I$680=$D$3,LEN('Aprilie 2020 2.0'!$G$3:$G$680)-LEN(SUBSTITUTE('Aprilie 2020 2.0'!$G$3:$G$680,A155,"")),0))/LEN(A155)</f>
        <v>0</v>
      </c>
      <c r="E155" s="2911" cm="1">
        <f t="array" ref="E155">SUM(IF('Aprilie 2020 2.0'!$I$3:$I$680=$E$3,LEN('Aprilie 2020 2.0'!$G$3:$G$680)-LEN(SUBSTITUTE('Aprilie 2020 2.0'!$G$3:$G$680,A155,"")),0))/LEN(A155)</f>
        <v>0</v>
      </c>
      <c r="F155" s="2911" cm="1">
        <f t="array" ref="F155">SUM(IF('Aprilie 2020 2.0'!$I$3:$I$680=$F$3,LEN('Aprilie 2020 2.0'!$G$3:$G$680)-LEN(SUBSTITUTE('Aprilie 2020 2.0'!$G$3:$G$680,A155,"")),0))/LEN(A155)</f>
        <v>0</v>
      </c>
      <c r="G155" s="2911" cm="1">
        <f t="array" ref="G155">SUM(IF('Aprilie 2020 2.0'!$I$3:$I$680=$G$3,LEN('Aprilie 2020 2.0'!$G$3:$G$680)-LEN(SUBSTITUTE('Aprilie 2020 2.0'!$G$3:$G$680,A155,"")),0))/LEN(A155)</f>
        <v>0</v>
      </c>
      <c r="H155" s="2911" cm="1">
        <f t="array" ref="H155">SUM(IF('Aprilie 2020 2.0'!$I$3:$I$680=$H$3,LEN('Aprilie 2020 2.0'!$G$3:$G$680)-LEN(SUBSTITUTE('Aprilie 2020 2.0'!$G$3:$G$680,A155,"")),0))/LEN(A155)</f>
        <v>0</v>
      </c>
      <c r="I155" s="2911">
        <f t="shared" si="5"/>
        <v>0</v>
      </c>
      <c r="J155" s="2911"/>
      <c r="K155" s="2911"/>
      <c r="L155" s="2911"/>
      <c r="M155" s="2911"/>
    </row>
    <row r="156" spans="1:13" x14ac:dyDescent="0.35">
      <c r="A156" s="2940" t="s">
        <v>12016</v>
      </c>
      <c r="B156" s="2911" cm="1">
        <f t="array" ref="B156">SUM(IF('Aprilie 2020 2.0'!$I$3:$I$680=$B$3,LEN('Aprilie 2020 2.0'!$G$3:$G$680)-LEN(SUBSTITUTE('Aprilie 2020 2.0'!$G$3:$G$680,A156,"")),0))/LEN(A156)</f>
        <v>0</v>
      </c>
      <c r="C156" s="2911" cm="1">
        <f t="array" ref="C156">SUM(IF('Aprilie 2020 2.0'!$I$3:$I$680=$C$3,LEN('Aprilie 2020 2.0'!$G$3:$G$680)-LEN(SUBSTITUTE('Aprilie 2020 2.0'!$G$3:$G$680,A156,"")),0))/LEN(A156)</f>
        <v>0</v>
      </c>
      <c r="D156" s="2911" cm="1">
        <f t="array" ref="D156">SUM(IF('Aprilie 2020 2.0'!$I$3:$I$680=$D$3,LEN('Aprilie 2020 2.0'!$G$3:$G$680)-LEN(SUBSTITUTE('Aprilie 2020 2.0'!$G$3:$G$680,A156,"")),0))/LEN(A156)</f>
        <v>0</v>
      </c>
      <c r="E156" s="2911" cm="1">
        <f t="array" ref="E156">SUM(IF('Aprilie 2020 2.0'!$I$3:$I$680=$E$3,LEN('Aprilie 2020 2.0'!$G$3:$G$680)-LEN(SUBSTITUTE('Aprilie 2020 2.0'!$G$3:$G$680,A156,"")),0))/LEN(A156)</f>
        <v>0</v>
      </c>
      <c r="F156" s="2911" cm="1">
        <f t="array" ref="F156">SUM(IF('Aprilie 2020 2.0'!$I$3:$I$680=$F$3,LEN('Aprilie 2020 2.0'!$G$3:$G$680)-LEN(SUBSTITUTE('Aprilie 2020 2.0'!$G$3:$G$680,A156,"")),0))/LEN(A156)</f>
        <v>0</v>
      </c>
      <c r="G156" s="2911" cm="1">
        <f t="array" ref="G156">SUM(IF('Aprilie 2020 2.0'!$I$3:$I$680=$G$3,LEN('Aprilie 2020 2.0'!$G$3:$G$680)-LEN(SUBSTITUTE('Aprilie 2020 2.0'!$G$3:$G$680,A156,"")),0))/LEN(A156)</f>
        <v>0</v>
      </c>
      <c r="H156" s="2911" cm="1">
        <f t="array" ref="H156">SUM(IF('Aprilie 2020 2.0'!$I$3:$I$680=$H$3,LEN('Aprilie 2020 2.0'!$G$3:$G$680)-LEN(SUBSTITUTE('Aprilie 2020 2.0'!$G$3:$G$680,A156,"")),0))/LEN(A156)</f>
        <v>0</v>
      </c>
      <c r="I156" s="2911">
        <f t="shared" si="5"/>
        <v>0</v>
      </c>
      <c r="J156" s="2911"/>
      <c r="K156" s="2911"/>
      <c r="L156" s="2911"/>
      <c r="M156" s="2911"/>
    </row>
    <row r="157" spans="1:13" x14ac:dyDescent="0.35">
      <c r="A157" s="2907" t="s">
        <v>11667</v>
      </c>
      <c r="B157" s="2911" cm="1">
        <f t="array" ref="B157">SUM(IF('Aprilie 2020 2.0'!$I$3:$I$680=$B$3,LEN('Aprilie 2020 2.0'!$G$3:$G$680)-LEN(SUBSTITUTE('Aprilie 2020 2.0'!$G$3:$G$680,A157,"")),0))/LEN(A157)</f>
        <v>0</v>
      </c>
      <c r="C157" s="2911" cm="1">
        <f t="array" ref="C157">SUM(IF('Aprilie 2020 2.0'!$I$3:$I$680=$C$3,LEN('Aprilie 2020 2.0'!$G$3:$G$680)-LEN(SUBSTITUTE('Aprilie 2020 2.0'!$G$3:$G$680,A157,"")),0))/LEN(A157)</f>
        <v>0</v>
      </c>
      <c r="D157" s="2911" cm="1">
        <f t="array" ref="D157">SUM(IF('Aprilie 2020 2.0'!$I$3:$I$680=$D$3,LEN('Aprilie 2020 2.0'!$G$3:$G$680)-LEN(SUBSTITUTE('Aprilie 2020 2.0'!$G$3:$G$680,A157,"")),0))/LEN(A157)</f>
        <v>0</v>
      </c>
      <c r="E157" s="2911" cm="1">
        <f t="array" ref="E157">SUM(IF('Aprilie 2020 2.0'!$I$3:$I$680=$E$3,LEN('Aprilie 2020 2.0'!$G$3:$G$680)-LEN(SUBSTITUTE('Aprilie 2020 2.0'!$G$3:$G$680,A157,"")),0))/LEN(A157)</f>
        <v>0</v>
      </c>
      <c r="F157" s="2911" cm="1">
        <f t="array" ref="F157">SUM(IF('Aprilie 2020 2.0'!$I$3:$I$680=$F$3,LEN('Aprilie 2020 2.0'!$G$3:$G$680)-LEN(SUBSTITUTE('Aprilie 2020 2.0'!$G$3:$G$680,A157,"")),0))/LEN(A157)</f>
        <v>0</v>
      </c>
      <c r="G157" s="2911" cm="1">
        <f t="array" ref="G157">SUM(IF('Aprilie 2020 2.0'!$I$3:$I$680=$G$3,LEN('Aprilie 2020 2.0'!$G$3:$G$680)-LEN(SUBSTITUTE('Aprilie 2020 2.0'!$G$3:$G$680,A157,"")),0))/LEN(A157)</f>
        <v>0</v>
      </c>
      <c r="H157" s="2911" cm="1">
        <f t="array" ref="H157">SUM(IF('Aprilie 2020 2.0'!$I$3:$I$680=$H$3,LEN('Aprilie 2020 2.0'!$G$3:$G$680)-LEN(SUBSTITUTE('Aprilie 2020 2.0'!$G$3:$G$680,A157,"")),0))/LEN(A157)</f>
        <v>0</v>
      </c>
      <c r="I157" s="2911">
        <f t="shared" ref="I157:I188" si="6">SUM(B157:H157)</f>
        <v>0</v>
      </c>
      <c r="J157" s="2911"/>
      <c r="K157" s="2911"/>
      <c r="L157" s="2911"/>
      <c r="M157" s="2911"/>
    </row>
    <row r="158" spans="1:13" x14ac:dyDescent="0.35">
      <c r="A158" s="2907" t="s">
        <v>11703</v>
      </c>
      <c r="B158" s="2911" cm="1">
        <f t="array" ref="B158">SUM(IF('Aprilie 2020 2.0'!$I$3:$I$680=$B$3,LEN('Aprilie 2020 2.0'!$G$3:$G$680)-LEN(SUBSTITUTE('Aprilie 2020 2.0'!$G$3:$G$680,A158,"")),0))/LEN(A158)</f>
        <v>0</v>
      </c>
      <c r="C158" s="2911" cm="1">
        <f t="array" ref="C158">SUM(IF('Aprilie 2020 2.0'!$I$3:$I$680=$C$3,LEN('Aprilie 2020 2.0'!$G$3:$G$680)-LEN(SUBSTITUTE('Aprilie 2020 2.0'!$G$3:$G$680,A158,"")),0))/LEN(A158)</f>
        <v>0</v>
      </c>
      <c r="D158" s="2911" cm="1">
        <f t="array" ref="D158">SUM(IF('Aprilie 2020 2.0'!$I$3:$I$680=$D$3,LEN('Aprilie 2020 2.0'!$G$3:$G$680)-LEN(SUBSTITUTE('Aprilie 2020 2.0'!$G$3:$G$680,A158,"")),0))/LEN(A158)</f>
        <v>0</v>
      </c>
      <c r="E158" s="2911" cm="1">
        <f t="array" ref="E158">SUM(IF('Aprilie 2020 2.0'!$I$3:$I$680=$E$3,LEN('Aprilie 2020 2.0'!$G$3:$G$680)-LEN(SUBSTITUTE('Aprilie 2020 2.0'!$G$3:$G$680,A158,"")),0))/LEN(A158)</f>
        <v>0</v>
      </c>
      <c r="F158" s="2911" cm="1">
        <f t="array" ref="F158">SUM(IF('Aprilie 2020 2.0'!$I$3:$I$680=$F$3,LEN('Aprilie 2020 2.0'!$G$3:$G$680)-LEN(SUBSTITUTE('Aprilie 2020 2.0'!$G$3:$G$680,A158,"")),0))/LEN(A158)</f>
        <v>0</v>
      </c>
      <c r="G158" s="2911" cm="1">
        <f t="array" ref="G158">SUM(IF('Aprilie 2020 2.0'!$I$3:$I$680=$G$3,LEN('Aprilie 2020 2.0'!$G$3:$G$680)-LEN(SUBSTITUTE('Aprilie 2020 2.0'!$G$3:$G$680,A158,"")),0))/LEN(A158)</f>
        <v>0</v>
      </c>
      <c r="H158" s="2911" cm="1">
        <f t="array" ref="H158">SUM(IF('Aprilie 2020 2.0'!$I$3:$I$680=$H$3,LEN('Aprilie 2020 2.0'!$G$3:$G$680)-LEN(SUBSTITUTE('Aprilie 2020 2.0'!$G$3:$G$680,A158,"")),0))/LEN(A158)</f>
        <v>0</v>
      </c>
      <c r="I158" s="2911">
        <f t="shared" si="6"/>
        <v>0</v>
      </c>
      <c r="J158" s="2911"/>
      <c r="K158" s="2911"/>
      <c r="L158" s="2911"/>
      <c r="M158" s="2911"/>
    </row>
    <row r="159" spans="1:13" x14ac:dyDescent="0.35">
      <c r="A159" s="2903" t="s">
        <v>11518</v>
      </c>
      <c r="B159" s="2911" cm="1">
        <f t="array" ref="B159">SUM(IF('Aprilie 2020 2.0'!$I$3:$I$680=$B$3,LEN('Aprilie 2020 2.0'!$G$3:$G$680)-LEN(SUBSTITUTE('Aprilie 2020 2.0'!$G$3:$G$680,A159,"")),0))/LEN(A159)</f>
        <v>0</v>
      </c>
      <c r="C159" s="2911" cm="1">
        <f t="array" ref="C159">SUM(IF('Aprilie 2020 2.0'!$I$3:$I$680=$C$3,LEN('Aprilie 2020 2.0'!$G$3:$G$680)-LEN(SUBSTITUTE('Aprilie 2020 2.0'!$G$3:$G$680,A159,"")),0))/LEN(A159)</f>
        <v>0</v>
      </c>
      <c r="D159" s="2911" cm="1">
        <f t="array" ref="D159">SUM(IF('Aprilie 2020 2.0'!$I$3:$I$680=$D$3,LEN('Aprilie 2020 2.0'!$G$3:$G$680)-LEN(SUBSTITUTE('Aprilie 2020 2.0'!$G$3:$G$680,A159,"")),0))/LEN(A159)</f>
        <v>0</v>
      </c>
      <c r="E159" s="2911" cm="1">
        <f t="array" ref="E159">SUM(IF('Aprilie 2020 2.0'!$I$3:$I$680=$E$3,LEN('Aprilie 2020 2.0'!$G$3:$G$680)-LEN(SUBSTITUTE('Aprilie 2020 2.0'!$G$3:$G$680,A159,"")),0))/LEN(A159)</f>
        <v>0</v>
      </c>
      <c r="F159" s="2911" cm="1">
        <f t="array" ref="F159">SUM(IF('Aprilie 2020 2.0'!$I$3:$I$680=$F$3,LEN('Aprilie 2020 2.0'!$G$3:$G$680)-LEN(SUBSTITUTE('Aprilie 2020 2.0'!$G$3:$G$680,A159,"")),0))/LEN(A159)</f>
        <v>0</v>
      </c>
      <c r="G159" s="2911" cm="1">
        <f t="array" ref="G159">SUM(IF('Aprilie 2020 2.0'!$I$3:$I$680=$G$3,LEN('Aprilie 2020 2.0'!$G$3:$G$680)-LEN(SUBSTITUTE('Aprilie 2020 2.0'!$G$3:$G$680,A159,"")),0))/LEN(A159)</f>
        <v>0</v>
      </c>
      <c r="H159" s="2911" cm="1">
        <f t="array" ref="H159">SUM(IF('Aprilie 2020 2.0'!$I$3:$I$680=$H$3,LEN('Aprilie 2020 2.0'!$G$3:$G$680)-LEN(SUBSTITUTE('Aprilie 2020 2.0'!$G$3:$G$680,A159,"")),0))/LEN(A159)</f>
        <v>0</v>
      </c>
      <c r="I159" s="2911">
        <f t="shared" si="6"/>
        <v>0</v>
      </c>
      <c r="J159" s="2911"/>
      <c r="K159" s="2911"/>
      <c r="L159" s="2911"/>
      <c r="M159" s="2911"/>
    </row>
    <row r="160" spans="1:13" x14ac:dyDescent="0.35">
      <c r="A160" s="2922" t="s">
        <v>11519</v>
      </c>
      <c r="B160" s="2911" cm="1">
        <f t="array" ref="B160">SUM(IF('Aprilie 2020 2.0'!$I$3:$I$680=$B$3,LEN('Aprilie 2020 2.0'!$G$3:$G$680)-LEN(SUBSTITUTE('Aprilie 2020 2.0'!$G$3:$G$680,A160,"")),0))/LEN(A160)</f>
        <v>0</v>
      </c>
      <c r="C160" s="2911" cm="1">
        <f t="array" ref="C160">SUM(IF('Aprilie 2020 2.0'!$I$3:$I$680=$C$3,LEN('Aprilie 2020 2.0'!$G$3:$G$680)-LEN(SUBSTITUTE('Aprilie 2020 2.0'!$G$3:$G$680,A160,"")),0))/LEN(A160)</f>
        <v>0</v>
      </c>
      <c r="D160" s="2911" cm="1">
        <f t="array" ref="D160">SUM(IF('Aprilie 2020 2.0'!$I$3:$I$680=$D$3,LEN('Aprilie 2020 2.0'!$G$3:$G$680)-LEN(SUBSTITUTE('Aprilie 2020 2.0'!$G$3:$G$680,A160,"")),0))/LEN(A160)</f>
        <v>0</v>
      </c>
      <c r="E160" s="2911" cm="1">
        <f t="array" ref="E160">SUM(IF('Aprilie 2020 2.0'!$I$3:$I$680=$E$3,LEN('Aprilie 2020 2.0'!$G$3:$G$680)-LEN(SUBSTITUTE('Aprilie 2020 2.0'!$G$3:$G$680,A160,"")),0))/LEN(A160)</f>
        <v>0</v>
      </c>
      <c r="F160" s="2911" cm="1">
        <f t="array" ref="F160">SUM(IF('Aprilie 2020 2.0'!$I$3:$I$680=$F$3,LEN('Aprilie 2020 2.0'!$G$3:$G$680)-LEN(SUBSTITUTE('Aprilie 2020 2.0'!$G$3:$G$680,A160,"")),0))/LEN(A160)</f>
        <v>0</v>
      </c>
      <c r="G160" s="2911" cm="1">
        <f t="array" ref="G160">SUM(IF('Aprilie 2020 2.0'!$I$3:$I$680=$G$3,LEN('Aprilie 2020 2.0'!$G$3:$G$680)-LEN(SUBSTITUTE('Aprilie 2020 2.0'!$G$3:$G$680,A160,"")),0))/LEN(A160)</f>
        <v>0</v>
      </c>
      <c r="H160" s="2911" cm="1">
        <f t="array" ref="H160">SUM(IF('Aprilie 2020 2.0'!$I$3:$I$680=$H$3,LEN('Aprilie 2020 2.0'!$G$3:$G$680)-LEN(SUBSTITUTE('Aprilie 2020 2.0'!$G$3:$G$680,A160,"")),0))/LEN(A160)</f>
        <v>0</v>
      </c>
      <c r="I160" s="2918">
        <f t="shared" si="6"/>
        <v>0</v>
      </c>
      <c r="J160" s="2918"/>
      <c r="K160" s="2918"/>
      <c r="L160" s="2911"/>
      <c r="M160" s="2911"/>
    </row>
    <row r="161" spans="1:13" x14ac:dyDescent="0.35">
      <c r="A161" s="2904" t="s">
        <v>11464</v>
      </c>
      <c r="B161" s="2911" cm="1">
        <f t="array" ref="B161">SUM(IF('Aprilie 2020 2.0'!$I$3:$I$680=$B$3,LEN('Aprilie 2020 2.0'!$G$3:$G$680)-LEN(SUBSTITUTE('Aprilie 2020 2.0'!$G$3:$G$680,A161,"")),0))/LEN(A161)</f>
        <v>0</v>
      </c>
      <c r="C161" s="2911" cm="1">
        <f t="array" ref="C161">SUM(IF('Aprilie 2020 2.0'!$I$3:$I$680=$C$3,LEN('Aprilie 2020 2.0'!$G$3:$G$680)-LEN(SUBSTITUTE('Aprilie 2020 2.0'!$G$3:$G$680,A161,"")),0))/LEN(A161)</f>
        <v>0</v>
      </c>
      <c r="D161" s="2911" cm="1">
        <f t="array" ref="D161">SUM(IF('Aprilie 2020 2.0'!$I$3:$I$680=$D$3,LEN('Aprilie 2020 2.0'!$G$3:$G$680)-LEN(SUBSTITUTE('Aprilie 2020 2.0'!$G$3:$G$680,A161,"")),0))/LEN(A161)</f>
        <v>0</v>
      </c>
      <c r="E161" s="2911" cm="1">
        <f t="array" ref="E161">SUM(IF('Aprilie 2020 2.0'!$I$3:$I$680=$E$3,LEN('Aprilie 2020 2.0'!$G$3:$G$680)-LEN(SUBSTITUTE('Aprilie 2020 2.0'!$G$3:$G$680,A161,"")),0))/LEN(A161)</f>
        <v>0</v>
      </c>
      <c r="F161" s="2911" cm="1">
        <f t="array" ref="F161">SUM(IF('Aprilie 2020 2.0'!$I$3:$I$680=$F$3,LEN('Aprilie 2020 2.0'!$G$3:$G$680)-LEN(SUBSTITUTE('Aprilie 2020 2.0'!$G$3:$G$680,A161,"")),0))/LEN(A161)</f>
        <v>0</v>
      </c>
      <c r="G161" s="2911" cm="1">
        <f t="array" ref="G161">SUM(IF('Aprilie 2020 2.0'!$I$3:$I$680=$G$3,LEN('Aprilie 2020 2.0'!$G$3:$G$680)-LEN(SUBSTITUTE('Aprilie 2020 2.0'!$G$3:$G$680,A161,"")),0))/LEN(A161)</f>
        <v>0</v>
      </c>
      <c r="H161" s="2911" cm="1">
        <f t="array" ref="H161">SUM(IF('Aprilie 2020 2.0'!$I$3:$I$680=$H$3,LEN('Aprilie 2020 2.0'!$G$3:$G$680)-LEN(SUBSTITUTE('Aprilie 2020 2.0'!$G$3:$G$680,A161,"")),0))/LEN(A161)</f>
        <v>0</v>
      </c>
      <c r="I161" s="2918">
        <f t="shared" si="6"/>
        <v>0</v>
      </c>
      <c r="J161" s="2918"/>
      <c r="K161" s="2918"/>
      <c r="L161" s="2911"/>
      <c r="M161" s="2911"/>
    </row>
    <row r="162" spans="1:13" x14ac:dyDescent="0.35">
      <c r="A162" s="2905" t="s">
        <v>11181</v>
      </c>
      <c r="B162" s="2911" cm="1">
        <f t="array" ref="B162">SUM(IF('Aprilie 2020 2.0'!$I$3:$I$680=$B$3,LEN('Aprilie 2020 2.0'!$G$3:$G$680)-LEN(SUBSTITUTE('Aprilie 2020 2.0'!$G$3:$G$680,A162,"")),0))/LEN(A162)</f>
        <v>0</v>
      </c>
      <c r="C162" s="2911" cm="1">
        <f t="array" ref="C162">SUM(IF('Aprilie 2020 2.0'!$I$3:$I$680=$C$3,LEN('Aprilie 2020 2.0'!$G$3:$G$680)-LEN(SUBSTITUTE('Aprilie 2020 2.0'!$G$3:$G$680,A162,"")),0))/LEN(A162)</f>
        <v>0</v>
      </c>
      <c r="D162" s="2911" cm="1">
        <f t="array" ref="D162">SUM(IF('Aprilie 2020 2.0'!$I$3:$I$680=$D$3,LEN('Aprilie 2020 2.0'!$G$3:$G$680)-LEN(SUBSTITUTE('Aprilie 2020 2.0'!$G$3:$G$680,A162,"")),0))/LEN(A162)</f>
        <v>0</v>
      </c>
      <c r="E162" s="2911" cm="1">
        <f t="array" ref="E162">SUM(IF('Aprilie 2020 2.0'!$I$3:$I$680=$E$3,LEN('Aprilie 2020 2.0'!$G$3:$G$680)-LEN(SUBSTITUTE('Aprilie 2020 2.0'!$G$3:$G$680,A162,"")),0))/LEN(A162)</f>
        <v>0</v>
      </c>
      <c r="F162" s="2911" cm="1">
        <f t="array" ref="F162">SUM(IF('Aprilie 2020 2.0'!$I$3:$I$680=$F$3,LEN('Aprilie 2020 2.0'!$G$3:$G$680)-LEN(SUBSTITUTE('Aprilie 2020 2.0'!$G$3:$G$680,A162,"")),0))/LEN(A162)</f>
        <v>0</v>
      </c>
      <c r="G162" s="2911" cm="1">
        <f t="array" ref="G162">SUM(IF('Aprilie 2020 2.0'!$I$3:$I$680=$G$3,LEN('Aprilie 2020 2.0'!$G$3:$G$680)-LEN(SUBSTITUTE('Aprilie 2020 2.0'!$G$3:$G$680,A162,"")),0))/LEN(A162)</f>
        <v>0</v>
      </c>
      <c r="H162" s="2911" cm="1">
        <f t="array" ref="H162">SUM(IF('Aprilie 2020 2.0'!$I$3:$I$680=$H$3,LEN('Aprilie 2020 2.0'!$G$3:$G$680)-LEN(SUBSTITUTE('Aprilie 2020 2.0'!$G$3:$G$680,A162,"")),0))/LEN(A162)</f>
        <v>0</v>
      </c>
      <c r="I162" s="2918">
        <f t="shared" si="6"/>
        <v>0</v>
      </c>
      <c r="J162" s="2918"/>
      <c r="K162" s="2918"/>
      <c r="L162" s="3009" t="s">
        <v>7663</v>
      </c>
      <c r="M162" s="2911"/>
    </row>
    <row r="163" spans="1:13" x14ac:dyDescent="0.35">
      <c r="A163" s="2920" t="s">
        <v>11088</v>
      </c>
      <c r="B163" s="2912" cm="1">
        <f t="array" ref="B163">SUM(IF('Aprilie 2020 2.0'!$I$3:$I$680=$B$3,LEN('Aprilie 2020 2.0'!$G$3:$G$680)-LEN(SUBSTITUTE('Aprilie 2020 2.0'!$G$3:$G$680,A163,"")),0))/LEN(A163)</f>
        <v>0</v>
      </c>
      <c r="C163" s="2912" cm="1">
        <f t="array" ref="C163">SUM(IF('Aprilie 2020 2.0'!$I$3:$I$680=$C$3,LEN('Aprilie 2020 2.0'!$G$3:$G$680)-LEN(SUBSTITUTE('Aprilie 2020 2.0'!$G$3:$G$680,A163,"")),0))/LEN(A163)</f>
        <v>0</v>
      </c>
      <c r="D163" s="2912" cm="1">
        <f t="array" ref="D163">SUM(IF('Aprilie 2020 2.0'!$I$3:$I$680=$D$3,LEN('Aprilie 2020 2.0'!$G$3:$G$680)-LEN(SUBSTITUTE('Aprilie 2020 2.0'!$G$3:$G$680,A163,"")),0))/LEN(A163)</f>
        <v>0</v>
      </c>
      <c r="E163" s="2911" cm="1">
        <f t="array" ref="E163">SUM(IF('Aprilie 2020 2.0'!$I$3:$I$680=$E$3,LEN('Aprilie 2020 2.0'!$G$3:$G$680)-LEN(SUBSTITUTE('Aprilie 2020 2.0'!$G$3:$G$680,A163,"")),0))/LEN(A163)</f>
        <v>0</v>
      </c>
      <c r="F163" s="2911" cm="1">
        <f t="array" ref="F163">SUM(IF('Aprilie 2020 2.0'!$I$3:$I$680=$F$3,LEN('Aprilie 2020 2.0'!$G$3:$G$680)-LEN(SUBSTITUTE('Aprilie 2020 2.0'!$G$3:$G$680,A163,"")),0))/LEN(A163)</f>
        <v>0</v>
      </c>
      <c r="G163" s="2911" cm="1">
        <f t="array" ref="G163">SUM(IF('Aprilie 2020 2.0'!$I$3:$I$680=$G$3,LEN('Aprilie 2020 2.0'!$G$3:$G$680)-LEN(SUBSTITUTE('Aprilie 2020 2.0'!$G$3:$G$680,A163,"")),0))/LEN(A163)</f>
        <v>0</v>
      </c>
      <c r="H163" s="2911" cm="1">
        <f t="array" ref="H163">SUM(IF('Aprilie 2020 2.0'!$I$3:$I$680=$H$3,LEN('Aprilie 2020 2.0'!$G$3:$G$680)-LEN(SUBSTITUTE('Aprilie 2020 2.0'!$G$3:$G$680,A163,"")),0))/LEN(A163)</f>
        <v>0</v>
      </c>
      <c r="I163" s="2918">
        <f t="shared" si="6"/>
        <v>0</v>
      </c>
      <c r="J163" s="2918"/>
      <c r="K163" s="2918"/>
      <c r="L163" s="2911"/>
      <c r="M163" s="2911"/>
    </row>
    <row r="164" spans="1:13" x14ac:dyDescent="0.35">
      <c r="A164" s="2907" t="s">
        <v>11089</v>
      </c>
      <c r="B164" s="2912" cm="1">
        <f t="array" ref="B164">SUM(IF('Aprilie 2020 2.0'!$I$3:$I$680=$B$3,LEN('Aprilie 2020 2.0'!$G$3:$G$680)-LEN(SUBSTITUTE('Aprilie 2020 2.0'!$G$3:$G$680,A164,"")),0))/LEN(A164)</f>
        <v>0</v>
      </c>
      <c r="C164" s="2912" cm="1">
        <f t="array" ref="C164">SUM(IF('Aprilie 2020 2.0'!$I$3:$I$680=$C$3,LEN('Aprilie 2020 2.0'!$G$3:$G$680)-LEN(SUBSTITUTE('Aprilie 2020 2.0'!$G$3:$G$680,A164,"")),0))/LEN(A164)</f>
        <v>0</v>
      </c>
      <c r="D164" s="2912" cm="1">
        <f t="array" ref="D164">SUM(IF('Aprilie 2020 2.0'!$I$3:$I$680=$D$3,LEN('Aprilie 2020 2.0'!$G$3:$G$680)-LEN(SUBSTITUTE('Aprilie 2020 2.0'!$G$3:$G$680,A164,"")),0))/LEN(A164)</f>
        <v>0</v>
      </c>
      <c r="E164" s="2911" cm="1">
        <f t="array" ref="E164">SUM(IF('Aprilie 2020 2.0'!$I$3:$I$680=$E$3,LEN('Aprilie 2020 2.0'!$G$3:$G$680)-LEN(SUBSTITUTE('Aprilie 2020 2.0'!$G$3:$G$680,A164,"")),0))/LEN(A164)</f>
        <v>0</v>
      </c>
      <c r="F164" s="2911" cm="1">
        <f t="array" ref="F164">SUM(IF('Aprilie 2020 2.0'!$I$3:$I$680=$F$3,LEN('Aprilie 2020 2.0'!$G$3:$G$680)-LEN(SUBSTITUTE('Aprilie 2020 2.0'!$G$3:$G$680,A164,"")),0))/LEN(A164)</f>
        <v>0</v>
      </c>
      <c r="G164" s="2919" cm="1">
        <f t="array" ref="G164">SUM(IF('Aprilie 2020 2.0'!$I$3:$I$680=$G$3,LEN('Aprilie 2020 2.0'!$G$3:$G$680)-LEN(SUBSTITUTE('Aprilie 2020 2.0'!$G$3:$G$680,A164,"")),0))/LEN(A164)</f>
        <v>0</v>
      </c>
      <c r="H164" s="2911" cm="1">
        <f t="array" ref="H164">SUM(IF('Aprilie 2020 2.0'!$I$3:$I$680=$H$3,LEN('Aprilie 2020 2.0'!$G$3:$G$680)-LEN(SUBSTITUTE('Aprilie 2020 2.0'!$G$3:$G$680,A164,"")),0))/LEN(A164)</f>
        <v>0</v>
      </c>
      <c r="I164" s="2911">
        <f t="shared" si="6"/>
        <v>0</v>
      </c>
      <c r="J164" s="2911"/>
      <c r="K164" s="2911"/>
      <c r="L164" s="2911"/>
      <c r="M164" s="2911"/>
    </row>
    <row r="165" spans="1:13" x14ac:dyDescent="0.35">
      <c r="A165" s="2906" t="s">
        <v>11090</v>
      </c>
      <c r="B165" s="2912" cm="1">
        <f t="array" ref="B165">SUM(IF('Aprilie 2020 2.0'!$I$3:$I$680=$B$3,LEN('Aprilie 2020 2.0'!$G$3:$G$680)-LEN(SUBSTITUTE('Aprilie 2020 2.0'!$G$3:$G$680,A165,"")),0))/LEN(A165)</f>
        <v>0</v>
      </c>
      <c r="C165" s="2912" cm="1">
        <f t="array" ref="C165">SUM(IF('Aprilie 2020 2.0'!$I$3:$I$680=$C$3,LEN('Aprilie 2020 2.0'!$G$3:$G$680)-LEN(SUBSTITUTE('Aprilie 2020 2.0'!$G$3:$G$680,A165,"")),0))/LEN(A165)</f>
        <v>0</v>
      </c>
      <c r="D165" s="2912" cm="1">
        <f t="array" ref="D165">SUM(IF('Aprilie 2020 2.0'!$I$3:$I$680=$D$3,LEN('Aprilie 2020 2.0'!$G$3:$G$680)-LEN(SUBSTITUTE('Aprilie 2020 2.0'!$G$3:$G$680,A165,"")),0))/LEN(A165)</f>
        <v>0</v>
      </c>
      <c r="E165" s="2911" cm="1">
        <f t="array" ref="E165">SUM(IF('Aprilie 2020 2.0'!$I$3:$I$680=$E$3,LEN('Aprilie 2020 2.0'!$G$3:$G$680)-LEN(SUBSTITUTE('Aprilie 2020 2.0'!$G$3:$G$680,A165,"")),0))/LEN(A165)</f>
        <v>0</v>
      </c>
      <c r="F165" s="2911" cm="1">
        <f t="array" ref="F165">SUM(IF('Aprilie 2020 2.0'!$I$3:$I$680=$F$3,LEN('Aprilie 2020 2.0'!$G$3:$G$680)-LEN(SUBSTITUTE('Aprilie 2020 2.0'!$G$3:$G$680,A165,"")),0))/LEN(A165)</f>
        <v>0</v>
      </c>
      <c r="G165" s="2911" cm="1">
        <f t="array" ref="G165">SUM(IF('Aprilie 2020 2.0'!$I$3:$I$680=$G$3,LEN('Aprilie 2020 2.0'!$G$3:$G$680)-LEN(SUBSTITUTE('Aprilie 2020 2.0'!$G$3:$G$680,A165,"")),0))/LEN(A165)</f>
        <v>0</v>
      </c>
      <c r="H165" s="2911" cm="1">
        <f t="array" ref="H165">SUM(IF('Aprilie 2020 2.0'!$I$3:$I$680=$H$3,LEN('Aprilie 2020 2.0'!$G$3:$G$680)-LEN(SUBSTITUTE('Aprilie 2020 2.0'!$G$3:$G$680,A165,"")),0))/LEN(A165)</f>
        <v>0</v>
      </c>
      <c r="I165" s="2911">
        <f t="shared" si="6"/>
        <v>0</v>
      </c>
      <c r="J165" s="2911"/>
      <c r="K165" s="2911"/>
      <c r="L165" s="2911"/>
      <c r="M165" s="2911"/>
    </row>
    <row r="166" spans="1:13" x14ac:dyDescent="0.35">
      <c r="A166" s="2920" t="s">
        <v>11091</v>
      </c>
      <c r="B166" s="2912" cm="1">
        <f t="array" ref="B166">SUM(IF('Aprilie 2020 2.0'!$I$3:$I$680=$B$3,LEN('Aprilie 2020 2.0'!$G$3:$G$680)-LEN(SUBSTITUTE('Aprilie 2020 2.0'!$G$3:$G$680,A166,"")),0))/LEN(A166)</f>
        <v>0</v>
      </c>
      <c r="C166" s="2912" cm="1">
        <f t="array" ref="C166">SUM(IF('Aprilie 2020 2.0'!$I$3:$I$680=$C$3,LEN('Aprilie 2020 2.0'!$G$3:$G$680)-LEN(SUBSTITUTE('Aprilie 2020 2.0'!$G$3:$G$680,A166,"")),0))/LEN(A166)</f>
        <v>0</v>
      </c>
      <c r="D166" s="2912" cm="1">
        <f t="array" ref="D166">SUM(IF('Aprilie 2020 2.0'!$I$3:$I$680=$D$3,LEN('Aprilie 2020 2.0'!$G$3:$G$680)-LEN(SUBSTITUTE('Aprilie 2020 2.0'!$G$3:$G$680,A166,"")),0))/LEN(A166)</f>
        <v>0</v>
      </c>
      <c r="E166" s="2911" cm="1">
        <f t="array" ref="E166">SUM(IF('Aprilie 2020 2.0'!$I$3:$I$680=$E$3,LEN('Aprilie 2020 2.0'!$G$3:$G$680)-LEN(SUBSTITUTE('Aprilie 2020 2.0'!$G$3:$G$680,A166,"")),0))/LEN(A166)</f>
        <v>0</v>
      </c>
      <c r="F166" s="2911" cm="1">
        <f t="array" ref="F166">SUM(IF('Aprilie 2020 2.0'!$I$3:$I$680=$F$3,LEN('Aprilie 2020 2.0'!$G$3:$G$680)-LEN(SUBSTITUTE('Aprilie 2020 2.0'!$G$3:$G$680,A166,"")),0))/LEN(A166)</f>
        <v>0</v>
      </c>
      <c r="G166" s="2911" cm="1">
        <f t="array" ref="G166">SUM(IF('Aprilie 2020 2.0'!$I$3:$I$680=$G$3,LEN('Aprilie 2020 2.0'!$G$3:$G$680)-LEN(SUBSTITUTE('Aprilie 2020 2.0'!$G$3:$G$680,A166,"")),0))/LEN(A166)</f>
        <v>0</v>
      </c>
      <c r="H166" s="2911" cm="1">
        <f t="array" ref="H166">SUM(IF('Aprilie 2020 2.0'!$I$3:$I$680=$H$3,LEN('Aprilie 2020 2.0'!$G$3:$G$680)-LEN(SUBSTITUTE('Aprilie 2020 2.0'!$G$3:$G$680,A166,"")),0))/LEN(A166)</f>
        <v>0</v>
      </c>
      <c r="I166" s="2918">
        <f t="shared" si="6"/>
        <v>0</v>
      </c>
      <c r="J166" s="2918"/>
      <c r="K166" s="2918"/>
      <c r="L166" s="2911"/>
      <c r="M166" s="2911"/>
    </row>
    <row r="167" spans="1:13" x14ac:dyDescent="0.35">
      <c r="A167" s="2939" t="s">
        <v>12014</v>
      </c>
      <c r="B167" s="2911" cm="1">
        <f t="array" ref="B167">SUM(IF('Aprilie 2020 2.0'!$I$3:$I$680=$B$3,LEN('Aprilie 2020 2.0'!$G$3:$G$680)-LEN(SUBSTITUTE('Aprilie 2020 2.0'!$G$3:$G$680,A167,"")),0))/LEN(A167)</f>
        <v>0</v>
      </c>
      <c r="C167" s="2911" cm="1">
        <f t="array" ref="C167">SUM(IF('Aprilie 2020 2.0'!$I$3:$I$680=$C$3,LEN('Aprilie 2020 2.0'!$G$3:$G$680)-LEN(SUBSTITUTE('Aprilie 2020 2.0'!$G$3:$G$680,A167,"")),0))/LEN(A167)</f>
        <v>0</v>
      </c>
      <c r="D167" s="2911" cm="1">
        <f t="array" ref="D167">SUM(IF('Aprilie 2020 2.0'!$I$3:$I$680=$D$3,LEN('Aprilie 2020 2.0'!$G$3:$G$680)-LEN(SUBSTITUTE('Aprilie 2020 2.0'!$G$3:$G$680,A167,"")),0))/LEN(A167)</f>
        <v>0</v>
      </c>
      <c r="E167" s="2911" cm="1">
        <f t="array" ref="E167">SUM(IF('Aprilie 2020 2.0'!$I$3:$I$680=$E$3,LEN('Aprilie 2020 2.0'!$G$3:$G$680)-LEN(SUBSTITUTE('Aprilie 2020 2.0'!$G$3:$G$680,A167,"")),0))/LEN(A167)</f>
        <v>0</v>
      </c>
      <c r="F167" s="2911" cm="1">
        <f t="array" ref="F167">SUM(IF('Aprilie 2020 2.0'!$I$3:$I$680=$F$3,LEN('Aprilie 2020 2.0'!$G$3:$G$680)-LEN(SUBSTITUTE('Aprilie 2020 2.0'!$G$3:$G$680,A167,"")),0))/LEN(A167)</f>
        <v>0</v>
      </c>
      <c r="G167" s="2911" cm="1">
        <f t="array" ref="G167">SUM(IF('Aprilie 2020 2.0'!$I$3:$I$680=$G$3,LEN('Aprilie 2020 2.0'!$G$3:$G$680)-LEN(SUBSTITUTE('Aprilie 2020 2.0'!$G$3:$G$680,A167,"")),0))/LEN(A167)</f>
        <v>0</v>
      </c>
      <c r="H167" s="2911" cm="1">
        <f t="array" ref="H167">SUM(IF('Aprilie 2020 2.0'!$I$3:$I$680=$H$3,LEN('Aprilie 2020 2.0'!$G$3:$G$680)-LEN(SUBSTITUTE('Aprilie 2020 2.0'!$G$3:$G$680,A167,"")),0))/LEN(A167)</f>
        <v>0</v>
      </c>
      <c r="I167" s="2918">
        <f t="shared" si="6"/>
        <v>0</v>
      </c>
      <c r="J167" s="2918"/>
      <c r="K167" s="2918"/>
      <c r="L167" s="2911"/>
      <c r="M167" s="2911"/>
    </row>
    <row r="168" spans="1:13" x14ac:dyDescent="0.35">
      <c r="A168" s="2921" t="s">
        <v>12215</v>
      </c>
      <c r="B168" s="2911" cm="1">
        <f t="array" ref="B168">SUM(IF('Aprilie 2020 2.0'!$I$3:$I$680=$B$3,LEN('Aprilie 2020 2.0'!$G$3:$G$680)-LEN(SUBSTITUTE('Aprilie 2020 2.0'!$G$3:$G$680,A168,"")),0))/LEN(A168)</f>
        <v>0</v>
      </c>
      <c r="C168" s="2911" cm="1">
        <f t="array" ref="C168">SUM(IF('Aprilie 2020 2.0'!$I$3:$I$680=$C$3,LEN('Aprilie 2020 2.0'!$G$3:$G$680)-LEN(SUBSTITUTE('Aprilie 2020 2.0'!$G$3:$G$680,A168,"")),0))/LEN(A168)</f>
        <v>0</v>
      </c>
      <c r="D168" s="2911" cm="1">
        <f t="array" ref="D168">SUM(IF('Aprilie 2020 2.0'!$I$3:$I$680=$D$3,LEN('Aprilie 2020 2.0'!$G$3:$G$680)-LEN(SUBSTITUTE('Aprilie 2020 2.0'!$G$3:$G$680,A168,"")),0))/LEN(A168)</f>
        <v>0</v>
      </c>
      <c r="E168" s="2911" cm="1">
        <f t="array" ref="E168">SUM(IF('Aprilie 2020 2.0'!$I$3:$I$680=$E$3,LEN('Aprilie 2020 2.0'!$G$3:$G$680)-LEN(SUBSTITUTE('Aprilie 2020 2.0'!$G$3:$G$680,A168,"")),0))/LEN(A168)</f>
        <v>0</v>
      </c>
      <c r="F168" s="2911" cm="1">
        <f t="array" ref="F168">SUM(IF('Aprilie 2020 2.0'!$I$3:$I$680=$F$3,LEN('Aprilie 2020 2.0'!$G$3:$G$680)-LEN(SUBSTITUTE('Aprilie 2020 2.0'!$G$3:$G$680,A168,"")),0))/LEN(A168)</f>
        <v>0</v>
      </c>
      <c r="G168" s="2911" cm="1">
        <f t="array" ref="G168">SUM(IF('Aprilie 2020 2.0'!$I$3:$I$680=$G$3,LEN('Aprilie 2020 2.0'!$G$3:$G$680)-LEN(SUBSTITUTE('Aprilie 2020 2.0'!$G$3:$G$680,A168,"")),0))/LEN(A168)</f>
        <v>0</v>
      </c>
      <c r="H168" s="2911" cm="1">
        <f t="array" ref="H168">SUM(IF('Aprilie 2020 2.0'!$I$3:$I$680=$H$3,LEN('Aprilie 2020 2.0'!$G$3:$G$680)-LEN(SUBSTITUTE('Aprilie 2020 2.0'!$G$3:$G$680,A168,"")),0))/LEN(A168)</f>
        <v>0</v>
      </c>
      <c r="I168" s="2918">
        <f t="shared" si="6"/>
        <v>0</v>
      </c>
      <c r="J168" s="2918"/>
      <c r="K168" s="2918"/>
      <c r="L168" s="2911"/>
      <c r="M168" s="2911"/>
    </row>
    <row r="169" spans="1:13" x14ac:dyDescent="0.35">
      <c r="A169" s="2915" t="s">
        <v>11738</v>
      </c>
      <c r="B169" s="2911" cm="1">
        <f t="array" ref="B169">SUM(IF('Aprilie 2020 2.0'!$I$3:$I$680=$B$3,LEN('Aprilie 2020 2.0'!$G$3:$G$680)-LEN(SUBSTITUTE('Aprilie 2020 2.0'!$G$3:$G$680,A169,"")),0))/LEN(A169)</f>
        <v>0</v>
      </c>
      <c r="C169" s="2911" cm="1">
        <f t="array" ref="C169">SUM(IF('Aprilie 2020 2.0'!$I$3:$I$680=$C$3,LEN('Aprilie 2020 2.0'!$G$3:$G$680)-LEN(SUBSTITUTE('Aprilie 2020 2.0'!$G$3:$G$680,A169,"")),0))/LEN(A169)</f>
        <v>0</v>
      </c>
      <c r="D169" s="2911" cm="1">
        <f t="array" ref="D169">SUM(IF('Aprilie 2020 2.0'!$I$3:$I$680=$D$3,LEN('Aprilie 2020 2.0'!$G$3:$G$680)-LEN(SUBSTITUTE('Aprilie 2020 2.0'!$G$3:$G$680,A169,"")),0))/LEN(A169)</f>
        <v>0</v>
      </c>
      <c r="E169" s="2911" cm="1">
        <f t="array" ref="E169">SUM(IF('Aprilie 2020 2.0'!$I$3:$I$680=$E$3,LEN('Aprilie 2020 2.0'!$G$3:$G$680)-LEN(SUBSTITUTE('Aprilie 2020 2.0'!$G$3:$G$680,A169,"")),0))/LEN(A169)</f>
        <v>0</v>
      </c>
      <c r="F169" s="2911" cm="1">
        <f t="array" ref="F169">SUM(IF('Aprilie 2020 2.0'!$I$3:$I$680=$F$3,LEN('Aprilie 2020 2.0'!$G$3:$G$680)-LEN(SUBSTITUTE('Aprilie 2020 2.0'!$G$3:$G$680,A169,"")),0))/LEN(A169)</f>
        <v>0</v>
      </c>
      <c r="G169" s="2911" cm="1">
        <f t="array" ref="G169">SUM(IF('Aprilie 2020 2.0'!$I$3:$I$680=$G$3,LEN('Aprilie 2020 2.0'!$G$3:$G$680)-LEN(SUBSTITUTE('Aprilie 2020 2.0'!$G$3:$G$680,A169,"")),0))/LEN(A169)</f>
        <v>0</v>
      </c>
      <c r="H169" s="2911" cm="1">
        <f t="array" ref="H169">SUM(IF('Aprilie 2020 2.0'!$I$3:$I$680=$H$3,LEN('Aprilie 2020 2.0'!$G$3:$G$680)-LEN(SUBSTITUTE('Aprilie 2020 2.0'!$G$3:$G$680,A169,"")),0))/LEN(A169)</f>
        <v>0</v>
      </c>
      <c r="I169" s="2918">
        <f t="shared" si="6"/>
        <v>0</v>
      </c>
      <c r="J169" s="2918"/>
      <c r="K169" s="2918"/>
      <c r="L169" s="2911"/>
      <c r="M169" s="2911"/>
    </row>
    <row r="170" spans="1:13" x14ac:dyDescent="0.35">
      <c r="A170" s="2909" t="s">
        <v>11776</v>
      </c>
      <c r="B170" s="2911" cm="1">
        <f t="array" ref="B170">SUM(IF('Aprilie 2020 2.0'!$I$3:$I$680=$B$3,LEN('Aprilie 2020 2.0'!$G$3:$G$680)-LEN(SUBSTITUTE('Aprilie 2020 2.0'!$G$3:$G$680,A170,"")),0))/LEN(A170)</f>
        <v>0</v>
      </c>
      <c r="C170" s="2911" cm="1">
        <f t="array" ref="C170">SUM(IF('Aprilie 2020 2.0'!$I$3:$I$680=$C$3,LEN('Aprilie 2020 2.0'!$G$3:$G$680)-LEN(SUBSTITUTE('Aprilie 2020 2.0'!$G$3:$G$680,A170,"")),0))/LEN(A170)</f>
        <v>0</v>
      </c>
      <c r="D170" s="2911" cm="1">
        <f t="array" ref="D170">SUM(IF('Aprilie 2020 2.0'!$I$3:$I$680=$D$3,LEN('Aprilie 2020 2.0'!$G$3:$G$680)-LEN(SUBSTITUTE('Aprilie 2020 2.0'!$G$3:$G$680,A170,"")),0))/LEN(A170)</f>
        <v>0</v>
      </c>
      <c r="E170" s="2911" cm="1">
        <f t="array" ref="E170">SUM(IF('Aprilie 2020 2.0'!$I$3:$I$680=$E$3,LEN('Aprilie 2020 2.0'!$G$3:$G$680)-LEN(SUBSTITUTE('Aprilie 2020 2.0'!$G$3:$G$680,A170,"")),0))/LEN(A170)</f>
        <v>0</v>
      </c>
      <c r="F170" s="2911" cm="1">
        <f t="array" ref="F170">SUM(IF('Aprilie 2020 2.0'!$I$3:$I$680=$F$3,LEN('Aprilie 2020 2.0'!$G$3:$G$680)-LEN(SUBSTITUTE('Aprilie 2020 2.0'!$G$3:$G$680,A170,"")),0))/LEN(A170)</f>
        <v>0</v>
      </c>
      <c r="G170" s="2911" cm="1">
        <f t="array" ref="G170">SUM(IF('Aprilie 2020 2.0'!$I$3:$I$680=$G$3,LEN('Aprilie 2020 2.0'!$G$3:$G$680)-LEN(SUBSTITUTE('Aprilie 2020 2.0'!$G$3:$G$680,A170,"")),0))/LEN(A170)</f>
        <v>0</v>
      </c>
      <c r="H170" s="2911" cm="1">
        <f t="array" ref="H170">SUM(IF('Aprilie 2020 2.0'!$I$3:$I$680=$H$3,LEN('Aprilie 2020 2.0'!$G$3:$G$680)-LEN(SUBSTITUTE('Aprilie 2020 2.0'!$G$3:$G$680,A170,"")),0))/LEN(A170)</f>
        <v>0</v>
      </c>
      <c r="I170" s="2911">
        <f t="shared" si="6"/>
        <v>0</v>
      </c>
      <c r="J170" s="2911"/>
      <c r="K170" s="2911"/>
      <c r="L170" s="2911"/>
      <c r="M170" s="2911"/>
    </row>
    <row r="171" spans="1:13" x14ac:dyDescent="0.35">
      <c r="A171" s="2939" t="s">
        <v>12054</v>
      </c>
      <c r="B171" s="2911" cm="1">
        <f t="array" ref="B171">SUM(IF('Aprilie 2020 2.0'!$I$3:$I$680=$B$3,LEN('Aprilie 2020 2.0'!$G$3:$G$680)-LEN(SUBSTITUTE('Aprilie 2020 2.0'!$G$3:$G$680,A171,"")),0))/LEN(A171)</f>
        <v>0</v>
      </c>
      <c r="C171" s="2911" cm="1">
        <f t="array" ref="C171">SUM(IF('Aprilie 2020 2.0'!$I$3:$I$680=$C$3,LEN('Aprilie 2020 2.0'!$G$3:$G$680)-LEN(SUBSTITUTE('Aprilie 2020 2.0'!$G$3:$G$680,A171,"")),0))/LEN(A171)</f>
        <v>0</v>
      </c>
      <c r="D171" s="2911" cm="1">
        <f t="array" ref="D171">SUM(IF('Aprilie 2020 2.0'!$I$3:$I$680=$D$3,LEN('Aprilie 2020 2.0'!$G$3:$G$680)-LEN(SUBSTITUTE('Aprilie 2020 2.0'!$G$3:$G$680,A171,"")),0))/LEN(A171)</f>
        <v>0</v>
      </c>
      <c r="E171" s="2911" cm="1">
        <f t="array" ref="E171">SUM(IF('Aprilie 2020 2.0'!$I$3:$I$680=$E$3,LEN('Aprilie 2020 2.0'!$G$3:$G$680)-LEN(SUBSTITUTE('Aprilie 2020 2.0'!$G$3:$G$680,A171,"")),0))/LEN(A171)</f>
        <v>0</v>
      </c>
      <c r="F171" s="2911" cm="1">
        <f t="array" ref="F171">SUM(IF('Aprilie 2020 2.0'!$I$3:$I$680=$F$3,LEN('Aprilie 2020 2.0'!$G$3:$G$680)-LEN(SUBSTITUTE('Aprilie 2020 2.0'!$G$3:$G$680,A171,"")),0))/LEN(A171)</f>
        <v>0</v>
      </c>
      <c r="G171" s="2911" cm="1">
        <f t="array" ref="G171">SUM(IF('Aprilie 2020 2.0'!$I$3:$I$680=$G$3,LEN('Aprilie 2020 2.0'!$G$3:$G$680)-LEN(SUBSTITUTE('Aprilie 2020 2.0'!$G$3:$G$680,A171,"")),0))/LEN(A171)</f>
        <v>0</v>
      </c>
      <c r="H171" s="2911" cm="1">
        <f t="array" ref="H171">SUM(IF('Aprilie 2020 2.0'!$I$3:$I$680=$H$3,LEN('Aprilie 2020 2.0'!$G$3:$G$680)-LEN(SUBSTITUTE('Aprilie 2020 2.0'!$G$3:$G$680,A171,"")),0))/LEN(A171)</f>
        <v>0</v>
      </c>
      <c r="I171" s="2918">
        <f t="shared" si="6"/>
        <v>0</v>
      </c>
      <c r="J171" s="2918"/>
      <c r="K171" s="2918"/>
      <c r="L171" s="2911"/>
      <c r="M171" s="2911"/>
    </row>
    <row r="172" spans="1:13" x14ac:dyDescent="0.35">
      <c r="A172" s="2940" t="s">
        <v>12017</v>
      </c>
      <c r="B172" s="2911" cm="1">
        <f t="array" ref="B172">SUM(IF('Aprilie 2020 2.0'!$I$3:$I$680=$B$3,LEN('Aprilie 2020 2.0'!$G$3:$G$680)-LEN(SUBSTITUTE('Aprilie 2020 2.0'!$G$3:$G$680,A172,"")),0))/LEN(A172)</f>
        <v>0</v>
      </c>
      <c r="C172" s="2911" cm="1">
        <f t="array" ref="C172">SUM(IF('Aprilie 2020 2.0'!$I$3:$I$680=$C$3,LEN('Aprilie 2020 2.0'!$G$3:$G$680)-LEN(SUBSTITUTE('Aprilie 2020 2.0'!$G$3:$G$680,A172,"")),0))/LEN(A172)</f>
        <v>0</v>
      </c>
      <c r="D172" s="2911" cm="1">
        <f t="array" ref="D172">SUM(IF('Aprilie 2020 2.0'!$I$3:$I$680=$D$3,LEN('Aprilie 2020 2.0'!$G$3:$G$680)-LEN(SUBSTITUTE('Aprilie 2020 2.0'!$G$3:$G$680,A172,"")),0))/LEN(A172)</f>
        <v>0</v>
      </c>
      <c r="E172" s="2911" cm="1">
        <f t="array" ref="E172">SUM(IF('Aprilie 2020 2.0'!$I$3:$I$680=$E$3,LEN('Aprilie 2020 2.0'!$G$3:$G$680)-LEN(SUBSTITUTE('Aprilie 2020 2.0'!$G$3:$G$680,A172,"")),0))/LEN(A172)</f>
        <v>0</v>
      </c>
      <c r="F172" s="2911" cm="1">
        <f t="array" ref="F172">SUM(IF('Aprilie 2020 2.0'!$I$3:$I$680=$F$3,LEN('Aprilie 2020 2.0'!$G$3:$G$680)-LEN(SUBSTITUTE('Aprilie 2020 2.0'!$G$3:$G$680,A172,"")),0))/LEN(A172)</f>
        <v>0</v>
      </c>
      <c r="G172" s="2911" cm="1">
        <f t="array" ref="G172">SUM(IF('Aprilie 2020 2.0'!$I$3:$I$680=$G$3,LEN('Aprilie 2020 2.0'!$G$3:$G$680)-LEN(SUBSTITUTE('Aprilie 2020 2.0'!$G$3:$G$680,A172,"")),0))/LEN(A172)</f>
        <v>0</v>
      </c>
      <c r="H172" s="2911" cm="1">
        <f t="array" ref="H172">SUM(IF('Aprilie 2020 2.0'!$I$3:$I$680=$H$3,LEN('Aprilie 2020 2.0'!$G$3:$G$680)-LEN(SUBSTITUTE('Aprilie 2020 2.0'!$G$3:$G$680,A172,"")),0))/LEN(A172)</f>
        <v>0</v>
      </c>
      <c r="I172" s="2911">
        <f t="shared" si="6"/>
        <v>0</v>
      </c>
      <c r="J172" s="2911"/>
      <c r="K172" s="2911"/>
      <c r="L172" s="2911"/>
      <c r="M172" s="2911"/>
    </row>
    <row r="173" spans="1:13" x14ac:dyDescent="0.35">
      <c r="A173" s="2940" t="s">
        <v>12055</v>
      </c>
      <c r="B173" s="2911" cm="1">
        <f t="array" ref="B173">SUM(IF('Aprilie 2020 2.0'!$I$3:$I$680=$B$3,LEN('Aprilie 2020 2.0'!$G$3:$G$680)-LEN(SUBSTITUTE('Aprilie 2020 2.0'!$G$3:$G$680,A173,"")),0))/LEN(A173)</f>
        <v>0</v>
      </c>
      <c r="C173" s="2911" cm="1">
        <f t="array" ref="C173">SUM(IF('Aprilie 2020 2.0'!$I$3:$I$680=$C$3,LEN('Aprilie 2020 2.0'!$G$3:$G$680)-LEN(SUBSTITUTE('Aprilie 2020 2.0'!$G$3:$G$680,A173,"")),0))/LEN(A173)</f>
        <v>0</v>
      </c>
      <c r="D173" s="2911" cm="1">
        <f t="array" ref="D173">SUM(IF('Aprilie 2020 2.0'!$I$3:$I$680=$D$3,LEN('Aprilie 2020 2.0'!$G$3:$G$680)-LEN(SUBSTITUTE('Aprilie 2020 2.0'!$G$3:$G$680,A173,"")),0))/LEN(A173)</f>
        <v>0</v>
      </c>
      <c r="E173" s="2911" cm="1">
        <f t="array" ref="E173">SUM(IF('Aprilie 2020 2.0'!$I$3:$I$680=$E$3,LEN('Aprilie 2020 2.0'!$G$3:$G$680)-LEN(SUBSTITUTE('Aprilie 2020 2.0'!$G$3:$G$680,A173,"")),0))/LEN(A173)</f>
        <v>0</v>
      </c>
      <c r="F173" s="2911" cm="1">
        <f t="array" ref="F173">SUM(IF('Aprilie 2020 2.0'!$I$3:$I$680=$F$3,LEN('Aprilie 2020 2.0'!$G$3:$G$680)-LEN(SUBSTITUTE('Aprilie 2020 2.0'!$G$3:$G$680,A173,"")),0))/LEN(A173)</f>
        <v>0</v>
      </c>
      <c r="G173" s="2911" cm="1">
        <f t="array" ref="G173">SUM(IF('Aprilie 2020 2.0'!$I$3:$I$680=$G$3,LEN('Aprilie 2020 2.0'!$G$3:$G$680)-LEN(SUBSTITUTE('Aprilie 2020 2.0'!$G$3:$G$680,A173,"")),0))/LEN(A173)</f>
        <v>0</v>
      </c>
      <c r="H173" s="2911" cm="1">
        <f t="array" ref="H173">SUM(IF('Aprilie 2020 2.0'!$I$3:$I$680=$H$3,LEN('Aprilie 2020 2.0'!$G$3:$G$680)-LEN(SUBSTITUTE('Aprilie 2020 2.0'!$G$3:$G$680,A173,"")),0))/LEN(A173)</f>
        <v>0</v>
      </c>
      <c r="I173" s="2911">
        <f t="shared" si="6"/>
        <v>0</v>
      </c>
      <c r="J173" s="2911"/>
      <c r="K173" s="2911"/>
      <c r="L173" s="2911"/>
      <c r="M173" s="2911"/>
    </row>
    <row r="174" spans="1:13" x14ac:dyDescent="0.35">
      <c r="A174" s="2909" t="s">
        <v>11765</v>
      </c>
      <c r="B174" s="2911" cm="1">
        <f t="array" ref="B174">SUM(IF('Aprilie 2020 2.0'!$I$3:$I$680=$B$3,LEN('Aprilie 2020 2.0'!$G$3:$G$680)-LEN(SUBSTITUTE('Aprilie 2020 2.0'!$G$3:$G$680,A174,"")),0))/LEN(A174)</f>
        <v>0</v>
      </c>
      <c r="C174" s="2911" cm="1">
        <f t="array" ref="C174">SUM(IF('Aprilie 2020 2.0'!$I$3:$I$680=$C$3,LEN('Aprilie 2020 2.0'!$G$3:$G$680)-LEN(SUBSTITUTE('Aprilie 2020 2.0'!$G$3:$G$680,A174,"")),0))/LEN(A174)</f>
        <v>0</v>
      </c>
      <c r="D174" s="2911" cm="1">
        <f t="array" ref="D174">SUM(IF('Aprilie 2020 2.0'!$I$3:$I$680=$D$3,LEN('Aprilie 2020 2.0'!$G$3:$G$680)-LEN(SUBSTITUTE('Aprilie 2020 2.0'!$G$3:$G$680,A174,"")),0))/LEN(A174)</f>
        <v>0</v>
      </c>
      <c r="E174" s="2911" cm="1">
        <f t="array" ref="E174">SUM(IF('Aprilie 2020 2.0'!$I$3:$I$680=$E$3,LEN('Aprilie 2020 2.0'!$G$3:$G$680)-LEN(SUBSTITUTE('Aprilie 2020 2.0'!$G$3:$G$680,A174,"")),0))/LEN(A174)</f>
        <v>0</v>
      </c>
      <c r="F174" s="2911" cm="1">
        <f t="array" ref="F174">SUM(IF('Aprilie 2020 2.0'!$I$3:$I$680=$F$3,LEN('Aprilie 2020 2.0'!$G$3:$G$680)-LEN(SUBSTITUTE('Aprilie 2020 2.0'!$G$3:$G$680,A174,"")),0))/LEN(A174)</f>
        <v>0</v>
      </c>
      <c r="G174" s="2911" cm="1">
        <f t="array" ref="G174">SUM(IF('Aprilie 2020 2.0'!$I$3:$I$680=$G$3,LEN('Aprilie 2020 2.0'!$G$3:$G$680)-LEN(SUBSTITUTE('Aprilie 2020 2.0'!$G$3:$G$680,A174,"")),0))/LEN(A174)</f>
        <v>0</v>
      </c>
      <c r="H174" s="2911" cm="1">
        <f t="array" ref="H174">SUM(IF('Aprilie 2020 2.0'!$I$3:$I$680=$H$3,LEN('Aprilie 2020 2.0'!$G$3:$G$680)-LEN(SUBSTITUTE('Aprilie 2020 2.0'!$G$3:$G$680,A174,"")),0))/LEN(A174)</f>
        <v>0</v>
      </c>
      <c r="I174" s="2911">
        <f t="shared" si="6"/>
        <v>0</v>
      </c>
      <c r="J174" s="2911"/>
      <c r="K174" s="2911"/>
      <c r="L174" s="2911"/>
      <c r="M174" s="2911"/>
    </row>
    <row r="175" spans="1:13" x14ac:dyDescent="0.35">
      <c r="A175" s="2909" t="s">
        <v>11774</v>
      </c>
      <c r="B175" s="2911" cm="1">
        <f t="array" ref="B175">SUM(IF('Aprilie 2020 2.0'!$I$3:$I$680=$B$3,LEN('Aprilie 2020 2.0'!$G$3:$G$680)-LEN(SUBSTITUTE('Aprilie 2020 2.0'!$G$3:$G$680,A175,"")),0))/LEN(A175)</f>
        <v>0</v>
      </c>
      <c r="C175" s="2911" cm="1">
        <f t="array" ref="C175">SUM(IF('Aprilie 2020 2.0'!$I$3:$I$680=$C$3,LEN('Aprilie 2020 2.0'!$G$3:$G$680)-LEN(SUBSTITUTE('Aprilie 2020 2.0'!$G$3:$G$680,A175,"")),0))/LEN(A175)</f>
        <v>0</v>
      </c>
      <c r="D175" s="2911" cm="1">
        <f t="array" ref="D175">SUM(IF('Aprilie 2020 2.0'!$I$3:$I$680=$D$3,LEN('Aprilie 2020 2.0'!$G$3:$G$680)-LEN(SUBSTITUTE('Aprilie 2020 2.0'!$G$3:$G$680,A175,"")),0))/LEN(A175)</f>
        <v>0</v>
      </c>
      <c r="E175" s="2911" cm="1">
        <f t="array" ref="E175">SUM(IF('Aprilie 2020 2.0'!$I$3:$I$680=$E$3,LEN('Aprilie 2020 2.0'!$G$3:$G$680)-LEN(SUBSTITUTE('Aprilie 2020 2.0'!$G$3:$G$680,A175,"")),0))/LEN(A175)</f>
        <v>0</v>
      </c>
      <c r="F175" s="2911" cm="1">
        <f t="array" ref="F175">SUM(IF('Aprilie 2020 2.0'!$I$3:$I$680=$F$3,LEN('Aprilie 2020 2.0'!$G$3:$G$680)-LEN(SUBSTITUTE('Aprilie 2020 2.0'!$G$3:$G$680,A175,"")),0))/LEN(A175)</f>
        <v>0</v>
      </c>
      <c r="G175" s="2911" cm="1">
        <f t="array" ref="G175">SUM(IF('Aprilie 2020 2.0'!$I$3:$I$680=$G$3,LEN('Aprilie 2020 2.0'!$G$3:$G$680)-LEN(SUBSTITUTE('Aprilie 2020 2.0'!$G$3:$G$680,A175,"")),0))/LEN(A175)</f>
        <v>0</v>
      </c>
      <c r="H175" s="2911" cm="1">
        <f t="array" ref="H175">SUM(IF('Aprilie 2020 2.0'!$I$3:$I$680=$H$3,LEN('Aprilie 2020 2.0'!$G$3:$G$680)-LEN(SUBSTITUTE('Aprilie 2020 2.0'!$G$3:$G$680,A175,"")),0))/LEN(A175)</f>
        <v>0</v>
      </c>
      <c r="I175" s="2911">
        <f t="shared" si="6"/>
        <v>0</v>
      </c>
      <c r="J175" s="2911"/>
      <c r="K175" s="2911"/>
      <c r="L175" s="2911"/>
      <c r="M175" s="2911"/>
    </row>
    <row r="176" spans="1:13" x14ac:dyDescent="0.35">
      <c r="A176" s="2909" t="s">
        <v>11775</v>
      </c>
      <c r="B176" s="2911" cm="1">
        <f t="array" ref="B176">SUM(IF('Aprilie 2020 2.0'!$I$3:$I$680=$B$3,LEN('Aprilie 2020 2.0'!$G$3:$G$680)-LEN(SUBSTITUTE('Aprilie 2020 2.0'!$G$3:$G$680,A176,"")),0))/LEN(A176)</f>
        <v>0</v>
      </c>
      <c r="C176" s="2911" cm="1">
        <f t="array" ref="C176">SUM(IF('Aprilie 2020 2.0'!$I$3:$I$680=$C$3,LEN('Aprilie 2020 2.0'!$G$3:$G$680)-LEN(SUBSTITUTE('Aprilie 2020 2.0'!$G$3:$G$680,A176,"")),0))/LEN(A176)</f>
        <v>0</v>
      </c>
      <c r="D176" s="2911" cm="1">
        <f t="array" ref="D176">SUM(IF('Aprilie 2020 2.0'!$I$3:$I$680=$D$3,LEN('Aprilie 2020 2.0'!$G$3:$G$680)-LEN(SUBSTITUTE('Aprilie 2020 2.0'!$G$3:$G$680,A176,"")),0))/LEN(A176)</f>
        <v>0</v>
      </c>
      <c r="E176" s="2911" cm="1">
        <f t="array" ref="E176">SUM(IF('Aprilie 2020 2.0'!$I$3:$I$680=$E$3,LEN('Aprilie 2020 2.0'!$G$3:$G$680)-LEN(SUBSTITUTE('Aprilie 2020 2.0'!$G$3:$G$680,A176,"")),0))/LEN(A176)</f>
        <v>0</v>
      </c>
      <c r="F176" s="2911" cm="1">
        <f t="array" ref="F176">SUM(IF('Aprilie 2020 2.0'!$I$3:$I$680=$F$3,LEN('Aprilie 2020 2.0'!$G$3:$G$680)-LEN(SUBSTITUTE('Aprilie 2020 2.0'!$G$3:$G$680,A176,"")),0))/LEN(A176)</f>
        <v>0</v>
      </c>
      <c r="G176" s="2911" cm="1">
        <f t="array" ref="G176">SUM(IF('Aprilie 2020 2.0'!$I$3:$I$680=$G$3,LEN('Aprilie 2020 2.0'!$G$3:$G$680)-LEN(SUBSTITUTE('Aprilie 2020 2.0'!$G$3:$G$680,A176,"")),0))/LEN(A176)</f>
        <v>0</v>
      </c>
      <c r="H176" s="2911" cm="1">
        <f t="array" ref="H176">SUM(IF('Aprilie 2020 2.0'!$I$3:$I$680=$H$3,LEN('Aprilie 2020 2.0'!$G$3:$G$680)-LEN(SUBSTITUTE('Aprilie 2020 2.0'!$G$3:$G$680,A176,"")),0))/LEN(A176)</f>
        <v>0</v>
      </c>
      <c r="I176" s="2911">
        <f t="shared" si="6"/>
        <v>0</v>
      </c>
      <c r="J176" s="2911"/>
      <c r="K176" s="2911"/>
      <c r="L176" s="2911"/>
      <c r="M176" s="2911"/>
    </row>
    <row r="177" spans="1:13" x14ac:dyDescent="0.35">
      <c r="A177" s="2906" t="s">
        <v>11092</v>
      </c>
      <c r="B177" s="2912" cm="1">
        <f t="array" ref="B177">SUM(IF('Aprilie 2020 2.0'!$I$3:$I$680=$B$3,LEN('Aprilie 2020 2.0'!$G$3:$G$680)-LEN(SUBSTITUTE('Aprilie 2020 2.0'!$G$3:$G$680,A177,"")),0))/LEN(A177)</f>
        <v>0</v>
      </c>
      <c r="C177" s="2912" cm="1">
        <f t="array" ref="C177">SUM(IF('Aprilie 2020 2.0'!$I$3:$I$680=$C$3,LEN('Aprilie 2020 2.0'!$G$3:$G$680)-LEN(SUBSTITUTE('Aprilie 2020 2.0'!$G$3:$G$680,A177,"")),0))/LEN(A177)</f>
        <v>0</v>
      </c>
      <c r="D177" s="2912" cm="1">
        <f t="array" ref="D177">SUM(IF('Aprilie 2020 2.0'!$I$3:$I$680=$D$3,LEN('Aprilie 2020 2.0'!$G$3:$G$680)-LEN(SUBSTITUTE('Aprilie 2020 2.0'!$G$3:$G$680,A177,"")),0))/LEN(A177)</f>
        <v>0</v>
      </c>
      <c r="E177" s="2911" cm="1">
        <f t="array" ref="E177">SUM(IF('Aprilie 2020 2.0'!$I$3:$I$680=$E$3,LEN('Aprilie 2020 2.0'!$G$3:$G$680)-LEN(SUBSTITUTE('Aprilie 2020 2.0'!$G$3:$G$680,A177,"")),0))/LEN(A177)</f>
        <v>0</v>
      </c>
      <c r="F177" s="2911" cm="1">
        <f t="array" ref="F177">SUM(IF('Aprilie 2020 2.0'!$I$3:$I$680=$F$3,LEN('Aprilie 2020 2.0'!$G$3:$G$680)-LEN(SUBSTITUTE('Aprilie 2020 2.0'!$G$3:$G$680,A177,"")),0))/LEN(A177)</f>
        <v>0</v>
      </c>
      <c r="G177" s="2911" cm="1">
        <f t="array" ref="G177">SUM(IF('Aprilie 2020 2.0'!$I$3:$I$680=$G$3,LEN('Aprilie 2020 2.0'!$G$3:$G$680)-LEN(SUBSTITUTE('Aprilie 2020 2.0'!$G$3:$G$680,A177,"")),0))/LEN(A177)</f>
        <v>0</v>
      </c>
      <c r="H177" s="2911" cm="1">
        <f t="array" ref="H177">SUM(IF('Aprilie 2020 2.0'!$I$3:$I$680=$H$3,LEN('Aprilie 2020 2.0'!$G$3:$G$680)-LEN(SUBSTITUTE('Aprilie 2020 2.0'!$G$3:$G$680,A177,"")),0))/LEN(A177)</f>
        <v>0</v>
      </c>
      <c r="I177" s="2911">
        <f t="shared" si="6"/>
        <v>0</v>
      </c>
      <c r="J177" s="2911"/>
      <c r="K177" s="2911"/>
      <c r="L177" s="2911"/>
      <c r="M177" s="2911"/>
    </row>
    <row r="178" spans="1:13" x14ac:dyDescent="0.35">
      <c r="A178" s="2904" t="s">
        <v>12269</v>
      </c>
      <c r="B178" s="2911" cm="1">
        <f t="array" ref="B178">SUM(IF('Aprilie 2020 2.0'!$I$3:$I$680=$B$3,LEN('Aprilie 2020 2.0'!$G$3:$G$680)-LEN(SUBSTITUTE('Aprilie 2020 2.0'!$G$3:$G$680,A178,"")),0))/LEN(A178)</f>
        <v>0</v>
      </c>
      <c r="C178" s="2911" cm="1">
        <f t="array" ref="C178">SUM(IF('Aprilie 2020 2.0'!$I$3:$I$680=$C$3,LEN('Aprilie 2020 2.0'!$G$3:$G$680)-LEN(SUBSTITUTE('Aprilie 2020 2.0'!$G$3:$G$680,A178,"")),0))/LEN(A178)</f>
        <v>0</v>
      </c>
      <c r="D178" s="2911" cm="1">
        <f t="array" ref="D178">SUM(IF('Aprilie 2020 2.0'!$I$3:$I$680=$D$3,LEN('Aprilie 2020 2.0'!$G$3:$G$680)-LEN(SUBSTITUTE('Aprilie 2020 2.0'!$G$3:$G$680,A178,"")),0))/LEN(A178)</f>
        <v>0</v>
      </c>
      <c r="E178" s="2911" cm="1">
        <f t="array" ref="E178">SUM(IF('Aprilie 2020 2.0'!$I$3:$I$680=$E$3,LEN('Aprilie 2020 2.0'!$G$3:$G$680)-LEN(SUBSTITUTE('Aprilie 2020 2.0'!$G$3:$G$680,A178,"")),0))/LEN(A178)</f>
        <v>0</v>
      </c>
      <c r="F178" s="2911" cm="1">
        <f t="array" ref="F178">SUM(IF('Aprilie 2020 2.0'!$I$3:$I$680=$F$3,LEN('Aprilie 2020 2.0'!$G$3:$G$680)-LEN(SUBSTITUTE('Aprilie 2020 2.0'!$G$3:$G$680,A178,"")),0))/LEN(A178)</f>
        <v>0</v>
      </c>
      <c r="G178" s="2911" cm="1">
        <f t="array" ref="G178">SUM(IF('Aprilie 2020 2.0'!$I$3:$I$680=$G$3,LEN('Aprilie 2020 2.0'!$G$3:$G$680)-LEN(SUBSTITUTE('Aprilie 2020 2.0'!$G$3:$G$680,A178,"")),0))/LEN(A178)</f>
        <v>0</v>
      </c>
      <c r="H178" s="2911" cm="1">
        <f t="array" ref="H178">SUM(IF('Aprilie 2020 2.0'!$I$3:$I$680=$H$3,LEN('Aprilie 2020 2.0'!$G$3:$G$680)-LEN(SUBSTITUTE('Aprilie 2020 2.0'!$G$3:$G$680,A178,"")),0))/LEN(A178)</f>
        <v>0</v>
      </c>
      <c r="I178" s="2911">
        <f t="shared" si="6"/>
        <v>0</v>
      </c>
      <c r="J178" s="2911"/>
      <c r="K178" s="2911"/>
      <c r="L178" s="2911"/>
      <c r="M178" s="2911"/>
    </row>
    <row r="179" spans="1:13" x14ac:dyDescent="0.35">
      <c r="A179" s="2906" t="s">
        <v>11094</v>
      </c>
      <c r="B179" s="2912" cm="1">
        <f t="array" ref="B179">SUM(IF('Aprilie 2020 2.0'!$I$3:$I$680=$B$3,LEN('Aprilie 2020 2.0'!$G$3:$G$680)-LEN(SUBSTITUTE('Aprilie 2020 2.0'!$G$3:$G$680,A179,"")),0))/LEN(A179)</f>
        <v>0</v>
      </c>
      <c r="C179" s="2912" cm="1">
        <f t="array" ref="C179">SUM(IF('Aprilie 2020 2.0'!$I$3:$I$680=$C$3,LEN('Aprilie 2020 2.0'!$G$3:$G$680)-LEN(SUBSTITUTE('Aprilie 2020 2.0'!$G$3:$G$680,A179,"")),0))/LEN(A179)</f>
        <v>0</v>
      </c>
      <c r="D179" s="2912" cm="1">
        <f t="array" ref="D179">SUM(IF('Aprilie 2020 2.0'!$I$3:$I$680=$D$3,LEN('Aprilie 2020 2.0'!$G$3:$G$680)-LEN(SUBSTITUTE('Aprilie 2020 2.0'!$G$3:$G$680,A179,"")),0))/LEN(A179)</f>
        <v>0</v>
      </c>
      <c r="E179" s="2911" cm="1">
        <f t="array" ref="E179">SUM(IF('Aprilie 2020 2.0'!$I$3:$I$680=$E$3,LEN('Aprilie 2020 2.0'!$G$3:$G$680)-LEN(SUBSTITUTE('Aprilie 2020 2.0'!$G$3:$G$680,A179,"")),0))/LEN(A179)</f>
        <v>0</v>
      </c>
      <c r="F179" s="2911" cm="1">
        <f t="array" ref="F179">SUM(IF('Aprilie 2020 2.0'!$I$3:$I$680=$F$3,LEN('Aprilie 2020 2.0'!$G$3:$G$680)-LEN(SUBSTITUTE('Aprilie 2020 2.0'!$G$3:$G$680,A179,"")),0))/LEN(A179)</f>
        <v>0</v>
      </c>
      <c r="G179" s="2911" cm="1">
        <f t="array" ref="G179">SUM(IF('Aprilie 2020 2.0'!$I$3:$I$680=$G$3,LEN('Aprilie 2020 2.0'!$G$3:$G$680)-LEN(SUBSTITUTE('Aprilie 2020 2.0'!$G$3:$G$680,A179,"")),0))/LEN(A179)</f>
        <v>0</v>
      </c>
      <c r="H179" s="2911" cm="1">
        <f t="array" ref="H179">SUM(IF('Aprilie 2020 2.0'!$I$3:$I$680=$H$3,LEN('Aprilie 2020 2.0'!$G$3:$G$680)-LEN(SUBSTITUTE('Aprilie 2020 2.0'!$G$3:$G$680,A179,"")),0))/LEN(A179)</f>
        <v>0</v>
      </c>
      <c r="I179" s="2911">
        <f t="shared" si="6"/>
        <v>0</v>
      </c>
      <c r="J179" s="2911"/>
      <c r="K179" s="2911"/>
      <c r="L179" s="2911"/>
      <c r="M179" s="2911"/>
    </row>
    <row r="180" spans="1:13" x14ac:dyDescent="0.35">
      <c r="A180" s="2907" t="s">
        <v>11097</v>
      </c>
      <c r="B180" s="2912" cm="1">
        <f t="array" ref="B180">SUM(IF('Aprilie 2020 2.0'!$I$3:$I$680=$B$3,LEN('Aprilie 2020 2.0'!$G$3:$G$680)-LEN(SUBSTITUTE('Aprilie 2020 2.0'!$G$3:$G$680,A180,"")),0))/LEN(A180)</f>
        <v>0</v>
      </c>
      <c r="C180" s="2912" cm="1">
        <f t="array" ref="C180">SUM(IF('Aprilie 2020 2.0'!$I$3:$I$680=$C$3,LEN('Aprilie 2020 2.0'!$G$3:$G$680)-LEN(SUBSTITUTE('Aprilie 2020 2.0'!$G$3:$G$680,A180,"")),0))/LEN(A180)</f>
        <v>0</v>
      </c>
      <c r="D180" s="2912" cm="1">
        <f t="array" ref="D180">SUM(IF('Aprilie 2020 2.0'!$I$3:$I$680=$D$3,LEN('Aprilie 2020 2.0'!$G$3:$G$680)-LEN(SUBSTITUTE('Aprilie 2020 2.0'!$G$3:$G$680,A180,"")),0))/LEN(A180)</f>
        <v>0</v>
      </c>
      <c r="E180" s="2911" cm="1">
        <f t="array" ref="E180">SUM(IF('Aprilie 2020 2.0'!$I$3:$I$680=$E$3,LEN('Aprilie 2020 2.0'!$G$3:$G$680)-LEN(SUBSTITUTE('Aprilie 2020 2.0'!$G$3:$G$680,A180,"")),0))/LEN(A180)</f>
        <v>0</v>
      </c>
      <c r="F180" s="2911" cm="1">
        <f t="array" ref="F180">SUM(IF('Aprilie 2020 2.0'!$I$3:$I$680=$F$3,LEN('Aprilie 2020 2.0'!$G$3:$G$680)-LEN(SUBSTITUTE('Aprilie 2020 2.0'!$G$3:$G$680,A180,"")),0))/LEN(A180)</f>
        <v>0</v>
      </c>
      <c r="G180" s="2911" cm="1">
        <f t="array" ref="G180">SUM(IF('Aprilie 2020 2.0'!$I$3:$I$680=$G$3,LEN('Aprilie 2020 2.0'!$G$3:$G$680)-LEN(SUBSTITUTE('Aprilie 2020 2.0'!$G$3:$G$680,A180,"")),0))/LEN(A180)</f>
        <v>0</v>
      </c>
      <c r="H180" s="2911" cm="1">
        <f t="array" ref="H180">SUM(IF('Aprilie 2020 2.0'!$I$3:$I$680=$H$3,LEN('Aprilie 2020 2.0'!$G$3:$G$680)-LEN(SUBSTITUTE('Aprilie 2020 2.0'!$G$3:$G$680,A180,"")),0))/LEN(A180)</f>
        <v>0</v>
      </c>
      <c r="I180" s="2911">
        <f t="shared" si="6"/>
        <v>0</v>
      </c>
      <c r="J180" s="2911"/>
      <c r="K180" s="2911"/>
      <c r="L180" s="2911"/>
      <c r="M180" s="2911"/>
    </row>
    <row r="181" spans="1:13" x14ac:dyDescent="0.35">
      <c r="A181" s="2908" t="s">
        <v>11098</v>
      </c>
      <c r="B181" s="2912" cm="1">
        <f t="array" ref="B181">SUM(IF('Aprilie 2020 2.0'!$I$3:$I$680=$B$3,LEN('Aprilie 2020 2.0'!$G$3:$G$680)-LEN(SUBSTITUTE('Aprilie 2020 2.0'!$G$3:$G$680,A181,"")),0))/LEN(A181)</f>
        <v>0</v>
      </c>
      <c r="C181" s="2912" cm="1">
        <f t="array" ref="C181">SUM(IF('Aprilie 2020 2.0'!$I$3:$I$680=$C$3,LEN('Aprilie 2020 2.0'!$G$3:$G$680)-LEN(SUBSTITUTE('Aprilie 2020 2.0'!$G$3:$G$680,A181,"")),0))/LEN(A181)</f>
        <v>0</v>
      </c>
      <c r="D181" s="2912" cm="1">
        <f t="array" ref="D181">SUM(IF('Aprilie 2020 2.0'!$I$3:$I$680=$D$3,LEN('Aprilie 2020 2.0'!$G$3:$G$680)-LEN(SUBSTITUTE('Aprilie 2020 2.0'!$G$3:$G$680,A181,"")),0))/LEN(A181)</f>
        <v>0</v>
      </c>
      <c r="E181" s="2911" cm="1">
        <f t="array" ref="E181">SUM(IF('Aprilie 2020 2.0'!$I$3:$I$680=$E$3,LEN('Aprilie 2020 2.0'!$G$3:$G$680)-LEN(SUBSTITUTE('Aprilie 2020 2.0'!$G$3:$G$680,A181,"")),0))/LEN(A181)</f>
        <v>0</v>
      </c>
      <c r="F181" s="2911" cm="1">
        <f t="array" ref="F181">SUM(IF('Aprilie 2020 2.0'!$I$3:$I$680=$F$3,LEN('Aprilie 2020 2.0'!$G$3:$G$680)-LEN(SUBSTITUTE('Aprilie 2020 2.0'!$G$3:$G$680,A181,"")),0))/LEN(A181)</f>
        <v>0</v>
      </c>
      <c r="G181" s="2911" cm="1">
        <f t="array" ref="G181">SUM(IF('Aprilie 2020 2.0'!$I$3:$I$680=$G$3,LEN('Aprilie 2020 2.0'!$G$3:$G$680)-LEN(SUBSTITUTE('Aprilie 2020 2.0'!$G$3:$G$680,A181,"")),0))/LEN(A181)</f>
        <v>0</v>
      </c>
      <c r="H181" s="2911" cm="1">
        <f t="array" ref="H181">SUM(IF('Aprilie 2020 2.0'!$I$3:$I$680=$H$3,LEN('Aprilie 2020 2.0'!$G$3:$G$680)-LEN(SUBSTITUTE('Aprilie 2020 2.0'!$G$3:$G$680,A181,"")),0))/LEN(A181)</f>
        <v>0</v>
      </c>
      <c r="I181" s="2911">
        <f t="shared" si="6"/>
        <v>0</v>
      </c>
      <c r="J181" s="2911"/>
      <c r="K181" s="2911"/>
      <c r="L181" s="2911"/>
      <c r="M181" s="2911"/>
    </row>
    <row r="182" spans="1:13" x14ac:dyDescent="0.35">
      <c r="A182" s="2920" t="s">
        <v>11099</v>
      </c>
      <c r="B182" s="2912" cm="1">
        <f t="array" ref="B182">SUM(IF('Aprilie 2020 2.0'!$I$3:$I$680=$B$3,LEN('Aprilie 2020 2.0'!$G$3:$G$680)-LEN(SUBSTITUTE('Aprilie 2020 2.0'!$G$3:$G$680,A182,"")),0))/LEN(A182)</f>
        <v>0</v>
      </c>
      <c r="C182" s="2912" cm="1">
        <f t="array" ref="C182">SUM(IF('Aprilie 2020 2.0'!$I$3:$I$680=$C$3,LEN('Aprilie 2020 2.0'!$G$3:$G$680)-LEN(SUBSTITUTE('Aprilie 2020 2.0'!$G$3:$G$680,A182,"")),0))/LEN(A182)</f>
        <v>0</v>
      </c>
      <c r="D182" s="2912" cm="1">
        <f t="array" ref="D182">SUM(IF('Aprilie 2020 2.0'!$I$3:$I$680=$D$3,LEN('Aprilie 2020 2.0'!$G$3:$G$680)-LEN(SUBSTITUTE('Aprilie 2020 2.0'!$G$3:$G$680,A182,"")),0))/LEN(A182)</f>
        <v>0</v>
      </c>
      <c r="E182" s="2911" cm="1">
        <f t="array" ref="E182">SUM(IF('Aprilie 2020 2.0'!$I$3:$I$680=$E$3,LEN('Aprilie 2020 2.0'!$G$3:$G$680)-LEN(SUBSTITUTE('Aprilie 2020 2.0'!$G$3:$G$680,A182,"")),0))/LEN(A182)</f>
        <v>0</v>
      </c>
      <c r="F182" s="2911" cm="1">
        <f t="array" ref="F182">SUM(IF('Aprilie 2020 2.0'!$I$3:$I$680=$F$3,LEN('Aprilie 2020 2.0'!$G$3:$G$680)-LEN(SUBSTITUTE('Aprilie 2020 2.0'!$G$3:$G$680,A182,"")),0))/LEN(A182)</f>
        <v>0</v>
      </c>
      <c r="G182" s="2911" cm="1">
        <f t="array" ref="G182">SUM(IF('Aprilie 2020 2.0'!$I$3:$I$680=$G$3,LEN('Aprilie 2020 2.0'!$G$3:$G$680)-LEN(SUBSTITUTE('Aprilie 2020 2.0'!$G$3:$G$680,A182,"")),0))/LEN(A182)</f>
        <v>0</v>
      </c>
      <c r="H182" s="2911" cm="1">
        <f t="array" ref="H182">SUM(IF('Aprilie 2020 2.0'!$I$3:$I$680=$H$3,LEN('Aprilie 2020 2.0'!$G$3:$G$680)-LEN(SUBSTITUTE('Aprilie 2020 2.0'!$G$3:$G$680,A182,"")),0))/LEN(A182)</f>
        <v>0</v>
      </c>
      <c r="I182" s="2918">
        <f t="shared" si="6"/>
        <v>0</v>
      </c>
      <c r="J182" s="2918"/>
      <c r="K182" s="2918"/>
      <c r="L182" s="2911"/>
      <c r="M182" s="2911"/>
    </row>
    <row r="183" spans="1:13" x14ac:dyDescent="0.35">
      <c r="A183" s="2906" t="s">
        <v>11175</v>
      </c>
      <c r="B183" s="2912" cm="1">
        <f t="array" ref="B183">SUM(IF('Aprilie 2020 2.0'!$I$3:$I$680=$B$3,LEN('Aprilie 2020 2.0'!$G$3:$G$680)-LEN(SUBSTITUTE('Aprilie 2020 2.0'!$G$3:$G$680,A183,"")),0))/LEN(A183)</f>
        <v>0</v>
      </c>
      <c r="C183" s="2912" cm="1">
        <f t="array" ref="C183">SUM(IF('Aprilie 2020 2.0'!$I$3:$I$680=$C$3,LEN('Aprilie 2020 2.0'!$G$3:$G$680)-LEN(SUBSTITUTE('Aprilie 2020 2.0'!$G$3:$G$680,A183,"")),0))/LEN(A183)</f>
        <v>0</v>
      </c>
      <c r="D183" s="2912" cm="1">
        <f t="array" ref="D183">SUM(IF('Aprilie 2020 2.0'!$I$3:$I$680=$D$3,LEN('Aprilie 2020 2.0'!$G$3:$G$680)-LEN(SUBSTITUTE('Aprilie 2020 2.0'!$G$3:$G$680,A183,"")),0))/LEN(A183)</f>
        <v>0</v>
      </c>
      <c r="E183" s="2911" cm="1">
        <f t="array" ref="E183">SUM(IF('Aprilie 2020 2.0'!$I$3:$I$680=$E$3,LEN('Aprilie 2020 2.0'!$G$3:$G$680)-LEN(SUBSTITUTE('Aprilie 2020 2.0'!$G$3:$G$680,A183,"")),0))/LEN(A183)</f>
        <v>0</v>
      </c>
      <c r="F183" s="2911" cm="1">
        <f t="array" ref="F183">SUM(IF('Aprilie 2020 2.0'!$I$3:$I$680=$F$3,LEN('Aprilie 2020 2.0'!$G$3:$G$680)-LEN(SUBSTITUTE('Aprilie 2020 2.0'!$G$3:$G$680,A183,"")),0))/LEN(A183)</f>
        <v>0</v>
      </c>
      <c r="G183" s="2911" cm="1">
        <f t="array" ref="G183">SUM(IF('Aprilie 2020 2.0'!$I$3:$I$680=$G$3,LEN('Aprilie 2020 2.0'!$G$3:$G$680)-LEN(SUBSTITUTE('Aprilie 2020 2.0'!$G$3:$G$680,A183,"")),0))/LEN(A183)</f>
        <v>0</v>
      </c>
      <c r="H183" s="2911" cm="1">
        <f t="array" ref="H183">SUM(IF('Aprilie 2020 2.0'!$I$3:$I$680=$H$3,LEN('Aprilie 2020 2.0'!$G$3:$G$680)-LEN(SUBSTITUTE('Aprilie 2020 2.0'!$G$3:$G$680,A183,"")),0))/LEN(A183)</f>
        <v>0</v>
      </c>
      <c r="I183" s="2911">
        <f t="shared" si="6"/>
        <v>0</v>
      </c>
      <c r="J183" s="2911"/>
      <c r="K183" s="2911"/>
      <c r="L183" s="2911"/>
      <c r="M183" s="2911"/>
    </row>
    <row r="184" spans="1:13" x14ac:dyDescent="0.35">
      <c r="A184" s="2915" t="s">
        <v>11199</v>
      </c>
      <c r="B184" s="2911" cm="1">
        <f t="array" ref="B184">SUM(IF('Aprilie 2020 2.0'!$I$3:$I$680=$B$3,LEN('Aprilie 2020 2.0'!$G$3:$G$680)-LEN(SUBSTITUTE('Aprilie 2020 2.0'!$G$3:$G$680,A184,"")),0))/LEN(A184)</f>
        <v>0</v>
      </c>
      <c r="C184" s="2911" cm="1">
        <f t="array" ref="C184">SUM(IF('Aprilie 2020 2.0'!$I$3:$I$680=$C$3,LEN('Aprilie 2020 2.0'!$G$3:$G$680)-LEN(SUBSTITUTE('Aprilie 2020 2.0'!$G$3:$G$680,A184,"")),0))/LEN(A184)</f>
        <v>0</v>
      </c>
      <c r="D184" s="2911" cm="1">
        <f t="array" ref="D184">SUM(IF('Aprilie 2020 2.0'!$I$3:$I$680=$D$3,LEN('Aprilie 2020 2.0'!$G$3:$G$680)-LEN(SUBSTITUTE('Aprilie 2020 2.0'!$G$3:$G$680,A184,"")),0))/LEN(A184)</f>
        <v>0</v>
      </c>
      <c r="E184" s="2911" cm="1">
        <f t="array" ref="E184">SUM(IF('Aprilie 2020 2.0'!$I$3:$I$680=$E$3,LEN('Aprilie 2020 2.0'!$G$3:$G$680)-LEN(SUBSTITUTE('Aprilie 2020 2.0'!$G$3:$G$680,A184,"")),0))/LEN(A184)</f>
        <v>0</v>
      </c>
      <c r="F184" s="2911" cm="1">
        <f t="array" ref="F184">SUM(IF('Aprilie 2020 2.0'!$I$3:$I$680=$F$3,LEN('Aprilie 2020 2.0'!$G$3:$G$680)-LEN(SUBSTITUTE('Aprilie 2020 2.0'!$G$3:$G$680,A184,"")),0))/LEN(A184)</f>
        <v>0</v>
      </c>
      <c r="G184" s="2911" cm="1">
        <f t="array" ref="G184">SUM(IF('Aprilie 2020 2.0'!$I$3:$I$680=$G$3,LEN('Aprilie 2020 2.0'!$G$3:$G$680)-LEN(SUBSTITUTE('Aprilie 2020 2.0'!$G$3:$G$680,A184,"")),0))/LEN(A184)</f>
        <v>0</v>
      </c>
      <c r="H184" s="2911" cm="1">
        <f t="array" ref="H184">SUM(IF('Aprilie 2020 2.0'!$I$3:$I$680=$H$3,LEN('Aprilie 2020 2.0'!$G$3:$G$680)-LEN(SUBSTITUTE('Aprilie 2020 2.0'!$G$3:$G$680,A184,"")),0))/LEN(A184)</f>
        <v>0</v>
      </c>
      <c r="I184" s="2918">
        <f t="shared" si="6"/>
        <v>0</v>
      </c>
      <c r="J184" s="2918"/>
      <c r="K184" s="2918"/>
      <c r="L184" s="2911"/>
      <c r="M184" s="2911"/>
    </row>
    <row r="185" spans="1:13" x14ac:dyDescent="0.35">
      <c r="A185" s="2915" t="s">
        <v>11197</v>
      </c>
      <c r="B185" s="2911" cm="1">
        <f t="array" ref="B185">SUM(IF('Aprilie 2020 2.0'!$I$3:$I$680=$B$3,LEN('Aprilie 2020 2.0'!$G$3:$G$680)-LEN(SUBSTITUTE('Aprilie 2020 2.0'!$G$3:$G$680,A185,"")),0))/LEN(A185)</f>
        <v>0</v>
      </c>
      <c r="C185" s="2911" cm="1">
        <f t="array" ref="C185">SUM(IF('Aprilie 2020 2.0'!$I$3:$I$680=$C$3,LEN('Aprilie 2020 2.0'!$G$3:$G$680)-LEN(SUBSTITUTE('Aprilie 2020 2.0'!$G$3:$G$680,A185,"")),0))/LEN(A185)</f>
        <v>0</v>
      </c>
      <c r="D185" s="2911" cm="1">
        <f t="array" ref="D185">SUM(IF('Aprilie 2020 2.0'!$I$3:$I$680=$D$3,LEN('Aprilie 2020 2.0'!$G$3:$G$680)-LEN(SUBSTITUTE('Aprilie 2020 2.0'!$G$3:$G$680,A185,"")),0))/LEN(A185)</f>
        <v>0</v>
      </c>
      <c r="E185" s="2911" cm="1">
        <f t="array" ref="E185">SUM(IF('Aprilie 2020 2.0'!$I$3:$I$680=$E$3,LEN('Aprilie 2020 2.0'!$G$3:$G$680)-LEN(SUBSTITUTE('Aprilie 2020 2.0'!$G$3:$G$680,A185,"")),0))/LEN(A185)</f>
        <v>0</v>
      </c>
      <c r="F185" s="2911" cm="1">
        <f t="array" ref="F185">SUM(IF('Aprilie 2020 2.0'!$I$3:$I$680=$F$3,LEN('Aprilie 2020 2.0'!$G$3:$G$680)-LEN(SUBSTITUTE('Aprilie 2020 2.0'!$G$3:$G$680,A185,"")),0))/LEN(A185)</f>
        <v>0</v>
      </c>
      <c r="G185" s="2911" cm="1">
        <f t="array" ref="G185">SUM(IF('Aprilie 2020 2.0'!$I$3:$I$680=$G$3,LEN('Aprilie 2020 2.0'!$G$3:$G$680)-LEN(SUBSTITUTE('Aprilie 2020 2.0'!$G$3:$G$680,A185,"")),0))/LEN(A185)</f>
        <v>0</v>
      </c>
      <c r="H185" s="2911" cm="1">
        <f t="array" ref="H185">SUM(IF('Aprilie 2020 2.0'!$I$3:$I$680=$H$3,LEN('Aprilie 2020 2.0'!$G$3:$G$680)-LEN(SUBSTITUTE('Aprilie 2020 2.0'!$G$3:$G$680,A185,"")),0))/LEN(A185)</f>
        <v>0</v>
      </c>
      <c r="I185" s="2918">
        <f t="shared" si="6"/>
        <v>0</v>
      </c>
      <c r="J185" s="2918"/>
      <c r="K185" s="2918"/>
      <c r="L185" s="2911"/>
      <c r="M185" s="2911"/>
    </row>
    <row r="186" spans="1:13" x14ac:dyDescent="0.35">
      <c r="A186" s="2909" t="s">
        <v>11200</v>
      </c>
      <c r="B186" s="2911" cm="1">
        <f t="array" ref="B186">SUM(IF('Aprilie 2020 2.0'!$I$3:$I$680=$B$3,LEN('Aprilie 2020 2.0'!$G$3:$G$680)-LEN(SUBSTITUTE('Aprilie 2020 2.0'!$G$3:$G$680,A186,"")),0))/LEN(A186)</f>
        <v>0</v>
      </c>
      <c r="C186" s="2911" cm="1">
        <f t="array" ref="C186">SUM(IF('Aprilie 2020 2.0'!$I$3:$I$680=$C$3,LEN('Aprilie 2020 2.0'!$G$3:$G$680)-LEN(SUBSTITUTE('Aprilie 2020 2.0'!$G$3:$G$680,A186,"")),0))/LEN(A186)</f>
        <v>0</v>
      </c>
      <c r="D186" s="2911" cm="1">
        <f t="array" ref="D186">SUM(IF('Aprilie 2020 2.0'!$I$3:$I$680=$D$3,LEN('Aprilie 2020 2.0'!$G$3:$G$680)-LEN(SUBSTITUTE('Aprilie 2020 2.0'!$G$3:$G$680,A186,"")),0))/LEN(A186)</f>
        <v>0</v>
      </c>
      <c r="E186" s="2911" cm="1">
        <f t="array" ref="E186">SUM(IF('Aprilie 2020 2.0'!$I$3:$I$680=$E$3,LEN('Aprilie 2020 2.0'!$G$3:$G$680)-LEN(SUBSTITUTE('Aprilie 2020 2.0'!$G$3:$G$680,A186,"")),0))/LEN(A186)</f>
        <v>0</v>
      </c>
      <c r="F186" s="2911" cm="1">
        <f t="array" ref="F186">SUM(IF('Aprilie 2020 2.0'!$I$3:$I$680=$F$3,LEN('Aprilie 2020 2.0'!$G$3:$G$680)-LEN(SUBSTITUTE('Aprilie 2020 2.0'!$G$3:$G$680,A186,"")),0))/LEN(A186)</f>
        <v>0</v>
      </c>
      <c r="G186" s="2911" cm="1">
        <f t="array" ref="G186">SUM(IF('Aprilie 2020 2.0'!$I$3:$I$680=$G$3,LEN('Aprilie 2020 2.0'!$G$3:$G$680)-LEN(SUBSTITUTE('Aprilie 2020 2.0'!$G$3:$G$680,A186,"")),0))/LEN(A186)</f>
        <v>0</v>
      </c>
      <c r="H186" s="2911" cm="1">
        <f t="array" ref="H186">SUM(IF('Aprilie 2020 2.0'!$I$3:$I$680=$H$3,LEN('Aprilie 2020 2.0'!$G$3:$G$680)-LEN(SUBSTITUTE('Aprilie 2020 2.0'!$G$3:$G$680,A186,"")),0))/LEN(A186)</f>
        <v>0</v>
      </c>
      <c r="I186" s="2911">
        <f t="shared" si="6"/>
        <v>0</v>
      </c>
      <c r="J186" s="2911"/>
      <c r="K186" s="2911"/>
      <c r="L186" s="2911"/>
      <c r="M186" s="2911"/>
    </row>
    <row r="187" spans="1:13" x14ac:dyDescent="0.35">
      <c r="A187" s="2908" t="s">
        <v>11119</v>
      </c>
      <c r="B187" s="2912" cm="1">
        <f t="array" ref="B187">SUM(IF('Aprilie 2020 2.0'!$I$3:$I$680=$B$3,LEN('Aprilie 2020 2.0'!$G$3:$G$680)-LEN(SUBSTITUTE('Aprilie 2020 2.0'!$G$3:$G$680,A187,"")),0))/LEN(A187)</f>
        <v>0</v>
      </c>
      <c r="C187" s="2912" cm="1">
        <f t="array" ref="C187">SUM(IF('Aprilie 2020 2.0'!$I$3:$I$680=$C$3,LEN('Aprilie 2020 2.0'!$G$3:$G$680)-LEN(SUBSTITUTE('Aprilie 2020 2.0'!$G$3:$G$680,A187,"")),0))/LEN(A187)</f>
        <v>0</v>
      </c>
      <c r="D187" s="2912" cm="1">
        <f t="array" ref="D187">SUM(IF('Aprilie 2020 2.0'!$I$3:$I$680=$D$3,LEN('Aprilie 2020 2.0'!$G$3:$G$680)-LEN(SUBSTITUTE('Aprilie 2020 2.0'!$G$3:$G$680,A187,"")),0))/LEN(A187)</f>
        <v>0</v>
      </c>
      <c r="E187" s="2911" cm="1">
        <f t="array" ref="E187">SUM(IF('Aprilie 2020 2.0'!$I$3:$I$680=$E$3,LEN('Aprilie 2020 2.0'!$G$3:$G$680)-LEN(SUBSTITUTE('Aprilie 2020 2.0'!$G$3:$G$680,A187,"")),0))/LEN(A187)</f>
        <v>0</v>
      </c>
      <c r="F187" s="2911" cm="1">
        <f t="array" ref="F187">SUM(IF('Aprilie 2020 2.0'!$I$3:$I$680=$F$3,LEN('Aprilie 2020 2.0'!$G$3:$G$680)-LEN(SUBSTITUTE('Aprilie 2020 2.0'!$G$3:$G$680,A187,"")),0))/LEN(A187)</f>
        <v>0</v>
      </c>
      <c r="G187" s="2911" cm="1">
        <f t="array" ref="G187">SUM(IF('Aprilie 2020 2.0'!$I$3:$I$680=$G$3,LEN('Aprilie 2020 2.0'!$G$3:$G$680)-LEN(SUBSTITUTE('Aprilie 2020 2.0'!$G$3:$G$680,A187,"")),0))/LEN(A187)</f>
        <v>0</v>
      </c>
      <c r="H187" s="2911" cm="1">
        <f t="array" ref="H187">SUM(IF('Aprilie 2020 2.0'!$I$3:$I$680=$H$3,LEN('Aprilie 2020 2.0'!$G$3:$G$680)-LEN(SUBSTITUTE('Aprilie 2020 2.0'!$G$3:$G$680,A187,"")),0))/LEN(A187)</f>
        <v>0</v>
      </c>
      <c r="I187" s="2911">
        <f t="shared" si="6"/>
        <v>0</v>
      </c>
      <c r="J187" s="2911"/>
      <c r="K187" s="2911"/>
      <c r="L187" s="2911"/>
      <c r="M187" s="2911"/>
    </row>
    <row r="188" spans="1:13" x14ac:dyDescent="0.35">
      <c r="A188" s="2906" t="s">
        <v>11124</v>
      </c>
      <c r="B188" s="2912" cm="1">
        <f t="array" ref="B188">SUM(IF('Aprilie 2020 2.0'!$I$3:$I$680=$B$3,LEN('Aprilie 2020 2.0'!$G$3:$G$680)-LEN(SUBSTITUTE('Aprilie 2020 2.0'!$G$3:$G$680,A188,"")),0))/LEN(A188)</f>
        <v>0</v>
      </c>
      <c r="C188" s="2912" cm="1">
        <f t="array" ref="C188">SUM(IF('Aprilie 2020 2.0'!$I$3:$I$680=$C$3,LEN('Aprilie 2020 2.0'!$G$3:$G$680)-LEN(SUBSTITUTE('Aprilie 2020 2.0'!$G$3:$G$680,A188,"")),0))/LEN(A188)</f>
        <v>0</v>
      </c>
      <c r="D188" s="2912" cm="1">
        <f t="array" ref="D188">SUM(IF('Aprilie 2020 2.0'!$I$3:$I$680=$D$3,LEN('Aprilie 2020 2.0'!$G$3:$G$680)-LEN(SUBSTITUTE('Aprilie 2020 2.0'!$G$3:$G$680,A188,"")),0))/LEN(A188)</f>
        <v>0</v>
      </c>
      <c r="E188" s="2911" cm="1">
        <f t="array" ref="E188">SUM(IF('Aprilie 2020 2.0'!$I$3:$I$680=$E$3,LEN('Aprilie 2020 2.0'!$G$3:$G$680)-LEN(SUBSTITUTE('Aprilie 2020 2.0'!$G$3:$G$680,A188,"")),0))/LEN(A188)</f>
        <v>0</v>
      </c>
      <c r="F188" s="2911" cm="1">
        <f t="array" ref="F188">SUM(IF('Aprilie 2020 2.0'!$I$3:$I$680=$F$3,LEN('Aprilie 2020 2.0'!$G$3:$G$680)-LEN(SUBSTITUTE('Aprilie 2020 2.0'!$G$3:$G$680,A188,"")),0))/LEN(A188)</f>
        <v>0</v>
      </c>
      <c r="G188" s="2911" cm="1">
        <f t="array" ref="G188">SUM(IF('Aprilie 2020 2.0'!$I$3:$I$680=$G$3,LEN('Aprilie 2020 2.0'!$G$3:$G$680)-LEN(SUBSTITUTE('Aprilie 2020 2.0'!$G$3:$G$680,A188,"")),0))/LEN(A188)</f>
        <v>0</v>
      </c>
      <c r="H188" s="2911" cm="1">
        <f t="array" ref="H188">SUM(IF('Aprilie 2020 2.0'!$I$3:$I$680=$H$3,LEN('Aprilie 2020 2.0'!$G$3:$G$680)-LEN(SUBSTITUTE('Aprilie 2020 2.0'!$G$3:$G$680,A188,"")),0))/LEN(A188)</f>
        <v>0</v>
      </c>
      <c r="I188" s="2918">
        <f t="shared" si="6"/>
        <v>0</v>
      </c>
      <c r="J188" s="2918"/>
      <c r="K188" s="2918"/>
      <c r="L188" s="2911"/>
      <c r="M188" s="2911"/>
    </row>
    <row r="189" spans="1:13" x14ac:dyDescent="0.35">
      <c r="A189" s="2906" t="s">
        <v>11128</v>
      </c>
      <c r="B189" s="2912" cm="1">
        <f t="array" ref="B189">SUM(IF('Aprilie 2020 2.0'!$I$3:$I$680=$B$3,LEN('Aprilie 2020 2.0'!$G$3:$G$680)-LEN(SUBSTITUTE('Aprilie 2020 2.0'!$G$3:$G$680,A189,"")),0))/LEN(A189)</f>
        <v>0</v>
      </c>
      <c r="C189" s="2912" cm="1">
        <f t="array" ref="C189">SUM(IF('Aprilie 2020 2.0'!$I$3:$I$680=$C$3,LEN('Aprilie 2020 2.0'!$G$3:$G$680)-LEN(SUBSTITUTE('Aprilie 2020 2.0'!$G$3:$G$680,A189,"")),0))/LEN(A189)</f>
        <v>0</v>
      </c>
      <c r="D189" s="2912" cm="1">
        <f t="array" ref="D189">SUM(IF('Aprilie 2020 2.0'!$I$3:$I$680=$D$3,LEN('Aprilie 2020 2.0'!$G$3:$G$680)-LEN(SUBSTITUTE('Aprilie 2020 2.0'!$G$3:$G$680,A189,"")),0))/LEN(A189)</f>
        <v>0</v>
      </c>
      <c r="E189" s="2911" cm="1">
        <f t="array" ref="E189">SUM(IF('Aprilie 2020 2.0'!$I$3:$I$680=$E$3,LEN('Aprilie 2020 2.0'!$G$3:$G$680)-LEN(SUBSTITUTE('Aprilie 2020 2.0'!$G$3:$G$680,A189,"")),0))/LEN(A189)</f>
        <v>0</v>
      </c>
      <c r="F189" s="2911" cm="1">
        <f t="array" ref="F189">SUM(IF('Aprilie 2020 2.0'!$I$3:$I$680=$F$3,LEN('Aprilie 2020 2.0'!$G$3:$G$680)-LEN(SUBSTITUTE('Aprilie 2020 2.0'!$G$3:$G$680,A189,"")),0))/LEN(A189)</f>
        <v>0</v>
      </c>
      <c r="G189" s="2911" cm="1">
        <f t="array" ref="G189">SUM(IF('Aprilie 2020 2.0'!$I$3:$I$680=$G$3,LEN('Aprilie 2020 2.0'!$G$3:$G$680)-LEN(SUBSTITUTE('Aprilie 2020 2.0'!$G$3:$G$680,A189,"")),0))/LEN(A189)</f>
        <v>0</v>
      </c>
      <c r="H189" s="2911" cm="1">
        <f t="array" ref="H189">SUM(IF('Aprilie 2020 2.0'!$I$3:$I$680=$H$3,LEN('Aprilie 2020 2.0'!$G$3:$G$680)-LEN(SUBSTITUTE('Aprilie 2020 2.0'!$G$3:$G$680,A189,"")),0))/LEN(A189)</f>
        <v>0</v>
      </c>
      <c r="I189" s="2918">
        <f t="shared" ref="I189:I220" si="7">SUM(B189:H189)</f>
        <v>0</v>
      </c>
      <c r="J189" s="2918"/>
      <c r="K189" s="2918"/>
      <c r="L189" s="2911"/>
      <c r="M189" s="2911"/>
    </row>
    <row r="190" spans="1:13" x14ac:dyDescent="0.35">
      <c r="A190" s="2907" t="s">
        <v>11523</v>
      </c>
      <c r="B190" s="2911" cm="1">
        <f t="array" ref="B190">SUM(IF('Aprilie 2020 2.0'!$I$3:$I$680=$B$3,LEN('Aprilie 2020 2.0'!$G$3:$G$680)-LEN(SUBSTITUTE('Aprilie 2020 2.0'!$G$3:$G$680,A190,"")),0))/LEN(A190)</f>
        <v>0</v>
      </c>
      <c r="C190" s="2911" cm="1">
        <f t="array" ref="C190">SUM(IF('Aprilie 2020 2.0'!$I$3:$I$680=$C$3,LEN('Aprilie 2020 2.0'!$G$3:$G$680)-LEN(SUBSTITUTE('Aprilie 2020 2.0'!$G$3:$G$680,A190,"")),0))/LEN(A190)</f>
        <v>0</v>
      </c>
      <c r="D190" s="2911" cm="1">
        <f t="array" ref="D190">SUM(IF('Aprilie 2020 2.0'!$I$3:$I$680=$D$3,LEN('Aprilie 2020 2.0'!$G$3:$G$680)-LEN(SUBSTITUTE('Aprilie 2020 2.0'!$G$3:$G$680,A190,"")),0))/LEN(A190)</f>
        <v>0</v>
      </c>
      <c r="E190" s="2911" cm="1">
        <f t="array" ref="E190">SUM(IF('Aprilie 2020 2.0'!$I$3:$I$680=$E$3,LEN('Aprilie 2020 2.0'!$G$3:$G$680)-LEN(SUBSTITUTE('Aprilie 2020 2.0'!$G$3:$G$680,A190,"")),0))/LEN(A190)</f>
        <v>0</v>
      </c>
      <c r="F190" s="2911" cm="1">
        <f t="array" ref="F190">SUM(IF('Aprilie 2020 2.0'!$I$3:$I$680=$F$3,LEN('Aprilie 2020 2.0'!$G$3:$G$680)-LEN(SUBSTITUTE('Aprilie 2020 2.0'!$G$3:$G$680,A190,"")),0))/LEN(A190)</f>
        <v>0</v>
      </c>
      <c r="G190" s="2911" cm="1">
        <f t="array" ref="G190">SUM(IF('Aprilie 2020 2.0'!$I$3:$I$680=$G$3,LEN('Aprilie 2020 2.0'!$G$3:$G$680)-LEN(SUBSTITUTE('Aprilie 2020 2.0'!$G$3:$G$680,A190,"")),0))/LEN(A190)</f>
        <v>0</v>
      </c>
      <c r="H190" s="2911" cm="1">
        <f t="array" ref="H190">SUM(IF('Aprilie 2020 2.0'!$I$3:$I$680=$H$3,LEN('Aprilie 2020 2.0'!$G$3:$G$680)-LEN(SUBSTITUTE('Aprilie 2020 2.0'!$G$3:$G$680,A190,"")),0))/LEN(A190)</f>
        <v>0</v>
      </c>
      <c r="I190" s="2911">
        <f t="shared" si="7"/>
        <v>0</v>
      </c>
      <c r="J190" s="2911"/>
      <c r="K190" s="2911"/>
      <c r="L190" s="3009" t="s">
        <v>7663</v>
      </c>
      <c r="M190" s="2911"/>
    </row>
    <row r="191" spans="1:13" x14ac:dyDescent="0.35">
      <c r="A191" s="2922" t="s">
        <v>14305</v>
      </c>
      <c r="B191" s="2911" cm="1">
        <f t="array" ref="B191">SUM(IF('Aprilie 2020 2.0'!$I$3:$I$680=$B$3,LEN('Aprilie 2020 2.0'!$G$3:$G$680)-LEN(SUBSTITUTE('Aprilie 2020 2.0'!$G$3:$G$680,A191,"")),0))/LEN(A191)</f>
        <v>0</v>
      </c>
      <c r="C191" s="2911" cm="1">
        <f t="array" ref="C191">SUM(IF('Aprilie 2020 2.0'!$I$3:$I$680=$C$3,LEN('Aprilie 2020 2.0'!$G$3:$G$680)-LEN(SUBSTITUTE('Aprilie 2020 2.0'!$G$3:$G$680,A191,"")),0))/LEN(A191)</f>
        <v>0</v>
      </c>
      <c r="D191" s="2911" cm="1">
        <f t="array" ref="D191">SUM(IF('Aprilie 2020 2.0'!$I$3:$I$680=$D$3,LEN('Aprilie 2020 2.0'!$G$3:$G$680)-LEN(SUBSTITUTE('Aprilie 2020 2.0'!$G$3:$G$680,A191,"")),0))/LEN(A191)</f>
        <v>0</v>
      </c>
      <c r="E191" s="2911" cm="1">
        <f t="array" ref="E191">SUM(IF('Aprilie 2020 2.0'!$I$3:$I$680=$E$3,LEN('Aprilie 2020 2.0'!$G$3:$G$680)-LEN(SUBSTITUTE('Aprilie 2020 2.0'!$G$3:$G$680,A191,"")),0))/LEN(A191)</f>
        <v>0</v>
      </c>
      <c r="F191" s="2911" cm="1">
        <f t="array" ref="F191">SUM(IF('Aprilie 2020 2.0'!$I$3:$I$680=$F$3,LEN('Aprilie 2020 2.0'!$G$3:$G$680)-LEN(SUBSTITUTE('Aprilie 2020 2.0'!$G$3:$G$680,A191,"")),0))/LEN(A191)</f>
        <v>0</v>
      </c>
      <c r="G191" s="2911" cm="1">
        <f t="array" ref="G191">SUM(IF('Aprilie 2020 2.0'!$I$3:$I$680=$G$3,LEN('Aprilie 2020 2.0'!$G$3:$G$680)-LEN(SUBSTITUTE('Aprilie 2020 2.0'!$G$3:$G$680,A191,"")),0))/LEN(A191)</f>
        <v>0</v>
      </c>
      <c r="H191" s="2911" cm="1">
        <f t="array" ref="H191">SUM(IF('Aprilie 2020 2.0'!$I$3:$I$680=$H$3,LEN('Aprilie 2020 2.0'!$G$3:$G$680)-LEN(SUBSTITUTE('Aprilie 2020 2.0'!$G$3:$G$680,A191,"")),0))/LEN(A191)</f>
        <v>0</v>
      </c>
      <c r="I191" s="2918">
        <f t="shared" si="7"/>
        <v>0</v>
      </c>
      <c r="J191" s="2918"/>
      <c r="K191" s="2918"/>
      <c r="L191" s="3009" t="s">
        <v>7663</v>
      </c>
      <c r="M191" s="2911"/>
    </row>
    <row r="192" spans="1:13" x14ac:dyDescent="0.35">
      <c r="A192" s="2916" t="s">
        <v>11522</v>
      </c>
      <c r="B192" s="2911" cm="1">
        <f t="array" ref="B192">SUM(IF('Aprilie 2020 2.0'!$I$3:$I$680=$B$3,LEN('Aprilie 2020 2.0'!$G$3:$G$680)-LEN(SUBSTITUTE('Aprilie 2020 2.0'!$G$3:$G$680,A192,"")),0))/LEN(A192)</f>
        <v>0</v>
      </c>
      <c r="C192" s="2911" cm="1">
        <f t="array" ref="C192">SUM(IF('Aprilie 2020 2.0'!$I$3:$I$680=$C$3,LEN('Aprilie 2020 2.0'!$G$3:$G$680)-LEN(SUBSTITUTE('Aprilie 2020 2.0'!$G$3:$G$680,A192,"")),0))/LEN(A192)</f>
        <v>0</v>
      </c>
      <c r="D192" s="2911" cm="1">
        <f t="array" ref="D192">SUM(IF('Aprilie 2020 2.0'!$I$3:$I$680=$D$3,LEN('Aprilie 2020 2.0'!$G$3:$G$680)-LEN(SUBSTITUTE('Aprilie 2020 2.0'!$G$3:$G$680,A192,"")),0))/LEN(A192)</f>
        <v>0</v>
      </c>
      <c r="E192" s="2911" cm="1">
        <f t="array" ref="E192">SUM(IF('Aprilie 2020 2.0'!$I$3:$I$680=$E$3,LEN('Aprilie 2020 2.0'!$G$3:$G$680)-LEN(SUBSTITUTE('Aprilie 2020 2.0'!$G$3:$G$680,A192,"")),0))/LEN(A192)</f>
        <v>0</v>
      </c>
      <c r="F192" s="2911" cm="1">
        <f t="array" ref="F192">SUM(IF('Aprilie 2020 2.0'!$I$3:$I$680=$F$3,LEN('Aprilie 2020 2.0'!$G$3:$G$680)-LEN(SUBSTITUTE('Aprilie 2020 2.0'!$G$3:$G$680,A192,"")),0))/LEN(A192)</f>
        <v>0</v>
      </c>
      <c r="G192" s="2911" cm="1">
        <f t="array" ref="G192">SUM(IF('Aprilie 2020 2.0'!$I$3:$I$680=$G$3,LEN('Aprilie 2020 2.0'!$G$3:$G$680)-LEN(SUBSTITUTE('Aprilie 2020 2.0'!$G$3:$G$680,A192,"")),0))/LEN(A192)</f>
        <v>0</v>
      </c>
      <c r="H192" s="2911" cm="1">
        <f t="array" ref="H192">SUM(IF('Aprilie 2020 2.0'!$I$3:$I$680=$H$3,LEN('Aprilie 2020 2.0'!$G$3:$G$680)-LEN(SUBSTITUTE('Aprilie 2020 2.0'!$G$3:$G$680,A192,"")),0))/LEN(A192)</f>
        <v>0</v>
      </c>
      <c r="I192" s="2918">
        <f t="shared" si="7"/>
        <v>0</v>
      </c>
      <c r="J192" s="2918"/>
      <c r="K192" s="2918"/>
      <c r="L192" s="2911"/>
      <c r="M192" s="2911"/>
    </row>
    <row r="193" spans="1:13" x14ac:dyDescent="0.35">
      <c r="A193" s="2906" t="s">
        <v>11203</v>
      </c>
      <c r="B193" s="2912" cm="1">
        <f t="array" ref="B193">SUM(IF('Aprilie 2020 2.0'!$I$3:$I$680=$B$3,LEN('Aprilie 2020 2.0'!$G$3:$G$680)-LEN(SUBSTITUTE('Aprilie 2020 2.0'!$G$3:$G$680,A193,"")),0))/LEN(A193)</f>
        <v>0</v>
      </c>
      <c r="C193" s="2912" cm="1">
        <f t="array" ref="C193">SUM(IF('Aprilie 2020 2.0'!$I$3:$I$680=$C$3,LEN('Aprilie 2020 2.0'!$G$3:$G$680)-LEN(SUBSTITUTE('Aprilie 2020 2.0'!$G$3:$G$680,A193,"")),0))/LEN(A193)</f>
        <v>0</v>
      </c>
      <c r="D193" s="2912" cm="1">
        <f t="array" ref="D193">SUM(IF('Aprilie 2020 2.0'!$I$3:$I$680=$D$3,LEN('Aprilie 2020 2.0'!$G$3:$G$680)-LEN(SUBSTITUTE('Aprilie 2020 2.0'!$G$3:$G$680,A193,"")),0))/LEN(A193)</f>
        <v>0</v>
      </c>
      <c r="E193" s="2911" cm="1">
        <f t="array" ref="E193">SUM(IF('Aprilie 2020 2.0'!$I$3:$I$680=$E$3,LEN('Aprilie 2020 2.0'!$G$3:$G$680)-LEN(SUBSTITUTE('Aprilie 2020 2.0'!$G$3:$G$680,A193,"")),0))/LEN(A193)</f>
        <v>0</v>
      </c>
      <c r="F193" s="2911" cm="1">
        <f t="array" ref="F193">SUM(IF('Aprilie 2020 2.0'!$I$3:$I$680=$F$3,LEN('Aprilie 2020 2.0'!$G$3:$G$680)-LEN(SUBSTITUTE('Aprilie 2020 2.0'!$G$3:$G$680,A193,"")),0))/LEN(A193)</f>
        <v>0</v>
      </c>
      <c r="G193" s="2911" cm="1">
        <f t="array" ref="G193">SUM(IF('Aprilie 2020 2.0'!$I$3:$I$680=$G$3,LEN('Aprilie 2020 2.0'!$G$3:$G$680)-LEN(SUBSTITUTE('Aprilie 2020 2.0'!$G$3:$G$680,A193,"")),0))/LEN(A193)</f>
        <v>0</v>
      </c>
      <c r="H193" s="2911" cm="1">
        <f t="array" ref="H193">SUM(IF('Aprilie 2020 2.0'!$I$3:$I$680=$H$3,LEN('Aprilie 2020 2.0'!$G$3:$G$680)-LEN(SUBSTITUTE('Aprilie 2020 2.0'!$G$3:$G$680,A193,"")),0))/LEN(A193)</f>
        <v>0</v>
      </c>
      <c r="I193" s="2911">
        <f t="shared" si="7"/>
        <v>0</v>
      </c>
      <c r="J193" s="2911"/>
      <c r="K193" s="2911"/>
      <c r="L193" s="3009" t="s">
        <v>7663</v>
      </c>
      <c r="M193" s="2911"/>
    </row>
    <row r="194" spans="1:13" x14ac:dyDescent="0.35">
      <c r="A194" s="2907" t="s">
        <v>11392</v>
      </c>
      <c r="B194" s="2912" cm="1">
        <f t="array" ref="B194">SUM(IF('Aprilie 2020 2.0'!$I$3:$I$680=$B$3,LEN('Aprilie 2020 2.0'!$G$3:$G$680)-LEN(SUBSTITUTE('Aprilie 2020 2.0'!$G$3:$G$680,A194,"")),0))/LEN(A194)</f>
        <v>0</v>
      </c>
      <c r="C194" s="2912" cm="1">
        <f t="array" ref="C194">SUM(IF('Aprilie 2020 2.0'!$I$3:$I$680=$C$3,LEN('Aprilie 2020 2.0'!$G$3:$G$680)-LEN(SUBSTITUTE('Aprilie 2020 2.0'!$G$3:$G$680,A194,"")),0))/LEN(A194)</f>
        <v>0</v>
      </c>
      <c r="D194" s="2912" cm="1">
        <f t="array" ref="D194">SUM(IF('Aprilie 2020 2.0'!$I$3:$I$680=$D$3,LEN('Aprilie 2020 2.0'!$G$3:$G$680)-LEN(SUBSTITUTE('Aprilie 2020 2.0'!$G$3:$G$680,A194,"")),0))/LEN(A194)</f>
        <v>0</v>
      </c>
      <c r="E194" s="2911" cm="1">
        <f t="array" ref="E194">SUM(IF('Aprilie 2020 2.0'!$I$3:$I$680=$E$3,LEN('Aprilie 2020 2.0'!$G$3:$G$680)-LEN(SUBSTITUTE('Aprilie 2020 2.0'!$G$3:$G$680,A194,"")),0))/LEN(A194)</f>
        <v>0</v>
      </c>
      <c r="F194" s="2911" cm="1">
        <f t="array" ref="F194">SUM(IF('Aprilie 2020 2.0'!$I$3:$I$680=$F$3,LEN('Aprilie 2020 2.0'!$G$3:$G$680)-LEN(SUBSTITUTE('Aprilie 2020 2.0'!$G$3:$G$680,A194,"")),0))/LEN(A194)</f>
        <v>0</v>
      </c>
      <c r="G194" s="2911" cm="1">
        <f t="array" ref="G194">SUM(IF('Aprilie 2020 2.0'!$I$3:$I$680=$G$3,LEN('Aprilie 2020 2.0'!$G$3:$G$680)-LEN(SUBSTITUTE('Aprilie 2020 2.0'!$G$3:$G$680,A194,"")),0))/LEN(A194)</f>
        <v>0</v>
      </c>
      <c r="H194" s="2911" cm="1">
        <f t="array" ref="H194">SUM(IF('Aprilie 2020 2.0'!$I$3:$I$680=$H$3,LEN('Aprilie 2020 2.0'!$G$3:$G$680)-LEN(SUBSTITUTE('Aprilie 2020 2.0'!$G$3:$G$680,A194,"")),0))/LEN(A194)</f>
        <v>0</v>
      </c>
      <c r="I194" s="2911">
        <f t="shared" si="7"/>
        <v>0</v>
      </c>
      <c r="J194" s="2911"/>
      <c r="K194" s="2911"/>
      <c r="L194" s="3009" t="s">
        <v>7663</v>
      </c>
      <c r="M194" s="2911"/>
    </row>
    <row r="195" spans="1:13" x14ac:dyDescent="0.35">
      <c r="A195" s="2906" t="s">
        <v>11204</v>
      </c>
      <c r="B195" s="2912" cm="1">
        <f t="array" ref="B195">SUM(IF('Aprilie 2020 2.0'!$I$3:$I$680=$B$3,LEN('Aprilie 2020 2.0'!$G$3:$G$680)-LEN(SUBSTITUTE('Aprilie 2020 2.0'!$G$3:$G$680,A195,"")),0))/LEN(A195)</f>
        <v>0</v>
      </c>
      <c r="C195" s="2912" cm="1">
        <f t="array" ref="C195">SUM(IF('Aprilie 2020 2.0'!$I$3:$I$680=$C$3,LEN('Aprilie 2020 2.0'!$G$3:$G$680)-LEN(SUBSTITUTE('Aprilie 2020 2.0'!$G$3:$G$680,A195,"")),0))/LEN(A195)</f>
        <v>0</v>
      </c>
      <c r="D195" s="2912" cm="1">
        <f t="array" ref="D195">SUM(IF('Aprilie 2020 2.0'!$I$3:$I$680=$D$3,LEN('Aprilie 2020 2.0'!$G$3:$G$680)-LEN(SUBSTITUTE('Aprilie 2020 2.0'!$G$3:$G$680,A195,"")),0))/LEN(A195)</f>
        <v>0</v>
      </c>
      <c r="E195" s="2911" cm="1">
        <f t="array" ref="E195">SUM(IF('Aprilie 2020 2.0'!$I$3:$I$680=$E$3,LEN('Aprilie 2020 2.0'!$G$3:$G$680)-LEN(SUBSTITUTE('Aprilie 2020 2.0'!$G$3:$G$680,A195,"")),0))/LEN(A195)</f>
        <v>0</v>
      </c>
      <c r="F195" s="2911" cm="1">
        <f t="array" ref="F195">SUM(IF('Aprilie 2020 2.0'!$I$3:$I$680=$F$3,LEN('Aprilie 2020 2.0'!$G$3:$G$680)-LEN(SUBSTITUTE('Aprilie 2020 2.0'!$G$3:$G$680,A195,"")),0))/LEN(A195)</f>
        <v>0</v>
      </c>
      <c r="G195" s="2911" cm="1">
        <f t="array" ref="G195">SUM(IF('Aprilie 2020 2.0'!$I$3:$I$680=$G$3,LEN('Aprilie 2020 2.0'!$G$3:$G$680)-LEN(SUBSTITUTE('Aprilie 2020 2.0'!$G$3:$G$680,A195,"")),0))/LEN(A195)</f>
        <v>0</v>
      </c>
      <c r="H195" s="2911" cm="1">
        <f t="array" ref="H195">SUM(IF('Aprilie 2020 2.0'!$I$3:$I$680=$H$3,LEN('Aprilie 2020 2.0'!$G$3:$G$680)-LEN(SUBSTITUTE('Aprilie 2020 2.0'!$G$3:$G$680,A195,"")),0))/LEN(A195)</f>
        <v>0</v>
      </c>
      <c r="I195" s="2911">
        <f t="shared" si="7"/>
        <v>0</v>
      </c>
      <c r="J195" s="2911"/>
      <c r="K195" s="2911"/>
      <c r="L195" s="3009" t="s">
        <v>7663</v>
      </c>
      <c r="M195" s="2911"/>
    </row>
    <row r="196" spans="1:13" x14ac:dyDescent="0.35">
      <c r="A196" s="2909" t="s">
        <v>11237</v>
      </c>
      <c r="B196" s="2911" cm="1">
        <f t="array" ref="B196">SUM(IF('Aprilie 2020 2.0'!$I$3:$I$680=$B$3,LEN('Aprilie 2020 2.0'!$G$3:$G$680)-LEN(SUBSTITUTE('Aprilie 2020 2.0'!$G$3:$G$680,A196,"")),0))/LEN(A196)</f>
        <v>0</v>
      </c>
      <c r="C196" s="2911" cm="1">
        <f t="array" ref="C196">SUM(IF('Aprilie 2020 2.0'!$I$3:$I$680=$C$3,LEN('Aprilie 2020 2.0'!$G$3:$G$680)-LEN(SUBSTITUTE('Aprilie 2020 2.0'!$G$3:$G$680,A196,"")),0))/LEN(A196)</f>
        <v>0</v>
      </c>
      <c r="D196" s="2911" cm="1">
        <f t="array" ref="D196">SUM(IF('Aprilie 2020 2.0'!$I$3:$I$680=$D$3,LEN('Aprilie 2020 2.0'!$G$3:$G$680)-LEN(SUBSTITUTE('Aprilie 2020 2.0'!$G$3:$G$680,A196,"")),0))/LEN(A196)</f>
        <v>0</v>
      </c>
      <c r="E196" s="2911" cm="1">
        <f t="array" ref="E196">SUM(IF('Aprilie 2020 2.0'!$I$3:$I$680=$E$3,LEN('Aprilie 2020 2.0'!$G$3:$G$680)-LEN(SUBSTITUTE('Aprilie 2020 2.0'!$G$3:$G$680,A196,"")),0))/LEN(A196)</f>
        <v>0</v>
      </c>
      <c r="F196" s="2911" cm="1">
        <f t="array" ref="F196">SUM(IF('Aprilie 2020 2.0'!$I$3:$I$680=$F$3,LEN('Aprilie 2020 2.0'!$G$3:$G$680)-LEN(SUBSTITUTE('Aprilie 2020 2.0'!$G$3:$G$680,A196,"")),0))/LEN(A196)</f>
        <v>0</v>
      </c>
      <c r="G196" s="2911" cm="1">
        <f t="array" ref="G196">SUM(IF('Aprilie 2020 2.0'!$I$3:$I$680=$G$3,LEN('Aprilie 2020 2.0'!$G$3:$G$680)-LEN(SUBSTITUTE('Aprilie 2020 2.0'!$G$3:$G$680,A196,"")),0))/LEN(A196)</f>
        <v>0</v>
      </c>
      <c r="H196" s="2911" cm="1">
        <f t="array" ref="H196">SUM(IF('Aprilie 2020 2.0'!$I$3:$I$680=$H$3,LEN('Aprilie 2020 2.0'!$G$3:$G$680)-LEN(SUBSTITUTE('Aprilie 2020 2.0'!$G$3:$G$680,A196,"")),0))/LEN(A196)</f>
        <v>0</v>
      </c>
      <c r="I196" s="2911">
        <f t="shared" si="7"/>
        <v>0</v>
      </c>
      <c r="J196" s="2911"/>
      <c r="K196" s="2911"/>
      <c r="L196" s="3009" t="s">
        <v>7663</v>
      </c>
      <c r="M196" s="2911"/>
    </row>
    <row r="197" spans="1:13" x14ac:dyDescent="0.35">
      <c r="A197" s="2907" t="s">
        <v>11205</v>
      </c>
      <c r="B197" s="2912" cm="1">
        <f t="array" ref="B197">SUM(IF('Aprilie 2020 2.0'!$I$3:$I$680=$B$3,LEN('Aprilie 2020 2.0'!$G$3:$G$680)-LEN(SUBSTITUTE('Aprilie 2020 2.0'!$G$3:$G$680,A197,"")),0))/LEN(A197)</f>
        <v>0</v>
      </c>
      <c r="C197" s="2912" cm="1">
        <f t="array" ref="C197">SUM(IF('Aprilie 2020 2.0'!$I$3:$I$680=$C$3,LEN('Aprilie 2020 2.0'!$G$3:$G$680)-LEN(SUBSTITUTE('Aprilie 2020 2.0'!$G$3:$G$680,A197,"")),0))/LEN(A197)</f>
        <v>0</v>
      </c>
      <c r="D197" s="2912" cm="1">
        <f t="array" ref="D197">SUM(IF('Aprilie 2020 2.0'!$I$3:$I$680=$D$3,LEN('Aprilie 2020 2.0'!$G$3:$G$680)-LEN(SUBSTITUTE('Aprilie 2020 2.0'!$G$3:$G$680,A197,"")),0))/LEN(A197)</f>
        <v>0</v>
      </c>
      <c r="E197" s="2911" cm="1">
        <f t="array" ref="E197">SUM(IF('Aprilie 2020 2.0'!$I$3:$I$680=$E$3,LEN('Aprilie 2020 2.0'!$G$3:$G$680)-LEN(SUBSTITUTE('Aprilie 2020 2.0'!$G$3:$G$680,A197,"")),0))/LEN(A197)</f>
        <v>0</v>
      </c>
      <c r="F197" s="2911" cm="1">
        <f t="array" ref="F197">SUM(IF('Aprilie 2020 2.0'!$I$3:$I$680=$F$3,LEN('Aprilie 2020 2.0'!$G$3:$G$680)-LEN(SUBSTITUTE('Aprilie 2020 2.0'!$G$3:$G$680,A197,"")),0))/LEN(A197)</f>
        <v>0</v>
      </c>
      <c r="G197" s="2911" cm="1">
        <f t="array" ref="G197">SUM(IF('Aprilie 2020 2.0'!$I$3:$I$680=$G$3,LEN('Aprilie 2020 2.0'!$G$3:$G$680)-LEN(SUBSTITUTE('Aprilie 2020 2.0'!$G$3:$G$680,A197,"")),0))/LEN(A197)</f>
        <v>0</v>
      </c>
      <c r="H197" s="2911" cm="1">
        <f t="array" ref="H197">SUM(IF('Aprilie 2020 2.0'!$I$3:$I$680=$H$3,LEN('Aprilie 2020 2.0'!$G$3:$G$680)-LEN(SUBSTITUTE('Aprilie 2020 2.0'!$G$3:$G$680,A197,"")),0))/LEN(A197)</f>
        <v>0</v>
      </c>
      <c r="I197" s="2911">
        <f t="shared" si="7"/>
        <v>0</v>
      </c>
      <c r="J197" s="2911"/>
      <c r="K197" s="2911"/>
      <c r="L197" s="3009" t="s">
        <v>7663</v>
      </c>
      <c r="M197" s="2911"/>
    </row>
    <row r="198" spans="1:13" x14ac:dyDescent="0.35">
      <c r="A198" s="2906" t="s">
        <v>11394</v>
      </c>
      <c r="B198" s="2912" cm="1">
        <f t="array" ref="B198">SUM(IF('Aprilie 2020 2.0'!$I$3:$I$680=$B$3,LEN('Aprilie 2020 2.0'!$G$3:$G$680)-LEN(SUBSTITUTE('Aprilie 2020 2.0'!$G$3:$G$680,A198,"")),0))/LEN(A198)</f>
        <v>0</v>
      </c>
      <c r="C198" s="2912" cm="1">
        <f t="array" ref="C198">SUM(IF('Aprilie 2020 2.0'!$I$3:$I$680=$C$3,LEN('Aprilie 2020 2.0'!$G$3:$G$680)-LEN(SUBSTITUTE('Aprilie 2020 2.0'!$G$3:$G$680,A198,"")),0))/LEN(A198)</f>
        <v>0</v>
      </c>
      <c r="D198" s="2912" cm="1">
        <f t="array" ref="D198">SUM(IF('Aprilie 2020 2.0'!$I$3:$I$680=$D$3,LEN('Aprilie 2020 2.0'!$G$3:$G$680)-LEN(SUBSTITUTE('Aprilie 2020 2.0'!$G$3:$G$680,A198,"")),0))/LEN(A198)</f>
        <v>0</v>
      </c>
      <c r="E198" s="2911" cm="1">
        <f t="array" ref="E198">SUM(IF('Aprilie 2020 2.0'!$I$3:$I$680=$E$3,LEN('Aprilie 2020 2.0'!$G$3:$G$680)-LEN(SUBSTITUTE('Aprilie 2020 2.0'!$G$3:$G$680,A198,"")),0))/LEN(A198)</f>
        <v>0</v>
      </c>
      <c r="F198" s="2911" cm="1">
        <f t="array" ref="F198">SUM(IF('Aprilie 2020 2.0'!$I$3:$I$680=$F$3,LEN('Aprilie 2020 2.0'!$G$3:$G$680)-LEN(SUBSTITUTE('Aprilie 2020 2.0'!$G$3:$G$680,A198,"")),0))/LEN(A198)</f>
        <v>0</v>
      </c>
      <c r="G198" s="2911" cm="1">
        <f t="array" ref="G198">SUM(IF('Aprilie 2020 2.0'!$I$3:$I$680=$G$3,LEN('Aprilie 2020 2.0'!$G$3:$G$680)-LEN(SUBSTITUTE('Aprilie 2020 2.0'!$G$3:$G$680,A198,"")),0))/LEN(A198)</f>
        <v>0</v>
      </c>
      <c r="H198" s="2911" cm="1">
        <f t="array" ref="H198">SUM(IF('Aprilie 2020 2.0'!$I$3:$I$680=$H$3,LEN('Aprilie 2020 2.0'!$G$3:$G$680)-LEN(SUBSTITUTE('Aprilie 2020 2.0'!$G$3:$G$680,A198,"")),0))/LEN(A198)</f>
        <v>0</v>
      </c>
      <c r="I198" s="2911">
        <f t="shared" si="7"/>
        <v>0</v>
      </c>
      <c r="J198" s="2911"/>
      <c r="K198" s="2911"/>
      <c r="L198" s="3009" t="s">
        <v>7663</v>
      </c>
      <c r="M198" s="2911"/>
    </row>
    <row r="199" spans="1:13" x14ac:dyDescent="0.35">
      <c r="A199" s="2906" t="s">
        <v>11206</v>
      </c>
      <c r="B199" s="2912" cm="1">
        <f t="array" ref="B199">SUM(IF('Aprilie 2020 2.0'!$I$3:$I$680=$B$3,LEN('Aprilie 2020 2.0'!$G$3:$G$680)-LEN(SUBSTITUTE('Aprilie 2020 2.0'!$G$3:$G$680,A199,"")),0))/LEN(A199)</f>
        <v>0</v>
      </c>
      <c r="C199" s="2912" cm="1">
        <f t="array" ref="C199">SUM(IF('Aprilie 2020 2.0'!$I$3:$I$680=$C$3,LEN('Aprilie 2020 2.0'!$G$3:$G$680)-LEN(SUBSTITUTE('Aprilie 2020 2.0'!$G$3:$G$680,A199,"")),0))/LEN(A199)</f>
        <v>0</v>
      </c>
      <c r="D199" s="2912" cm="1">
        <f t="array" ref="D199">SUM(IF('Aprilie 2020 2.0'!$I$3:$I$680=$D$3,LEN('Aprilie 2020 2.0'!$G$3:$G$680)-LEN(SUBSTITUTE('Aprilie 2020 2.0'!$G$3:$G$680,A199,"")),0))/LEN(A199)</f>
        <v>0</v>
      </c>
      <c r="E199" s="2911" cm="1">
        <f t="array" ref="E199">SUM(IF('Aprilie 2020 2.0'!$I$3:$I$680=$E$3,LEN('Aprilie 2020 2.0'!$G$3:$G$680)-LEN(SUBSTITUTE('Aprilie 2020 2.0'!$G$3:$G$680,A199,"")),0))/LEN(A199)</f>
        <v>0</v>
      </c>
      <c r="F199" s="2911" cm="1">
        <f t="array" ref="F199">SUM(IF('Aprilie 2020 2.0'!$I$3:$I$680=$F$3,LEN('Aprilie 2020 2.0'!$G$3:$G$680)-LEN(SUBSTITUTE('Aprilie 2020 2.0'!$G$3:$G$680,A199,"")),0))/LEN(A199)</f>
        <v>0</v>
      </c>
      <c r="G199" s="2911" cm="1">
        <f t="array" ref="G199">SUM(IF('Aprilie 2020 2.0'!$I$3:$I$680=$G$3,LEN('Aprilie 2020 2.0'!$G$3:$G$680)-LEN(SUBSTITUTE('Aprilie 2020 2.0'!$G$3:$G$680,A199,"")),0))/LEN(A199)</f>
        <v>0</v>
      </c>
      <c r="H199" s="2911" cm="1">
        <f t="array" ref="H199">SUM(IF('Aprilie 2020 2.0'!$I$3:$I$680=$H$3,LEN('Aprilie 2020 2.0'!$G$3:$G$680)-LEN(SUBSTITUTE('Aprilie 2020 2.0'!$G$3:$G$680,A199,"")),0))/LEN(A199)</f>
        <v>0</v>
      </c>
      <c r="I199" s="2911">
        <f t="shared" si="7"/>
        <v>0</v>
      </c>
      <c r="J199" s="2911"/>
      <c r="K199" s="2911"/>
      <c r="L199" s="3009" t="s">
        <v>7663</v>
      </c>
      <c r="M199" s="2911"/>
    </row>
    <row r="200" spans="1:13" x14ac:dyDescent="0.35">
      <c r="A200" s="2920" t="s">
        <v>11395</v>
      </c>
      <c r="B200" s="2912" cm="1">
        <f t="array" ref="B200">SUM(IF('Aprilie 2020 2.0'!$I$3:$I$680=$B$3,LEN('Aprilie 2020 2.0'!$G$3:$G$680)-LEN(SUBSTITUTE('Aprilie 2020 2.0'!$G$3:$G$680,A200,"")),0))/LEN(A200)</f>
        <v>0</v>
      </c>
      <c r="C200" s="2912" cm="1">
        <f t="array" ref="C200">SUM(IF('Aprilie 2020 2.0'!$I$3:$I$680=$C$3,LEN('Aprilie 2020 2.0'!$G$3:$G$680)-LEN(SUBSTITUTE('Aprilie 2020 2.0'!$G$3:$G$680,A200,"")),0))/LEN(A200)</f>
        <v>0</v>
      </c>
      <c r="D200" s="2912" cm="1">
        <f t="array" ref="D200">SUM(IF('Aprilie 2020 2.0'!$I$3:$I$680=$D$3,LEN('Aprilie 2020 2.0'!$G$3:$G$680)-LEN(SUBSTITUTE('Aprilie 2020 2.0'!$G$3:$G$680,A200,"")),0))/LEN(A200)</f>
        <v>0</v>
      </c>
      <c r="E200" s="2911" cm="1">
        <f t="array" ref="E200">SUM(IF('Aprilie 2020 2.0'!$I$3:$I$680=$E$3,LEN('Aprilie 2020 2.0'!$G$3:$G$680)-LEN(SUBSTITUTE('Aprilie 2020 2.0'!$G$3:$G$680,A200,"")),0))/LEN(A200)</f>
        <v>0</v>
      </c>
      <c r="F200" s="2911" cm="1">
        <f t="array" ref="F200">SUM(IF('Aprilie 2020 2.0'!$I$3:$I$680=$F$3,LEN('Aprilie 2020 2.0'!$G$3:$G$680)-LEN(SUBSTITUTE('Aprilie 2020 2.0'!$G$3:$G$680,A200,"")),0))/LEN(A200)</f>
        <v>0</v>
      </c>
      <c r="G200" s="2911" cm="1">
        <f t="array" ref="G200">SUM(IF('Aprilie 2020 2.0'!$I$3:$I$680=$G$3,LEN('Aprilie 2020 2.0'!$G$3:$G$680)-LEN(SUBSTITUTE('Aprilie 2020 2.0'!$G$3:$G$680,A200,"")),0))/LEN(A200)</f>
        <v>0</v>
      </c>
      <c r="H200" s="2911" cm="1">
        <f t="array" ref="H200">SUM(IF('Aprilie 2020 2.0'!$I$3:$I$680=$H$3,LEN('Aprilie 2020 2.0'!$G$3:$G$680)-LEN(SUBSTITUTE('Aprilie 2020 2.0'!$G$3:$G$680,A200,"")),0))/LEN(A200)</f>
        <v>0</v>
      </c>
      <c r="I200" s="2918">
        <f t="shared" si="7"/>
        <v>0</v>
      </c>
      <c r="J200" s="2918"/>
      <c r="K200" s="2918"/>
      <c r="L200" s="3009" t="s">
        <v>7663</v>
      </c>
      <c r="M200" s="2911"/>
    </row>
    <row r="201" spans="1:13" x14ac:dyDescent="0.35">
      <c r="A201" s="2920" t="s">
        <v>11207</v>
      </c>
      <c r="B201" s="2912" cm="1">
        <f t="array" ref="B201">SUM(IF('Aprilie 2020 2.0'!$I$3:$I$680=$B$3,LEN('Aprilie 2020 2.0'!$G$3:$G$680)-LEN(SUBSTITUTE('Aprilie 2020 2.0'!$G$3:$G$680,A201,"")),0))/LEN(A201)</f>
        <v>0</v>
      </c>
      <c r="C201" s="2912" cm="1">
        <f t="array" ref="C201">SUM(IF('Aprilie 2020 2.0'!$I$3:$I$680=$C$3,LEN('Aprilie 2020 2.0'!$G$3:$G$680)-LEN(SUBSTITUTE('Aprilie 2020 2.0'!$G$3:$G$680,A201,"")),0))/LEN(A201)</f>
        <v>0</v>
      </c>
      <c r="D201" s="2912" cm="1">
        <f t="array" ref="D201">SUM(IF('Aprilie 2020 2.0'!$I$3:$I$680=$D$3,LEN('Aprilie 2020 2.0'!$G$3:$G$680)-LEN(SUBSTITUTE('Aprilie 2020 2.0'!$G$3:$G$680,A201,"")),0))/LEN(A201)</f>
        <v>0</v>
      </c>
      <c r="E201" s="2911" cm="1">
        <f t="array" ref="E201">SUM(IF('Aprilie 2020 2.0'!$I$3:$I$680=$E$3,LEN('Aprilie 2020 2.0'!$G$3:$G$680)-LEN(SUBSTITUTE('Aprilie 2020 2.0'!$G$3:$G$680,A201,"")),0))/LEN(A201)</f>
        <v>0</v>
      </c>
      <c r="F201" s="2911" cm="1">
        <f t="array" ref="F201">SUM(IF('Aprilie 2020 2.0'!$I$3:$I$680=$F$3,LEN('Aprilie 2020 2.0'!$G$3:$G$680)-LEN(SUBSTITUTE('Aprilie 2020 2.0'!$G$3:$G$680,A201,"")),0))/LEN(A201)</f>
        <v>0</v>
      </c>
      <c r="G201" s="2911" cm="1">
        <f t="array" ref="G201">SUM(IF('Aprilie 2020 2.0'!$I$3:$I$680=$G$3,LEN('Aprilie 2020 2.0'!$G$3:$G$680)-LEN(SUBSTITUTE('Aprilie 2020 2.0'!$G$3:$G$680,A201,"")),0))/LEN(A201)</f>
        <v>0</v>
      </c>
      <c r="H201" s="2911" cm="1">
        <f t="array" ref="H201">SUM(IF('Aprilie 2020 2.0'!$I$3:$I$680=$H$3,LEN('Aprilie 2020 2.0'!$G$3:$G$680)-LEN(SUBSTITUTE('Aprilie 2020 2.0'!$G$3:$G$680,A201,"")),0))/LEN(A201)</f>
        <v>0</v>
      </c>
      <c r="I201" s="2918">
        <f t="shared" si="7"/>
        <v>0</v>
      </c>
      <c r="J201" s="2918"/>
      <c r="K201" s="2918"/>
      <c r="L201" s="3009" t="s">
        <v>7663</v>
      </c>
      <c r="M201" s="2911"/>
    </row>
    <row r="202" spans="1:13" x14ac:dyDescent="0.35">
      <c r="A202" s="2916" t="s">
        <v>11524</v>
      </c>
      <c r="B202" s="2911" cm="1">
        <f t="array" ref="B202">SUM(IF('Aprilie 2020 2.0'!$I$3:$I$680=$B$3,LEN('Aprilie 2020 2.0'!$G$3:$G$680)-LEN(SUBSTITUTE('Aprilie 2020 2.0'!$G$3:$G$680,A202,"")),0))/LEN(A202)</f>
        <v>0</v>
      </c>
      <c r="C202" s="2911" cm="1">
        <f t="array" ref="C202">SUM(IF('Aprilie 2020 2.0'!$I$3:$I$680=$C$3,LEN('Aprilie 2020 2.0'!$G$3:$G$680)-LEN(SUBSTITUTE('Aprilie 2020 2.0'!$G$3:$G$680,A202,"")),0))/LEN(A202)</f>
        <v>0</v>
      </c>
      <c r="D202" s="2911" cm="1">
        <f t="array" ref="D202">SUM(IF('Aprilie 2020 2.0'!$I$3:$I$680=$D$3,LEN('Aprilie 2020 2.0'!$G$3:$G$680)-LEN(SUBSTITUTE('Aprilie 2020 2.0'!$G$3:$G$680,A202,"")),0))/LEN(A202)</f>
        <v>0</v>
      </c>
      <c r="E202" s="2911" cm="1">
        <f t="array" ref="E202">SUM(IF('Aprilie 2020 2.0'!$I$3:$I$680=$E$3,LEN('Aprilie 2020 2.0'!$G$3:$G$680)-LEN(SUBSTITUTE('Aprilie 2020 2.0'!$G$3:$G$680,A202,"")),0))/LEN(A202)</f>
        <v>0</v>
      </c>
      <c r="F202" s="2911" cm="1">
        <f t="array" ref="F202">SUM(IF('Aprilie 2020 2.0'!$I$3:$I$680=$F$3,LEN('Aprilie 2020 2.0'!$G$3:$G$680)-LEN(SUBSTITUTE('Aprilie 2020 2.0'!$G$3:$G$680,A202,"")),0))/LEN(A202)</f>
        <v>0</v>
      </c>
      <c r="G202" s="2911" cm="1">
        <f t="array" ref="G202">SUM(IF('Aprilie 2020 2.0'!$I$3:$I$680=$G$3,LEN('Aprilie 2020 2.0'!$G$3:$G$680)-LEN(SUBSTITUTE('Aprilie 2020 2.0'!$G$3:$G$680,A202,"")),0))/LEN(A202)</f>
        <v>0</v>
      </c>
      <c r="H202" s="2911" cm="1">
        <f t="array" ref="H202">SUM(IF('Aprilie 2020 2.0'!$I$3:$I$680=$H$3,LEN('Aprilie 2020 2.0'!$G$3:$G$680)-LEN(SUBSTITUTE('Aprilie 2020 2.0'!$G$3:$G$680,A202,"")),0))/LEN(A202)</f>
        <v>0</v>
      </c>
      <c r="I202" s="2918">
        <f t="shared" si="7"/>
        <v>0</v>
      </c>
      <c r="J202" s="2918"/>
      <c r="K202" s="2918"/>
      <c r="L202" s="3009" t="s">
        <v>7663</v>
      </c>
      <c r="M202" s="2911"/>
    </row>
    <row r="203" spans="1:13" x14ac:dyDescent="0.35">
      <c r="A203" s="3250" t="s">
        <v>12052</v>
      </c>
      <c r="B203" s="2911" cm="1">
        <f t="array" ref="B203">SUM(IF('Aprilie 2020 2.0'!$I$3:$I$680=$B$3,LEN('Aprilie 2020 2.0'!$G$3:$G$680)-LEN(SUBSTITUTE('Aprilie 2020 2.0'!$G$3:$G$680,A203,"")),0))/LEN(A203)</f>
        <v>0</v>
      </c>
      <c r="C203" s="2911" cm="1">
        <f t="array" ref="C203">SUM(IF('Aprilie 2020 2.0'!$I$3:$I$680=$C$3,LEN('Aprilie 2020 2.0'!$G$3:$G$680)-LEN(SUBSTITUTE('Aprilie 2020 2.0'!$G$3:$G$680,A203,"")),0))/LEN(A203)</f>
        <v>0</v>
      </c>
      <c r="D203" s="2911" cm="1">
        <f t="array" ref="D203">SUM(IF('Aprilie 2020 2.0'!$I$3:$I$680=$D$3,LEN('Aprilie 2020 2.0'!$G$3:$G$680)-LEN(SUBSTITUTE('Aprilie 2020 2.0'!$G$3:$G$680,A203,"")),0))/LEN(A203)</f>
        <v>0</v>
      </c>
      <c r="E203" s="2911" cm="1">
        <f t="array" ref="E203">SUM(IF('Aprilie 2020 2.0'!$I$3:$I$680=$E$3,LEN('Aprilie 2020 2.0'!$G$3:$G$680)-LEN(SUBSTITUTE('Aprilie 2020 2.0'!$G$3:$G$680,A203,"")),0))/LEN(A203)</f>
        <v>0</v>
      </c>
      <c r="F203" s="2911" cm="1">
        <f t="array" ref="F203">SUM(IF('Aprilie 2020 2.0'!$I$3:$I$680=$F$3,LEN('Aprilie 2020 2.0'!$G$3:$G$680)-LEN(SUBSTITUTE('Aprilie 2020 2.0'!$G$3:$G$680,A203,"")),0))/LEN(A203)</f>
        <v>0</v>
      </c>
      <c r="G203" s="2911" cm="1">
        <f t="array" ref="G203">SUM(IF('Aprilie 2020 2.0'!$I$3:$I$680=$G$3,LEN('Aprilie 2020 2.0'!$G$3:$G$680)-LEN(SUBSTITUTE('Aprilie 2020 2.0'!$G$3:$G$680,A203,"")),0))/LEN(A203)</f>
        <v>0</v>
      </c>
      <c r="H203" s="2911" cm="1">
        <f t="array" ref="H203">SUM(IF('Aprilie 2020 2.0'!$I$3:$I$680=$H$3,LEN('Aprilie 2020 2.0'!$G$3:$G$680)-LEN(SUBSTITUTE('Aprilie 2020 2.0'!$G$3:$G$680,A203,"")),0))/LEN(A203)</f>
        <v>0</v>
      </c>
      <c r="I203" s="2918">
        <f t="shared" si="7"/>
        <v>0</v>
      </c>
      <c r="J203" s="2918"/>
      <c r="K203" s="2918"/>
      <c r="L203" s="3009" t="s">
        <v>7663</v>
      </c>
      <c r="M203" s="2911"/>
    </row>
    <row r="204" spans="1:13" x14ac:dyDescent="0.35">
      <c r="A204" s="2915" t="s">
        <v>11240</v>
      </c>
      <c r="B204" s="2911" cm="1">
        <f t="array" ref="B204">SUM(IF('Aprilie 2020 2.0'!$I$3:$I$680=$B$3,LEN('Aprilie 2020 2.0'!$G$3:$G$680)-LEN(SUBSTITUTE('Aprilie 2020 2.0'!$G$3:$G$680,A204,"")),0))/LEN(A204)</f>
        <v>0</v>
      </c>
      <c r="C204" s="2911" cm="1">
        <f t="array" ref="C204">SUM(IF('Aprilie 2020 2.0'!$I$3:$I$680=$C$3,LEN('Aprilie 2020 2.0'!$G$3:$G$680)-LEN(SUBSTITUTE('Aprilie 2020 2.0'!$G$3:$G$680,A204,"")),0))/LEN(A204)</f>
        <v>0</v>
      </c>
      <c r="D204" s="2911" cm="1">
        <f t="array" ref="D204">SUM(IF('Aprilie 2020 2.0'!$I$3:$I$680=$D$3,LEN('Aprilie 2020 2.0'!$G$3:$G$680)-LEN(SUBSTITUTE('Aprilie 2020 2.0'!$G$3:$G$680,A204,"")),0))/LEN(A204)</f>
        <v>0</v>
      </c>
      <c r="E204" s="2911" cm="1">
        <f t="array" ref="E204">SUM(IF('Aprilie 2020 2.0'!$I$3:$I$680=$E$3,LEN('Aprilie 2020 2.0'!$G$3:$G$680)-LEN(SUBSTITUTE('Aprilie 2020 2.0'!$G$3:$G$680,A204,"")),0))/LEN(A204)</f>
        <v>0</v>
      </c>
      <c r="F204" s="2911" cm="1">
        <f t="array" ref="F204">SUM(IF('Aprilie 2020 2.0'!$I$3:$I$680=$F$3,LEN('Aprilie 2020 2.0'!$G$3:$G$680)-LEN(SUBSTITUTE('Aprilie 2020 2.0'!$G$3:$G$680,A204,"")),0))/LEN(A204)</f>
        <v>0</v>
      </c>
      <c r="G204" s="2911" cm="1">
        <f t="array" ref="G204">SUM(IF('Aprilie 2020 2.0'!$I$3:$I$680=$G$3,LEN('Aprilie 2020 2.0'!$G$3:$G$680)-LEN(SUBSTITUTE('Aprilie 2020 2.0'!$G$3:$G$680,A204,"")),0))/LEN(A204)</f>
        <v>0</v>
      </c>
      <c r="H204" s="2911" cm="1">
        <f t="array" ref="H204">SUM(IF('Aprilie 2020 2.0'!$I$3:$I$680=$H$3,LEN('Aprilie 2020 2.0'!$G$3:$G$680)-LEN(SUBSTITUTE('Aprilie 2020 2.0'!$G$3:$G$680,A204,"")),0))/LEN(A204)</f>
        <v>0</v>
      </c>
      <c r="I204" s="2918">
        <f t="shared" si="7"/>
        <v>0</v>
      </c>
      <c r="J204" s="2918"/>
      <c r="K204" s="2918"/>
      <c r="L204" s="3009" t="s">
        <v>7663</v>
      </c>
      <c r="M204" s="2911"/>
    </row>
    <row r="205" spans="1:13" x14ac:dyDescent="0.35">
      <c r="A205" s="2916" t="s">
        <v>11210</v>
      </c>
      <c r="B205" s="2912" cm="1">
        <f t="array" ref="B205">SUM(IF('Aprilie 2020 2.0'!$I$3:$I$680=$B$3,LEN('Aprilie 2020 2.0'!$G$3:$G$680)-LEN(SUBSTITUTE('Aprilie 2020 2.0'!$G$3:$G$680,A205,"")),0))/LEN(A205)</f>
        <v>0</v>
      </c>
      <c r="C205" s="2912" cm="1">
        <f t="array" ref="C205">SUM(IF('Aprilie 2020 2.0'!$I$3:$I$680=$C$3,LEN('Aprilie 2020 2.0'!$G$3:$G$680)-LEN(SUBSTITUTE('Aprilie 2020 2.0'!$G$3:$G$680,A205,"")),0))/LEN(A205)</f>
        <v>0</v>
      </c>
      <c r="D205" s="2912" cm="1">
        <f t="array" ref="D205">SUM(IF('Aprilie 2020 2.0'!$I$3:$I$680=$D$3,LEN('Aprilie 2020 2.0'!$G$3:$G$680)-LEN(SUBSTITUTE('Aprilie 2020 2.0'!$G$3:$G$680,A205,"")),0))/LEN(A205)</f>
        <v>0</v>
      </c>
      <c r="E205" s="2911" cm="1">
        <f t="array" ref="E205">SUM(IF('Aprilie 2020 2.0'!$I$3:$I$680=$E$3,LEN('Aprilie 2020 2.0'!$G$3:$G$680)-LEN(SUBSTITUTE('Aprilie 2020 2.0'!$G$3:$G$680,A205,"")),0))/LEN(A205)</f>
        <v>0</v>
      </c>
      <c r="F205" s="2911" cm="1">
        <f t="array" ref="F205">SUM(IF('Aprilie 2020 2.0'!$I$3:$I$680=$F$3,LEN('Aprilie 2020 2.0'!$G$3:$G$680)-LEN(SUBSTITUTE('Aprilie 2020 2.0'!$G$3:$G$680,A205,"")),0))/LEN(A205)</f>
        <v>0</v>
      </c>
      <c r="G205" s="2911" cm="1">
        <f t="array" ref="G205">SUM(IF('Aprilie 2020 2.0'!$I$3:$I$680=$G$3,LEN('Aprilie 2020 2.0'!$G$3:$G$680)-LEN(SUBSTITUTE('Aprilie 2020 2.0'!$G$3:$G$680,A205,"")),0))/LEN(A205)</f>
        <v>0</v>
      </c>
      <c r="H205" s="2911" cm="1">
        <f t="array" ref="H205">SUM(IF('Aprilie 2020 2.0'!$I$3:$I$680=$H$3,LEN('Aprilie 2020 2.0'!$G$3:$G$680)-LEN(SUBSTITUTE('Aprilie 2020 2.0'!$G$3:$G$680,A205,"")),0))/LEN(A205)</f>
        <v>0</v>
      </c>
      <c r="I205" s="2918">
        <f t="shared" si="7"/>
        <v>0</v>
      </c>
      <c r="J205" s="2918"/>
      <c r="K205" s="2918"/>
      <c r="L205" s="3009" t="s">
        <v>7663</v>
      </c>
      <c r="M205" s="2911"/>
    </row>
    <row r="206" spans="1:13" x14ac:dyDescent="0.35">
      <c r="A206" s="3106" t="s">
        <v>11249</v>
      </c>
      <c r="B206" s="2911" cm="1">
        <f t="array" ref="B206">SUM(IF('Aprilie 2020 2.0'!$I$3:$I$680=$B$3,LEN('Aprilie 2020 2.0'!$G$3:$G$680)-LEN(SUBSTITUTE('Aprilie 2020 2.0'!$G$3:$G$680,A206,"")),0))/LEN(A206)</f>
        <v>0</v>
      </c>
      <c r="C206" s="2911" cm="1">
        <f t="array" ref="C206">SUM(IF('Aprilie 2020 2.0'!$I$3:$I$680=$C$3,LEN('Aprilie 2020 2.0'!$G$3:$G$680)-LEN(SUBSTITUTE('Aprilie 2020 2.0'!$G$3:$G$680,A206,"")),0))/LEN(A206)</f>
        <v>0</v>
      </c>
      <c r="D206" s="2911" cm="1">
        <f t="array" ref="D206">SUM(IF('Aprilie 2020 2.0'!$I$3:$I$680=$D$3,LEN('Aprilie 2020 2.0'!$G$3:$G$680)-LEN(SUBSTITUTE('Aprilie 2020 2.0'!$G$3:$G$680,A206,"")),0))/LEN(A206)</f>
        <v>0</v>
      </c>
      <c r="E206" s="2911" cm="1">
        <f t="array" ref="E206">SUM(IF('Aprilie 2020 2.0'!$I$3:$I$680=$E$3,LEN('Aprilie 2020 2.0'!$G$3:$G$680)-LEN(SUBSTITUTE('Aprilie 2020 2.0'!$G$3:$G$680,A206,"")),0))/LEN(A206)</f>
        <v>0</v>
      </c>
      <c r="F206" s="2911" cm="1">
        <f t="array" ref="F206">SUM(IF('Aprilie 2020 2.0'!$I$3:$I$680=$F$3,LEN('Aprilie 2020 2.0'!$G$3:$G$680)-LEN(SUBSTITUTE('Aprilie 2020 2.0'!$G$3:$G$680,A206,"")),0))/LEN(A206)</f>
        <v>0</v>
      </c>
      <c r="G206" s="2911" cm="1">
        <f t="array" ref="G206">SUM(IF('Aprilie 2020 2.0'!$I$3:$I$680=$G$3,LEN('Aprilie 2020 2.0'!$G$3:$G$680)-LEN(SUBSTITUTE('Aprilie 2020 2.0'!$G$3:$G$680,A206,"")),0))/LEN(A206)</f>
        <v>0</v>
      </c>
      <c r="H206" s="2911" cm="1">
        <f t="array" ref="H206">SUM(IF('Aprilie 2020 2.0'!$I$3:$I$680=$H$3,LEN('Aprilie 2020 2.0'!$G$3:$G$680)-LEN(SUBSTITUTE('Aprilie 2020 2.0'!$G$3:$G$680,A206,"")),0))/LEN(A206)</f>
        <v>0</v>
      </c>
      <c r="I206" s="2918">
        <f t="shared" si="7"/>
        <v>0</v>
      </c>
      <c r="J206" s="2918"/>
      <c r="K206" s="2918"/>
      <c r="L206" s="3009" t="s">
        <v>7663</v>
      </c>
      <c r="M206" s="2911"/>
    </row>
    <row r="207" spans="1:13" x14ac:dyDescent="0.35">
      <c r="A207" s="2920" t="s">
        <v>11405</v>
      </c>
      <c r="B207" s="2912" cm="1">
        <f t="array" ref="B207">SUM(IF('Aprilie 2020 2.0'!$I$3:$I$680=$B$3,LEN('Aprilie 2020 2.0'!$G$3:$G$680)-LEN(SUBSTITUTE('Aprilie 2020 2.0'!$G$3:$G$680,A207,"")),0))/LEN(A207)</f>
        <v>0</v>
      </c>
      <c r="C207" s="2912" cm="1">
        <f t="array" ref="C207">SUM(IF('Aprilie 2020 2.0'!$I$3:$I$680=$C$3,LEN('Aprilie 2020 2.0'!$G$3:$G$680)-LEN(SUBSTITUTE('Aprilie 2020 2.0'!$G$3:$G$680,A207,"")),0))/LEN(A207)</f>
        <v>0</v>
      </c>
      <c r="D207" s="2912" cm="1">
        <f t="array" ref="D207">SUM(IF('Aprilie 2020 2.0'!$I$3:$I$680=$D$3,LEN('Aprilie 2020 2.0'!$G$3:$G$680)-LEN(SUBSTITUTE('Aprilie 2020 2.0'!$G$3:$G$680,A207,"")),0))/LEN(A207)</f>
        <v>0</v>
      </c>
      <c r="E207" s="2911" cm="1">
        <f t="array" ref="E207">SUM(IF('Aprilie 2020 2.0'!$I$3:$I$680=$E$3,LEN('Aprilie 2020 2.0'!$G$3:$G$680)-LEN(SUBSTITUTE('Aprilie 2020 2.0'!$G$3:$G$680,A207,"")),0))/LEN(A207)</f>
        <v>0</v>
      </c>
      <c r="F207" s="2911" cm="1">
        <f t="array" ref="F207">SUM(IF('Aprilie 2020 2.0'!$I$3:$I$680=$F$3,LEN('Aprilie 2020 2.0'!$G$3:$G$680)-LEN(SUBSTITUTE('Aprilie 2020 2.0'!$G$3:$G$680,A207,"")),0))/LEN(A207)</f>
        <v>0</v>
      </c>
      <c r="G207" s="2911" cm="1">
        <f t="array" ref="G207">SUM(IF('Aprilie 2020 2.0'!$I$3:$I$680=$G$3,LEN('Aprilie 2020 2.0'!$G$3:$G$680)-LEN(SUBSTITUTE('Aprilie 2020 2.0'!$G$3:$G$680,A207,"")),0))/LEN(A207)</f>
        <v>0</v>
      </c>
      <c r="H207" s="2911" cm="1">
        <f t="array" ref="H207">SUM(IF('Aprilie 2020 2.0'!$I$3:$I$680=$H$3,LEN('Aprilie 2020 2.0'!$G$3:$G$680)-LEN(SUBSTITUTE('Aprilie 2020 2.0'!$G$3:$G$680,A207,"")),0))/LEN(A207)</f>
        <v>0</v>
      </c>
      <c r="I207" s="2918">
        <f t="shared" si="7"/>
        <v>0</v>
      </c>
      <c r="J207" s="2918"/>
      <c r="K207" s="2918"/>
      <c r="L207" s="3009" t="s">
        <v>7663</v>
      </c>
      <c r="M207" s="2911"/>
    </row>
    <row r="208" spans="1:13" x14ac:dyDescent="0.35">
      <c r="A208" s="2920" t="s">
        <v>11147</v>
      </c>
      <c r="B208" s="2912" cm="1">
        <f t="array" ref="B208">SUM(IF('Aprilie 2020 2.0'!$I$3:$I$680=$B$3,LEN('Aprilie 2020 2.0'!$G$3:$G$680)-LEN(SUBSTITUTE('Aprilie 2020 2.0'!$G$3:$G$680,A208,"")),0))/LEN(A208)</f>
        <v>0</v>
      </c>
      <c r="C208" s="2912" cm="1">
        <f t="array" ref="C208">SUM(IF('Aprilie 2020 2.0'!$I$3:$I$680=$C$3,LEN('Aprilie 2020 2.0'!$G$3:$G$680)-LEN(SUBSTITUTE('Aprilie 2020 2.0'!$G$3:$G$680,A208,"")),0))/LEN(A208)</f>
        <v>0</v>
      </c>
      <c r="D208" s="2912" cm="1">
        <f t="array" ref="D208">SUM(IF('Aprilie 2020 2.0'!$I$3:$I$680=$D$3,LEN('Aprilie 2020 2.0'!$G$3:$G$680)-LEN(SUBSTITUTE('Aprilie 2020 2.0'!$G$3:$G$680,A208,"")),0))/LEN(A208)</f>
        <v>0</v>
      </c>
      <c r="E208" s="2911" cm="1">
        <f t="array" ref="E208">SUM(IF('Aprilie 2020 2.0'!$I$3:$I$680=$E$3,LEN('Aprilie 2020 2.0'!$G$3:$G$680)-LEN(SUBSTITUTE('Aprilie 2020 2.0'!$G$3:$G$680,A208,"")),0))/LEN(A208)</f>
        <v>0</v>
      </c>
      <c r="F208" s="2911" cm="1">
        <f t="array" ref="F208">SUM(IF('Aprilie 2020 2.0'!$I$3:$I$680=$F$3,LEN('Aprilie 2020 2.0'!$G$3:$G$680)-LEN(SUBSTITUTE('Aprilie 2020 2.0'!$G$3:$G$680,A208,"")),0))/LEN(A208)</f>
        <v>0</v>
      </c>
      <c r="G208" s="2911" cm="1">
        <f t="array" ref="G208">SUM(IF('Aprilie 2020 2.0'!$I$3:$I$680=$G$3,LEN('Aprilie 2020 2.0'!$G$3:$G$680)-LEN(SUBSTITUTE('Aprilie 2020 2.0'!$G$3:$G$680,A208,"")),0))/LEN(A208)</f>
        <v>0</v>
      </c>
      <c r="H208" s="2911" cm="1">
        <f t="array" ref="H208">SUM(IF('Aprilie 2020 2.0'!$I$3:$I$680=$H$3,LEN('Aprilie 2020 2.0'!$G$3:$G$680)-LEN(SUBSTITUTE('Aprilie 2020 2.0'!$G$3:$G$680,A208,"")),0))/LEN(A208)</f>
        <v>0</v>
      </c>
      <c r="I208" s="2918">
        <f t="shared" si="7"/>
        <v>0</v>
      </c>
      <c r="J208" s="2918"/>
      <c r="K208" s="2918"/>
      <c r="L208" s="3009" t="s">
        <v>7663</v>
      </c>
      <c r="M208" s="2911"/>
    </row>
    <row r="209" spans="1:17" x14ac:dyDescent="0.35">
      <c r="A209" s="2921" t="s">
        <v>11242</v>
      </c>
      <c r="B209" s="2911" cm="1">
        <f t="array" ref="B209">SUM(IF('Aprilie 2020 2.0'!$I$3:$I$680=$B$3,LEN('Aprilie 2020 2.0'!$G$3:$G$680)-LEN(SUBSTITUTE('Aprilie 2020 2.0'!$G$3:$G$680,A209,"")),0))/LEN(A209)</f>
        <v>0</v>
      </c>
      <c r="C209" s="2911" cm="1">
        <f t="array" ref="C209">SUM(IF('Aprilie 2020 2.0'!$I$3:$I$680=$C$3,LEN('Aprilie 2020 2.0'!$G$3:$G$680)-LEN(SUBSTITUTE('Aprilie 2020 2.0'!$G$3:$G$680,A209,"")),0))/LEN(A209)</f>
        <v>0</v>
      </c>
      <c r="D209" s="2911" cm="1">
        <f t="array" ref="D209">SUM(IF('Aprilie 2020 2.0'!$I$3:$I$680=$D$3,LEN('Aprilie 2020 2.0'!$G$3:$G$680)-LEN(SUBSTITUTE('Aprilie 2020 2.0'!$G$3:$G$680,A209,"")),0))/LEN(A209)</f>
        <v>0</v>
      </c>
      <c r="E209" s="2911" cm="1">
        <f t="array" ref="E209">SUM(IF('Aprilie 2020 2.0'!$I$3:$I$680=$E$3,LEN('Aprilie 2020 2.0'!$G$3:$G$680)-LEN(SUBSTITUTE('Aprilie 2020 2.0'!$G$3:$G$680,A209,"")),0))/LEN(A209)</f>
        <v>0</v>
      </c>
      <c r="F209" s="2911" cm="1">
        <f t="array" ref="F209">SUM(IF('Aprilie 2020 2.0'!$I$3:$I$680=$F$3,LEN('Aprilie 2020 2.0'!$G$3:$G$680)-LEN(SUBSTITUTE('Aprilie 2020 2.0'!$G$3:$G$680,A209,"")),0))/LEN(A209)</f>
        <v>0</v>
      </c>
      <c r="G209" s="2911" cm="1">
        <f t="array" ref="G209">SUM(IF('Aprilie 2020 2.0'!$I$3:$I$680=$G$3,LEN('Aprilie 2020 2.0'!$G$3:$G$680)-LEN(SUBSTITUTE('Aprilie 2020 2.0'!$G$3:$G$680,A209,"")),0))/LEN(A209)</f>
        <v>0</v>
      </c>
      <c r="H209" s="2911" cm="1">
        <f t="array" ref="H209">SUM(IF('Aprilie 2020 2.0'!$I$3:$I$680=$H$3,LEN('Aprilie 2020 2.0'!$G$3:$G$680)-LEN(SUBSTITUTE('Aprilie 2020 2.0'!$G$3:$G$680,A209,"")),0))/LEN(A209)</f>
        <v>0</v>
      </c>
      <c r="I209" s="2918">
        <f t="shared" si="7"/>
        <v>0</v>
      </c>
      <c r="J209" s="2918"/>
      <c r="K209" s="2918"/>
      <c r="L209" s="3009" t="s">
        <v>7663</v>
      </c>
      <c r="M209" s="2911"/>
    </row>
    <row r="210" spans="1:17" x14ac:dyDescent="0.35">
      <c r="A210" s="2917" t="s">
        <v>11409</v>
      </c>
      <c r="B210" s="2912" cm="1">
        <f t="array" ref="B210">SUM(IF('Aprilie 2020 2.0'!$I$3:$I$680=$B$3,LEN('Aprilie 2020 2.0'!$G$3:$G$680)-LEN(SUBSTITUTE('Aprilie 2020 2.0'!$G$3:$G$680,A210,"")),0))/LEN(A210)</f>
        <v>0</v>
      </c>
      <c r="C210" s="2912" cm="1">
        <f t="array" ref="C210">SUM(IF('Aprilie 2020 2.0'!$I$3:$I$680=$C$3,LEN('Aprilie 2020 2.0'!$G$3:$G$680)-LEN(SUBSTITUTE('Aprilie 2020 2.0'!$G$3:$G$680,A210,"")),0))/LEN(A210)</f>
        <v>0</v>
      </c>
      <c r="D210" s="2912" cm="1">
        <f t="array" ref="D210">SUM(IF('Aprilie 2020 2.0'!$I$3:$I$680=$D$3,LEN('Aprilie 2020 2.0'!$G$3:$G$680)-LEN(SUBSTITUTE('Aprilie 2020 2.0'!$G$3:$G$680,A210,"")),0))/LEN(A210)</f>
        <v>0</v>
      </c>
      <c r="E210" s="2911" cm="1">
        <f t="array" ref="E210">SUM(IF('Aprilie 2020 2.0'!$I$3:$I$680=$E$3,LEN('Aprilie 2020 2.0'!$G$3:$G$680)-LEN(SUBSTITUTE('Aprilie 2020 2.0'!$G$3:$G$680,A210,"")),0))/LEN(A210)</f>
        <v>0</v>
      </c>
      <c r="F210" s="2911" cm="1">
        <f t="array" ref="F210">SUM(IF('Aprilie 2020 2.0'!$I$3:$I$680=$F$3,LEN('Aprilie 2020 2.0'!$G$3:$G$680)-LEN(SUBSTITUTE('Aprilie 2020 2.0'!$G$3:$G$680,A210,"")),0))/LEN(A210)</f>
        <v>0</v>
      </c>
      <c r="G210" s="2911" cm="1">
        <f t="array" ref="G210">SUM(IF('Aprilie 2020 2.0'!$I$3:$I$680=$G$3,LEN('Aprilie 2020 2.0'!$G$3:$G$680)-LEN(SUBSTITUTE('Aprilie 2020 2.0'!$G$3:$G$680,A210,"")),0))/LEN(A210)</f>
        <v>0</v>
      </c>
      <c r="H210" s="2911" cm="1">
        <f t="array" ref="H210">SUM(IF('Aprilie 2020 2.0'!$I$3:$I$680=$H$3,LEN('Aprilie 2020 2.0'!$G$3:$G$680)-LEN(SUBSTITUTE('Aprilie 2020 2.0'!$G$3:$G$680,A210,"")),0))/LEN(A210)</f>
        <v>0</v>
      </c>
      <c r="I210" s="2918">
        <f t="shared" si="7"/>
        <v>0</v>
      </c>
      <c r="J210" s="2918"/>
      <c r="K210" s="2918"/>
      <c r="L210" s="3009" t="s">
        <v>7663</v>
      </c>
      <c r="M210" s="2911"/>
    </row>
    <row r="211" spans="1:17" x14ac:dyDescent="0.35">
      <c r="A211" s="2917" t="s">
        <v>11215</v>
      </c>
      <c r="B211" s="2912" cm="1">
        <f t="array" ref="B211">SUM(IF('Aprilie 2020 2.0'!$I$3:$I$680=$B$3,LEN('Aprilie 2020 2.0'!$G$3:$G$680)-LEN(SUBSTITUTE('Aprilie 2020 2.0'!$G$3:$G$680,A211,"")),0))/LEN(A211)</f>
        <v>0</v>
      </c>
      <c r="C211" s="2912" cm="1">
        <f t="array" ref="C211">SUM(IF('Aprilie 2020 2.0'!$I$3:$I$680=$C$3,LEN('Aprilie 2020 2.0'!$G$3:$G$680)-LEN(SUBSTITUTE('Aprilie 2020 2.0'!$G$3:$G$680,A211,"")),0))/LEN(A211)</f>
        <v>0</v>
      </c>
      <c r="D211" s="2912" cm="1">
        <f t="array" ref="D211">SUM(IF('Aprilie 2020 2.0'!$I$3:$I$680=$D$3,LEN('Aprilie 2020 2.0'!$G$3:$G$680)-LEN(SUBSTITUTE('Aprilie 2020 2.0'!$G$3:$G$680,A211,"")),0))/LEN(A211)</f>
        <v>0</v>
      </c>
      <c r="E211" s="2911" cm="1">
        <f t="array" ref="E211">SUM(IF('Aprilie 2020 2.0'!$I$3:$I$680=$E$3,LEN('Aprilie 2020 2.0'!$G$3:$G$680)-LEN(SUBSTITUTE('Aprilie 2020 2.0'!$G$3:$G$680,A211,"")),0))/LEN(A211)</f>
        <v>0</v>
      </c>
      <c r="F211" s="2911" cm="1">
        <f t="array" ref="F211">SUM(IF('Aprilie 2020 2.0'!$I$3:$I$680=$F$3,LEN('Aprilie 2020 2.0'!$G$3:$G$680)-LEN(SUBSTITUTE('Aprilie 2020 2.0'!$G$3:$G$680,A211,"")),0))/LEN(A211)</f>
        <v>0</v>
      </c>
      <c r="G211" s="2911" cm="1">
        <f t="array" ref="G211">SUM(IF('Aprilie 2020 2.0'!$I$3:$I$680=$G$3,LEN('Aprilie 2020 2.0'!$G$3:$G$680)-LEN(SUBSTITUTE('Aprilie 2020 2.0'!$G$3:$G$680,A211,"")),0))/LEN(A211)</f>
        <v>0</v>
      </c>
      <c r="H211" s="2911" cm="1">
        <f t="array" ref="H211">SUM(IF('Aprilie 2020 2.0'!$I$3:$I$680=$H$3,LEN('Aprilie 2020 2.0'!$G$3:$G$680)-LEN(SUBSTITUTE('Aprilie 2020 2.0'!$G$3:$G$680,A211,"")),0))/LEN(A211)</f>
        <v>0</v>
      </c>
      <c r="I211" s="2918">
        <f t="shared" si="7"/>
        <v>0</v>
      </c>
      <c r="J211" s="2918"/>
      <c r="K211" s="2918"/>
      <c r="L211" s="3009" t="s">
        <v>7663</v>
      </c>
      <c r="M211" s="2911"/>
    </row>
    <row r="212" spans="1:17" x14ac:dyDescent="0.35">
      <c r="A212" s="2939" t="s">
        <v>12000</v>
      </c>
      <c r="B212" s="2911" cm="1">
        <f t="array" ref="B212">SUM(IF('Aprilie 2020 2.0'!$I$3:$I$680=$B$3,LEN('Aprilie 2020 2.0'!$G$3:$G$680)-LEN(SUBSTITUTE('Aprilie 2020 2.0'!$G$3:$G$680,A212,"")),0))/LEN(A212)</f>
        <v>0</v>
      </c>
      <c r="C212" s="2911" cm="1">
        <f t="array" ref="C212">SUM(IF('Aprilie 2020 2.0'!$I$3:$I$680=$C$3,LEN('Aprilie 2020 2.0'!$G$3:$G$680)-LEN(SUBSTITUTE('Aprilie 2020 2.0'!$G$3:$G$680,A212,"")),0))/LEN(A212)</f>
        <v>0</v>
      </c>
      <c r="D212" s="2911" cm="1">
        <f t="array" ref="D212">SUM(IF('Aprilie 2020 2.0'!$I$3:$I$680=$D$3,LEN('Aprilie 2020 2.0'!$G$3:$G$680)-LEN(SUBSTITUTE('Aprilie 2020 2.0'!$G$3:$G$680,A212,"")),0))/LEN(A212)</f>
        <v>0</v>
      </c>
      <c r="E212" s="2911" cm="1">
        <f t="array" ref="E212">SUM(IF('Aprilie 2020 2.0'!$I$3:$I$680=$E$3,LEN('Aprilie 2020 2.0'!$G$3:$G$680)-LEN(SUBSTITUTE('Aprilie 2020 2.0'!$G$3:$G$680,A212,"")),0))/LEN(A212)</f>
        <v>0</v>
      </c>
      <c r="F212" s="2911" cm="1">
        <f t="array" ref="F212">SUM(IF('Aprilie 2020 2.0'!$I$3:$I$680=$F$3,LEN('Aprilie 2020 2.0'!$G$3:$G$680)-LEN(SUBSTITUTE('Aprilie 2020 2.0'!$G$3:$G$680,A212,"")),0))/LEN(A212)</f>
        <v>0</v>
      </c>
      <c r="G212" s="2911" cm="1">
        <f t="array" ref="G212">SUM(IF('Aprilie 2020 2.0'!$I$3:$I$680=$G$3,LEN('Aprilie 2020 2.0'!$G$3:$G$680)-LEN(SUBSTITUTE('Aprilie 2020 2.0'!$G$3:$G$680,A212,"")),0))/LEN(A212)</f>
        <v>0</v>
      </c>
      <c r="H212" s="2911" cm="1">
        <f t="array" ref="H212">SUM(IF('Aprilie 2020 2.0'!$I$3:$I$680=$H$3,LEN('Aprilie 2020 2.0'!$G$3:$G$680)-LEN(SUBSTITUTE('Aprilie 2020 2.0'!$G$3:$G$680,A212,"")),0))/LEN(A212)</f>
        <v>0</v>
      </c>
      <c r="I212" s="2918">
        <f t="shared" si="7"/>
        <v>0</v>
      </c>
      <c r="J212" s="2918"/>
      <c r="K212" s="2918"/>
      <c r="L212" s="3009" t="s">
        <v>7663</v>
      </c>
      <c r="M212" s="2911"/>
    </row>
    <row r="213" spans="1:17" x14ac:dyDescent="0.35">
      <c r="A213" s="2917" t="s">
        <v>11156</v>
      </c>
      <c r="B213" s="2912" cm="1">
        <f t="array" ref="B213">SUM(IF('Aprilie 2020 2.0'!$I$3:$I$680=$B$3,LEN('Aprilie 2020 2.0'!$G$3:$G$680)-LEN(SUBSTITUTE('Aprilie 2020 2.0'!$G$3:$G$680,A213,"")),0))/LEN(A213)</f>
        <v>0</v>
      </c>
      <c r="C213" s="2912" cm="1">
        <f t="array" ref="C213">SUM(IF('Aprilie 2020 2.0'!$I$3:$I$680=$C$3,LEN('Aprilie 2020 2.0'!$G$3:$G$680)-LEN(SUBSTITUTE('Aprilie 2020 2.0'!$G$3:$G$680,A213,"")),0))/LEN(A213)</f>
        <v>0</v>
      </c>
      <c r="D213" s="2912" cm="1">
        <f t="array" ref="D213">SUM(IF('Aprilie 2020 2.0'!$I$3:$I$680=$D$3,LEN('Aprilie 2020 2.0'!$G$3:$G$680)-LEN(SUBSTITUTE('Aprilie 2020 2.0'!$G$3:$G$680,A213,"")),0))/LEN(A213)</f>
        <v>0</v>
      </c>
      <c r="E213" s="2911" cm="1">
        <f t="array" ref="E213">SUM(IF('Aprilie 2020 2.0'!$I$3:$I$680=$E$3,LEN('Aprilie 2020 2.0'!$G$3:$G$680)-LEN(SUBSTITUTE('Aprilie 2020 2.0'!$G$3:$G$680,A213,"")),0))/LEN(A213)</f>
        <v>0</v>
      </c>
      <c r="F213" s="2911" cm="1">
        <f t="array" ref="F213">SUM(IF('Aprilie 2020 2.0'!$I$3:$I$680=$F$3,LEN('Aprilie 2020 2.0'!$G$3:$G$680)-LEN(SUBSTITUTE('Aprilie 2020 2.0'!$G$3:$G$680,A213,"")),0))/LEN(A213)</f>
        <v>0</v>
      </c>
      <c r="G213" s="2911" cm="1">
        <f t="array" ref="G213">SUM(IF('Aprilie 2020 2.0'!$I$3:$I$680=$G$3,LEN('Aprilie 2020 2.0'!$G$3:$G$680)-LEN(SUBSTITUTE('Aprilie 2020 2.0'!$G$3:$G$680,A213,"")),0))/LEN(A213)</f>
        <v>0</v>
      </c>
      <c r="H213" s="2911" cm="1">
        <f t="array" ref="H213">SUM(IF('Aprilie 2020 2.0'!$I$3:$I$680=$H$3,LEN('Aprilie 2020 2.0'!$G$3:$G$680)-LEN(SUBSTITUTE('Aprilie 2020 2.0'!$G$3:$G$680,A213,"")),0))/LEN(A213)</f>
        <v>0</v>
      </c>
      <c r="I213" s="2918">
        <f t="shared" si="7"/>
        <v>0</v>
      </c>
      <c r="J213" s="2918"/>
      <c r="K213" s="2918"/>
      <c r="L213" s="3009" t="s">
        <v>7663</v>
      </c>
      <c r="M213" s="2911"/>
    </row>
    <row r="214" spans="1:17" x14ac:dyDescent="0.35">
      <c r="A214" s="2921" t="s">
        <v>11253</v>
      </c>
      <c r="B214" s="2911" cm="1">
        <f t="array" ref="B214">SUM(IF('Aprilie 2020 2.0'!$I$3:$I$680=$B$3,LEN('Aprilie 2020 2.0'!$G$3:$G$680)-LEN(SUBSTITUTE('Aprilie 2020 2.0'!$G$3:$G$680,A214,"")),0))/LEN(A214)</f>
        <v>0</v>
      </c>
      <c r="C214" s="2911" cm="1">
        <f t="array" ref="C214">SUM(IF('Aprilie 2020 2.0'!$I$3:$I$680=$C$3,LEN('Aprilie 2020 2.0'!$G$3:$G$680)-LEN(SUBSTITUTE('Aprilie 2020 2.0'!$G$3:$G$680,A214,"")),0))/LEN(A214)</f>
        <v>0</v>
      </c>
      <c r="D214" s="2911" cm="1">
        <f t="array" ref="D214">SUM(IF('Aprilie 2020 2.0'!$I$3:$I$680=$D$3,LEN('Aprilie 2020 2.0'!$G$3:$G$680)-LEN(SUBSTITUTE('Aprilie 2020 2.0'!$G$3:$G$680,A214,"")),0))/LEN(A214)</f>
        <v>0</v>
      </c>
      <c r="E214" s="2911" cm="1">
        <f t="array" ref="E214">SUM(IF('Aprilie 2020 2.0'!$I$3:$I$680=$E$3,LEN('Aprilie 2020 2.0'!$G$3:$G$680)-LEN(SUBSTITUTE('Aprilie 2020 2.0'!$G$3:$G$680,A214,"")),0))/LEN(A214)</f>
        <v>0</v>
      </c>
      <c r="F214" s="2911" cm="1">
        <f t="array" ref="F214">SUM(IF('Aprilie 2020 2.0'!$I$3:$I$680=$F$3,LEN('Aprilie 2020 2.0'!$G$3:$G$680)-LEN(SUBSTITUTE('Aprilie 2020 2.0'!$G$3:$G$680,A214,"")),0))/LEN(A214)</f>
        <v>0</v>
      </c>
      <c r="G214" s="2911" cm="1">
        <f t="array" ref="G214">SUM(IF('Aprilie 2020 2.0'!$I$3:$I$680=$G$3,LEN('Aprilie 2020 2.0'!$G$3:$G$680)-LEN(SUBSTITUTE('Aprilie 2020 2.0'!$G$3:$G$680,A214,"")),0))/LEN(A214)</f>
        <v>0</v>
      </c>
      <c r="H214" s="2911" cm="1">
        <f t="array" ref="H214">SUM(IF('Aprilie 2020 2.0'!$I$3:$I$680=$H$3,LEN('Aprilie 2020 2.0'!$G$3:$G$680)-LEN(SUBSTITUTE('Aprilie 2020 2.0'!$G$3:$G$680,A214,"")),0))/LEN(A214)</f>
        <v>0</v>
      </c>
      <c r="I214" s="2918">
        <f t="shared" si="7"/>
        <v>0</v>
      </c>
      <c r="J214" s="2918"/>
      <c r="K214" s="2918"/>
      <c r="L214" s="3009" t="s">
        <v>7663</v>
      </c>
      <c r="M214" s="2911"/>
    </row>
    <row r="215" spans="1:17" x14ac:dyDescent="0.35">
      <c r="A215" s="2924" t="s">
        <v>11216</v>
      </c>
      <c r="B215" s="2912" cm="1">
        <f t="array" ref="B215">SUM(IF('Aprilie 2020 2.0'!$I$3:$I$680=$B$3,LEN('Aprilie 2020 2.0'!$G$3:$G$680)-LEN(SUBSTITUTE('Aprilie 2020 2.0'!$G$3:$G$680,A215,"")),0))/LEN(A215)</f>
        <v>0</v>
      </c>
      <c r="C215" s="2912" cm="1">
        <f t="array" ref="C215">SUM(IF('Aprilie 2020 2.0'!$I$3:$I$680=$C$3,LEN('Aprilie 2020 2.0'!$G$3:$G$680)-LEN(SUBSTITUTE('Aprilie 2020 2.0'!$G$3:$G$680,A215,"")),0))/LEN(A215)</f>
        <v>0</v>
      </c>
      <c r="D215" s="2912" cm="1">
        <f t="array" ref="D215">SUM(IF('Aprilie 2020 2.0'!$I$3:$I$680=$D$3,LEN('Aprilie 2020 2.0'!$G$3:$G$680)-LEN(SUBSTITUTE('Aprilie 2020 2.0'!$G$3:$G$680,A215,"")),0))/LEN(A215)</f>
        <v>0</v>
      </c>
      <c r="E215" s="2911" cm="1">
        <f t="array" ref="E215">SUM(IF('Aprilie 2020 2.0'!$I$3:$I$680=$E$3,LEN('Aprilie 2020 2.0'!$G$3:$G$680)-LEN(SUBSTITUTE('Aprilie 2020 2.0'!$G$3:$G$680,A215,"")),0))/LEN(A215)</f>
        <v>0</v>
      </c>
      <c r="F215" s="2911" cm="1">
        <f t="array" ref="F215">SUM(IF('Aprilie 2020 2.0'!$I$3:$I$680=$F$3,LEN('Aprilie 2020 2.0'!$G$3:$G$680)-LEN(SUBSTITUTE('Aprilie 2020 2.0'!$G$3:$G$680,A215,"")),0))/LEN(A215)</f>
        <v>0</v>
      </c>
      <c r="G215" s="2911" cm="1">
        <f t="array" ref="G215">SUM(IF('Aprilie 2020 2.0'!$I$3:$I$680=$G$3,LEN('Aprilie 2020 2.0'!$G$3:$G$680)-LEN(SUBSTITUTE('Aprilie 2020 2.0'!$G$3:$G$680,A215,"")),0))/LEN(A215)</f>
        <v>0</v>
      </c>
      <c r="H215" s="2911" cm="1">
        <f t="array" ref="H215">SUM(IF('Aprilie 2020 2.0'!$I$3:$I$680=$H$3,LEN('Aprilie 2020 2.0'!$G$3:$G$680)-LEN(SUBSTITUTE('Aprilie 2020 2.0'!$G$3:$G$680,A215,"")),0))/LEN(A215)</f>
        <v>0</v>
      </c>
      <c r="I215" s="2918">
        <f t="shared" si="7"/>
        <v>0</v>
      </c>
      <c r="J215" s="2918"/>
      <c r="K215" s="2918"/>
      <c r="L215" s="3009" t="s">
        <v>7663</v>
      </c>
      <c r="M215" s="2911"/>
    </row>
    <row r="216" spans="1:17" x14ac:dyDescent="0.35">
      <c r="A216" s="2921" t="s">
        <v>11235</v>
      </c>
      <c r="B216" s="2911" cm="1">
        <f t="array" ref="B216">SUM(IF('Aprilie 2020 2.0'!$I$3:$I$680=$B$3,LEN('Aprilie 2020 2.0'!$G$3:$G$680)-LEN(SUBSTITUTE('Aprilie 2020 2.0'!$G$3:$G$680,A216,"")),0))/LEN(A216)</f>
        <v>0</v>
      </c>
      <c r="C216" s="2911" cm="1">
        <f t="array" ref="C216">SUM(IF('Aprilie 2020 2.0'!$I$3:$I$680=$C$3,LEN('Aprilie 2020 2.0'!$G$3:$G$680)-LEN(SUBSTITUTE('Aprilie 2020 2.0'!$G$3:$G$680,A216,"")),0))/LEN(A216)</f>
        <v>0</v>
      </c>
      <c r="D216" s="2911" cm="1">
        <f t="array" ref="D216">SUM(IF('Aprilie 2020 2.0'!$I$3:$I$680=$D$3,LEN('Aprilie 2020 2.0'!$G$3:$G$680)-LEN(SUBSTITUTE('Aprilie 2020 2.0'!$G$3:$G$680,A216,"")),0))/LEN(A216)</f>
        <v>0</v>
      </c>
      <c r="E216" s="2911" cm="1">
        <f t="array" ref="E216">SUM(IF('Aprilie 2020 2.0'!$I$3:$I$680=$E$3,LEN('Aprilie 2020 2.0'!$G$3:$G$680)-LEN(SUBSTITUTE('Aprilie 2020 2.0'!$G$3:$G$680,A216,"")),0))/LEN(A216)</f>
        <v>0</v>
      </c>
      <c r="F216" s="2911" cm="1">
        <f t="array" ref="F216">SUM(IF('Aprilie 2020 2.0'!$I$3:$I$680=$F$3,LEN('Aprilie 2020 2.0'!$G$3:$G$680)-LEN(SUBSTITUTE('Aprilie 2020 2.0'!$G$3:$G$680,A216,"")),0))/LEN(A216)</f>
        <v>0</v>
      </c>
      <c r="G216" s="2911" cm="1">
        <f t="array" ref="G216">SUM(IF('Aprilie 2020 2.0'!$I$3:$I$680=$G$3,LEN('Aprilie 2020 2.0'!$G$3:$G$680)-LEN(SUBSTITUTE('Aprilie 2020 2.0'!$G$3:$G$680,A216,"")),0))/LEN(A216)</f>
        <v>0</v>
      </c>
      <c r="H216" s="2911" cm="1">
        <f t="array" ref="H216">SUM(IF('Aprilie 2020 2.0'!$I$3:$I$680=$H$3,LEN('Aprilie 2020 2.0'!$G$3:$G$680)-LEN(SUBSTITUTE('Aprilie 2020 2.0'!$G$3:$G$680,A216,"")),0))/LEN(A216)</f>
        <v>0</v>
      </c>
      <c r="I216" s="2918">
        <f t="shared" si="7"/>
        <v>0</v>
      </c>
      <c r="J216" s="2918"/>
      <c r="K216" s="2918"/>
      <c r="L216" s="3009" t="s">
        <v>7663</v>
      </c>
      <c r="M216" s="2911"/>
    </row>
    <row r="217" spans="1:17" x14ac:dyDescent="0.35">
      <c r="A217" s="2917" t="s">
        <v>11165</v>
      </c>
      <c r="B217" s="2912" cm="1">
        <f t="array" ref="B217">SUM(IF('Aprilie 2020 2.0'!$I$3:$I$680=$B$3,LEN('Aprilie 2020 2.0'!$G$3:$G$680)-LEN(SUBSTITUTE('Aprilie 2020 2.0'!$G$3:$G$680,A217,"")),0))/LEN(A217)</f>
        <v>0</v>
      </c>
      <c r="C217" s="2912" cm="1">
        <f t="array" ref="C217">SUM(IF('Aprilie 2020 2.0'!$I$3:$I$680=$C$3,LEN('Aprilie 2020 2.0'!$G$3:$G$680)-LEN(SUBSTITUTE('Aprilie 2020 2.0'!$G$3:$G$680,A217,"")),0))/LEN(A217)</f>
        <v>0</v>
      </c>
      <c r="D217" s="2912" cm="1">
        <f t="array" ref="D217">SUM(IF('Aprilie 2020 2.0'!$I$3:$I$680=$D$3,LEN('Aprilie 2020 2.0'!$G$3:$G$680)-LEN(SUBSTITUTE('Aprilie 2020 2.0'!$G$3:$G$680,A217,"")),0))/LEN(A217)</f>
        <v>0</v>
      </c>
      <c r="E217" s="2911" cm="1">
        <f t="array" ref="E217">SUM(IF('Aprilie 2020 2.0'!$I$3:$I$680=$E$3,LEN('Aprilie 2020 2.0'!$G$3:$G$680)-LEN(SUBSTITUTE('Aprilie 2020 2.0'!$G$3:$G$680,A217,"")),0))/LEN(A217)</f>
        <v>0</v>
      </c>
      <c r="F217" s="2911" cm="1">
        <f t="array" ref="F217">SUM(IF('Aprilie 2020 2.0'!$I$3:$I$680=$F$3,LEN('Aprilie 2020 2.0'!$G$3:$G$680)-LEN(SUBSTITUTE('Aprilie 2020 2.0'!$G$3:$G$680,A217,"")),0))/LEN(A217)</f>
        <v>0</v>
      </c>
      <c r="G217" s="2911" cm="1">
        <f t="array" ref="G217">SUM(IF('Aprilie 2020 2.0'!$I$3:$I$680=$G$3,LEN('Aprilie 2020 2.0'!$G$3:$G$680)-LEN(SUBSTITUTE('Aprilie 2020 2.0'!$G$3:$G$680,A217,"")),0))/LEN(A217)</f>
        <v>0</v>
      </c>
      <c r="H217" s="2911" cm="1">
        <f t="array" ref="H217">SUM(IF('Aprilie 2020 2.0'!$I$3:$I$680=$H$3,LEN('Aprilie 2020 2.0'!$G$3:$G$680)-LEN(SUBSTITUTE('Aprilie 2020 2.0'!$G$3:$G$680,A217,"")),0))/LEN(A217)</f>
        <v>0</v>
      </c>
      <c r="I217" s="2918">
        <f t="shared" si="7"/>
        <v>0</v>
      </c>
      <c r="J217" s="2918"/>
      <c r="K217" s="2918"/>
      <c r="L217" s="3009" t="s">
        <v>7663</v>
      </c>
      <c r="M217" s="2911"/>
    </row>
    <row r="218" spans="1:17" x14ac:dyDescent="0.35">
      <c r="A218" s="2917" t="s">
        <v>11414</v>
      </c>
      <c r="B218" s="2912" cm="1">
        <f t="array" ref="B218">SUM(IF('Aprilie 2020 2.0'!$I$3:$I$680=$B$3,LEN('Aprilie 2020 2.0'!$G$3:$G$680)-LEN(SUBSTITUTE('Aprilie 2020 2.0'!$G$3:$G$680,A218,"")),0))/LEN(A218)</f>
        <v>0</v>
      </c>
      <c r="C218" s="2912" cm="1">
        <f t="array" ref="C218">SUM(IF('Aprilie 2020 2.0'!$I$3:$I$680=$C$3,LEN('Aprilie 2020 2.0'!$G$3:$G$680)-LEN(SUBSTITUTE('Aprilie 2020 2.0'!$G$3:$G$680,A218,"")),0))/LEN(A218)</f>
        <v>0</v>
      </c>
      <c r="D218" s="2912" cm="1">
        <f t="array" ref="D218">SUM(IF('Aprilie 2020 2.0'!$I$3:$I$680=$D$3,LEN('Aprilie 2020 2.0'!$G$3:$G$680)-LEN(SUBSTITUTE('Aprilie 2020 2.0'!$G$3:$G$680,A218,"")),0))/LEN(A218)</f>
        <v>0</v>
      </c>
      <c r="E218" s="2911" cm="1">
        <f t="array" ref="E218">SUM(IF('Aprilie 2020 2.0'!$I$3:$I$680=$E$3,LEN('Aprilie 2020 2.0'!$G$3:$G$680)-LEN(SUBSTITUTE('Aprilie 2020 2.0'!$G$3:$G$680,A218,"")),0))/LEN(A218)</f>
        <v>0</v>
      </c>
      <c r="F218" s="2911" cm="1">
        <f t="array" ref="F218">SUM(IF('Aprilie 2020 2.0'!$I$3:$I$680=$F$3,LEN('Aprilie 2020 2.0'!$G$3:$G$680)-LEN(SUBSTITUTE('Aprilie 2020 2.0'!$G$3:$G$680,A218,"")),0))/LEN(A218)</f>
        <v>0</v>
      </c>
      <c r="G218" s="2911" cm="1">
        <f t="array" ref="G218">SUM(IF('Aprilie 2020 2.0'!$I$3:$I$680=$G$3,LEN('Aprilie 2020 2.0'!$G$3:$G$680)-LEN(SUBSTITUTE('Aprilie 2020 2.0'!$G$3:$G$680,A218,"")),0))/LEN(A218)</f>
        <v>0</v>
      </c>
      <c r="H218" s="2911" cm="1">
        <f t="array" ref="H218">SUM(IF('Aprilie 2020 2.0'!$I$3:$I$680=$H$3,LEN('Aprilie 2020 2.0'!$G$3:$G$680)-LEN(SUBSTITUTE('Aprilie 2020 2.0'!$G$3:$G$680,A218,"")),0))/LEN(A218)</f>
        <v>0</v>
      </c>
      <c r="I218" s="2918">
        <f t="shared" si="7"/>
        <v>0</v>
      </c>
      <c r="J218" s="2918"/>
      <c r="K218" s="2918"/>
      <c r="L218" s="3009" t="s">
        <v>7663</v>
      </c>
      <c r="M218" s="2911"/>
    </row>
    <row r="219" spans="1:17" x14ac:dyDescent="0.35">
      <c r="A219" s="2917" t="s">
        <v>11220</v>
      </c>
      <c r="B219" s="2912" cm="1">
        <f t="array" ref="B219">SUM(IF('Aprilie 2020 2.0'!$I$3:$I$680=$B$3,LEN('Aprilie 2020 2.0'!$G$3:$G$680)-LEN(SUBSTITUTE('Aprilie 2020 2.0'!$G$3:$G$680,A219,"")),0))/LEN(A219)</f>
        <v>0</v>
      </c>
      <c r="C219" s="2912" cm="1">
        <f t="array" ref="C219">SUM(IF('Aprilie 2020 2.0'!$I$3:$I$680=$C$3,LEN('Aprilie 2020 2.0'!$G$3:$G$680)-LEN(SUBSTITUTE('Aprilie 2020 2.0'!$G$3:$G$680,A219,"")),0))/LEN(A219)</f>
        <v>0</v>
      </c>
      <c r="D219" s="2912" cm="1">
        <f t="array" ref="D219">SUM(IF('Aprilie 2020 2.0'!$I$3:$I$680=$D$3,LEN('Aprilie 2020 2.0'!$G$3:$G$680)-LEN(SUBSTITUTE('Aprilie 2020 2.0'!$G$3:$G$680,A219,"")),0))/LEN(A219)</f>
        <v>0</v>
      </c>
      <c r="E219" s="2911" cm="1">
        <f t="array" ref="E219">SUM(IF('Aprilie 2020 2.0'!$I$3:$I$680=$E$3,LEN('Aprilie 2020 2.0'!$G$3:$G$680)-LEN(SUBSTITUTE('Aprilie 2020 2.0'!$G$3:$G$680,A219,"")),0))/LEN(A219)</f>
        <v>0</v>
      </c>
      <c r="F219" s="2911" cm="1">
        <f t="array" ref="F219">SUM(IF('Aprilie 2020 2.0'!$I$3:$I$680=$F$3,LEN('Aprilie 2020 2.0'!$G$3:$G$680)-LEN(SUBSTITUTE('Aprilie 2020 2.0'!$G$3:$G$680,A219,"")),0))/LEN(A219)</f>
        <v>0</v>
      </c>
      <c r="G219" s="2911" cm="1">
        <f t="array" ref="G219">SUM(IF('Aprilie 2020 2.0'!$I$3:$I$680=$G$3,LEN('Aprilie 2020 2.0'!$G$3:$G$680)-LEN(SUBSTITUTE('Aprilie 2020 2.0'!$G$3:$G$680,A219,"")),0))/LEN(A219)</f>
        <v>0</v>
      </c>
      <c r="H219" s="2911" cm="1">
        <f t="array" ref="H219">SUM(IF('Aprilie 2020 2.0'!$I$3:$I$680=$H$3,LEN('Aprilie 2020 2.0'!$G$3:$G$680)-LEN(SUBSTITUTE('Aprilie 2020 2.0'!$G$3:$G$680,A219,"")),0))/LEN(A219)</f>
        <v>0</v>
      </c>
      <c r="I219" s="2918">
        <f t="shared" si="7"/>
        <v>0</v>
      </c>
      <c r="J219" s="2918"/>
      <c r="K219" s="2918"/>
      <c r="L219" s="3009" t="s">
        <v>7663</v>
      </c>
      <c r="M219" s="2911"/>
    </row>
    <row r="220" spans="1:17" x14ac:dyDescent="0.35">
      <c r="A220" s="2917" t="s">
        <v>11416</v>
      </c>
      <c r="B220" s="2912" cm="1">
        <f t="array" ref="B220">SUM(IF('Aprilie 2020 2.0'!$I$3:$I$680=$B$3,LEN('Aprilie 2020 2.0'!$G$3:$G$680)-LEN(SUBSTITUTE('Aprilie 2020 2.0'!$G$3:$G$680,A220,"")),0))/LEN(A220)</f>
        <v>0</v>
      </c>
      <c r="C220" s="2912" cm="1">
        <f t="array" ref="C220">SUM(IF('Aprilie 2020 2.0'!$I$3:$I$680=$C$3,LEN('Aprilie 2020 2.0'!$G$3:$G$680)-LEN(SUBSTITUTE('Aprilie 2020 2.0'!$G$3:$G$680,A220,"")),0))/LEN(A220)</f>
        <v>0</v>
      </c>
      <c r="D220" s="2912" cm="1">
        <f t="array" ref="D220">SUM(IF('Aprilie 2020 2.0'!$I$3:$I$680=$D$3,LEN('Aprilie 2020 2.0'!$G$3:$G$680)-LEN(SUBSTITUTE('Aprilie 2020 2.0'!$G$3:$G$680,A220,"")),0))/LEN(A220)</f>
        <v>0</v>
      </c>
      <c r="E220" s="2911" cm="1">
        <f t="array" ref="E220">SUM(IF('Aprilie 2020 2.0'!$I$3:$I$680=$E$3,LEN('Aprilie 2020 2.0'!$G$3:$G$680)-LEN(SUBSTITUTE('Aprilie 2020 2.0'!$G$3:$G$680,A220,"")),0))/LEN(A220)</f>
        <v>0</v>
      </c>
      <c r="F220" s="2911" cm="1">
        <f t="array" ref="F220">SUM(IF('Aprilie 2020 2.0'!$I$3:$I$680=$F$3,LEN('Aprilie 2020 2.0'!$G$3:$G$680)-LEN(SUBSTITUTE('Aprilie 2020 2.0'!$G$3:$G$680,A220,"")),0))/LEN(A220)</f>
        <v>0</v>
      </c>
      <c r="G220" s="2911" cm="1">
        <f t="array" ref="G220">SUM(IF('Aprilie 2020 2.0'!$I$3:$I$680=$G$3,LEN('Aprilie 2020 2.0'!$G$3:$G$680)-LEN(SUBSTITUTE('Aprilie 2020 2.0'!$G$3:$G$680,A220,"")),0))/LEN(A220)</f>
        <v>0</v>
      </c>
      <c r="H220" s="2911" cm="1">
        <f t="array" ref="H220">SUM(IF('Aprilie 2020 2.0'!$I$3:$I$680=$H$3,LEN('Aprilie 2020 2.0'!$G$3:$G$680)-LEN(SUBSTITUTE('Aprilie 2020 2.0'!$G$3:$G$680,A220,"")),0))/LEN(A220)</f>
        <v>0</v>
      </c>
      <c r="I220" s="2918">
        <f t="shared" si="7"/>
        <v>0</v>
      </c>
      <c r="J220" s="2918"/>
      <c r="K220" s="2918"/>
      <c r="L220" s="3009" t="s">
        <v>7663</v>
      </c>
      <c r="M220" s="2911"/>
    </row>
    <row r="221" spans="1:17" x14ac:dyDescent="0.35">
      <c r="A221" s="2917" t="s">
        <v>11221</v>
      </c>
      <c r="B221" s="2912" cm="1">
        <f t="array" ref="B221">SUM(IF('Aprilie 2020 2.0'!$I$3:$I$680=$B$3,LEN('Aprilie 2020 2.0'!$G$3:$G$680)-LEN(SUBSTITUTE('Aprilie 2020 2.0'!$G$3:$G$680,A221,"")),0))/LEN(A221)</f>
        <v>0</v>
      </c>
      <c r="C221" s="2912" cm="1">
        <f t="array" ref="C221">SUM(IF('Aprilie 2020 2.0'!$I$3:$I$680=$C$3,LEN('Aprilie 2020 2.0'!$G$3:$G$680)-LEN(SUBSTITUTE('Aprilie 2020 2.0'!$G$3:$G$680,A221,"")),0))/LEN(A221)</f>
        <v>0</v>
      </c>
      <c r="D221" s="2912" cm="1">
        <f t="array" ref="D221">SUM(IF('Aprilie 2020 2.0'!$I$3:$I$680=$D$3,LEN('Aprilie 2020 2.0'!$G$3:$G$680)-LEN(SUBSTITUTE('Aprilie 2020 2.0'!$G$3:$G$680,A221,"")),0))/LEN(A221)</f>
        <v>0</v>
      </c>
      <c r="E221" s="2911" cm="1">
        <f t="array" ref="E221">SUM(IF('Aprilie 2020 2.0'!$I$3:$I$680=$E$3,LEN('Aprilie 2020 2.0'!$G$3:$G$680)-LEN(SUBSTITUTE('Aprilie 2020 2.0'!$G$3:$G$680,A221,"")),0))/LEN(A221)</f>
        <v>0</v>
      </c>
      <c r="F221" s="2911" cm="1">
        <f t="array" ref="F221">SUM(IF('Aprilie 2020 2.0'!$I$3:$I$680=$F$3,LEN('Aprilie 2020 2.0'!$G$3:$G$680)-LEN(SUBSTITUTE('Aprilie 2020 2.0'!$G$3:$G$680,A221,"")),0))/LEN(A221)</f>
        <v>0</v>
      </c>
      <c r="G221" s="2911" cm="1">
        <f t="array" ref="G221">SUM(IF('Aprilie 2020 2.0'!$I$3:$I$680=$G$3,LEN('Aprilie 2020 2.0'!$G$3:$G$680)-LEN(SUBSTITUTE('Aprilie 2020 2.0'!$G$3:$G$680,A221,"")),0))/LEN(A221)</f>
        <v>0</v>
      </c>
      <c r="H221" s="2911" cm="1">
        <f t="array" ref="H221">SUM(IF('Aprilie 2020 2.0'!$I$3:$I$680=$H$3,LEN('Aprilie 2020 2.0'!$G$3:$G$680)-LEN(SUBSTITUTE('Aprilie 2020 2.0'!$G$3:$G$680,A221,"")),0))/LEN(A221)</f>
        <v>0</v>
      </c>
      <c r="I221" s="2918">
        <f t="shared" ref="I221:I252" si="8">SUM(B221:H221)</f>
        <v>0</v>
      </c>
      <c r="J221" s="2918"/>
      <c r="K221" s="2918"/>
      <c r="L221" s="3009" t="s">
        <v>7663</v>
      </c>
      <c r="M221" s="2911"/>
    </row>
    <row r="222" spans="1:17" x14ac:dyDescent="0.35">
      <c r="A222" s="2908" t="s">
        <v>11520</v>
      </c>
      <c r="B222" s="2911" cm="1">
        <f t="array" ref="B222">SUM(IF('Aprilie 2020 2.0'!$I$3:$I$680=$B$3,LEN('Aprilie 2020 2.0'!$G$3:$G$680)-LEN(SUBSTITUTE('Aprilie 2020 2.0'!$G$3:$G$680,A222,"")),0))/LEN(A222)</f>
        <v>0</v>
      </c>
      <c r="C222" s="2911" cm="1">
        <f t="array" ref="C222">SUM(IF('Aprilie 2020 2.0'!$I$3:$I$680=$C$3,LEN('Aprilie 2020 2.0'!$G$3:$G$680)-LEN(SUBSTITUTE('Aprilie 2020 2.0'!$G$3:$G$680,A222,"")),0))/LEN(A222)</f>
        <v>0</v>
      </c>
      <c r="D222" s="2911" cm="1">
        <f t="array" ref="D222">SUM(IF('Aprilie 2020 2.0'!$I$3:$I$680=$D$3,LEN('Aprilie 2020 2.0'!$G$3:$G$680)-LEN(SUBSTITUTE('Aprilie 2020 2.0'!$G$3:$G$680,A222,"")),0))/LEN(A222)</f>
        <v>0</v>
      </c>
      <c r="E222" s="2911" cm="1">
        <f t="array" ref="E222">SUM(IF('Aprilie 2020 2.0'!$I$3:$I$680=$E$3,LEN('Aprilie 2020 2.0'!$G$3:$G$680)-LEN(SUBSTITUTE('Aprilie 2020 2.0'!$G$3:$G$680,A222,"")),0))/LEN(A222)</f>
        <v>0</v>
      </c>
      <c r="F222" s="2911" cm="1">
        <f t="array" ref="F222">SUM(IF('Aprilie 2020 2.0'!$I$3:$I$680=$F$3,LEN('Aprilie 2020 2.0'!$G$3:$G$680)-LEN(SUBSTITUTE('Aprilie 2020 2.0'!$G$3:$G$680,A222,"")),0))/LEN(A222)</f>
        <v>0</v>
      </c>
      <c r="G222" s="2911" cm="1">
        <f t="array" ref="G222">SUM(IF('Aprilie 2020 2.0'!$I$3:$I$680=$G$3,LEN('Aprilie 2020 2.0'!$G$3:$G$680)-LEN(SUBSTITUTE('Aprilie 2020 2.0'!$G$3:$G$680,A222,"")),0))/LEN(A222)</f>
        <v>0</v>
      </c>
      <c r="H222" s="2911" cm="1">
        <f t="array" ref="H222">SUM(IF('Aprilie 2020 2.0'!$I$3:$I$680=$H$3,LEN('Aprilie 2020 2.0'!$G$3:$G$680)-LEN(SUBSTITUTE('Aprilie 2020 2.0'!$G$3:$G$680,A222,"")),0))/LEN(A222)</f>
        <v>0</v>
      </c>
      <c r="I222" s="2911">
        <f t="shared" si="8"/>
        <v>0</v>
      </c>
      <c r="J222" s="3001"/>
      <c r="K222" s="3001"/>
      <c r="L222" s="3252" t="s">
        <v>7663</v>
      </c>
      <c r="M222" s="2911"/>
    </row>
    <row r="223" spans="1:17" x14ac:dyDescent="0.35">
      <c r="A223" s="2858"/>
      <c r="B223" s="2860"/>
      <c r="C223" s="2860"/>
      <c r="D223" s="2860"/>
      <c r="E223" s="2860"/>
      <c r="F223" s="2860"/>
      <c r="G223" s="2860"/>
      <c r="H223" s="2860"/>
      <c r="I223" s="2860"/>
      <c r="J223" s="2860"/>
      <c r="K223" s="2860"/>
      <c r="O223" t="s">
        <v>12358</v>
      </c>
      <c r="P223" t="s">
        <v>12361</v>
      </c>
      <c r="Q223" t="s">
        <v>12364</v>
      </c>
    </row>
    <row r="224" spans="1:17" x14ac:dyDescent="0.35">
      <c r="O224" t="s">
        <v>12360</v>
      </c>
      <c r="P224" t="s">
        <v>12362</v>
      </c>
      <c r="Q224" t="s">
        <v>12362</v>
      </c>
    </row>
    <row r="225" spans="1:17" ht="21" x14ac:dyDescent="0.35">
      <c r="A225" s="2929"/>
      <c r="B225" s="2926"/>
      <c r="O225" t="s">
        <v>12359</v>
      </c>
      <c r="P225" t="s">
        <v>12363</v>
      </c>
      <c r="Q225" t="s">
        <v>12363</v>
      </c>
    </row>
    <row r="226" spans="1:17" x14ac:dyDescent="0.35">
      <c r="O226" t="s">
        <v>12366</v>
      </c>
      <c r="P226" t="s">
        <v>12366</v>
      </c>
      <c r="Q226" t="s">
        <v>12365</v>
      </c>
    </row>
    <row r="227" spans="1:17" x14ac:dyDescent="0.35">
      <c r="O227" t="s">
        <v>12367</v>
      </c>
      <c r="P227" t="s">
        <v>12368</v>
      </c>
      <c r="Q227" t="s">
        <v>12369</v>
      </c>
    </row>
    <row r="228" spans="1:17" x14ac:dyDescent="0.35">
      <c r="H228" t="s">
        <v>12016</v>
      </c>
      <c r="I228">
        <f>171-29*3-29*2</f>
        <v>26</v>
      </c>
      <c r="L228">
        <f>I228*15</f>
        <v>390</v>
      </c>
      <c r="O228" t="s">
        <v>12370</v>
      </c>
      <c r="P228" t="s">
        <v>12371</v>
      </c>
    </row>
    <row r="229" spans="1:17" x14ac:dyDescent="0.35">
      <c r="H229" t="s">
        <v>12013</v>
      </c>
      <c r="I229">
        <f>143-29*4</f>
        <v>27</v>
      </c>
      <c r="L229">
        <f>I229*15</f>
        <v>405</v>
      </c>
      <c r="O229" t="s">
        <v>12372</v>
      </c>
      <c r="P229" t="s">
        <v>12373</v>
      </c>
    </row>
    <row r="230" spans="1:17" ht="21" x14ac:dyDescent="0.35">
      <c r="A230" s="3253" t="s">
        <v>11827</v>
      </c>
      <c r="B230" s="2925"/>
      <c r="H230" t="s">
        <v>12014</v>
      </c>
      <c r="I230">
        <f>83-29*2</f>
        <v>25</v>
      </c>
      <c r="L230">
        <f>I230*20</f>
        <v>500</v>
      </c>
    </row>
    <row r="231" spans="1:17" ht="21" x14ac:dyDescent="0.35">
      <c r="A231" s="3254"/>
      <c r="B231" s="2926"/>
      <c r="H231" t="s">
        <v>12015</v>
      </c>
      <c r="I231">
        <v>88</v>
      </c>
      <c r="L231">
        <f>I231*20</f>
        <v>1760</v>
      </c>
    </row>
    <row r="232" spans="1:17" x14ac:dyDescent="0.35">
      <c r="A232" s="2855" t="s">
        <v>11177</v>
      </c>
      <c r="B232" s="2856" t="s">
        <v>11826</v>
      </c>
      <c r="H232" t="s">
        <v>12120</v>
      </c>
      <c r="I232">
        <v>2</v>
      </c>
      <c r="L232">
        <f>I232*100</f>
        <v>200</v>
      </c>
    </row>
    <row r="233" spans="1:17" x14ac:dyDescent="0.35">
      <c r="A233" s="2857" t="s">
        <v>11174</v>
      </c>
      <c r="B233" s="2861" t="s">
        <v>11457</v>
      </c>
      <c r="H233" t="s">
        <v>12121</v>
      </c>
      <c r="I233">
        <v>25</v>
      </c>
      <c r="L233">
        <f>I233*100</f>
        <v>2500</v>
      </c>
    </row>
    <row r="234" spans="1:17" x14ac:dyDescent="0.35">
      <c r="A234" s="2915" t="s">
        <v>11774</v>
      </c>
      <c r="B234" s="2911">
        <v>2</v>
      </c>
      <c r="H234" t="s">
        <v>12052</v>
      </c>
      <c r="I234">
        <v>1</v>
      </c>
      <c r="L234">
        <f>I234*240</f>
        <v>240</v>
      </c>
    </row>
    <row r="235" spans="1:17" x14ac:dyDescent="0.35">
      <c r="A235" s="2915" t="s">
        <v>11775</v>
      </c>
      <c r="B235" s="2911">
        <v>2</v>
      </c>
      <c r="H235" t="s">
        <v>12122</v>
      </c>
      <c r="I235">
        <v>0</v>
      </c>
      <c r="L235">
        <v>0</v>
      </c>
    </row>
    <row r="236" spans="1:17" x14ac:dyDescent="0.35">
      <c r="A236" s="2915" t="s">
        <v>11776</v>
      </c>
      <c r="B236" s="2911">
        <v>6</v>
      </c>
      <c r="H236" t="s">
        <v>12123</v>
      </c>
      <c r="I236">
        <v>4</v>
      </c>
      <c r="L236">
        <f>I236*325</f>
        <v>1300</v>
      </c>
    </row>
    <row r="237" spans="1:17" ht="43.5" x14ac:dyDescent="0.35">
      <c r="A237" s="2902" t="s">
        <v>11391</v>
      </c>
      <c r="B237" s="2912">
        <v>7</v>
      </c>
      <c r="H237" s="2949" t="s">
        <v>12017</v>
      </c>
      <c r="I237">
        <v>29</v>
      </c>
      <c r="L237">
        <f>I237*100</f>
        <v>2900</v>
      </c>
    </row>
    <row r="238" spans="1:17" ht="29" x14ac:dyDescent="0.35">
      <c r="A238" s="2903" t="s">
        <v>11421</v>
      </c>
      <c r="B238" s="2911">
        <v>3</v>
      </c>
      <c r="H238" s="2949" t="s">
        <v>12054</v>
      </c>
      <c r="I238">
        <v>2</v>
      </c>
      <c r="L238">
        <f>I238*450</f>
        <v>900</v>
      </c>
    </row>
    <row r="239" spans="1:17" ht="43.5" x14ac:dyDescent="0.35">
      <c r="A239" s="2903" t="s">
        <v>11435</v>
      </c>
      <c r="B239" s="2911">
        <v>1</v>
      </c>
      <c r="H239" s="2949" t="s">
        <v>12055</v>
      </c>
      <c r="I239">
        <v>29</v>
      </c>
      <c r="L239">
        <f>I239*150</f>
        <v>4350</v>
      </c>
    </row>
    <row r="240" spans="1:17" x14ac:dyDescent="0.35">
      <c r="A240" s="2903" t="s">
        <v>11436</v>
      </c>
      <c r="B240" s="2911">
        <v>9</v>
      </c>
    </row>
    <row r="241" spans="1:2" x14ac:dyDescent="0.35">
      <c r="A241" s="2903" t="s">
        <v>11437</v>
      </c>
      <c r="B241" s="2911">
        <v>9</v>
      </c>
    </row>
    <row r="242" spans="1:2" x14ac:dyDescent="0.35">
      <c r="A242" s="2902" t="s">
        <v>11184</v>
      </c>
      <c r="B242" s="2912">
        <v>2</v>
      </c>
    </row>
    <row r="243" spans="1:2" x14ac:dyDescent="0.35">
      <c r="A243" s="2902" t="s">
        <v>11096</v>
      </c>
      <c r="B243" s="2912">
        <v>24</v>
      </c>
    </row>
    <row r="244" spans="1:2" x14ac:dyDescent="0.35">
      <c r="A244" s="2907" t="s">
        <v>11102</v>
      </c>
      <c r="B244" s="2912">
        <v>8</v>
      </c>
    </row>
    <row r="245" spans="1:2" x14ac:dyDescent="0.35">
      <c r="A245" s="2907" t="s">
        <v>11106</v>
      </c>
      <c r="B245" s="2912">
        <v>3</v>
      </c>
    </row>
    <row r="246" spans="1:2" x14ac:dyDescent="0.35">
      <c r="A246" s="2907" t="s">
        <v>11111</v>
      </c>
      <c r="B246" s="2912">
        <v>23</v>
      </c>
    </row>
    <row r="247" spans="1:2" x14ac:dyDescent="0.35">
      <c r="A247" s="2909" t="s">
        <v>11197</v>
      </c>
      <c r="B247" s="2911">
        <v>6</v>
      </c>
    </row>
    <row r="248" spans="1:2" x14ac:dyDescent="0.35">
      <c r="A248" s="2907" t="s">
        <v>11431</v>
      </c>
      <c r="B248" s="2911">
        <v>12</v>
      </c>
    </row>
    <row r="249" spans="1:2" x14ac:dyDescent="0.35">
      <c r="A249" s="2907" t="s">
        <v>11454</v>
      </c>
      <c r="B249" s="2911">
        <v>1</v>
      </c>
    </row>
    <row r="250" spans="1:2" x14ac:dyDescent="0.35">
      <c r="A250" s="2907" t="s">
        <v>11424</v>
      </c>
      <c r="B250" s="2911">
        <v>1</v>
      </c>
    </row>
    <row r="251" spans="1:2" x14ac:dyDescent="0.35">
      <c r="A251" s="2907" t="s">
        <v>11455</v>
      </c>
      <c r="B251" s="2911">
        <v>2</v>
      </c>
    </row>
    <row r="252" spans="1:2" x14ac:dyDescent="0.35">
      <c r="A252" s="2907" t="s">
        <v>11115</v>
      </c>
      <c r="B252" s="2912">
        <v>7</v>
      </c>
    </row>
    <row r="253" spans="1:2" x14ac:dyDescent="0.35">
      <c r="A253" s="2909" t="s">
        <v>11196</v>
      </c>
      <c r="B253" s="2911">
        <v>1</v>
      </c>
    </row>
    <row r="254" spans="1:2" x14ac:dyDescent="0.35">
      <c r="A254" s="2907" t="s">
        <v>11117</v>
      </c>
      <c r="B254" s="2912">
        <v>3</v>
      </c>
    </row>
    <row r="255" spans="1:2" x14ac:dyDescent="0.35">
      <c r="A255" s="2902" t="s">
        <v>11121</v>
      </c>
      <c r="B255" s="2912">
        <v>12</v>
      </c>
    </row>
    <row r="256" spans="1:2" x14ac:dyDescent="0.35">
      <c r="A256" s="2916" t="s">
        <v>11127</v>
      </c>
      <c r="B256" s="2912">
        <v>6</v>
      </c>
    </row>
    <row r="257" spans="1:2" x14ac:dyDescent="0.35">
      <c r="A257" s="2916" t="s">
        <v>11526</v>
      </c>
      <c r="B257" s="2911">
        <v>1</v>
      </c>
    </row>
    <row r="258" spans="1:2" x14ac:dyDescent="0.35">
      <c r="A258" s="2923" t="s">
        <v>11525</v>
      </c>
      <c r="B258" s="2911">
        <v>1</v>
      </c>
    </row>
    <row r="259" spans="1:2" x14ac:dyDescent="0.35">
      <c r="A259" s="2902" t="s">
        <v>11398</v>
      </c>
      <c r="B259" s="2912">
        <v>3</v>
      </c>
    </row>
    <row r="260" spans="1:2" x14ac:dyDescent="0.35">
      <c r="A260" s="2906" t="s">
        <v>11399</v>
      </c>
      <c r="B260" s="2912">
        <v>1</v>
      </c>
    </row>
    <row r="261" spans="1:2" x14ac:dyDescent="0.35">
      <c r="A261" s="2916" t="s">
        <v>11400</v>
      </c>
      <c r="B261" s="2912">
        <v>3</v>
      </c>
    </row>
    <row r="262" spans="1:2" x14ac:dyDescent="0.35">
      <c r="A262" s="2907" t="s">
        <v>11210</v>
      </c>
      <c r="B262" s="2912">
        <v>3</v>
      </c>
    </row>
    <row r="263" spans="1:2" x14ac:dyDescent="0.35">
      <c r="A263" s="2915" t="s">
        <v>11401</v>
      </c>
      <c r="B263" s="2911">
        <v>2</v>
      </c>
    </row>
    <row r="264" spans="1:2" x14ac:dyDescent="0.35">
      <c r="A264" s="2916" t="s">
        <v>11211</v>
      </c>
      <c r="B264" s="2912">
        <v>1</v>
      </c>
    </row>
    <row r="265" spans="1:2" x14ac:dyDescent="0.35">
      <c r="A265" s="2915" t="s">
        <v>11262</v>
      </c>
      <c r="B265" s="2911">
        <v>1</v>
      </c>
    </row>
    <row r="266" spans="1:2" x14ac:dyDescent="0.35">
      <c r="A266" s="2904" t="s">
        <v>11178</v>
      </c>
      <c r="B266" s="2911">
        <v>1</v>
      </c>
    </row>
    <row r="267" spans="1:2" x14ac:dyDescent="0.35">
      <c r="A267" s="2910" t="s">
        <v>11406</v>
      </c>
      <c r="B267" s="2912">
        <v>10</v>
      </c>
    </row>
    <row r="268" spans="1:2" x14ac:dyDescent="0.35">
      <c r="A268" s="2910" t="s">
        <v>11429</v>
      </c>
      <c r="B268" s="2911">
        <v>5</v>
      </c>
    </row>
    <row r="269" spans="1:2" x14ac:dyDescent="0.35">
      <c r="A269" s="2908" t="s">
        <v>11212</v>
      </c>
      <c r="B269" s="2912">
        <v>6</v>
      </c>
    </row>
    <row r="270" spans="1:2" x14ac:dyDescent="0.35">
      <c r="A270" s="2908" t="s">
        <v>11428</v>
      </c>
      <c r="B270" s="2911">
        <v>1</v>
      </c>
    </row>
    <row r="271" spans="1:2" x14ac:dyDescent="0.35">
      <c r="A271" s="2917" t="s">
        <v>11407</v>
      </c>
      <c r="B271" s="2912">
        <v>3</v>
      </c>
    </row>
    <row r="272" spans="1:2" x14ac:dyDescent="0.35">
      <c r="A272" s="2908" t="s">
        <v>11471</v>
      </c>
      <c r="B272" s="2911">
        <v>1</v>
      </c>
    </row>
    <row r="273" spans="1:2" x14ac:dyDescent="0.35">
      <c r="A273" s="2917" t="s">
        <v>11213</v>
      </c>
      <c r="B273" s="2912">
        <v>2</v>
      </c>
    </row>
    <row r="274" spans="1:2" x14ac:dyDescent="0.35">
      <c r="A274" s="2910" t="s">
        <v>11408</v>
      </c>
      <c r="B274" s="2912">
        <v>15</v>
      </c>
    </row>
    <row r="275" spans="1:2" x14ac:dyDescent="0.35">
      <c r="A275" s="2908" t="s">
        <v>11472</v>
      </c>
      <c r="B275" s="2911">
        <v>6</v>
      </c>
    </row>
    <row r="276" spans="1:2" x14ac:dyDescent="0.35">
      <c r="A276" s="2908" t="s">
        <v>11214</v>
      </c>
      <c r="B276" s="2912">
        <v>5</v>
      </c>
    </row>
    <row r="277" spans="1:2" x14ac:dyDescent="0.35">
      <c r="A277" s="2904" t="s">
        <v>11403</v>
      </c>
      <c r="B277" s="2911">
        <v>1</v>
      </c>
    </row>
    <row r="278" spans="1:2" x14ac:dyDescent="0.35">
      <c r="A278" s="2910" t="s">
        <v>11410</v>
      </c>
      <c r="B278" s="2912">
        <v>1</v>
      </c>
    </row>
    <row r="279" spans="1:2" x14ac:dyDescent="0.35">
      <c r="A279" s="2917" t="s">
        <v>11412</v>
      </c>
      <c r="B279" s="2912">
        <v>1</v>
      </c>
    </row>
    <row r="280" spans="1:2" x14ac:dyDescent="0.35">
      <c r="A280" s="2917" t="s">
        <v>11419</v>
      </c>
      <c r="B280" s="2911">
        <v>1</v>
      </c>
    </row>
    <row r="281" spans="1:2" x14ac:dyDescent="0.35">
      <c r="A281" s="2917" t="s">
        <v>11433</v>
      </c>
      <c r="B281" s="2911">
        <v>2</v>
      </c>
    </row>
    <row r="282" spans="1:2" x14ac:dyDescent="0.35">
      <c r="A282" s="2917" t="s">
        <v>11763</v>
      </c>
      <c r="B282" s="2911">
        <v>3</v>
      </c>
    </row>
    <row r="283" spans="1:2" x14ac:dyDescent="0.35">
      <c r="A283" s="2917" t="s">
        <v>11434</v>
      </c>
      <c r="B283" s="2911">
        <v>2</v>
      </c>
    </row>
    <row r="284" spans="1:2" x14ac:dyDescent="0.35">
      <c r="A284" s="2917" t="s">
        <v>11417</v>
      </c>
      <c r="B284" s="2912">
        <v>1</v>
      </c>
    </row>
  </sheetData>
  <mergeCells count="2">
    <mergeCell ref="A230:A231"/>
    <mergeCell ref="A1:A2"/>
  </mergeCells>
  <phoneticPr fontId="150" type="noConversion"/>
  <printOptions horizontalCentered="1" verticalCentered="1"/>
  <pageMargins left="0.7" right="0.7" top="0.75" bottom="0.75" header="0.3" footer="0.3"/>
  <pageSetup paperSize="11" scale="25" fitToHeight="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dimension ref="A1:H197"/>
  <sheetViews>
    <sheetView topLeftCell="A85" zoomScale="70" zoomScaleNormal="70" workbookViewId="0">
      <selection activeCell="D122" sqref="D122"/>
    </sheetView>
  </sheetViews>
  <sheetFormatPr defaultRowHeight="14.5" x14ac:dyDescent="0.35"/>
  <cols>
    <col min="1" max="1" width="30" customWidth="1"/>
    <col min="2" max="2" width="21.08984375" customWidth="1"/>
    <col min="4" max="4" width="28.08984375" customWidth="1"/>
    <col min="5" max="5" width="12.54296875" customWidth="1"/>
    <col min="6" max="6" width="16" customWidth="1"/>
    <col min="8" max="8" width="13.54296875" customWidth="1"/>
  </cols>
  <sheetData>
    <row r="1" spans="1:8" x14ac:dyDescent="0.35">
      <c r="A1" s="2847" t="s">
        <v>11174</v>
      </c>
      <c r="B1" s="2848" t="s">
        <v>11083</v>
      </c>
    </row>
    <row r="2" spans="1:8" x14ac:dyDescent="0.35">
      <c r="A2" s="2849" t="s">
        <v>11084</v>
      </c>
      <c r="B2" s="2850">
        <f>IF(ISNUMBER(SEARCH($H$2,A2)),MAX($B$1:B1)+1,0)</f>
        <v>1</v>
      </c>
      <c r="D2" t="str">
        <f>_xlfn.IFNA(INDEX(Table24[Nume],MATCH(ROW(J1),Table24[Workings],0)),"")</f>
        <v>Alte Prajituri</v>
      </c>
      <c r="E2" t="str">
        <f ca="1">OFFSET($D$2,,,MAX(Table24[Workings]))</f>
        <v>Alte Prajituri</v>
      </c>
      <c r="H2" s="2846"/>
    </row>
    <row r="3" spans="1:8" x14ac:dyDescent="0.35">
      <c r="A3" s="2849" t="s">
        <v>11085</v>
      </c>
      <c r="B3" s="2850">
        <f>IF(ISNUMBER(SEARCH($H$2,A3)),MAX($B$1:B1)+1,0)</f>
        <v>1</v>
      </c>
      <c r="D3" t="str">
        <f>_xlfn.IFNA(INDEX(Table24[Nume],MATCH(ROW(J2),Table24[Workings],0)),"")</f>
        <v>Cozonac Fructe Confiate</v>
      </c>
    </row>
    <row r="4" spans="1:8" x14ac:dyDescent="0.35">
      <c r="A4" s="2849" t="s">
        <v>11086</v>
      </c>
      <c r="B4" s="2850">
        <f>IF(ISNUMBER(SEARCH($H$2,A4)),MAX($B$1:B3)+1,0)</f>
        <v>2</v>
      </c>
      <c r="D4" t="str">
        <f>_xlfn.IFNA(INDEX(Table24[Nume],MATCH(ROW(J3),Table24[Workings],0)),"")</f>
        <v>Cozonac Mac</v>
      </c>
    </row>
    <row r="5" spans="1:8" x14ac:dyDescent="0.35">
      <c r="A5" s="2849" t="s">
        <v>11087</v>
      </c>
      <c r="B5" s="2850">
        <f>IF(ISNUMBER(SEARCH($H$2,A5)),MAX($B$1:B4)+1,0)</f>
        <v>3</v>
      </c>
      <c r="D5" t="str">
        <f>_xlfn.IFNA(INDEX(Table24[Nume],MATCH(ROW(J4),Table24[Workings],0)),"")</f>
        <v>Mini Pavlova - buc</v>
      </c>
      <c r="H5" s="866"/>
    </row>
    <row r="6" spans="1:8" x14ac:dyDescent="0.35">
      <c r="A6" s="2849" t="s">
        <v>11088</v>
      </c>
      <c r="B6" s="2850">
        <f>IF(ISNUMBER(SEARCH($H$2,A6)),MAX($B$1:B5)+1,0)</f>
        <v>4</v>
      </c>
      <c r="D6" t="str">
        <f>_xlfn.IFNA(INDEX(Table24[Nume],MATCH(ROW(J5),Table24[Workings],0)),"")</f>
        <v>Mini Tarta Citron - buc</v>
      </c>
      <c r="H6" s="866"/>
    </row>
    <row r="7" spans="1:8" x14ac:dyDescent="0.35">
      <c r="A7" s="2849" t="s">
        <v>11089</v>
      </c>
      <c r="B7" s="2850">
        <f>IF(ISNUMBER(SEARCH($H$2,A7)),MAX($B$1:B6)+1,0)</f>
        <v>5</v>
      </c>
      <c r="D7" t="str">
        <f>_xlfn.IFNA(INDEX(Table24[Nume],MATCH(ROW(J6),Table24[Workings],0)),"")</f>
        <v>Mini Tarta cu Ciocolata - buc</v>
      </c>
      <c r="H7" s="866"/>
    </row>
    <row r="8" spans="1:8" x14ac:dyDescent="0.35">
      <c r="A8" s="2849" t="s">
        <v>11090</v>
      </c>
      <c r="B8" s="2850">
        <f>IF(ISNUMBER(SEARCH($H$2,A8)),MAX($B$1:B7)+1,0)</f>
        <v>6</v>
      </c>
      <c r="D8" t="str">
        <f>_xlfn.IFNA(INDEX(Table24[Nume],MATCH(ROW(J7),Table24[Workings],0)),"")</f>
        <v>Mini Tarta cu Fructe - buc</v>
      </c>
      <c r="H8" s="866"/>
    </row>
    <row r="9" spans="1:8" x14ac:dyDescent="0.35">
      <c r="A9" s="2849" t="s">
        <v>11091</v>
      </c>
      <c r="B9" s="2850">
        <f>IF(ISNUMBER(SEARCH($H$2,A9)),MAX($B$1:B8)+1,0)</f>
        <v>7</v>
      </c>
      <c r="D9" t="str">
        <f>_xlfn.IFNA(INDEX(Table24[Nume],MATCH(ROW(J8),Table24[Workings],0)),"")</f>
        <v>Pasca fara Stafide</v>
      </c>
      <c r="H9" s="866"/>
    </row>
    <row r="10" spans="1:8" x14ac:dyDescent="0.35">
      <c r="A10" s="2849" t="s">
        <v>8141</v>
      </c>
      <c r="B10" s="2850">
        <f>IF(ISNUMBER(SEARCH($H$2,A10)),MAX($B$1:B8)+1,0)</f>
        <v>7</v>
      </c>
      <c r="D10" t="str">
        <f>_xlfn.IFNA(INDEX(Table24[Nume],MATCH(ROW(J9),Table24[Workings],0)),"")</f>
        <v>Paste Cozonac Special</v>
      </c>
      <c r="H10" s="866"/>
    </row>
    <row r="11" spans="1:8" x14ac:dyDescent="0.35">
      <c r="A11" s="2849" t="s">
        <v>11092</v>
      </c>
      <c r="B11" s="2850">
        <f>IF(ISNUMBER(SEARCH($H$2,A11)),MAX($B$1:B10)+1,0)</f>
        <v>8</v>
      </c>
      <c r="D11" t="str">
        <f>_xlfn.IFNA(INDEX(Table24[Nume],MATCH(ROW(J10),Table24[Workings],0)),"")</f>
        <v>Platou Mini Eclere</v>
      </c>
    </row>
    <row r="12" spans="1:8" x14ac:dyDescent="0.35">
      <c r="A12" s="2849" t="s">
        <v>11093</v>
      </c>
      <c r="B12" s="2850">
        <f>IF(ISNUMBER(SEARCH($H$2,A12)),MAX($B$1:B11)+1,0)</f>
        <v>9</v>
      </c>
      <c r="D12" t="str">
        <f>_xlfn.IFNA(INDEX(Table24[Nume],MATCH(ROW(J11),Table24[Workings],0)),"")</f>
        <v>Platou Mini Tarte (15 buc)</v>
      </c>
    </row>
    <row r="13" spans="1:8" x14ac:dyDescent="0.35">
      <c r="A13" s="2849" t="s">
        <v>11094</v>
      </c>
      <c r="B13" s="2850">
        <f>IF(ISNUMBER(SEARCH($H$2,A13)),MAX($B$1:B12)+1,0)</f>
        <v>10</v>
      </c>
      <c r="D13" t="str">
        <f>_xlfn.IFNA(INDEX(Table24[Nume],MATCH(ROW(J12),Table24[Workings],0)),"")</f>
        <v>Platou Minipraji 5 Persoane</v>
      </c>
    </row>
    <row r="14" spans="1:8" x14ac:dyDescent="0.35">
      <c r="A14" s="2849" t="s">
        <v>11184</v>
      </c>
      <c r="B14" s="2850">
        <f>IF(ISNUMBER(SEARCH($H$2,A14)),MAX($B$1:B13)+1,0)</f>
        <v>11</v>
      </c>
      <c r="D14" t="str">
        <f>_xlfn.IFNA(INDEX(Table24[Nume],MATCH(ROW(J13),Table24[Workings],0)),"")</f>
        <v>Platou Minipraji Cafea 10 Persoane</v>
      </c>
    </row>
    <row r="15" spans="1:8" x14ac:dyDescent="0.35">
      <c r="A15" s="2849" t="s">
        <v>11096</v>
      </c>
      <c r="B15" s="2850">
        <f>IF(ISNUMBER(SEARCH($H$2,A15)),MAX($B$1:B14)+1,0)</f>
        <v>12</v>
      </c>
      <c r="D15" t="str">
        <f>_xlfn.IFNA(INDEX(Table24[Nume],MATCH(ROW(J14),Table24[Workings],0)),"")</f>
        <v>Platou Minipraji Clasice 1
(5 x Rumba ||5 x  lamaita ||5 x foi miere||5 x mini eclere||5  x miniexcelent)</v>
      </c>
    </row>
    <row r="16" spans="1:8" ht="29" x14ac:dyDescent="0.35">
      <c r="A16" s="2849" t="s">
        <v>11097</v>
      </c>
      <c r="B16" s="2850">
        <f>IF(ISNUMBER(SEARCH($H$2,A16)),MAX($B$1:B15)+1,0)</f>
        <v>13</v>
      </c>
      <c r="D16" t="str">
        <f>_xlfn.IFNA(INDEX(Table24[Nume],MATCH(ROW(J15),Table24[Workings],0)),"")</f>
        <v>Platou Minipraji Torturi Patrate 
Clasice II (framboisier/carrot cake/cheesecake/ straciatella)</v>
      </c>
    </row>
    <row r="17" spans="1:4" ht="58" x14ac:dyDescent="0.35">
      <c r="A17" s="2849" t="s">
        <v>11098</v>
      </c>
      <c r="B17" s="2850">
        <f>IF(ISNUMBER(SEARCH($H$2,A17)),MAX($B$1:B16)+1,0)</f>
        <v>14</v>
      </c>
      <c r="D17" t="str">
        <f>_xlfn.IFNA(INDEX(Table24[Nume],MATCH(ROW(J16),Table24[Workings],0)),"")</f>
        <v>Platou Raw-Vegan Mare</v>
      </c>
    </row>
    <row r="18" spans="1:4" ht="43.5" x14ac:dyDescent="0.35">
      <c r="A18" s="2849" t="s">
        <v>11099</v>
      </c>
      <c r="B18" s="2850">
        <f>IF(ISNUMBER(SEARCH($H$2,A18)),MAX($B$1:B17)+1,0)</f>
        <v>15</v>
      </c>
      <c r="D18" t="str">
        <f>_xlfn.IFNA(INDEX(Table24[Nume],MATCH(ROW(J17),Table24[Workings],0)),"")</f>
        <v>Platou Raw-Vegan Mic - 9 prajituri</v>
      </c>
    </row>
    <row r="19" spans="1:4" x14ac:dyDescent="0.35">
      <c r="A19" s="2849" t="s">
        <v>11100</v>
      </c>
      <c r="B19" s="2850">
        <f>IF(ISNUMBER(SEARCH($H$2,A19)),MAX($B$1:B18)+1,0)</f>
        <v>16</v>
      </c>
      <c r="D19" t="str">
        <f>_xlfn.IFNA(INDEX(Table24[Nume],MATCH(ROW(J18),Table24[Workings],0)),"")</f>
        <v>Praji Diabetici</v>
      </c>
    </row>
    <row r="20" spans="1:4" x14ac:dyDescent="0.35">
      <c r="A20" s="2849" t="s">
        <v>11101</v>
      </c>
      <c r="B20" s="2850">
        <f>IF(ISNUMBER(SEARCH($H$2,A20)),MAX($B$1:B19)+1,0)</f>
        <v>17</v>
      </c>
      <c r="D20" t="str">
        <f>_xlfn.IFNA(INDEX(Table24[Nume],MATCH(ROW(J19),Table24[Workings],0)),"")</f>
        <v>Prajitura Amandina</v>
      </c>
    </row>
    <row r="21" spans="1:4" x14ac:dyDescent="0.35">
      <c r="A21" s="2849" t="s">
        <v>11175</v>
      </c>
      <c r="B21" s="2853">
        <f>IF(ISNUMBER(SEARCH($H$2,A21)),MAX($B$1:B20)+1,0)</f>
        <v>18</v>
      </c>
      <c r="D21" t="str">
        <f>_xlfn.IFNA(INDEX(Table24[Nume],MATCH(ROW(J20),Table24[Workings],0)),"")</f>
        <v>Prajitura Cafina</v>
      </c>
    </row>
    <row r="22" spans="1:4" x14ac:dyDescent="0.35">
      <c r="A22" s="2849" t="s">
        <v>11102</v>
      </c>
      <c r="B22" s="2850">
        <f>IF(ISNUMBER(SEARCH($H$2,A22)),MAX($B$1:B21)+1,0)</f>
        <v>19</v>
      </c>
      <c r="D22" t="str">
        <f>_xlfn.IFNA(INDEX(Table24[Nume],MATCH(ROW(J21),Table24[Workings],0)),"")</f>
        <v>Prajitura Chec</v>
      </c>
    </row>
    <row r="23" spans="1:4" x14ac:dyDescent="0.35">
      <c r="A23" s="2849" t="s">
        <v>11103</v>
      </c>
      <c r="B23" s="2850">
        <f>IF(ISNUMBER(SEARCH($H$2,A23)),MAX($B$1:B22)+1,0)</f>
        <v>20</v>
      </c>
      <c r="D23" t="str">
        <f>_xlfn.IFNA(INDEX(Table24[Nume],MATCH(ROW(J22),Table24[Workings],0)),"")</f>
        <v>Prajitura Cheese Cake</v>
      </c>
    </row>
    <row r="24" spans="1:4" x14ac:dyDescent="0.35">
      <c r="A24" s="2849" t="s">
        <v>11104</v>
      </c>
      <c r="B24" s="2850">
        <f>IF(ISNUMBER(SEARCH($H$2,A24)),MAX($B$1:B23)+1,0)</f>
        <v>21</v>
      </c>
      <c r="D24" t="str">
        <f>_xlfn.IFNA(INDEX(Table24[Nume],MATCH(ROW(J23),Table24[Workings],0)),"")</f>
        <v>Prajitura Ciocolatina</v>
      </c>
    </row>
    <row r="25" spans="1:4" x14ac:dyDescent="0.35">
      <c r="A25" s="2849" t="s">
        <v>11105</v>
      </c>
      <c r="B25" s="2850">
        <f>IF(ISNUMBER(SEARCH($H$2,A25)),MAX($B$1:B24)+1,0)</f>
        <v>22</v>
      </c>
      <c r="D25" t="str">
        <f>_xlfn.IFNA(INDEX(Table24[Nume],MATCH(ROW(J24),Table24[Workings],0)),"")</f>
        <v>Prajitura Cornulete 100 gr</v>
      </c>
    </row>
    <row r="26" spans="1:4" x14ac:dyDescent="0.35">
      <c r="A26" s="2849" t="s">
        <v>11106</v>
      </c>
      <c r="B26" s="2850">
        <f>IF(ISNUMBER(SEARCH($H$2,A26)),MAX($B$1:B25)+1,0)</f>
        <v>23</v>
      </c>
      <c r="D26" t="str">
        <f>_xlfn.IFNA(INDEX(Table24[Nume],MATCH(ROW(J25),Table24[Workings],0)),"")</f>
        <v>Prajitura Cozonac Raw-Veg Caju si Mac</v>
      </c>
    </row>
    <row r="27" spans="1:4" x14ac:dyDescent="0.35">
      <c r="A27" s="2849" t="s">
        <v>11107</v>
      </c>
      <c r="B27" s="2850">
        <f>IF(ISNUMBER(SEARCH($H$2,A27)),MAX($B$1:B26)+1,0)</f>
        <v>24</v>
      </c>
      <c r="D27" t="str">
        <f>_xlfn.IFNA(INDEX(Table24[Nume],MATCH(ROW(J26),Table24[Workings],0)),"")</f>
        <v>Prajitura Cozonac Raw-veg Nuca</v>
      </c>
    </row>
    <row r="28" spans="1:4" ht="29" x14ac:dyDescent="0.35">
      <c r="A28" s="2849" t="s">
        <v>11108</v>
      </c>
      <c r="B28" s="2850">
        <f>IF(ISNUMBER(SEARCH($H$2,A28)),MAX($B$1:B27)+1,0)</f>
        <v>25</v>
      </c>
      <c r="D28" t="str">
        <f>_xlfn.IFNA(INDEX(Table24[Nume],MATCH(ROW(J27),Table24[Workings],0)),"")</f>
        <v>Prajitura Cozonac Raw-Veg Turmeric</v>
      </c>
    </row>
    <row r="29" spans="1:4" x14ac:dyDescent="0.35">
      <c r="A29" s="2849" t="s">
        <v>11109</v>
      </c>
      <c r="B29" s="2850">
        <f>IF(ISNUMBER(SEARCH($H$2,A29)),MAX($B$1:B28)+1,0)</f>
        <v>26</v>
      </c>
      <c r="D29" t="str">
        <f>_xlfn.IFNA(INDEX(Table24[Nume],MATCH(ROW(J28),Table24[Workings],0)),"")</f>
        <v>Prajitura Cremsnit</v>
      </c>
    </row>
    <row r="30" spans="1:4" ht="29" x14ac:dyDescent="0.35">
      <c r="A30" s="2849" t="s">
        <v>11110</v>
      </c>
      <c r="B30" s="2850">
        <f>IF(ISNUMBER(SEARCH($H$2,A30)),MAX($B$1:B29)+1,0)</f>
        <v>27</v>
      </c>
      <c r="D30" t="str">
        <f>_xlfn.IFNA(INDEX(Table24[Nume],MATCH(ROW(J29),Table24[Workings],0)),"")</f>
        <v>Prajitura Ecler Cafea</v>
      </c>
    </row>
    <row r="31" spans="1:4" x14ac:dyDescent="0.35">
      <c r="A31" s="2849" t="s">
        <v>11111</v>
      </c>
      <c r="B31" s="2850">
        <f>IF(ISNUMBER(SEARCH($H$2,A31)),MAX($B$1:B30)+1,0)</f>
        <v>28</v>
      </c>
      <c r="D31" t="str">
        <f>_xlfn.IFNA(INDEX(Table24[Nume],MATCH(ROW(J30),Table24[Workings],0)),"")</f>
        <v xml:space="preserve">Prajitura Ecler Ciocolata </v>
      </c>
    </row>
    <row r="32" spans="1:4" x14ac:dyDescent="0.35">
      <c r="A32" s="2849" t="s">
        <v>11112</v>
      </c>
      <c r="B32" s="2850">
        <f>IF(ISNUMBER(SEARCH($H$2,A32)),MAX($B$1:B31)+1,0)</f>
        <v>29</v>
      </c>
      <c r="D32" t="str">
        <f>_xlfn.IFNA(INDEX(Table24[Nume],MATCH(ROW(J31),Table24[Workings],0)),"")</f>
        <v>Prajitura Fursecuri 100 gr</v>
      </c>
    </row>
    <row r="33" spans="1:4" x14ac:dyDescent="0.35">
      <c r="A33" s="2849" t="s">
        <v>11113</v>
      </c>
      <c r="B33" s="2850">
        <f>IF(ISNUMBER(SEARCH($H$2,A33)),MAX($B$1:B32)+1,0)</f>
        <v>30</v>
      </c>
      <c r="D33" t="str">
        <f>_xlfn.IFNA(INDEX(Table24[Nume],MATCH(ROW(J32),Table24[Workings],0)),"")</f>
        <v>Prajitura Indiana</v>
      </c>
    </row>
    <row r="34" spans="1:4" x14ac:dyDescent="0.35">
      <c r="A34" s="2849" t="s">
        <v>11114</v>
      </c>
      <c r="B34" s="2850">
        <f>IF(ISNUMBER(SEARCH($H$2,A34)),MAX($B$1:B33)+1,0)</f>
        <v>31</v>
      </c>
      <c r="D34" t="str">
        <f>_xlfn.IFNA(INDEX(Table24[Nume],MATCH(ROW(J33),Table24[Workings],0)),"")</f>
        <v>Prajitura Macarons Mix</v>
      </c>
    </row>
    <row r="35" spans="1:4" x14ac:dyDescent="0.35">
      <c r="A35" s="2849" t="s">
        <v>11115</v>
      </c>
      <c r="B35" s="2850">
        <f>IF(ISNUMBER(SEARCH($H$2,A35)),MAX($B$1:B34)+1,0)</f>
        <v>32</v>
      </c>
      <c r="D35" t="str">
        <f>_xlfn.IFNA(INDEX(Table24[Nume],MATCH(ROW(J34),Table24[Workings],0)),"")</f>
        <v>Prajitura Mont Blanc</v>
      </c>
    </row>
    <row r="36" spans="1:4" x14ac:dyDescent="0.35">
      <c r="A36" s="2849" t="s">
        <v>11116</v>
      </c>
      <c r="B36" s="2850">
        <f>IF(ISNUMBER(SEARCH($H$2,A36)),MAX($B$1:B35)+1,0)</f>
        <v>33</v>
      </c>
      <c r="D36" t="str">
        <f>_xlfn.IFNA(INDEX(Table24[Nume],MATCH(ROW(J35),Table24[Workings],0)),"")</f>
        <v>Prajitura Opera</v>
      </c>
    </row>
    <row r="37" spans="1:4" x14ac:dyDescent="0.35">
      <c r="A37" s="2849" t="s">
        <v>11117</v>
      </c>
      <c r="B37" s="2850">
        <f>IF(ISNUMBER(SEARCH($H$2,A37)),MAX($B$1:B36)+1,0)</f>
        <v>34</v>
      </c>
      <c r="D37" t="str">
        <f>_xlfn.IFNA(INDEX(Table24[Nume],MATCH(ROW(J36),Table24[Workings],0)),"")</f>
        <v>Prajitura Raw Vegan Pistachio Pillow</v>
      </c>
    </row>
    <row r="38" spans="1:4" x14ac:dyDescent="0.35">
      <c r="A38" s="2849" t="s">
        <v>11118</v>
      </c>
      <c r="B38" s="2850">
        <f>IF(ISNUMBER(SEARCH($H$2,A38)),MAX($B$1:B37)+1,0)</f>
        <v>35</v>
      </c>
      <c r="D38" t="str">
        <f>_xlfn.IFNA(INDEX(Table24[Nume],MATCH(ROW(J37),Table24[Workings],0)),"")</f>
        <v>Prajitura Savarina</v>
      </c>
    </row>
    <row r="39" spans="1:4" ht="29" x14ac:dyDescent="0.35">
      <c r="A39" s="2849" t="s">
        <v>11119</v>
      </c>
      <c r="B39" s="2850">
        <f>IF(ISNUMBER(SEARCH($H$2,A39)),MAX($B$1:B38)+1,0)</f>
        <v>36</v>
      </c>
      <c r="D39" t="str">
        <f>_xlfn.IFNA(INDEX(Table24[Nume],MATCH(ROW(J38),Table24[Workings],0)),"")</f>
        <v>Prajitura Tarta Capsuni</v>
      </c>
    </row>
    <row r="40" spans="1:4" x14ac:dyDescent="0.35">
      <c r="A40" s="2849" t="s">
        <v>11120</v>
      </c>
      <c r="B40" s="2850">
        <f>IF(ISNUMBER(SEARCH($H$2,A40)),MAX($B$1:B39)+1,0)</f>
        <v>37</v>
      </c>
      <c r="D40" t="str">
        <f>_xlfn.IFNA(INDEX(Table24[Nume],MATCH(ROW(J39),Table24[Workings],0)),"")</f>
        <v>Prajitura Tarta Ciocolata</v>
      </c>
    </row>
    <row r="41" spans="1:4" x14ac:dyDescent="0.35">
      <c r="A41" s="2849" t="s">
        <v>11121</v>
      </c>
      <c r="B41" s="2850">
        <f>IF(ISNUMBER(SEARCH($H$2,A41)),MAX($B$1:B40)+1,0)</f>
        <v>38</v>
      </c>
      <c r="D41" t="str">
        <f>_xlfn.IFNA(INDEX(Table24[Nume],MATCH(ROW(J40),Table24[Workings],0)),"")</f>
        <v>Prajitura Tarta Citron</v>
      </c>
    </row>
    <row r="42" spans="1:4" x14ac:dyDescent="0.35">
      <c r="A42" s="2849" t="s">
        <v>11122</v>
      </c>
      <c r="B42" s="2850">
        <f>IF(ISNUMBER(SEARCH($H$2,A42)),MAX($B$1:B41)+1,0)</f>
        <v>39</v>
      </c>
      <c r="D42" t="str">
        <f>_xlfn.IFNA(INDEX(Table24[Nume],MATCH(ROW(J41),Table24[Workings],0)),"")</f>
        <v>Prajitura Tarta Fistic</v>
      </c>
    </row>
    <row r="43" spans="1:4" x14ac:dyDescent="0.35">
      <c r="A43" s="2849" t="s">
        <v>11123</v>
      </c>
      <c r="B43" s="2850">
        <f>IF(ISNUMBER(SEARCH($H$2,A43)),MAX($B$1:B42)+1,0)</f>
        <v>40</v>
      </c>
      <c r="D43" t="str">
        <f>_xlfn.IFNA(INDEX(Table24[Nume],MATCH(ROW(J42),Table24[Workings],0)),"")</f>
        <v>Prajitura Tarta Fructe de Padure</v>
      </c>
    </row>
    <row r="44" spans="1:4" x14ac:dyDescent="0.35">
      <c r="A44" s="2849" t="s">
        <v>11124</v>
      </c>
      <c r="B44" s="2850">
        <f>IF(ISNUMBER(SEARCH($H$2,A44)),MAX($B$1:B43)+1,0)</f>
        <v>41</v>
      </c>
      <c r="D44" t="str">
        <f>_xlfn.IFNA(INDEX(Table24[Nume],MATCH(ROW(J43),Table24[Workings],0)),"")</f>
        <v>Prajitura Tarta Fructe Exotice</v>
      </c>
    </row>
    <row r="45" spans="1:4" x14ac:dyDescent="0.35">
      <c r="A45" s="2849" t="s">
        <v>11125</v>
      </c>
      <c r="B45" s="2850">
        <f>IF(ISNUMBER(SEARCH($H$2,A45)),MAX($B$1:B44)+1,0)</f>
        <v>42</v>
      </c>
      <c r="D45" t="str">
        <f>_xlfn.IFNA(INDEX(Table24[Nume],MATCH(ROW(J44),Table24[Workings],0)),"")</f>
        <v>Prajitura Tarta Zmeura</v>
      </c>
    </row>
    <row r="46" spans="1:4" x14ac:dyDescent="0.35">
      <c r="A46" s="2849" t="s">
        <v>11126</v>
      </c>
      <c r="B46" s="2850">
        <f>IF(ISNUMBER(SEARCH($H$2,A46)),MAX($B$1:B45)+1,0)</f>
        <v>43</v>
      </c>
      <c r="D46" t="str">
        <f>_xlfn.IFNA(INDEX(Table24[Nume],MATCH(ROW(J45),Table24[Workings],0)),"")</f>
        <v>Raw-Vegan Cashew Stone</v>
      </c>
    </row>
    <row r="47" spans="1:4" x14ac:dyDescent="0.35">
      <c r="A47" s="2849" t="s">
        <v>11127</v>
      </c>
      <c r="B47" s="2850">
        <f>IF(ISNUMBER(SEARCH($H$2,A47)),MAX($B$1:B46)+1,0)</f>
        <v>44</v>
      </c>
      <c r="D47" t="str">
        <f>_xlfn.IFNA(INDEX(Table24[Nume],MATCH(ROW(J46),Table24[Workings],0)),"")</f>
        <v>Tort Amandina 1.8 kg</v>
      </c>
    </row>
    <row r="48" spans="1:4" x14ac:dyDescent="0.35">
      <c r="A48" s="2849" t="s">
        <v>11128</v>
      </c>
      <c r="B48" s="2850">
        <f>IF(ISNUMBER(SEARCH($H$2,A48)),MAX($B$1:B47)+1,0)</f>
        <v>45</v>
      </c>
      <c r="D48" t="str">
        <f>_xlfn.IFNA(INDEX(Table24[Nume],MATCH(ROW(J47),Table24[Workings],0)),"")</f>
        <v>Tort Bailey's 1.2 kg</v>
      </c>
    </row>
    <row r="49" spans="1:4" x14ac:dyDescent="0.35">
      <c r="A49" s="2849" t="s">
        <v>11203</v>
      </c>
      <c r="B49" s="2850">
        <f>IF(ISNUMBER(SEARCH($H$2,A49)),MAX($B$1:B48)+1,0)</f>
        <v>46</v>
      </c>
      <c r="D49" t="str">
        <f>_xlfn.IFNA(INDEX(Table24[Nume],MATCH(ROW(J48),Table24[Workings],0)),"")</f>
        <v>Tort Bailey's 1.8 kg</v>
      </c>
    </row>
    <row r="50" spans="1:4" x14ac:dyDescent="0.35">
      <c r="A50" s="2849" t="s">
        <v>11130</v>
      </c>
      <c r="B50" s="2850">
        <f>IF(ISNUMBER(SEARCH($H$2,A50)),MAX($B$1:B49)+1,0)</f>
        <v>47</v>
      </c>
      <c r="D50" t="str">
        <f>_xlfn.IFNA(INDEX(Table24[Nume],MATCH(ROW(J49),Table24[Workings],0)),"")</f>
        <v>Tort Bailey's 2.5 kg</v>
      </c>
    </row>
    <row r="51" spans="1:4" x14ac:dyDescent="0.35">
      <c r="A51" s="2849" t="s">
        <v>11204</v>
      </c>
      <c r="B51" s="2850">
        <f>IF(ISNUMBER(SEARCH($H$2,A51)),MAX($B$1:B50)+1,0)</f>
        <v>48</v>
      </c>
      <c r="D51" t="str">
        <f>_xlfn.IFNA(INDEX(Table24[Nume],MATCH(ROW(J50),Table24[Workings],0)),"")</f>
        <v xml:space="preserve">Tort Berry Chocolate 1.8 kg </v>
      </c>
    </row>
    <row r="52" spans="1:4" x14ac:dyDescent="0.35">
      <c r="A52" s="2849" t="s">
        <v>11237</v>
      </c>
      <c r="B52" s="2853">
        <f>IF(ISNUMBER(SEARCH($H$2,A52)),MAX($B$1:B51)+1,0)</f>
        <v>49</v>
      </c>
    </row>
    <row r="53" spans="1:4" x14ac:dyDescent="0.35">
      <c r="A53" s="2849" t="s">
        <v>11132</v>
      </c>
      <c r="B53" s="2850">
        <f>IF(ISNUMBER(SEARCH($H$2,A53)),MAX($B$1:B51)+1,0)</f>
        <v>49</v>
      </c>
      <c r="D53" t="str">
        <f>_xlfn.IFNA(INDEX(Table24[Nume],MATCH(ROW(J51),Table24[Workings],0)),"")</f>
        <v>Tort Black Forest 1.2 kg</v>
      </c>
    </row>
    <row r="54" spans="1:4" x14ac:dyDescent="0.35">
      <c r="A54" s="2849" t="s">
        <v>11205</v>
      </c>
      <c r="B54" s="2850">
        <f>IF(ISNUMBER(SEARCH($H$2,A54)),MAX($B$1:B53)+1,0)</f>
        <v>50</v>
      </c>
      <c r="D54" t="str">
        <f>_xlfn.IFNA(INDEX(Table24[Nume],MATCH(ROW(J53),Table24[Workings],0)),"")</f>
        <v>Tort Black Jack 1.2 kg</v>
      </c>
    </row>
    <row r="55" spans="1:4" x14ac:dyDescent="0.35">
      <c r="A55" s="2849" t="s">
        <v>11134</v>
      </c>
      <c r="B55" s="2850">
        <f>IF(ISNUMBER(SEARCH($H$2,A55)),MAX($B$1:B54)+1,0)</f>
        <v>51</v>
      </c>
      <c r="D55" t="str">
        <f>_xlfn.IFNA(INDEX(Table24[Nume],MATCH(ROW(J54),Table24[Workings],0)),"")</f>
        <v>Tort Black Jack 1.8 kg</v>
      </c>
    </row>
    <row r="56" spans="1:4" x14ac:dyDescent="0.35">
      <c r="A56" s="2849" t="s">
        <v>11206</v>
      </c>
      <c r="B56" s="2850">
        <f>IF(ISNUMBER(SEARCH($H$2,A56)),MAX($B$1:B55)+1,0)</f>
        <v>52</v>
      </c>
      <c r="D56" t="str">
        <f>_xlfn.IFNA(INDEX(Table24[Nume],MATCH(ROW(J55),Table24[Workings],0)),"")</f>
        <v>Tort Cheese Cake 1.2 kg</v>
      </c>
    </row>
    <row r="57" spans="1:4" x14ac:dyDescent="0.35">
      <c r="A57" s="2849" t="s">
        <v>11136</v>
      </c>
      <c r="B57" s="2850">
        <f>IF(ISNUMBER(SEARCH($H$2,A57)),MAX($B$1:B56)+1,0)</f>
        <v>53</v>
      </c>
      <c r="D57" t="str">
        <f>_xlfn.IFNA(INDEX(Table24[Nume],MATCH(ROW(J56),Table24[Workings],0)),"")</f>
        <v>Tort Chocolate Delight 1.8 kg</v>
      </c>
    </row>
    <row r="58" spans="1:4" x14ac:dyDescent="0.35">
      <c r="A58" s="2849" t="s">
        <v>11207</v>
      </c>
      <c r="B58" s="2850">
        <f>IF(ISNUMBER(SEARCH($H$2,A58)),MAX($B$1:B57)+1,0)</f>
        <v>54</v>
      </c>
      <c r="D58" t="str">
        <f>_xlfn.IFNA(INDEX(Table24[Nume],MATCH(ROW(J57),Table24[Workings],0)),"")</f>
        <v>Tort Chocolate Fiesta 1.2 kg</v>
      </c>
    </row>
    <row r="59" spans="1:4" x14ac:dyDescent="0.35">
      <c r="A59" s="2849" t="s">
        <v>11238</v>
      </c>
      <c r="B59" s="2853">
        <f>IF(ISNUMBER(SEARCH($H$2,A59)),MAX($B$1:B58)+1,0)</f>
        <v>55</v>
      </c>
    </row>
    <row r="60" spans="1:4" x14ac:dyDescent="0.35">
      <c r="A60" s="2849" t="s">
        <v>11239</v>
      </c>
      <c r="B60" s="2853">
        <f>IF(ISNUMBER(SEARCH($H$2,A60)),MAX($B$1:B58)+1,0)</f>
        <v>55</v>
      </c>
    </row>
    <row r="61" spans="1:4" x14ac:dyDescent="0.35">
      <c r="A61" s="2849" t="s">
        <v>11240</v>
      </c>
      <c r="B61" s="2853">
        <f>IF(ISNUMBER(SEARCH($H$2,A61)),MAX($B$1:B58)+1,0)</f>
        <v>55</v>
      </c>
    </row>
    <row r="62" spans="1:4" x14ac:dyDescent="0.35">
      <c r="A62" s="2849" t="s">
        <v>11138</v>
      </c>
      <c r="B62" s="2850">
        <f>IF(ISNUMBER(SEARCH($H$2,A62)),MAX($B$1:B58)+1,0)</f>
        <v>55</v>
      </c>
      <c r="D62" t="str">
        <f>_xlfn.IFNA(INDEX(Table24[Nume],MATCH(ROW(J58),Table24[Workings],0)),"")</f>
        <v>Tort Chocolate Fiesta 1.8 kg</v>
      </c>
    </row>
    <row r="63" spans="1:4" x14ac:dyDescent="0.35">
      <c r="A63" s="2849" t="s">
        <v>11208</v>
      </c>
      <c r="B63" s="2850">
        <f>IF(ISNUMBER(SEARCH($H$2,A63)),MAX($B$1:B62)+1,0)</f>
        <v>56</v>
      </c>
      <c r="D63" t="str">
        <f>_xlfn.IFNA(INDEX(Table24[Nume],MATCH(ROW(J62),Table24[Workings],0)),"")</f>
        <v>Tort Ciocolata si Rom 1.8 kg</v>
      </c>
    </row>
    <row r="64" spans="1:4" x14ac:dyDescent="0.35">
      <c r="A64" s="2849" t="s">
        <v>11140</v>
      </c>
      <c r="B64" s="2850">
        <f>IF(ISNUMBER(SEARCH($H$2,A64)),MAX($B$1:B63)+1,0)</f>
        <v>57</v>
      </c>
      <c r="D64" t="str">
        <f>_xlfn.IFNA(INDEX(Table24[Nume],MATCH(ROW(J63),Table24[Workings],0)),"")</f>
        <v>Tort Citron 1.8 kg</v>
      </c>
    </row>
    <row r="65" spans="1:4" x14ac:dyDescent="0.35">
      <c r="A65" s="2849" t="s">
        <v>11209</v>
      </c>
      <c r="B65" s="2850">
        <f>IF(ISNUMBER(SEARCH($H$2,A65)),MAX($B$1:B64)+1,0)</f>
        <v>58</v>
      </c>
      <c r="D65" t="str">
        <f>_xlfn.IFNA(INDEX(Table24[Nume],MATCH(ROW(J64),Table24[Workings],0)),"")</f>
        <v>Tort Compozitie speciala Georgiana 1.2 kg</v>
      </c>
    </row>
    <row r="66" spans="1:4" x14ac:dyDescent="0.35">
      <c r="A66" s="2849" t="s">
        <v>11236</v>
      </c>
      <c r="B66" s="2853">
        <f>IF(ISNUMBER(SEARCH($H$2,A66)),MAX($B$1:B65)+1,0)</f>
        <v>59</v>
      </c>
    </row>
    <row r="67" spans="1:4" x14ac:dyDescent="0.35">
      <c r="A67" s="2849" t="s">
        <v>11142</v>
      </c>
      <c r="B67" s="2850">
        <f>IF(ISNUMBER(SEARCH($H$2,A67)),MAX($B$1:B65)+1,0)</f>
        <v>59</v>
      </c>
      <c r="D67" t="str">
        <f>_xlfn.IFNA(INDEX(Table24[Nume],MATCH(ROW(J65),Table24[Workings],0)),"")</f>
        <v>Tort Compozitie speciala Georgiana 2 kg</v>
      </c>
    </row>
    <row r="68" spans="1:4" ht="29" x14ac:dyDescent="0.35">
      <c r="A68" s="2849" t="s">
        <v>11210</v>
      </c>
      <c r="B68" s="2850">
        <f>IF(ISNUMBER(SEARCH($H$2,A68)),MAX($B$1:B67)+1,0)</f>
        <v>60</v>
      </c>
      <c r="D68" t="str">
        <f>_xlfn.IFNA(INDEX(Table24[Nume],MATCH(ROW(J67),Table24[Workings],0)),"")</f>
        <v>Tort Duo Mousse Visine 1.8 kg</v>
      </c>
    </row>
    <row r="69" spans="1:4" x14ac:dyDescent="0.35">
      <c r="A69" s="2849" t="s">
        <v>11247</v>
      </c>
      <c r="B69" s="2853">
        <f>IF(ISNUMBER(SEARCH($H$2,A69)),MAX($B$1:B68)+1,0)</f>
        <v>61</v>
      </c>
    </row>
    <row r="70" spans="1:4" x14ac:dyDescent="0.35">
      <c r="A70" s="2849" t="s">
        <v>11248</v>
      </c>
      <c r="B70" s="2853">
        <f>IF(ISNUMBER(SEARCH($H$2,A70)),MAX($B$1:B69)+1,0)</f>
        <v>62</v>
      </c>
    </row>
    <row r="71" spans="1:4" x14ac:dyDescent="0.35">
      <c r="A71" s="2849" t="s">
        <v>11249</v>
      </c>
      <c r="B71" s="2853">
        <f>IF(ISNUMBER(SEARCH($H$2,A71)),MAX($B$1:B68)+1,0)</f>
        <v>61</v>
      </c>
    </row>
    <row r="72" spans="1:4" x14ac:dyDescent="0.35">
      <c r="A72" s="2849" t="s">
        <v>11144</v>
      </c>
      <c r="B72" s="2850">
        <f>IF(ISNUMBER(SEARCH($H$2,A72)),MAX($B$1:B68)+1,0)</f>
        <v>61</v>
      </c>
      <c r="D72" t="str">
        <f>_xlfn.IFNA(INDEX(Table24[Nume],MATCH(ROW(J68),Table24[Workings],0)),"")</f>
        <v>Tort Duo Mousse Visine 2.5 kg</v>
      </c>
    </row>
    <row r="73" spans="1:4" x14ac:dyDescent="0.35">
      <c r="A73" s="2849" t="s">
        <v>11211</v>
      </c>
      <c r="B73" s="2850">
        <f>IF(ISNUMBER(SEARCH($H$2,A73)),MAX($B$1:B72)+1,0)</f>
        <v>63</v>
      </c>
      <c r="D73" t="str">
        <f>_xlfn.IFNA(INDEX(Table24[Nume],MATCH(ROW(J72),Table24[Workings],0)),"")</f>
        <v>Tort Honney 1.2 kg</v>
      </c>
    </row>
    <row r="74" spans="1:4" ht="29" x14ac:dyDescent="0.35">
      <c r="A74" s="2849" t="s">
        <v>11146</v>
      </c>
      <c r="B74" s="2850">
        <f>IF(ISNUMBER(SEARCH($H$2,A74)),MAX($B$1:B73)+1,0)</f>
        <v>64</v>
      </c>
      <c r="D74" t="str">
        <f>_xlfn.IFNA(INDEX(Table24[Nume],MATCH(ROW(J73),Table24[Workings],0)),"")</f>
        <v>Tort Honney 1.8 kg</v>
      </c>
    </row>
    <row r="75" spans="1:4" ht="29" x14ac:dyDescent="0.35">
      <c r="A75" s="2849" t="s">
        <v>11147</v>
      </c>
      <c r="B75" s="2850">
        <f>IF(ISNUMBER(SEARCH($H$2,A75)),MAX($B$1:B74)+1,0)</f>
        <v>65</v>
      </c>
      <c r="D75" t="str">
        <f>_xlfn.IFNA(INDEX(Table24[Nume],MATCH(ROW(J74),Table24[Workings],0)),"")</f>
        <v>Tort Inima Tonka 700 gr</v>
      </c>
    </row>
    <row r="76" spans="1:4" x14ac:dyDescent="0.35">
      <c r="A76" s="2849" t="s">
        <v>11261</v>
      </c>
      <c r="B76" s="2853">
        <f>IF(ISNUMBER(SEARCH($H$2,A76)),MAX($B$1:B75)+1,0)</f>
        <v>66</v>
      </c>
    </row>
    <row r="77" spans="1:4" x14ac:dyDescent="0.35">
      <c r="A77" s="2849" t="s">
        <v>11262</v>
      </c>
      <c r="B77" s="2853">
        <f>IF(ISNUMBER(SEARCH($H$2,A77)),MAX($B$1:B75)+1,0)</f>
        <v>66</v>
      </c>
    </row>
    <row r="78" spans="1:4" x14ac:dyDescent="0.35">
      <c r="A78" s="2849" t="s">
        <v>11263</v>
      </c>
      <c r="B78" s="2853">
        <f>IF(ISNUMBER(SEARCH($H$2,A78)),MAX($B$1:B75)+1,0)</f>
        <v>66</v>
      </c>
    </row>
    <row r="79" spans="1:4" x14ac:dyDescent="0.35">
      <c r="A79" s="2849" t="s">
        <v>11251</v>
      </c>
      <c r="B79" s="2853">
        <f>IF(ISNUMBER(SEARCH($H$2,A79)),MAX($B$1:B75)+1,0)</f>
        <v>66</v>
      </c>
    </row>
    <row r="80" spans="1:4" x14ac:dyDescent="0.35">
      <c r="A80" s="2849" t="s">
        <v>11252</v>
      </c>
      <c r="B80" s="2853">
        <f>IF(ISNUMBER(SEARCH($H$2,A80)),MAX($B$1:B75)+1,0)</f>
        <v>66</v>
      </c>
    </row>
    <row r="81" spans="1:5" x14ac:dyDescent="0.35">
      <c r="A81" s="2849" t="s">
        <v>11253</v>
      </c>
      <c r="B81" s="2853">
        <f>IF(ISNUMBER(SEARCH($H$2,A81)),MAX($B$1:B75)+1,0)</f>
        <v>66</v>
      </c>
    </row>
    <row r="82" spans="1:5" x14ac:dyDescent="0.35">
      <c r="A82" s="2849" t="s">
        <v>11148</v>
      </c>
      <c r="B82" s="2850">
        <f>IF(ISNUMBER(SEARCH($H$2,A82)),MAX($B$1:B75)+1,0)</f>
        <v>66</v>
      </c>
      <c r="D82" t="str">
        <f>_xlfn.IFNA(INDEX(Table24[Nume],MATCH(ROW(J75),Table24[Workings],0)),"")</f>
        <v>Tort Noisette 1.2 kg</v>
      </c>
    </row>
    <row r="83" spans="1:5" x14ac:dyDescent="0.35">
      <c r="A83" s="2849" t="s">
        <v>11212</v>
      </c>
      <c r="B83" s="2850">
        <f>IF(ISNUMBER(SEARCH($H$2,A83)),MAX($B$1:B82)+1,0)</f>
        <v>67</v>
      </c>
      <c r="D83" t="str">
        <f>_xlfn.IFNA(INDEX(Table24[Nume],MATCH(ROW(J82),Table24[Workings],0)),"")</f>
        <v>Tort Pavlova 1.8 kg</v>
      </c>
    </row>
    <row r="84" spans="1:5" x14ac:dyDescent="0.35">
      <c r="A84" s="2849" t="s">
        <v>11242</v>
      </c>
      <c r="B84" s="2853">
        <f>IF(ISNUMBER(SEARCH($H$2,A84)),MAX($B$1:B83)+1,0)</f>
        <v>68</v>
      </c>
    </row>
    <row r="85" spans="1:5" x14ac:dyDescent="0.35">
      <c r="A85" s="2849" t="s">
        <v>11150</v>
      </c>
      <c r="B85" s="2850">
        <f>IF(ISNUMBER(SEARCH($H$2,A85)),MAX($B$1:B83)+1,0)</f>
        <v>68</v>
      </c>
      <c r="D85" t="str">
        <f>_xlfn.IFNA(INDEX(Table24[Nume],MATCH(ROW(J83),Table24[Workings],0)),"")</f>
        <v>Tort Pavlova Mare in Recipient Sticla</v>
      </c>
    </row>
    <row r="86" spans="1:5" x14ac:dyDescent="0.35">
      <c r="A86" s="2849" t="s">
        <v>11213</v>
      </c>
      <c r="B86" s="2850">
        <f>IF(ISNUMBER(SEARCH($H$2,A86)),MAX($B$1:B85)+1,0)</f>
        <v>69</v>
      </c>
      <c r="D86" t="str">
        <f>_xlfn.IFNA(INDEX(Table24[Nume],MATCH(ROW(J85),Table24[Workings],0)),"")</f>
        <v>Tort Raspberry Vanilla 1.2 kg</v>
      </c>
    </row>
    <row r="87" spans="1:5" x14ac:dyDescent="0.35">
      <c r="A87" s="2849" t="s">
        <v>11152</v>
      </c>
      <c r="B87" s="2850">
        <f>IF(ISNUMBER(SEARCH($H$2,A87)),MAX($B$1:B86)+1,0)</f>
        <v>70</v>
      </c>
      <c r="D87" t="str">
        <f>_xlfn.IFNA(INDEX(Table24[Nume],MATCH(ROW(J86),Table24[Workings],0)),"")</f>
        <v>Tort Raspberry Vanilla 1.8 kg</v>
      </c>
    </row>
    <row r="88" spans="1:5" x14ac:dyDescent="0.35">
      <c r="A88" s="2849" t="s">
        <v>11214</v>
      </c>
      <c r="B88" s="2850">
        <f>IF(ISNUMBER(SEARCH($H$2,A88)),MAX($B$1:B87)+1,0)</f>
        <v>71</v>
      </c>
      <c r="D88" t="str">
        <f>_xlfn.IFNA(INDEX(Table24[Nume],MATCH(ROW(J87),Table24[Workings],0)),"")</f>
        <v>Tort Ricota si Fructe Confiate 1.2 kg</v>
      </c>
    </row>
    <row r="89" spans="1:5" x14ac:dyDescent="0.35">
      <c r="A89" s="2849" t="s">
        <v>11154</v>
      </c>
      <c r="B89" s="2850">
        <f>IF(ISNUMBER(SEARCH($H$2,A89)),MAX($B$1:B88)+1,0)</f>
        <v>72</v>
      </c>
      <c r="D89" t="str">
        <f>_xlfn.IFNA(INDEX(Table24[Nume],MATCH(ROW(J88),Table24[Workings],0)),"")</f>
        <v>Tort Ricota si Fructe Confiate 1.8 kg</v>
      </c>
    </row>
    <row r="90" spans="1:5" x14ac:dyDescent="0.35">
      <c r="A90" s="2849" t="s">
        <v>11215</v>
      </c>
      <c r="B90" s="2850">
        <f>IF(ISNUMBER(SEARCH($H$2,A90)),MAX($B$1:B89)+1,0)</f>
        <v>73</v>
      </c>
      <c r="D90" t="str">
        <f>_xlfn.IFNA(INDEX(Table24[Nume],MATCH(ROW(J89),Table24[Workings],0)),"")</f>
        <v>Tort Trio Mousse 1.2 kg</v>
      </c>
    </row>
    <row r="91" spans="1:5" x14ac:dyDescent="0.35">
      <c r="A91" s="2849" t="s">
        <v>11156</v>
      </c>
      <c r="B91" s="2850">
        <f>IF(ISNUMBER(SEARCH($H$2,A91)),MAX($B$1:B90)+1,0)</f>
        <v>74</v>
      </c>
      <c r="D91" t="str">
        <f>_xlfn.IFNA(INDEX(Table24[Nume],MATCH(ROW(J90),Table24[Workings],0)),"")</f>
        <v>Tort Trio Mousse 1.8 kg</v>
      </c>
    </row>
    <row r="92" spans="1:5" x14ac:dyDescent="0.35">
      <c r="A92" s="2849" t="s">
        <v>11157</v>
      </c>
      <c r="B92" s="2850">
        <f>IF(ISNUMBER(SEARCH($H$2,A92)),MAX($B$1:B91)+1,0)</f>
        <v>75</v>
      </c>
      <c r="D92" t="str">
        <f>_xlfn.IFNA(INDEX(Table24[Nume],MATCH(ROW(J91),Table24[Workings],0)),"")</f>
        <v>Torturi Pentru Decor</v>
      </c>
      <c r="E92" s="2844" t="s">
        <v>11084</v>
      </c>
    </row>
    <row r="93" spans="1:5" x14ac:dyDescent="0.35">
      <c r="A93" s="2849" t="s">
        <v>11216</v>
      </c>
      <c r="B93" s="2850">
        <f>IF(ISNUMBER(SEARCH($H$2,A93)),MAX($B$1:B92)+1,0)</f>
        <v>76</v>
      </c>
      <c r="D93" t="str">
        <f>_xlfn.IFNA(INDEX(Table24[Nume],MATCH(ROW(J92),Table24[Workings],0)),"")</f>
        <v>Felie Tarta Mere</v>
      </c>
      <c r="E93" s="2845" t="s">
        <v>11085</v>
      </c>
    </row>
    <row r="94" spans="1:5" ht="29" x14ac:dyDescent="0.35">
      <c r="A94" s="2849" t="s">
        <v>11176</v>
      </c>
      <c r="B94" s="2850">
        <f>IF(ISNUMBER(SEARCH($H$2,A94)),MAX($B$1:B93)+1,0)</f>
        <v>77</v>
      </c>
      <c r="D94" t="str">
        <f>_xlfn.IFNA(INDEX(Table24[Nume],MATCH(ROW(J93),Table24[Workings],0)),"")</f>
        <v>Maxi Tarta Caspuni</v>
      </c>
      <c r="E94" s="2844" t="s">
        <v>11086</v>
      </c>
    </row>
    <row r="95" spans="1:5" ht="29" x14ac:dyDescent="0.35">
      <c r="A95" s="2849" t="s">
        <v>11217</v>
      </c>
      <c r="B95" s="2850">
        <f>IF(ISNUMBER(SEARCH($H$2,A95)),MAX($B$1:B94)+1,0)</f>
        <v>78</v>
      </c>
      <c r="D95" t="str">
        <f>_xlfn.IFNA(INDEX(Table24[Nume],MATCH(ROW(J94),Table24[Workings],0)),"")</f>
        <v>Maxi Tarta Citron</v>
      </c>
      <c r="E95" s="2845" t="s">
        <v>11087</v>
      </c>
    </row>
    <row r="96" spans="1:5" x14ac:dyDescent="0.35">
      <c r="A96" s="2849" t="s">
        <v>11161</v>
      </c>
      <c r="B96" s="2850">
        <f>IF(ISNUMBER(SEARCH($H$2,A96)),MAX($B$1:B95)+1,0)</f>
        <v>79</v>
      </c>
      <c r="D96" t="str">
        <f>_xlfn.IFNA(INDEX(Table24[Nume],MATCH(ROW(J95),Table24[Workings],0)),"")</f>
        <v>Tort Carrot Cake 1.2 kg</v>
      </c>
      <c r="E96" s="2844" t="s">
        <v>11088</v>
      </c>
    </row>
    <row r="97" spans="1:5" x14ac:dyDescent="0.35">
      <c r="A97" s="2849" t="s">
        <v>11218</v>
      </c>
      <c r="B97" s="2850">
        <f>IF(ISNUMBER(SEARCH($H$2,A97)),MAX($B$1:B96)+1,0)</f>
        <v>80</v>
      </c>
      <c r="D97" t="str">
        <f>_xlfn.IFNA(INDEX(Table24[Nume],MATCH(ROW(J96),Table24[Workings],0)),"")</f>
        <v>Felie Tort Raw-Vegan Fistic (100_</v>
      </c>
      <c r="E97" s="2845" t="s">
        <v>11089</v>
      </c>
    </row>
    <row r="98" spans="1:5" x14ac:dyDescent="0.35">
      <c r="A98" s="2849" t="s">
        <v>11235</v>
      </c>
      <c r="B98" s="2853">
        <f>IF(ISNUMBER(SEARCH($H$2,A98)),MAX($B$1:B97)+1,0)</f>
        <v>81</v>
      </c>
      <c r="E98" s="2845"/>
    </row>
    <row r="99" spans="1:5" x14ac:dyDescent="0.35">
      <c r="A99" s="2849" t="s">
        <v>11163</v>
      </c>
      <c r="B99" s="2850">
        <f>IF(ISNUMBER(SEARCH($H$2,A99)),MAX($B$1:B97)+1,0)</f>
        <v>81</v>
      </c>
      <c r="D99" t="str">
        <f>_xlfn.IFNA(INDEX(Table24[Nume],MATCH(ROW(J97),Table24[Workings],0)),"")</f>
        <v>Tort Raw-Vegan Fistic 1 kg</v>
      </c>
      <c r="E99" s="2844" t="s">
        <v>11090</v>
      </c>
    </row>
    <row r="100" spans="1:5" x14ac:dyDescent="0.35">
      <c r="A100" s="2849" t="s">
        <v>11219</v>
      </c>
      <c r="B100" s="2850">
        <f>IF(ISNUMBER(SEARCH($H$2,A100)),MAX($B$1:B99)+1,0)</f>
        <v>82</v>
      </c>
      <c r="D100" t="str">
        <f>_xlfn.IFNA(INDEX(Table24[Nume],MATCH(ROW(J99),Table24[Workings],0)),"")</f>
        <v>Prajitura Choux Vanilie</v>
      </c>
      <c r="E100" s="2845" t="s">
        <v>11091</v>
      </c>
    </row>
    <row r="101" spans="1:5" ht="29" x14ac:dyDescent="0.35">
      <c r="A101" s="2849" t="s">
        <v>11165</v>
      </c>
      <c r="B101" s="2850">
        <f>IF(ISNUMBER(SEARCH($H$2,A101)),MAX($B$1:B100)+1,0)</f>
        <v>83</v>
      </c>
      <c r="D101" t="str">
        <f>_xlfn.IFNA(INDEX(Table24[Nume],MATCH(ROW(J100),Table24[Workings],0)),"")</f>
        <v>Prajitura Choux Ciocolata</v>
      </c>
      <c r="E101" s="2844" t="s">
        <v>8141</v>
      </c>
    </row>
    <row r="102" spans="1:5" ht="29" x14ac:dyDescent="0.35">
      <c r="A102" s="2849" t="s">
        <v>11166</v>
      </c>
      <c r="B102" s="2850">
        <f>IF(ISNUMBER(SEARCH($H$2,A102)),MAX($B$1:B101)+1,0)</f>
        <v>84</v>
      </c>
      <c r="D102" t="str">
        <f>_xlfn.IFNA(INDEX(Table24[Nume],MATCH(ROW(J101),Table24[Workings],0)),"")</f>
        <v>Prajitura Choux Ness</v>
      </c>
      <c r="E102" s="2845" t="s">
        <v>11092</v>
      </c>
    </row>
    <row r="103" spans="1:5" x14ac:dyDescent="0.35">
      <c r="A103" s="2849" t="s">
        <v>11167</v>
      </c>
      <c r="B103" s="2850">
        <f>IF(ISNUMBER(SEARCH($H$2,A103)),MAX($B$1:B102)+1,0)</f>
        <v>85</v>
      </c>
      <c r="D103" t="str">
        <f>_xlfn.IFNA(INDEX(Table24[Nume],MATCH(ROW(J102),Table24[Workings],0)),"")</f>
        <v/>
      </c>
      <c r="E103" s="2844" t="s">
        <v>11093</v>
      </c>
    </row>
    <row r="104" spans="1:5" x14ac:dyDescent="0.35">
      <c r="A104" s="2849" t="s">
        <v>11220</v>
      </c>
      <c r="B104" s="2850">
        <f>IF(ISNUMBER(SEARCH($H$2,A104)),MAX($B$1:B103)+1,0)</f>
        <v>86</v>
      </c>
      <c r="D104" t="str">
        <f>_xlfn.IFNA(INDEX(Table24[Nume],MATCH(ROW(J103),Table24[Workings],0)),"")</f>
        <v/>
      </c>
      <c r="E104" s="2845" t="s">
        <v>11094</v>
      </c>
    </row>
    <row r="105" spans="1:5" ht="29" x14ac:dyDescent="0.35">
      <c r="A105" s="2849" t="s">
        <v>11169</v>
      </c>
      <c r="B105" s="2850">
        <f>IF(ISNUMBER(SEARCH($H$2,A105)),MAX($B$1:B104)+1,0)</f>
        <v>87</v>
      </c>
      <c r="D105" t="str">
        <f>_xlfn.IFNA(INDEX(Table24[Nume],MATCH(ROW(J104),Table24[Workings],0)),"")</f>
        <v/>
      </c>
      <c r="E105" s="2844" t="s">
        <v>11095</v>
      </c>
    </row>
    <row r="106" spans="1:5" ht="29" x14ac:dyDescent="0.35">
      <c r="A106" s="2849" t="s">
        <v>11221</v>
      </c>
      <c r="B106" s="2850">
        <f>IF(ISNUMBER(SEARCH($H$2,A106)),MAX($B$1:B105)+1,0)</f>
        <v>88</v>
      </c>
      <c r="D106" t="str">
        <f>_xlfn.IFNA(INDEX(Table24[Nume],MATCH(ROW(J105),Table24[Workings],0)),"")</f>
        <v/>
      </c>
      <c r="E106" s="2845" t="s">
        <v>11096</v>
      </c>
    </row>
    <row r="107" spans="1:5" x14ac:dyDescent="0.35">
      <c r="A107" s="2849" t="s">
        <v>11171</v>
      </c>
      <c r="B107" s="2850">
        <f>IF(ISNUMBER(SEARCH($H$2,A107)),MAX($B$1:B106)+1,0)</f>
        <v>89</v>
      </c>
      <c r="D107" t="str">
        <f>_xlfn.IFNA(INDEX(Table24[Nume],MATCH(ROW(J106),Table24[Workings],0)),"")</f>
        <v/>
      </c>
      <c r="E107" s="2844" t="s">
        <v>11097</v>
      </c>
    </row>
    <row r="108" spans="1:5" x14ac:dyDescent="0.35">
      <c r="A108" s="2849" t="s">
        <v>11222</v>
      </c>
      <c r="B108" s="2850">
        <f>IF(ISNUMBER(SEARCH($H$2,A108)),MAX($B$1:B107)+1,0)</f>
        <v>90</v>
      </c>
      <c r="D108" t="str">
        <f>_xlfn.IFNA(INDEX(Table24[Nume],MATCH(ROW(J107),Table24[Workings],0)),"")</f>
        <v/>
      </c>
      <c r="E108" s="2845" t="s">
        <v>11098</v>
      </c>
    </row>
    <row r="109" spans="1:5" x14ac:dyDescent="0.35">
      <c r="A109" s="2851" t="s">
        <v>11173</v>
      </c>
      <c r="B109" s="2852">
        <f>IF(ISNUMBER(SEARCH($H$2,A109)),MAX($B$1:B108)+1,0)</f>
        <v>91</v>
      </c>
      <c r="D109" t="str">
        <f>_xlfn.IFNA(INDEX(Table24[Nume],MATCH(ROW(J108),Table24[Workings],0)),"")</f>
        <v/>
      </c>
      <c r="E109" s="2844" t="s">
        <v>11099</v>
      </c>
    </row>
    <row r="110" spans="1:5" x14ac:dyDescent="0.35">
      <c r="A110" s="2849" t="s">
        <v>11179</v>
      </c>
      <c r="B110" s="2853">
        <f>IF(ISNUMBER(SEARCH($H$2,A110)),MAX($B$1:B109)+1,0)</f>
        <v>92</v>
      </c>
      <c r="E110" s="2844"/>
    </row>
    <row r="111" spans="1:5" x14ac:dyDescent="0.35">
      <c r="A111" s="2849" t="s">
        <v>11180</v>
      </c>
      <c r="B111" s="2853">
        <f>IF(ISNUMBER(SEARCH($H$2,A111)),MAX($B$1:B110)+1,0)</f>
        <v>93</v>
      </c>
      <c r="E111" s="2844"/>
    </row>
    <row r="112" spans="1:5" x14ac:dyDescent="0.35">
      <c r="A112" s="2849" t="s">
        <v>11181</v>
      </c>
      <c r="B112" s="2853">
        <f>IF(ISNUMBER(SEARCH($H$2,A112)),MAX($B$1:B111)+1,0)</f>
        <v>94</v>
      </c>
      <c r="E112" s="2844"/>
    </row>
    <row r="113" spans="1:5" x14ac:dyDescent="0.35">
      <c r="A113" s="2849" t="s">
        <v>11182</v>
      </c>
      <c r="B113" s="2853">
        <f>IF(ISNUMBER(SEARCH($H$2,A113)),MAX($B$1:B112)+1,0)</f>
        <v>95</v>
      </c>
      <c r="E113" s="2844"/>
    </row>
    <row r="114" spans="1:5" x14ac:dyDescent="0.35">
      <c r="A114" s="2849" t="s">
        <v>11202</v>
      </c>
      <c r="B114" s="2853">
        <f>IF(ISNUMBER(SEARCH($H$2,A114)),MAX($B$1:B113)+1,0)</f>
        <v>96</v>
      </c>
      <c r="E114" s="2844"/>
    </row>
    <row r="115" spans="1:5" x14ac:dyDescent="0.35">
      <c r="A115" s="2849" t="s">
        <v>11201</v>
      </c>
      <c r="B115" s="2853">
        <f>IF(ISNUMBER(SEARCH($H$2,A115)),MAX($B$1:B114)+1,0)</f>
        <v>97</v>
      </c>
      <c r="E115" s="2844"/>
    </row>
    <row r="116" spans="1:5" ht="29" x14ac:dyDescent="0.35">
      <c r="A116" s="2849" t="s">
        <v>11196</v>
      </c>
      <c r="B116" s="2853">
        <f>IF(ISNUMBER(SEARCH($H$2,A116)),MAX($B$1:B114)+1,0)</f>
        <v>97</v>
      </c>
      <c r="E116" s="2844"/>
    </row>
    <row r="117" spans="1:5" ht="29" x14ac:dyDescent="0.35">
      <c r="A117" s="2849" t="s">
        <v>11229</v>
      </c>
      <c r="B117" s="2853">
        <f>IF(ISNUMBER(SEARCH($H$2,A117)),MAX($B$1:B116)+1,0)</f>
        <v>98</v>
      </c>
      <c r="E117" s="2844"/>
    </row>
    <row r="118" spans="1:5" x14ac:dyDescent="0.35">
      <c r="A118" s="2849" t="s">
        <v>11197</v>
      </c>
      <c r="B118" s="2853">
        <f>IF(ISNUMBER(SEARCH($H$2,A118)),MAX($B$1:B116)+1,0)</f>
        <v>98</v>
      </c>
      <c r="E118" s="2844"/>
    </row>
    <row r="119" spans="1:5" x14ac:dyDescent="0.35">
      <c r="A119" s="2849" t="s">
        <v>11198</v>
      </c>
      <c r="B119" s="2853">
        <f>IF(ISNUMBER(SEARCH($H$2,A119)),MAX($B$1:B118)+1,0)</f>
        <v>99</v>
      </c>
      <c r="E119" s="2844"/>
    </row>
    <row r="120" spans="1:5" x14ac:dyDescent="0.35">
      <c r="A120" s="2849" t="s">
        <v>11199</v>
      </c>
      <c r="B120" s="2853">
        <f>IF(ISNUMBER(SEARCH($H$2,A120)),MAX($B$1:B119)+1,0)</f>
        <v>100</v>
      </c>
      <c r="E120" s="2844"/>
    </row>
    <row r="121" spans="1:5" x14ac:dyDescent="0.35">
      <c r="A121" s="2849" t="s">
        <v>11200</v>
      </c>
      <c r="B121" s="2853">
        <f>IF(ISNUMBER(SEARCH($H$2,A121)),MAX($B$1:B120)+1,0)</f>
        <v>101</v>
      </c>
      <c r="E121" s="2844"/>
    </row>
    <row r="122" spans="1:5" x14ac:dyDescent="0.35">
      <c r="A122" s="2849" t="s">
        <v>11185</v>
      </c>
      <c r="B122" s="2853">
        <f>IF(ISNUMBER(SEARCH($H$2,A122)),MAX($B$1:B113)+1,0)</f>
        <v>96</v>
      </c>
      <c r="E122" s="2844"/>
    </row>
    <row r="123" spans="1:5" x14ac:dyDescent="0.35">
      <c r="A123" s="2851" t="s">
        <v>11178</v>
      </c>
      <c r="B123" s="2854">
        <f>IF(ISNUMBER(SEARCH($H$2,A123)),MAX($B$1:B109)+1,0)</f>
        <v>92</v>
      </c>
      <c r="E123" s="2845" t="s">
        <v>11100</v>
      </c>
    </row>
    <row r="124" spans="1:5" x14ac:dyDescent="0.35">
      <c r="A124" s="2858"/>
      <c r="B124" s="2859"/>
      <c r="E124" s="2845"/>
    </row>
    <row r="125" spans="1:5" x14ac:dyDescent="0.35">
      <c r="E125" s="2844" t="s">
        <v>11101</v>
      </c>
    </row>
    <row r="126" spans="1:5" x14ac:dyDescent="0.35">
      <c r="E126" s="2845" t="s">
        <v>11102</v>
      </c>
    </row>
    <row r="127" spans="1:5" x14ac:dyDescent="0.35">
      <c r="E127" s="2844" t="s">
        <v>11103</v>
      </c>
    </row>
    <row r="128" spans="1:5" x14ac:dyDescent="0.35">
      <c r="E128" s="2845" t="s">
        <v>11104</v>
      </c>
    </row>
    <row r="129" spans="5:5" x14ac:dyDescent="0.35">
      <c r="E129" s="2844" t="s">
        <v>11105</v>
      </c>
    </row>
    <row r="130" spans="5:5" x14ac:dyDescent="0.35">
      <c r="E130" s="2845" t="s">
        <v>11106</v>
      </c>
    </row>
    <row r="131" spans="5:5" x14ac:dyDescent="0.35">
      <c r="E131" s="2844" t="s">
        <v>11107</v>
      </c>
    </row>
    <row r="132" spans="5:5" x14ac:dyDescent="0.35">
      <c r="E132" s="2845" t="s">
        <v>11108</v>
      </c>
    </row>
    <row r="133" spans="5:5" x14ac:dyDescent="0.35">
      <c r="E133" s="2844" t="s">
        <v>11109</v>
      </c>
    </row>
    <row r="134" spans="5:5" x14ac:dyDescent="0.35">
      <c r="E134" s="2845" t="s">
        <v>11110</v>
      </c>
    </row>
    <row r="135" spans="5:5" x14ac:dyDescent="0.35">
      <c r="E135" s="2844" t="s">
        <v>11111</v>
      </c>
    </row>
    <row r="136" spans="5:5" x14ac:dyDescent="0.35">
      <c r="E136" s="2845" t="s">
        <v>11112</v>
      </c>
    </row>
    <row r="137" spans="5:5" x14ac:dyDescent="0.35">
      <c r="E137" s="2844" t="s">
        <v>11113</v>
      </c>
    </row>
    <row r="138" spans="5:5" x14ac:dyDescent="0.35">
      <c r="E138" s="2845" t="s">
        <v>11114</v>
      </c>
    </row>
    <row r="139" spans="5:5" x14ac:dyDescent="0.35">
      <c r="E139" s="2844" t="s">
        <v>11115</v>
      </c>
    </row>
    <row r="140" spans="5:5" x14ac:dyDescent="0.35">
      <c r="E140" s="2845" t="s">
        <v>11116</v>
      </c>
    </row>
    <row r="141" spans="5:5" x14ac:dyDescent="0.35">
      <c r="E141" s="2844" t="s">
        <v>11117</v>
      </c>
    </row>
    <row r="142" spans="5:5" x14ac:dyDescent="0.35">
      <c r="E142" s="2845" t="s">
        <v>11118</v>
      </c>
    </row>
    <row r="143" spans="5:5" x14ac:dyDescent="0.35">
      <c r="E143" s="2844" t="s">
        <v>11119</v>
      </c>
    </row>
    <row r="144" spans="5:5" x14ac:dyDescent="0.35">
      <c r="E144" s="2845" t="s">
        <v>11120</v>
      </c>
    </row>
    <row r="145" spans="5:5" x14ac:dyDescent="0.35">
      <c r="E145" s="2844" t="s">
        <v>11121</v>
      </c>
    </row>
    <row r="146" spans="5:5" x14ac:dyDescent="0.35">
      <c r="E146" s="2845" t="s">
        <v>11122</v>
      </c>
    </row>
    <row r="147" spans="5:5" x14ac:dyDescent="0.35">
      <c r="E147" s="2844" t="s">
        <v>11123</v>
      </c>
    </row>
    <row r="148" spans="5:5" x14ac:dyDescent="0.35">
      <c r="E148" s="2845" t="s">
        <v>11124</v>
      </c>
    </row>
    <row r="149" spans="5:5" x14ac:dyDescent="0.35">
      <c r="E149" s="2844" t="s">
        <v>11125</v>
      </c>
    </row>
    <row r="150" spans="5:5" x14ac:dyDescent="0.35">
      <c r="E150" s="2845" t="s">
        <v>11126</v>
      </c>
    </row>
    <row r="151" spans="5:5" x14ac:dyDescent="0.35">
      <c r="E151" s="2844" t="s">
        <v>11127</v>
      </c>
    </row>
    <row r="152" spans="5:5" x14ac:dyDescent="0.35">
      <c r="E152" s="2845" t="s">
        <v>11128</v>
      </c>
    </row>
    <row r="153" spans="5:5" x14ac:dyDescent="0.35">
      <c r="E153" s="2844" t="s">
        <v>11129</v>
      </c>
    </row>
    <row r="154" spans="5:5" x14ac:dyDescent="0.35">
      <c r="E154" s="2845" t="s">
        <v>11130</v>
      </c>
    </row>
    <row r="155" spans="5:5" x14ac:dyDescent="0.35">
      <c r="E155" s="2844" t="s">
        <v>11131</v>
      </c>
    </row>
    <row r="156" spans="5:5" x14ac:dyDescent="0.35">
      <c r="E156" s="2845" t="s">
        <v>11132</v>
      </c>
    </row>
    <row r="157" spans="5:5" x14ac:dyDescent="0.35">
      <c r="E157" s="2844" t="s">
        <v>11133</v>
      </c>
    </row>
    <row r="158" spans="5:5" x14ac:dyDescent="0.35">
      <c r="E158" s="2845" t="s">
        <v>11134</v>
      </c>
    </row>
    <row r="159" spans="5:5" x14ac:dyDescent="0.35">
      <c r="E159" s="2844" t="s">
        <v>11135</v>
      </c>
    </row>
    <row r="160" spans="5:5" x14ac:dyDescent="0.35">
      <c r="E160" s="2845" t="s">
        <v>11136</v>
      </c>
    </row>
    <row r="161" spans="5:5" x14ac:dyDescent="0.35">
      <c r="E161" s="2844" t="s">
        <v>11137</v>
      </c>
    </row>
    <row r="162" spans="5:5" x14ac:dyDescent="0.35">
      <c r="E162" s="2845" t="s">
        <v>11138</v>
      </c>
    </row>
    <row r="163" spans="5:5" x14ac:dyDescent="0.35">
      <c r="E163" s="2844" t="s">
        <v>11139</v>
      </c>
    </row>
    <row r="164" spans="5:5" x14ac:dyDescent="0.35">
      <c r="E164" s="2845" t="s">
        <v>11140</v>
      </c>
    </row>
    <row r="165" spans="5:5" x14ac:dyDescent="0.35">
      <c r="E165" s="2844" t="s">
        <v>11141</v>
      </c>
    </row>
    <row r="166" spans="5:5" x14ac:dyDescent="0.35">
      <c r="E166" s="2845" t="s">
        <v>11142</v>
      </c>
    </row>
    <row r="167" spans="5:5" x14ac:dyDescent="0.35">
      <c r="E167" s="2844" t="s">
        <v>11143</v>
      </c>
    </row>
    <row r="168" spans="5:5" x14ac:dyDescent="0.35">
      <c r="E168" s="2845" t="s">
        <v>11144</v>
      </c>
    </row>
    <row r="169" spans="5:5" x14ac:dyDescent="0.35">
      <c r="E169" s="2844" t="s">
        <v>11145</v>
      </c>
    </row>
    <row r="170" spans="5:5" x14ac:dyDescent="0.35">
      <c r="E170" s="2845" t="s">
        <v>11146</v>
      </c>
    </row>
    <row r="171" spans="5:5" x14ac:dyDescent="0.35">
      <c r="E171" s="2844" t="s">
        <v>11147</v>
      </c>
    </row>
    <row r="172" spans="5:5" x14ac:dyDescent="0.35">
      <c r="E172" s="2845" t="s">
        <v>11148</v>
      </c>
    </row>
    <row r="173" spans="5:5" x14ac:dyDescent="0.35">
      <c r="E173" s="2844" t="s">
        <v>11149</v>
      </c>
    </row>
    <row r="174" spans="5:5" x14ac:dyDescent="0.35">
      <c r="E174" s="2845" t="s">
        <v>11150</v>
      </c>
    </row>
    <row r="175" spans="5:5" x14ac:dyDescent="0.35">
      <c r="E175" s="2844" t="s">
        <v>11151</v>
      </c>
    </row>
    <row r="176" spans="5:5" x14ac:dyDescent="0.35">
      <c r="E176" s="2845" t="s">
        <v>11152</v>
      </c>
    </row>
    <row r="177" spans="5:5" x14ac:dyDescent="0.35">
      <c r="E177" s="2844" t="s">
        <v>11153</v>
      </c>
    </row>
    <row r="178" spans="5:5" x14ac:dyDescent="0.35">
      <c r="E178" s="2845" t="s">
        <v>11154</v>
      </c>
    </row>
    <row r="179" spans="5:5" x14ac:dyDescent="0.35">
      <c r="E179" s="2844" t="s">
        <v>11155</v>
      </c>
    </row>
    <row r="180" spans="5:5" x14ac:dyDescent="0.35">
      <c r="E180" s="2845" t="s">
        <v>11156</v>
      </c>
    </row>
    <row r="181" spans="5:5" x14ac:dyDescent="0.35">
      <c r="E181" s="2844" t="s">
        <v>11157</v>
      </c>
    </row>
    <row r="182" spans="5:5" x14ac:dyDescent="0.35">
      <c r="E182" s="2845" t="s">
        <v>11158</v>
      </c>
    </row>
    <row r="183" spans="5:5" x14ac:dyDescent="0.35">
      <c r="E183" s="2844" t="s">
        <v>11159</v>
      </c>
    </row>
    <row r="184" spans="5:5" x14ac:dyDescent="0.35">
      <c r="E184" s="2845" t="s">
        <v>11160</v>
      </c>
    </row>
    <row r="185" spans="5:5" x14ac:dyDescent="0.35">
      <c r="E185" s="2844" t="s">
        <v>11161</v>
      </c>
    </row>
    <row r="186" spans="5:5" x14ac:dyDescent="0.35">
      <c r="E186" s="2845" t="s">
        <v>11162</v>
      </c>
    </row>
    <row r="187" spans="5:5" x14ac:dyDescent="0.35">
      <c r="E187" s="2844" t="s">
        <v>11163</v>
      </c>
    </row>
    <row r="188" spans="5:5" x14ac:dyDescent="0.35">
      <c r="E188" s="2845" t="s">
        <v>11164</v>
      </c>
    </row>
    <row r="189" spans="5:5" x14ac:dyDescent="0.35">
      <c r="E189" s="2844" t="s">
        <v>11165</v>
      </c>
    </row>
    <row r="190" spans="5:5" x14ac:dyDescent="0.35">
      <c r="E190" s="2845" t="s">
        <v>11166</v>
      </c>
    </row>
    <row r="191" spans="5:5" x14ac:dyDescent="0.35">
      <c r="E191" s="2844" t="s">
        <v>11167</v>
      </c>
    </row>
    <row r="192" spans="5:5" x14ac:dyDescent="0.35">
      <c r="E192" s="2845" t="s">
        <v>11168</v>
      </c>
    </row>
    <row r="193" spans="5:5" x14ac:dyDescent="0.35">
      <c r="E193" s="2844" t="s">
        <v>11169</v>
      </c>
    </row>
    <row r="194" spans="5:5" x14ac:dyDescent="0.35">
      <c r="E194" s="2845" t="s">
        <v>11170</v>
      </c>
    </row>
    <row r="195" spans="5:5" x14ac:dyDescent="0.35">
      <c r="E195" s="2844" t="s">
        <v>11171</v>
      </c>
    </row>
    <row r="196" spans="5:5" x14ac:dyDescent="0.35">
      <c r="E196" s="2845" t="s">
        <v>11172</v>
      </c>
    </row>
    <row r="197" spans="5:5" x14ac:dyDescent="0.35">
      <c r="E197" s="2844" t="s">
        <v>11173</v>
      </c>
    </row>
  </sheetData>
  <dataValidations count="2">
    <dataValidation type="list" allowBlank="1" showInputMessage="1" sqref="H6" xr:uid="{00000000-0002-0000-0100-000000000000}">
      <formula1>Filtru</formula1>
    </dataValidation>
    <dataValidation type="list" allowBlank="1" showInputMessage="1" sqref="H2 H9" xr:uid="{00000000-0002-0000-0100-000001000000}">
      <formula1>filtru_2</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A1:Y908"/>
  <sheetViews>
    <sheetView tabSelected="1" zoomScale="70" zoomScaleNormal="70" workbookViewId="0">
      <selection activeCell="J31" sqref="J31"/>
    </sheetView>
  </sheetViews>
  <sheetFormatPr defaultColWidth="8.90625" defaultRowHeight="14.5" x14ac:dyDescent="0.35"/>
  <cols>
    <col min="1" max="1" width="7.81640625" style="1" customWidth="1"/>
    <col min="2" max="2" width="5.81640625" style="2761" customWidth="1"/>
    <col min="3" max="3" width="16.08984375" style="2928" customWidth="1"/>
    <col min="4" max="4" width="11.90625" style="1" customWidth="1"/>
    <col min="5" max="5" width="49.36328125" style="1" customWidth="1"/>
    <col min="6" max="6" width="6.36328125" style="2886" customWidth="1"/>
    <col min="7" max="7" width="11.08984375" style="2891" customWidth="1"/>
    <col min="8" max="8" width="12.1796875" style="2891" customWidth="1"/>
    <col min="9" max="9" width="9.453125" style="1" customWidth="1"/>
    <col min="10" max="10" width="27.453125" style="1" customWidth="1"/>
    <col min="11" max="11" width="8.90625" style="1" customWidth="1"/>
    <col min="12" max="12" width="13.36328125" style="1" customWidth="1"/>
    <col min="13" max="13" width="10.54296875" style="1" customWidth="1"/>
    <col min="14" max="14" width="18.90625" style="1" customWidth="1"/>
    <col min="15" max="15" width="12.08984375" style="2761" customWidth="1"/>
    <col min="16" max="16" width="9.90625" style="1" customWidth="1"/>
    <col min="17" max="17" width="11.453125" style="1" customWidth="1"/>
    <col min="18" max="18" width="11.453125" style="2863" hidden="1" customWidth="1"/>
    <col min="19" max="19" width="17.1796875" style="1" hidden="1" customWidth="1"/>
    <col min="20" max="20" width="17.1796875" style="1843" hidden="1" customWidth="1"/>
    <col min="21" max="21" width="36.90625" style="2863" hidden="1" customWidth="1"/>
    <col min="22" max="22" width="16.453125" style="1" customWidth="1"/>
    <col min="23" max="23" width="8.90625" style="2674"/>
    <col min="24" max="24" width="17.90625" style="1" customWidth="1"/>
    <col min="25" max="25" width="10.90625" style="1" bestFit="1" customWidth="1"/>
    <col min="26" max="16384" width="8.90625" style="1"/>
  </cols>
  <sheetData>
    <row r="1" spans="1:25" s="2863" customFormat="1" ht="36" x14ac:dyDescent="0.8">
      <c r="B1" s="2761"/>
      <c r="C1" s="2928"/>
      <c r="E1" s="2932" t="s">
        <v>12719</v>
      </c>
      <c r="F1" s="2886"/>
      <c r="G1" s="2891"/>
      <c r="O1" s="2761"/>
      <c r="T1" s="1843"/>
      <c r="W1" s="2674"/>
    </row>
    <row r="2" spans="1:25" s="2863" customFormat="1" ht="48.65" customHeight="1" x14ac:dyDescent="0.35">
      <c r="A2" s="2486" t="s">
        <v>13948</v>
      </c>
      <c r="B2" s="2900" t="s">
        <v>10767</v>
      </c>
      <c r="C2" s="2656" t="s">
        <v>1</v>
      </c>
      <c r="D2" s="2656" t="s">
        <v>2084</v>
      </c>
      <c r="E2" s="2656" t="s">
        <v>2</v>
      </c>
      <c r="F2" s="2887" t="s">
        <v>11390</v>
      </c>
      <c r="G2" s="2890" t="s">
        <v>11389</v>
      </c>
      <c r="H2" s="2927" t="s">
        <v>11756</v>
      </c>
      <c r="I2" s="2656" t="s">
        <v>3</v>
      </c>
      <c r="J2" s="2656" t="s">
        <v>2081</v>
      </c>
      <c r="K2" s="2656" t="s">
        <v>5</v>
      </c>
      <c r="L2" s="2656" t="s">
        <v>10754</v>
      </c>
      <c r="M2" s="2656" t="s">
        <v>8</v>
      </c>
      <c r="N2" s="2656" t="s">
        <v>9</v>
      </c>
      <c r="O2" s="2758" t="s">
        <v>10</v>
      </c>
      <c r="P2" s="2656" t="s">
        <v>11</v>
      </c>
      <c r="Q2" s="2656" t="s">
        <v>6064</v>
      </c>
      <c r="R2" s="2634" t="s">
        <v>6815</v>
      </c>
      <c r="S2" s="2634" t="s">
        <v>11178</v>
      </c>
      <c r="T2" s="2996" t="s">
        <v>12324</v>
      </c>
      <c r="U2" s="2990"/>
      <c r="W2" s="2866"/>
      <c r="X2" s="2866"/>
    </row>
    <row r="3" spans="1:25" s="1592" customFormat="1" ht="49.5" hidden="1" x14ac:dyDescent="0.35">
      <c r="A3" s="3021">
        <v>44314</v>
      </c>
      <c r="B3" s="3036">
        <v>7</v>
      </c>
      <c r="C3" s="5" t="s">
        <v>12652</v>
      </c>
      <c r="D3" s="3032" t="s">
        <v>12653</v>
      </c>
      <c r="E3" s="5" t="s">
        <v>12714</v>
      </c>
      <c r="F3" s="3029"/>
      <c r="G3" s="3040" t="s">
        <v>12337</v>
      </c>
      <c r="H3" s="3041"/>
      <c r="I3" s="2486">
        <v>44320</v>
      </c>
      <c r="J3" s="2722" t="s">
        <v>12654</v>
      </c>
      <c r="K3" s="6">
        <v>0.45833333333333331</v>
      </c>
      <c r="L3" s="3117">
        <v>0.60833333333333328</v>
      </c>
      <c r="M3" s="3039">
        <v>0</v>
      </c>
      <c r="N3" s="3016" t="s">
        <v>12699</v>
      </c>
      <c r="O3" s="3037" t="s">
        <v>7067</v>
      </c>
      <c r="P3" s="3016" t="s">
        <v>12323</v>
      </c>
      <c r="Q3" s="3016" t="s">
        <v>12581</v>
      </c>
      <c r="R3" s="3027"/>
      <c r="S3" s="3031"/>
      <c r="T3" s="3057"/>
      <c r="U3" s="2991"/>
      <c r="W3" s="2901">
        <v>270</v>
      </c>
      <c r="X3" s="2862"/>
      <c r="Y3" s="1592">
        <v>270</v>
      </c>
    </row>
    <row r="4" spans="1:25" s="1592" customFormat="1" ht="101.5" hidden="1" x14ac:dyDescent="0.35">
      <c r="A4" s="2486">
        <v>44300</v>
      </c>
      <c r="B4" s="2596">
        <v>5</v>
      </c>
      <c r="C4" s="5" t="s">
        <v>12469</v>
      </c>
      <c r="D4" s="3032" t="s">
        <v>12330</v>
      </c>
      <c r="E4" s="2725" t="s">
        <v>12612</v>
      </c>
      <c r="F4" s="3029"/>
      <c r="G4" s="3040" t="s">
        <v>11539</v>
      </c>
      <c r="H4" s="2892"/>
      <c r="I4" s="2486">
        <v>44320</v>
      </c>
      <c r="J4" s="2722" t="s">
        <v>12470</v>
      </c>
      <c r="K4" s="6">
        <v>0.45833333333333331</v>
      </c>
      <c r="L4" s="3117">
        <v>0.5541666666666667</v>
      </c>
      <c r="M4" s="3039">
        <v>183</v>
      </c>
      <c r="N4" s="3016" t="s">
        <v>8625</v>
      </c>
      <c r="O4" s="3037" t="s">
        <v>7067</v>
      </c>
      <c r="P4" s="3016" t="s">
        <v>12310</v>
      </c>
      <c r="Q4" s="3016" t="s">
        <v>11244</v>
      </c>
      <c r="R4" s="3028"/>
      <c r="S4" s="3031"/>
      <c r="T4" s="3057"/>
      <c r="U4" s="2991"/>
      <c r="W4" s="2901"/>
      <c r="X4" s="2862"/>
    </row>
    <row r="5" spans="1:25" s="1592" customFormat="1" ht="58" hidden="1" x14ac:dyDescent="0.35">
      <c r="A5" s="2486">
        <v>44316</v>
      </c>
      <c r="B5" s="3099">
        <v>1</v>
      </c>
      <c r="C5" s="2976" t="s">
        <v>12732</v>
      </c>
      <c r="D5" s="3032" t="s">
        <v>12711</v>
      </c>
      <c r="E5" s="2976" t="s">
        <v>12712</v>
      </c>
      <c r="F5" s="3029"/>
      <c r="G5" s="3040" t="s">
        <v>14337</v>
      </c>
      <c r="H5" s="3041"/>
      <c r="I5" s="2958">
        <v>44320</v>
      </c>
      <c r="J5" s="3046" t="s">
        <v>12730</v>
      </c>
      <c r="K5" s="6">
        <v>0.45833333333333331</v>
      </c>
      <c r="L5" s="3117">
        <v>0.46319444444444446</v>
      </c>
      <c r="M5" s="3100">
        <v>144</v>
      </c>
      <c r="N5" s="3016" t="s">
        <v>8297</v>
      </c>
      <c r="O5" s="3037" t="s">
        <v>7067</v>
      </c>
      <c r="P5" s="3016" t="s">
        <v>12323</v>
      </c>
      <c r="Q5" s="3016" t="s">
        <v>12581</v>
      </c>
      <c r="R5" s="3028"/>
      <c r="S5" s="3097"/>
      <c r="T5" s="3098"/>
      <c r="U5" s="2991"/>
      <c r="W5" s="2901"/>
      <c r="X5" s="2862"/>
    </row>
    <row r="6" spans="1:25" s="1592" customFormat="1" ht="43.5" hidden="1" x14ac:dyDescent="0.35">
      <c r="A6" s="2486">
        <v>44312</v>
      </c>
      <c r="B6" s="3052">
        <v>10</v>
      </c>
      <c r="C6" s="5" t="s">
        <v>11934</v>
      </c>
      <c r="D6" s="3032" t="s">
        <v>11935</v>
      </c>
      <c r="E6" s="2725" t="s">
        <v>12608</v>
      </c>
      <c r="F6" s="3029"/>
      <c r="G6" s="3040" t="s">
        <v>14323</v>
      </c>
      <c r="H6" s="3041"/>
      <c r="I6" s="2486">
        <v>44320</v>
      </c>
      <c r="J6" s="2722" t="s">
        <v>12609</v>
      </c>
      <c r="K6" s="6">
        <v>0.45833333333333331</v>
      </c>
      <c r="L6" s="3117">
        <v>0.67708333333333337</v>
      </c>
      <c r="M6" s="3055">
        <v>159</v>
      </c>
      <c r="N6" s="3016" t="s">
        <v>8625</v>
      </c>
      <c r="O6" s="3037" t="s">
        <v>7067</v>
      </c>
      <c r="P6" s="3016" t="s">
        <v>12323</v>
      </c>
      <c r="Q6" s="3016" t="s">
        <v>12610</v>
      </c>
      <c r="R6" s="3028"/>
      <c r="S6" s="3054"/>
      <c r="T6" s="3066"/>
      <c r="U6" s="2991"/>
      <c r="W6" s="2901"/>
      <c r="X6" s="2862"/>
    </row>
    <row r="7" spans="1:25" s="1592" customFormat="1" ht="58" hidden="1" x14ac:dyDescent="0.35">
      <c r="A7" s="2486">
        <v>44314</v>
      </c>
      <c r="B7" s="3115">
        <v>6</v>
      </c>
      <c r="C7" s="5" t="s">
        <v>12680</v>
      </c>
      <c r="D7" s="3032" t="s">
        <v>12681</v>
      </c>
      <c r="E7" s="5" t="s">
        <v>12679</v>
      </c>
      <c r="F7" s="3029"/>
      <c r="G7" s="3040" t="s">
        <v>14307</v>
      </c>
      <c r="H7" s="3041"/>
      <c r="I7" s="2486">
        <v>44320</v>
      </c>
      <c r="J7" s="2722" t="s">
        <v>12682</v>
      </c>
      <c r="K7" s="6">
        <v>0.45833333333333331</v>
      </c>
      <c r="L7" s="3117">
        <v>0.57986111111111105</v>
      </c>
      <c r="M7" s="3088">
        <v>169</v>
      </c>
      <c r="N7" s="3016" t="s">
        <v>8625</v>
      </c>
      <c r="O7" s="3037" t="s">
        <v>7067</v>
      </c>
      <c r="P7" s="3016" t="s">
        <v>12323</v>
      </c>
      <c r="Q7" s="3016" t="s">
        <v>12683</v>
      </c>
      <c r="R7" s="3028"/>
      <c r="S7" s="3086"/>
      <c r="T7" s="3087"/>
      <c r="U7" s="2991"/>
      <c r="W7" s="2901"/>
      <c r="X7" s="2862"/>
    </row>
    <row r="8" spans="1:25" s="1592" customFormat="1" ht="43.5" hidden="1" x14ac:dyDescent="0.35">
      <c r="A8" s="3021">
        <v>44314</v>
      </c>
      <c r="B8" s="3036">
        <v>8</v>
      </c>
      <c r="C8" s="5" t="s">
        <v>12655</v>
      </c>
      <c r="D8" s="3032" t="s">
        <v>12656</v>
      </c>
      <c r="E8" s="5" t="s">
        <v>12657</v>
      </c>
      <c r="F8" s="3029"/>
      <c r="G8" s="3040" t="s">
        <v>12005</v>
      </c>
      <c r="H8" s="3041"/>
      <c r="I8" s="2486">
        <v>44320</v>
      </c>
      <c r="J8" s="2722" t="s">
        <v>12658</v>
      </c>
      <c r="K8" s="6">
        <v>0.45833333333333331</v>
      </c>
      <c r="L8" s="3117">
        <v>0.62708333333333333</v>
      </c>
      <c r="M8" s="3039">
        <v>155</v>
      </c>
      <c r="N8" s="3016" t="s">
        <v>257</v>
      </c>
      <c r="O8" s="3037" t="s">
        <v>7067</v>
      </c>
      <c r="P8" s="3016" t="s">
        <v>17</v>
      </c>
      <c r="Q8" s="3016" t="s">
        <v>12659</v>
      </c>
      <c r="R8" s="3028"/>
      <c r="S8" s="3031"/>
      <c r="T8" s="3057"/>
      <c r="U8" s="2991"/>
      <c r="W8" s="2901"/>
      <c r="X8" s="2862"/>
    </row>
    <row r="9" spans="1:25" s="1592" customFormat="1" ht="43.5" hidden="1" x14ac:dyDescent="0.35">
      <c r="A9" s="2486">
        <v>44314</v>
      </c>
      <c r="B9" s="3036">
        <v>4</v>
      </c>
      <c r="C9" s="5" t="s">
        <v>12664</v>
      </c>
      <c r="D9" s="3032" t="s">
        <v>12665</v>
      </c>
      <c r="E9" s="5" t="s">
        <v>12666</v>
      </c>
      <c r="F9" s="3029"/>
      <c r="G9" s="3040" t="s">
        <v>12270</v>
      </c>
      <c r="H9" s="3041"/>
      <c r="I9" s="2486">
        <v>44320</v>
      </c>
      <c r="J9" s="2722" t="s">
        <v>12667</v>
      </c>
      <c r="K9" s="6">
        <v>0.45833333333333331</v>
      </c>
      <c r="L9" s="3117">
        <v>0.53541666666666665</v>
      </c>
      <c r="M9" s="3039">
        <v>312</v>
      </c>
      <c r="N9" s="3016" t="s">
        <v>257</v>
      </c>
      <c r="O9" s="3037" t="s">
        <v>7067</v>
      </c>
      <c r="P9" s="3016" t="s">
        <v>12323</v>
      </c>
      <c r="Q9" s="3016" t="s">
        <v>12668</v>
      </c>
      <c r="R9" s="3028"/>
      <c r="S9" s="3031"/>
      <c r="T9" s="3051"/>
      <c r="U9" s="2991"/>
      <c r="W9" s="2901"/>
      <c r="X9" s="2862"/>
    </row>
    <row r="10" spans="1:25" s="1592" customFormat="1" ht="29" hidden="1" x14ac:dyDescent="0.35">
      <c r="A10" s="3021">
        <v>44319</v>
      </c>
      <c r="B10" s="3103">
        <v>3</v>
      </c>
      <c r="C10" s="3015" t="s">
        <v>12722</v>
      </c>
      <c r="D10" s="3032" t="s">
        <v>12424</v>
      </c>
      <c r="E10" s="3015" t="s">
        <v>12723</v>
      </c>
      <c r="F10" s="3029"/>
      <c r="G10" s="3040" t="s">
        <v>12724</v>
      </c>
      <c r="H10" s="3041"/>
      <c r="I10" s="3021">
        <v>44320</v>
      </c>
      <c r="J10" s="3034" t="s">
        <v>12725</v>
      </c>
      <c r="K10" s="6">
        <v>0.45833333333333331</v>
      </c>
      <c r="L10" s="3117">
        <v>0.51944444444444449</v>
      </c>
      <c r="M10" s="3139">
        <v>375</v>
      </c>
      <c r="N10" s="3016" t="s">
        <v>257</v>
      </c>
      <c r="O10" s="3037" t="s">
        <v>7067</v>
      </c>
      <c r="P10" s="3016" t="s">
        <v>17</v>
      </c>
      <c r="Q10" s="3016" t="s">
        <v>12594</v>
      </c>
      <c r="R10" s="3028"/>
      <c r="S10" s="3104"/>
      <c r="T10" s="3105"/>
      <c r="U10" s="2991"/>
      <c r="W10" s="2901"/>
      <c r="X10" s="2862"/>
    </row>
    <row r="11" spans="1:25" s="1592" customFormat="1" ht="116" hidden="1" x14ac:dyDescent="0.35">
      <c r="A11" s="2486">
        <v>44314</v>
      </c>
      <c r="B11" s="3036">
        <v>9</v>
      </c>
      <c r="C11" s="5" t="s">
        <v>12669</v>
      </c>
      <c r="D11" s="2983" t="s">
        <v>12670</v>
      </c>
      <c r="E11" s="5" t="s">
        <v>12671</v>
      </c>
      <c r="F11" s="3029"/>
      <c r="G11" s="3040" t="s">
        <v>11439</v>
      </c>
      <c r="H11" s="3041"/>
      <c r="I11" s="2982">
        <v>44320</v>
      </c>
      <c r="J11" s="2722" t="s">
        <v>12672</v>
      </c>
      <c r="K11" s="6">
        <v>0.45833333333333331</v>
      </c>
      <c r="L11" s="3117">
        <v>0.65069444444444446</v>
      </c>
      <c r="M11" s="3039">
        <v>155</v>
      </c>
      <c r="N11" s="3016" t="s">
        <v>8625</v>
      </c>
      <c r="O11" s="3037" t="s">
        <v>7067</v>
      </c>
      <c r="P11" s="3016" t="s">
        <v>12323</v>
      </c>
      <c r="Q11" s="3016" t="s">
        <v>12673</v>
      </c>
      <c r="R11" s="3028"/>
      <c r="S11" s="3031"/>
      <c r="T11" s="3051"/>
      <c r="U11" s="2991"/>
      <c r="W11" s="2901"/>
      <c r="X11" s="2862"/>
    </row>
    <row r="12" spans="1:25" s="1592" customFormat="1" ht="43.5" hidden="1" x14ac:dyDescent="0.35">
      <c r="A12" s="2486">
        <v>44312</v>
      </c>
      <c r="B12" s="2596">
        <v>2</v>
      </c>
      <c r="C12" s="5" t="s">
        <v>12733</v>
      </c>
      <c r="D12" s="3032" t="s">
        <v>12619</v>
      </c>
      <c r="E12" s="2725" t="s">
        <v>12620</v>
      </c>
      <c r="F12" s="3029"/>
      <c r="G12" s="3040" t="s">
        <v>11420</v>
      </c>
      <c r="H12" s="2892"/>
      <c r="I12" s="2486">
        <v>44320</v>
      </c>
      <c r="J12" s="2722" t="s">
        <v>12731</v>
      </c>
      <c r="K12" s="6">
        <v>0.45833333333333331</v>
      </c>
      <c r="L12" s="3117">
        <v>0.49027777777777781</v>
      </c>
      <c r="M12" s="3039">
        <v>140</v>
      </c>
      <c r="N12" s="3016" t="s">
        <v>257</v>
      </c>
      <c r="O12" s="3037" t="s">
        <v>7067</v>
      </c>
      <c r="P12" s="3016" t="s">
        <v>17</v>
      </c>
      <c r="Q12" s="3016" t="s">
        <v>12621</v>
      </c>
      <c r="R12" s="3028"/>
      <c r="S12" s="3031"/>
      <c r="T12" s="3057"/>
      <c r="U12" s="2991"/>
      <c r="W12" s="2901"/>
      <c r="X12" s="2862"/>
    </row>
    <row r="13" spans="1:25" s="1592" customFormat="1" ht="43.5" hidden="1" x14ac:dyDescent="0.35">
      <c r="A13" s="2486">
        <v>44320</v>
      </c>
      <c r="B13" s="3107">
        <v>2</v>
      </c>
      <c r="C13" s="5" t="s">
        <v>12465</v>
      </c>
      <c r="D13" s="3032" t="s">
        <v>12466</v>
      </c>
      <c r="E13" s="2725" t="s">
        <v>12740</v>
      </c>
      <c r="F13" s="3029"/>
      <c r="G13" s="3040" t="s">
        <v>12062</v>
      </c>
      <c r="H13" s="3041"/>
      <c r="I13" s="2486">
        <v>44321</v>
      </c>
      <c r="J13" s="2722" t="s">
        <v>12741</v>
      </c>
      <c r="K13" s="6">
        <v>0.41666666666666669</v>
      </c>
      <c r="L13" s="3117">
        <v>0.45833333333333331</v>
      </c>
      <c r="M13" s="3111">
        <v>115</v>
      </c>
      <c r="N13" s="3016" t="s">
        <v>257</v>
      </c>
      <c r="O13" s="3037" t="s">
        <v>119</v>
      </c>
      <c r="P13" s="3016" t="s">
        <v>17</v>
      </c>
      <c r="Q13" s="3016" t="s">
        <v>12742</v>
      </c>
      <c r="R13" s="3028"/>
      <c r="S13" s="3109"/>
      <c r="T13" s="3110"/>
      <c r="U13" s="2991"/>
      <c r="W13" s="2901"/>
      <c r="X13" s="2862"/>
    </row>
    <row r="14" spans="1:25" s="1592" customFormat="1" ht="58" hidden="1" x14ac:dyDescent="0.35">
      <c r="A14" s="2486">
        <v>44302</v>
      </c>
      <c r="B14" s="2596">
        <v>8</v>
      </c>
      <c r="C14" s="5" t="s">
        <v>12494</v>
      </c>
      <c r="D14" s="3032" t="s">
        <v>12495</v>
      </c>
      <c r="E14" s="5" t="s">
        <v>12493</v>
      </c>
      <c r="F14" s="3029"/>
      <c r="G14" s="3040" t="s">
        <v>12498</v>
      </c>
      <c r="H14" s="2892"/>
      <c r="I14" s="2486">
        <v>44321</v>
      </c>
      <c r="J14" s="2722" t="s">
        <v>12496</v>
      </c>
      <c r="K14" s="6">
        <v>0.41666666666666669</v>
      </c>
      <c r="L14" s="3119">
        <v>0.58402777777777781</v>
      </c>
      <c r="M14" s="3039">
        <v>170</v>
      </c>
      <c r="N14" s="3016" t="s">
        <v>257</v>
      </c>
      <c r="O14" s="3037" t="s">
        <v>119</v>
      </c>
      <c r="P14" s="3016" t="s">
        <v>12317</v>
      </c>
      <c r="Q14" s="3016" t="s">
        <v>12497</v>
      </c>
      <c r="R14" s="3028"/>
      <c r="S14" s="3031"/>
      <c r="T14" s="3057"/>
      <c r="U14" s="2991"/>
      <c r="W14" s="2901"/>
      <c r="X14" s="2862"/>
    </row>
    <row r="15" spans="1:25" s="1592" customFormat="1" ht="58" hidden="1" x14ac:dyDescent="0.35">
      <c r="A15" s="2486">
        <v>44320</v>
      </c>
      <c r="B15" s="3107">
        <v>6</v>
      </c>
      <c r="C15" s="2725" t="s">
        <v>12784</v>
      </c>
      <c r="D15" s="3032" t="s">
        <v>12606</v>
      </c>
      <c r="E15" s="3016" t="s">
        <v>12786</v>
      </c>
      <c r="F15" s="3029"/>
      <c r="G15" s="3040" t="s">
        <v>12787</v>
      </c>
      <c r="H15" s="3041"/>
      <c r="I15" s="2486">
        <v>44321</v>
      </c>
      <c r="J15" s="3034" t="s">
        <v>12785</v>
      </c>
      <c r="K15" s="6">
        <v>0.41666666666666669</v>
      </c>
      <c r="L15" s="3117">
        <v>0.53333333333333333</v>
      </c>
      <c r="M15" s="3111">
        <f>250+90+15</f>
        <v>355</v>
      </c>
      <c r="N15" s="3016" t="s">
        <v>257</v>
      </c>
      <c r="O15" s="3037" t="s">
        <v>119</v>
      </c>
      <c r="P15" s="3016" t="s">
        <v>17</v>
      </c>
      <c r="Q15" s="3016" t="s">
        <v>12788</v>
      </c>
      <c r="R15" s="3028"/>
      <c r="S15" s="3109"/>
      <c r="T15" s="3110"/>
      <c r="U15" s="2991"/>
      <c r="W15" s="2901"/>
      <c r="X15" s="2862"/>
    </row>
    <row r="16" spans="1:25" s="1592" customFormat="1" ht="43.5" hidden="1" x14ac:dyDescent="0.35">
      <c r="A16" s="2486">
        <v>44321</v>
      </c>
      <c r="B16" s="3036"/>
      <c r="C16" s="5" t="s">
        <v>1598</v>
      </c>
      <c r="D16" s="3032" t="s">
        <v>12846</v>
      </c>
      <c r="E16" s="2725" t="s">
        <v>12848</v>
      </c>
      <c r="F16" s="3029"/>
      <c r="G16" s="3040" t="s">
        <v>11867</v>
      </c>
      <c r="H16" s="3041"/>
      <c r="I16" s="2486">
        <v>44321</v>
      </c>
      <c r="J16" s="2722" t="s">
        <v>12847</v>
      </c>
      <c r="K16" s="6" t="s">
        <v>15</v>
      </c>
      <c r="L16" s="3117" t="s">
        <v>972</v>
      </c>
      <c r="M16" s="3039">
        <v>215</v>
      </c>
      <c r="N16" s="3016" t="s">
        <v>257</v>
      </c>
      <c r="O16" s="3037" t="s">
        <v>15</v>
      </c>
      <c r="P16" s="3016" t="s">
        <v>12323</v>
      </c>
      <c r="Q16" s="3016" t="s">
        <v>12456</v>
      </c>
      <c r="R16" s="3028"/>
      <c r="S16" s="3031"/>
      <c r="T16" s="3057"/>
      <c r="U16" s="2991"/>
      <c r="W16" s="2901"/>
      <c r="X16" s="2862"/>
    </row>
    <row r="17" spans="1:25" s="1592" customFormat="1" ht="72.5" hidden="1" x14ac:dyDescent="0.35">
      <c r="A17" s="2486">
        <v>44312</v>
      </c>
      <c r="B17" s="2596">
        <v>4</v>
      </c>
      <c r="C17" s="5" t="s">
        <v>12623</v>
      </c>
      <c r="D17" s="3032" t="s">
        <v>12624</v>
      </c>
      <c r="E17" s="3016" t="s">
        <v>12634</v>
      </c>
      <c r="F17" s="3029"/>
      <c r="G17" s="3040" t="s">
        <v>12635</v>
      </c>
      <c r="H17" s="2892"/>
      <c r="I17" s="2486">
        <v>44321</v>
      </c>
      <c r="J17" s="2722" t="s">
        <v>12625</v>
      </c>
      <c r="K17" s="6">
        <v>0.41666666666666669</v>
      </c>
      <c r="L17" s="3119">
        <v>0.49861111111111112</v>
      </c>
      <c r="M17" s="3039">
        <v>265</v>
      </c>
      <c r="N17" s="3016" t="s">
        <v>8625</v>
      </c>
      <c r="O17" s="3037" t="s">
        <v>119</v>
      </c>
      <c r="P17" s="3016" t="s">
        <v>17</v>
      </c>
      <c r="Q17" s="3016" t="s">
        <v>12457</v>
      </c>
      <c r="R17" s="3028"/>
      <c r="S17" s="3031"/>
      <c r="T17" s="3057"/>
      <c r="U17" s="2991"/>
      <c r="W17" s="2901"/>
      <c r="X17" s="2862"/>
    </row>
    <row r="18" spans="1:25" s="1592" customFormat="1" ht="43.5" hidden="1" x14ac:dyDescent="0.35">
      <c r="A18" s="2486">
        <v>44320</v>
      </c>
      <c r="B18" s="3107">
        <v>5</v>
      </c>
      <c r="C18" s="5" t="s">
        <v>12762</v>
      </c>
      <c r="D18" s="3032" t="s">
        <v>10910</v>
      </c>
      <c r="E18" s="3016" t="s">
        <v>12763</v>
      </c>
      <c r="F18" s="3029"/>
      <c r="G18" s="3040" t="s">
        <v>11441</v>
      </c>
      <c r="H18" s="3041"/>
      <c r="I18" s="2486">
        <v>44321</v>
      </c>
      <c r="J18" s="3034" t="s">
        <v>12764</v>
      </c>
      <c r="K18" s="6">
        <v>0.41666666666666669</v>
      </c>
      <c r="L18" s="3117">
        <v>0.51736111111111105</v>
      </c>
      <c r="M18" s="3111">
        <v>231</v>
      </c>
      <c r="N18" s="3016" t="s">
        <v>257</v>
      </c>
      <c r="O18" s="3037" t="s">
        <v>119</v>
      </c>
      <c r="P18" s="3016" t="s">
        <v>17</v>
      </c>
      <c r="Q18" s="3016" t="s">
        <v>12765</v>
      </c>
      <c r="R18" s="3028"/>
      <c r="S18" s="3109"/>
      <c r="T18" s="3110"/>
      <c r="U18" s="2991"/>
      <c r="W18" s="2901"/>
      <c r="X18" s="2862"/>
    </row>
    <row r="19" spans="1:25" s="1592" customFormat="1" ht="43.5" hidden="1" x14ac:dyDescent="0.35">
      <c r="A19" s="2486">
        <v>44320</v>
      </c>
      <c r="B19" s="3107">
        <v>7</v>
      </c>
      <c r="C19" s="2725" t="s">
        <v>12800</v>
      </c>
      <c r="D19" s="3032" t="s">
        <v>12801</v>
      </c>
      <c r="E19" s="3016" t="s">
        <v>12803</v>
      </c>
      <c r="F19" s="3029"/>
      <c r="G19" s="3040" t="s">
        <v>14316</v>
      </c>
      <c r="H19" s="3041"/>
      <c r="I19" s="2486">
        <v>44321</v>
      </c>
      <c r="J19" s="3034" t="s">
        <v>12802</v>
      </c>
      <c r="K19" s="6">
        <v>0.41666666666666669</v>
      </c>
      <c r="L19" s="3117">
        <v>0.55138888888888882</v>
      </c>
      <c r="M19" s="3111">
        <f>1.2*120+15</f>
        <v>159</v>
      </c>
      <c r="N19" s="3016" t="s">
        <v>257</v>
      </c>
      <c r="O19" s="3037" t="s">
        <v>119</v>
      </c>
      <c r="P19" s="3016" t="s">
        <v>17</v>
      </c>
      <c r="Q19" s="3016" t="s">
        <v>12596</v>
      </c>
      <c r="R19" s="3028"/>
      <c r="S19" s="3109"/>
      <c r="T19" s="3110"/>
      <c r="U19" s="2991"/>
      <c r="W19" s="2901"/>
      <c r="X19" s="2862"/>
    </row>
    <row r="20" spans="1:25" s="1592" customFormat="1" ht="203" hidden="1" x14ac:dyDescent="0.35">
      <c r="A20" s="2486">
        <v>44320</v>
      </c>
      <c r="B20" s="3107">
        <v>0</v>
      </c>
      <c r="C20" s="5" t="s">
        <v>12709</v>
      </c>
      <c r="D20" s="3032" t="s">
        <v>12607</v>
      </c>
      <c r="E20" s="2725" t="s">
        <v>12806</v>
      </c>
      <c r="F20" s="3029"/>
      <c r="G20" s="3040"/>
      <c r="H20" s="3041"/>
      <c r="I20" s="2486">
        <v>44321</v>
      </c>
      <c r="J20" s="2722" t="s">
        <v>12710</v>
      </c>
      <c r="K20" s="6">
        <v>0.41666666666666669</v>
      </c>
      <c r="L20" s="3114">
        <v>0.4375</v>
      </c>
      <c r="M20" s="3111">
        <v>0</v>
      </c>
      <c r="N20" s="3016" t="s">
        <v>12807</v>
      </c>
      <c r="O20" s="3037" t="s">
        <v>140</v>
      </c>
      <c r="P20" s="3016" t="s">
        <v>17</v>
      </c>
      <c r="Q20" s="3016" t="s">
        <v>12808</v>
      </c>
      <c r="R20" s="3028"/>
      <c r="S20" s="3109"/>
      <c r="T20" s="3110"/>
      <c r="U20" s="2991"/>
      <c r="W20" s="2901"/>
      <c r="X20" s="2862"/>
    </row>
    <row r="21" spans="1:25" s="1592" customFormat="1" ht="43.5" hidden="1" x14ac:dyDescent="0.35">
      <c r="A21" s="2486">
        <v>44320</v>
      </c>
      <c r="B21" s="3107">
        <v>1</v>
      </c>
      <c r="C21" s="5" t="s">
        <v>12636</v>
      </c>
      <c r="D21" s="3032" t="s">
        <v>12637</v>
      </c>
      <c r="E21" s="3016" t="s">
        <v>12775</v>
      </c>
      <c r="F21" s="3029"/>
      <c r="G21" s="3040" t="s">
        <v>12776</v>
      </c>
      <c r="H21" s="3041"/>
      <c r="I21" s="2486">
        <v>44321</v>
      </c>
      <c r="J21" s="3034" t="s">
        <v>12777</v>
      </c>
      <c r="K21" s="6">
        <v>0.41666666666666669</v>
      </c>
      <c r="L21" s="3117">
        <v>0.43263888888888885</v>
      </c>
      <c r="M21" s="3111">
        <v>174</v>
      </c>
      <c r="N21" s="3016" t="s">
        <v>8625</v>
      </c>
      <c r="O21" s="3037" t="s">
        <v>119</v>
      </c>
      <c r="P21" s="3016" t="s">
        <v>17</v>
      </c>
      <c r="Q21" s="3016" t="s">
        <v>12778</v>
      </c>
      <c r="R21" s="3028"/>
      <c r="S21" s="3109"/>
      <c r="T21" s="3110"/>
      <c r="U21" s="2991"/>
      <c r="W21" s="2901"/>
      <c r="X21" s="2862"/>
    </row>
    <row r="22" spans="1:25" s="1592" customFormat="1" ht="43.5" hidden="1" x14ac:dyDescent="0.35">
      <c r="A22" s="2486">
        <v>44304</v>
      </c>
      <c r="B22" s="2596">
        <v>3</v>
      </c>
      <c r="C22" s="5" t="s">
        <v>12504</v>
      </c>
      <c r="D22" s="3032" t="s">
        <v>12505</v>
      </c>
      <c r="E22" s="3016" t="s">
        <v>12507</v>
      </c>
      <c r="F22" s="3029"/>
      <c r="G22" s="3040" t="s">
        <v>12071</v>
      </c>
      <c r="H22" s="2892"/>
      <c r="I22" s="2486">
        <v>44321</v>
      </c>
      <c r="J22" s="2722" t="s">
        <v>12506</v>
      </c>
      <c r="K22" s="6">
        <v>0.41666666666666669</v>
      </c>
      <c r="L22" s="3119">
        <v>0.47500000000000003</v>
      </c>
      <c r="M22" s="3039">
        <v>70</v>
      </c>
      <c r="N22" s="3016" t="s">
        <v>392</v>
      </c>
      <c r="O22" s="3037" t="s">
        <v>119</v>
      </c>
      <c r="P22" s="3016" t="s">
        <v>821</v>
      </c>
      <c r="Q22" s="3016" t="s">
        <v>6651</v>
      </c>
      <c r="R22" s="3028"/>
      <c r="S22" s="3031"/>
      <c r="T22" s="3057"/>
      <c r="U22" s="2991"/>
      <c r="W22" s="2901"/>
      <c r="X22" s="2862"/>
    </row>
    <row r="23" spans="1:25" s="1592" customFormat="1" ht="43.5" hidden="1" x14ac:dyDescent="0.35">
      <c r="A23" s="2486">
        <v>44321</v>
      </c>
      <c r="B23" s="3107"/>
      <c r="C23" s="5" t="s">
        <v>12900</v>
      </c>
      <c r="D23" s="3032" t="s">
        <v>11818</v>
      </c>
      <c r="E23" s="2725" t="s">
        <v>12901</v>
      </c>
      <c r="F23" s="3029"/>
      <c r="G23" s="3040" t="s">
        <v>14316</v>
      </c>
      <c r="H23" s="3041"/>
      <c r="I23" s="2486">
        <v>44321</v>
      </c>
      <c r="J23" s="2722" t="s">
        <v>12902</v>
      </c>
      <c r="K23" s="6" t="s">
        <v>15</v>
      </c>
      <c r="L23" s="3117" t="s">
        <v>972</v>
      </c>
      <c r="M23" s="3111">
        <v>169</v>
      </c>
      <c r="N23" s="3016" t="s">
        <v>257</v>
      </c>
      <c r="O23" s="3037" t="s">
        <v>15</v>
      </c>
      <c r="P23" s="3016" t="s">
        <v>12317</v>
      </c>
      <c r="Q23" s="3016" t="s">
        <v>12414</v>
      </c>
      <c r="R23" s="3028"/>
      <c r="S23" s="3109"/>
      <c r="T23" s="3110"/>
      <c r="U23" s="2991"/>
      <c r="W23" s="2901"/>
      <c r="X23" s="2862"/>
    </row>
    <row r="24" spans="1:25" s="1592" customFormat="1" ht="43.5" hidden="1" x14ac:dyDescent="0.35">
      <c r="A24" s="2486">
        <v>44315</v>
      </c>
      <c r="B24" s="3090">
        <v>9</v>
      </c>
      <c r="C24" s="3015" t="s">
        <v>12701</v>
      </c>
      <c r="D24" s="3032" t="s">
        <v>12381</v>
      </c>
      <c r="E24" s="3015" t="s">
        <v>12700</v>
      </c>
      <c r="F24" s="3029"/>
      <c r="G24" s="3040" t="s">
        <v>11849</v>
      </c>
      <c r="H24" s="3041"/>
      <c r="I24" s="3021">
        <v>44321</v>
      </c>
      <c r="J24" s="3046" t="s">
        <v>5494</v>
      </c>
      <c r="K24" s="6" t="s">
        <v>15</v>
      </c>
      <c r="L24" s="3117" t="s">
        <v>972</v>
      </c>
      <c r="M24" s="3092">
        <v>140</v>
      </c>
      <c r="N24" s="3016" t="s">
        <v>257</v>
      </c>
      <c r="O24" s="3037" t="s">
        <v>15</v>
      </c>
      <c r="P24" s="3016" t="s">
        <v>12323</v>
      </c>
      <c r="Q24" s="3016" t="s">
        <v>12702</v>
      </c>
      <c r="R24" s="3028"/>
      <c r="S24" s="3091"/>
      <c r="T24" s="3096"/>
      <c r="U24" s="2991"/>
      <c r="W24" s="2901"/>
      <c r="X24" s="2862"/>
    </row>
    <row r="25" spans="1:25" s="1592" customFormat="1" ht="29" hidden="1" x14ac:dyDescent="0.35">
      <c r="A25" s="2486">
        <v>44321</v>
      </c>
      <c r="B25" s="3036"/>
      <c r="C25" s="5" t="s">
        <v>12844</v>
      </c>
      <c r="D25" s="3032" t="s">
        <v>12843</v>
      </c>
      <c r="E25" s="2725" t="s">
        <v>12845</v>
      </c>
      <c r="F25" s="3029"/>
      <c r="G25" s="3040" t="s">
        <v>11871</v>
      </c>
      <c r="H25" s="3041"/>
      <c r="I25" s="2486">
        <v>44321</v>
      </c>
      <c r="J25" s="3046" t="s">
        <v>5494</v>
      </c>
      <c r="K25" s="6" t="s">
        <v>15</v>
      </c>
      <c r="L25" s="3119">
        <v>0.64583333333333337</v>
      </c>
      <c r="M25" s="3039">
        <v>168</v>
      </c>
      <c r="N25" s="3016" t="s">
        <v>257</v>
      </c>
      <c r="O25" s="3037" t="s">
        <v>15</v>
      </c>
      <c r="P25" s="3016" t="s">
        <v>12323</v>
      </c>
      <c r="Q25" s="3016" t="s">
        <v>12452</v>
      </c>
      <c r="R25" s="3028"/>
      <c r="S25" s="3031"/>
      <c r="T25" s="3057"/>
      <c r="U25" s="2991"/>
      <c r="W25" s="2901"/>
      <c r="X25" s="2862"/>
    </row>
    <row r="26" spans="1:25" s="1592" customFormat="1" ht="43.5" hidden="1" x14ac:dyDescent="0.35">
      <c r="A26" s="2486">
        <v>44321</v>
      </c>
      <c r="B26" s="3036"/>
      <c r="C26" s="5" t="s">
        <v>12573</v>
      </c>
      <c r="D26" s="3032" t="s">
        <v>12549</v>
      </c>
      <c r="E26" s="3024" t="s">
        <v>12840</v>
      </c>
      <c r="F26" s="3029"/>
      <c r="G26" s="3041" t="s">
        <v>11951</v>
      </c>
      <c r="H26" s="2195"/>
      <c r="I26" s="2486">
        <v>44321</v>
      </c>
      <c r="J26" s="3046" t="s">
        <v>5494</v>
      </c>
      <c r="K26" s="6" t="s">
        <v>15</v>
      </c>
      <c r="L26" s="3117" t="s">
        <v>972</v>
      </c>
      <c r="M26" s="3039">
        <v>150</v>
      </c>
      <c r="N26" s="3016" t="s">
        <v>257</v>
      </c>
      <c r="O26" s="3037" t="s">
        <v>15</v>
      </c>
      <c r="P26" s="3016" t="s">
        <v>12323</v>
      </c>
      <c r="Q26" s="3016" t="s">
        <v>12839</v>
      </c>
      <c r="R26" s="3028"/>
      <c r="S26" s="3031"/>
      <c r="T26" s="3057"/>
      <c r="U26" s="2991"/>
      <c r="W26" s="2901"/>
      <c r="X26" s="2862"/>
    </row>
    <row r="27" spans="1:25" s="1592" customFormat="1" hidden="1" x14ac:dyDescent="0.35">
      <c r="A27" s="2486">
        <v>44320</v>
      </c>
      <c r="B27" s="3107">
        <v>10</v>
      </c>
      <c r="C27" s="5" t="s">
        <v>11889</v>
      </c>
      <c r="D27" s="3032" t="s">
        <v>15</v>
      </c>
      <c r="E27" s="2725" t="s">
        <v>12739</v>
      </c>
      <c r="F27" s="3029"/>
      <c r="G27" s="3040" t="s">
        <v>11432</v>
      </c>
      <c r="H27" s="3041"/>
      <c r="I27" s="2486">
        <v>44321</v>
      </c>
      <c r="J27" s="2722" t="s">
        <v>12064</v>
      </c>
      <c r="K27" s="6" t="s">
        <v>15</v>
      </c>
      <c r="L27" s="3117" t="s">
        <v>972</v>
      </c>
      <c r="M27" s="3111">
        <v>0</v>
      </c>
      <c r="N27" s="3016" t="s">
        <v>12064</v>
      </c>
      <c r="O27" s="3037" t="s">
        <v>15</v>
      </c>
      <c r="P27" s="3016" t="s">
        <v>17</v>
      </c>
      <c r="Q27" s="3016" t="s">
        <v>12216</v>
      </c>
      <c r="R27" s="3028"/>
      <c r="S27" s="3109"/>
      <c r="T27" s="3110"/>
      <c r="U27" s="2991"/>
      <c r="W27" s="2901"/>
      <c r="X27" s="2862"/>
    </row>
    <row r="28" spans="1:25" s="1592" customFormat="1" hidden="1" x14ac:dyDescent="0.35">
      <c r="A28" s="2486">
        <v>44320</v>
      </c>
      <c r="B28" s="3107">
        <v>11</v>
      </c>
      <c r="C28" s="5" t="s">
        <v>11889</v>
      </c>
      <c r="D28" s="3032" t="s">
        <v>15</v>
      </c>
      <c r="E28" s="2725" t="s">
        <v>12757</v>
      </c>
      <c r="F28" s="3029"/>
      <c r="G28" s="3040" t="s">
        <v>11446</v>
      </c>
      <c r="H28" s="3041"/>
      <c r="I28" s="2486">
        <v>44321</v>
      </c>
      <c r="J28" s="2722" t="s">
        <v>12064</v>
      </c>
      <c r="K28" s="6" t="s">
        <v>15</v>
      </c>
      <c r="L28" s="3117" t="s">
        <v>972</v>
      </c>
      <c r="M28" s="3111">
        <v>0</v>
      </c>
      <c r="N28" s="3016" t="s">
        <v>12064</v>
      </c>
      <c r="O28" s="3037" t="s">
        <v>15</v>
      </c>
      <c r="P28" s="3016" t="s">
        <v>17</v>
      </c>
      <c r="Q28" s="3016" t="s">
        <v>12216</v>
      </c>
      <c r="R28" s="3028"/>
      <c r="S28" s="3109"/>
      <c r="T28" s="3110"/>
      <c r="U28" s="2991"/>
      <c r="W28" s="2901"/>
      <c r="X28" s="2862"/>
    </row>
    <row r="29" spans="1:25" s="1592" customFormat="1" ht="29" hidden="1" x14ac:dyDescent="0.35">
      <c r="A29" s="2486">
        <v>44262</v>
      </c>
      <c r="B29" s="2596">
        <v>12</v>
      </c>
      <c r="C29" s="2957" t="s">
        <v>11286</v>
      </c>
      <c r="D29" s="3032" t="s">
        <v>12064</v>
      </c>
      <c r="E29" s="2957" t="s">
        <v>12286</v>
      </c>
      <c r="F29" s="3029"/>
      <c r="G29" s="3040" t="s">
        <v>11446</v>
      </c>
      <c r="H29" s="2892"/>
      <c r="I29" s="2958">
        <v>44321</v>
      </c>
      <c r="J29" s="2975" t="s">
        <v>12064</v>
      </c>
      <c r="K29" s="6" t="s">
        <v>15</v>
      </c>
      <c r="L29" s="3117" t="s">
        <v>972</v>
      </c>
      <c r="M29" s="3039">
        <v>0</v>
      </c>
      <c r="N29" s="3016" t="s">
        <v>12064</v>
      </c>
      <c r="O29" s="3016" t="s">
        <v>12064</v>
      </c>
      <c r="P29" s="3016" t="s">
        <v>821</v>
      </c>
      <c r="Q29" s="3016" t="s">
        <v>12064</v>
      </c>
      <c r="R29" s="3017"/>
      <c r="S29" s="3031"/>
      <c r="T29" s="3057"/>
      <c r="U29" s="2991"/>
      <c r="W29" s="2901"/>
      <c r="X29" s="2862"/>
    </row>
    <row r="30" spans="1:25" s="1592" customFormat="1" ht="49.5" hidden="1" x14ac:dyDescent="0.35">
      <c r="A30" s="2486">
        <v>44320</v>
      </c>
      <c r="B30" s="3107">
        <v>13</v>
      </c>
      <c r="C30" s="2725" t="s">
        <v>12805</v>
      </c>
      <c r="D30" s="3032" t="s">
        <v>12009</v>
      </c>
      <c r="E30" s="3016" t="s">
        <v>12793</v>
      </c>
      <c r="F30" s="3029"/>
      <c r="G30" s="3040" t="s">
        <v>14353</v>
      </c>
      <c r="H30" s="3041"/>
      <c r="I30" s="2486">
        <v>44321</v>
      </c>
      <c r="J30" s="3034" t="s">
        <v>11996</v>
      </c>
      <c r="K30" s="6" t="s">
        <v>15</v>
      </c>
      <c r="L30" s="3117" t="s">
        <v>972</v>
      </c>
      <c r="M30" s="3111">
        <f>4*15</f>
        <v>60</v>
      </c>
      <c r="N30" s="3016" t="s">
        <v>257</v>
      </c>
      <c r="O30" s="3037" t="s">
        <v>15</v>
      </c>
      <c r="P30" s="3016" t="s">
        <v>17</v>
      </c>
      <c r="Q30" s="3016" t="s">
        <v>12794</v>
      </c>
      <c r="R30" s="3028"/>
      <c r="S30" s="3109"/>
      <c r="T30" s="3110"/>
      <c r="U30" s="2991"/>
      <c r="W30" s="2901"/>
      <c r="X30" s="2862"/>
    </row>
    <row r="31" spans="1:25" s="1592" customFormat="1" ht="181.5" hidden="1" x14ac:dyDescent="0.35">
      <c r="A31" s="2486">
        <v>44321</v>
      </c>
      <c r="B31" s="3107">
        <v>4</v>
      </c>
      <c r="C31" s="5" t="s">
        <v>12662</v>
      </c>
      <c r="D31" s="3032" t="s">
        <v>12597</v>
      </c>
      <c r="E31" s="2725" t="s">
        <v>12931</v>
      </c>
      <c r="F31" s="3029"/>
      <c r="G31" s="3040" t="s">
        <v>12933</v>
      </c>
      <c r="H31" s="3041"/>
      <c r="I31" s="2486">
        <v>44322</v>
      </c>
      <c r="J31" s="2722" t="s">
        <v>12663</v>
      </c>
      <c r="K31" s="3122">
        <v>0.4375</v>
      </c>
      <c r="L31" s="3122">
        <v>0.53125</v>
      </c>
      <c r="M31" s="3111">
        <v>200</v>
      </c>
      <c r="N31" s="3016" t="s">
        <v>257</v>
      </c>
      <c r="O31" s="3037" t="s">
        <v>119</v>
      </c>
      <c r="P31" s="3016" t="s">
        <v>1960</v>
      </c>
      <c r="Q31" s="3016" t="s">
        <v>12467</v>
      </c>
      <c r="R31" s="3027"/>
      <c r="S31" s="3109"/>
      <c r="T31" s="3110"/>
      <c r="U31" s="2989"/>
      <c r="W31" s="2901">
        <v>271</v>
      </c>
      <c r="X31" s="2862"/>
      <c r="Y31" s="1592">
        <v>271</v>
      </c>
    </row>
    <row r="32" spans="1:25" s="1592" customFormat="1" ht="58" hidden="1" x14ac:dyDescent="0.35">
      <c r="A32" s="2486">
        <v>44320</v>
      </c>
      <c r="B32" s="3107">
        <v>9</v>
      </c>
      <c r="C32" s="2725" t="s">
        <v>12782</v>
      </c>
      <c r="D32" s="3032" t="s">
        <v>12780</v>
      </c>
      <c r="E32" s="3016" t="s">
        <v>12783</v>
      </c>
      <c r="F32" s="3029"/>
      <c r="G32" s="3040" t="s">
        <v>12182</v>
      </c>
      <c r="H32" s="3041"/>
      <c r="I32" s="2486">
        <v>44322</v>
      </c>
      <c r="J32" s="3034" t="s">
        <v>12781</v>
      </c>
      <c r="K32" s="6">
        <v>0.4375</v>
      </c>
      <c r="L32" s="3117">
        <v>0.63263888888888886</v>
      </c>
      <c r="M32" s="3111">
        <v>0</v>
      </c>
      <c r="N32" s="3016" t="s">
        <v>257</v>
      </c>
      <c r="O32" s="3037" t="s">
        <v>119</v>
      </c>
      <c r="P32" s="3016" t="s">
        <v>17</v>
      </c>
      <c r="Q32" s="3016" t="s">
        <v>12594</v>
      </c>
      <c r="R32" s="3027"/>
      <c r="S32" s="3109"/>
      <c r="T32" s="3110"/>
      <c r="U32" s="2991"/>
      <c r="W32" s="2901"/>
      <c r="X32" s="2862"/>
    </row>
    <row r="33" spans="1:24" s="1592" customFormat="1" ht="43.5" hidden="1" x14ac:dyDescent="0.35">
      <c r="A33" s="2486">
        <v>44320</v>
      </c>
      <c r="B33" s="3107">
        <v>7</v>
      </c>
      <c r="C33" s="5" t="s">
        <v>12174</v>
      </c>
      <c r="D33" s="3032" t="s">
        <v>12746</v>
      </c>
      <c r="E33" s="2725" t="s">
        <v>12747</v>
      </c>
      <c r="F33" s="3029"/>
      <c r="G33" s="3040" t="s">
        <v>14323</v>
      </c>
      <c r="H33" s="2973"/>
      <c r="I33" s="2486">
        <v>44322</v>
      </c>
      <c r="J33" s="2722" t="s">
        <v>12748</v>
      </c>
      <c r="K33" s="6">
        <v>0.4375</v>
      </c>
      <c r="L33" s="3117">
        <v>0.59375</v>
      </c>
      <c r="M33" s="3111">
        <v>159</v>
      </c>
      <c r="N33" s="3016" t="s">
        <v>8625</v>
      </c>
      <c r="O33" s="3016" t="s">
        <v>119</v>
      </c>
      <c r="P33" s="3016" t="s">
        <v>17</v>
      </c>
      <c r="Q33" s="3016" t="s">
        <v>12749</v>
      </c>
      <c r="R33" s="3028"/>
      <c r="S33" s="3109"/>
      <c r="T33" s="3110"/>
      <c r="U33" s="2991"/>
      <c r="W33" s="2901"/>
      <c r="X33" s="2862"/>
    </row>
    <row r="34" spans="1:24" s="1592" customFormat="1" ht="87" hidden="1" x14ac:dyDescent="0.35">
      <c r="A34" s="2486">
        <v>44321</v>
      </c>
      <c r="B34" s="3036">
        <v>11</v>
      </c>
      <c r="C34" s="5" t="s">
        <v>12835</v>
      </c>
      <c r="D34" s="3032" t="s">
        <v>12518</v>
      </c>
      <c r="E34" s="2725" t="s">
        <v>12836</v>
      </c>
      <c r="F34" s="3029"/>
      <c r="G34" s="3040" t="s">
        <v>11439</v>
      </c>
      <c r="H34" s="3041"/>
      <c r="I34" s="2486">
        <v>44322</v>
      </c>
      <c r="J34" s="2722" t="s">
        <v>12837</v>
      </c>
      <c r="K34" s="6">
        <v>0.4375</v>
      </c>
      <c r="L34" s="3117">
        <v>0.67708333333333337</v>
      </c>
      <c r="M34" s="3039">
        <v>183</v>
      </c>
      <c r="N34" s="3016" t="s">
        <v>257</v>
      </c>
      <c r="O34" s="3037" t="s">
        <v>119</v>
      </c>
      <c r="P34" s="3016" t="s">
        <v>12323</v>
      </c>
      <c r="Q34" s="3016" t="s">
        <v>12838</v>
      </c>
      <c r="R34" s="3027"/>
      <c r="S34" s="3031"/>
      <c r="T34" s="3057"/>
      <c r="U34" s="2989"/>
      <c r="W34" s="2901"/>
      <c r="X34" s="2862"/>
    </row>
    <row r="35" spans="1:24" s="1592" customFormat="1" ht="43.5" hidden="1" x14ac:dyDescent="0.35">
      <c r="A35" s="3047">
        <v>44321</v>
      </c>
      <c r="B35" s="3042">
        <v>1</v>
      </c>
      <c r="C35" s="3026" t="s">
        <v>1598</v>
      </c>
      <c r="D35" s="3044" t="s">
        <v>12846</v>
      </c>
      <c r="E35" s="3158" t="s">
        <v>12849</v>
      </c>
      <c r="F35" s="3025"/>
      <c r="G35" s="3050" t="s">
        <v>11432</v>
      </c>
      <c r="H35" s="3049"/>
      <c r="I35" s="3047">
        <v>44322</v>
      </c>
      <c r="J35" s="3046" t="s">
        <v>12847</v>
      </c>
      <c r="K35" s="3128">
        <v>0.4375</v>
      </c>
      <c r="L35" s="3118">
        <v>0.44444444444444442</v>
      </c>
      <c r="M35" s="3039">
        <v>465</v>
      </c>
      <c r="N35" s="3025" t="s">
        <v>257</v>
      </c>
      <c r="O35" s="3045" t="s">
        <v>119</v>
      </c>
      <c r="P35" s="3025" t="s">
        <v>12323</v>
      </c>
      <c r="Q35" s="3025" t="s">
        <v>12457</v>
      </c>
      <c r="R35" s="3028"/>
      <c r="S35" s="3031"/>
      <c r="T35" s="3057"/>
      <c r="U35" s="2989"/>
      <c r="W35" s="2901"/>
      <c r="X35" s="2862"/>
    </row>
    <row r="36" spans="1:24" s="1592" customFormat="1" ht="72.5" hidden="1" x14ac:dyDescent="0.35">
      <c r="A36" s="2486">
        <v>44321</v>
      </c>
      <c r="B36" s="3036">
        <v>3</v>
      </c>
      <c r="C36" s="5" t="s">
        <v>12329</v>
      </c>
      <c r="D36" s="3032" t="s">
        <v>12862</v>
      </c>
      <c r="E36" s="2725" t="s">
        <v>12861</v>
      </c>
      <c r="F36" s="3029"/>
      <c r="G36" s="3040" t="s">
        <v>12863</v>
      </c>
      <c r="H36" s="3041"/>
      <c r="I36" s="2486">
        <v>44322</v>
      </c>
      <c r="J36" s="2722" t="s">
        <v>12864</v>
      </c>
      <c r="K36" s="6">
        <v>0.4375</v>
      </c>
      <c r="L36" s="3119">
        <v>0.50138888888888888</v>
      </c>
      <c r="M36" s="3039">
        <v>223</v>
      </c>
      <c r="N36" s="3016" t="s">
        <v>257</v>
      </c>
      <c r="O36" s="3037" t="s">
        <v>119</v>
      </c>
      <c r="P36" s="3016" t="s">
        <v>12323</v>
      </c>
      <c r="Q36" s="3016" t="s">
        <v>12461</v>
      </c>
      <c r="R36" s="3028"/>
      <c r="S36" s="3031"/>
      <c r="T36" s="3057"/>
      <c r="U36" s="2989"/>
      <c r="W36" s="2901"/>
      <c r="X36" s="2862"/>
    </row>
    <row r="37" spans="1:24" s="1592" customFormat="1" ht="58" hidden="1" x14ac:dyDescent="0.35">
      <c r="A37" s="2486">
        <v>44316</v>
      </c>
      <c r="B37" s="3116">
        <v>8</v>
      </c>
      <c r="C37" s="5" t="s">
        <v>12453</v>
      </c>
      <c r="D37" s="3032" t="s">
        <v>12454</v>
      </c>
      <c r="E37" s="3016" t="s">
        <v>12715</v>
      </c>
      <c r="F37" s="3029"/>
      <c r="G37" s="3040" t="s">
        <v>12716</v>
      </c>
      <c r="H37" s="3041"/>
      <c r="I37" s="2486">
        <v>44322</v>
      </c>
      <c r="J37" s="3034" t="s">
        <v>12455</v>
      </c>
      <c r="K37" s="6">
        <v>0.4375</v>
      </c>
      <c r="L37" s="3117">
        <v>0.61319444444444449</v>
      </c>
      <c r="M37" s="3138">
        <v>0</v>
      </c>
      <c r="N37" s="3016" t="s">
        <v>5716</v>
      </c>
      <c r="O37" s="3037" t="s">
        <v>119</v>
      </c>
      <c r="P37" s="3016" t="s">
        <v>1031</v>
      </c>
      <c r="Q37" s="3016" t="s">
        <v>12717</v>
      </c>
      <c r="R37" s="3028"/>
      <c r="S37" s="3101"/>
      <c r="T37" s="3102"/>
      <c r="U37" s="2989"/>
      <c r="W37" s="2901"/>
      <c r="X37" s="2862"/>
    </row>
    <row r="38" spans="1:24" s="1592" customFormat="1" ht="29" hidden="1" x14ac:dyDescent="0.35">
      <c r="A38" s="2486">
        <v>44321</v>
      </c>
      <c r="B38" s="3036">
        <v>6</v>
      </c>
      <c r="C38" s="5" t="s">
        <v>11890</v>
      </c>
      <c r="D38" s="3032" t="s">
        <v>12713</v>
      </c>
      <c r="E38" s="2725" t="s">
        <v>11880</v>
      </c>
      <c r="F38" s="3029"/>
      <c r="G38" s="3040" t="s">
        <v>14316</v>
      </c>
      <c r="H38" s="3041"/>
      <c r="I38" s="2486">
        <v>44322</v>
      </c>
      <c r="J38" s="2722" t="s">
        <v>12831</v>
      </c>
      <c r="K38" s="6">
        <v>0.4375</v>
      </c>
      <c r="L38" s="3119">
        <v>0.57638888888888895</v>
      </c>
      <c r="M38" s="3039">
        <v>159</v>
      </c>
      <c r="N38" s="3016" t="s">
        <v>8625</v>
      </c>
      <c r="O38" s="3037" t="s">
        <v>119</v>
      </c>
      <c r="P38" s="3016" t="s">
        <v>12323</v>
      </c>
      <c r="Q38" s="3016" t="s">
        <v>12832</v>
      </c>
      <c r="R38" s="3028"/>
      <c r="S38" s="3031"/>
      <c r="T38" s="3057"/>
      <c r="U38" s="2989"/>
      <c r="W38" s="2901"/>
      <c r="X38" s="2862"/>
    </row>
    <row r="39" spans="1:24" s="1592" customFormat="1" ht="29" hidden="1" x14ac:dyDescent="0.35">
      <c r="A39" s="2486">
        <v>44322</v>
      </c>
      <c r="B39" s="3107"/>
      <c r="C39" s="2725" t="s">
        <v>12965</v>
      </c>
      <c r="D39" s="3032" t="s">
        <v>12966</v>
      </c>
      <c r="E39" s="3016" t="s">
        <v>12968</v>
      </c>
      <c r="F39" s="3029"/>
      <c r="G39" s="3040" t="s">
        <v>12004</v>
      </c>
      <c r="H39" s="3041"/>
      <c r="I39" s="3021">
        <v>44322</v>
      </c>
      <c r="J39" s="3034" t="s">
        <v>12967</v>
      </c>
      <c r="K39" s="6" t="s">
        <v>15</v>
      </c>
      <c r="L39" s="3117" t="s">
        <v>972</v>
      </c>
      <c r="M39" s="3111">
        <v>165</v>
      </c>
      <c r="N39" s="3016" t="s">
        <v>12615</v>
      </c>
      <c r="O39" s="3037" t="s">
        <v>15</v>
      </c>
      <c r="P39" s="3016" t="s">
        <v>1960</v>
      </c>
      <c r="Q39" s="3015" t="s">
        <v>12460</v>
      </c>
      <c r="R39" s="3028"/>
      <c r="S39" s="3109"/>
      <c r="T39" s="3110"/>
      <c r="U39" s="2989"/>
      <c r="W39" s="2901"/>
      <c r="X39" s="2862"/>
    </row>
    <row r="40" spans="1:24" s="1592" customFormat="1" ht="29" hidden="1" x14ac:dyDescent="0.35">
      <c r="A40" s="3047">
        <v>44319</v>
      </c>
      <c r="B40" s="3103">
        <v>10</v>
      </c>
      <c r="C40" s="3026" t="s">
        <v>12437</v>
      </c>
      <c r="D40" s="3032" t="s">
        <v>12438</v>
      </c>
      <c r="E40" s="3026" t="s">
        <v>12720</v>
      </c>
      <c r="F40" s="3029"/>
      <c r="G40" s="3040"/>
      <c r="H40" s="3041"/>
      <c r="I40" s="3047">
        <v>44322</v>
      </c>
      <c r="J40" s="3046" t="s">
        <v>12439</v>
      </c>
      <c r="K40" s="3128">
        <v>0.4375</v>
      </c>
      <c r="L40" s="3117">
        <v>0.65486111111111112</v>
      </c>
      <c r="M40" s="3139">
        <v>0</v>
      </c>
      <c r="N40" s="3016" t="s">
        <v>257</v>
      </c>
      <c r="O40" s="3037" t="s">
        <v>119</v>
      </c>
      <c r="P40" s="3016" t="s">
        <v>17</v>
      </c>
      <c r="Q40" s="3016" t="s">
        <v>12721</v>
      </c>
      <c r="R40" s="3028"/>
      <c r="S40" s="3104"/>
      <c r="T40" s="3105"/>
      <c r="U40" s="2989"/>
      <c r="W40" s="2901"/>
      <c r="X40" s="2862"/>
    </row>
    <row r="41" spans="1:24" s="1592" customFormat="1" ht="174" hidden="1" x14ac:dyDescent="0.35">
      <c r="A41" s="3047">
        <v>44315</v>
      </c>
      <c r="B41" s="3042">
        <v>2</v>
      </c>
      <c r="C41" s="3026" t="s">
        <v>12694</v>
      </c>
      <c r="D41" s="3044" t="s">
        <v>12695</v>
      </c>
      <c r="E41" s="3048" t="s">
        <v>12693</v>
      </c>
      <c r="F41" s="3025"/>
      <c r="G41" s="3050" t="s">
        <v>11432</v>
      </c>
      <c r="H41" s="3049"/>
      <c r="I41" s="3047">
        <v>44322</v>
      </c>
      <c r="J41" s="3046" t="s">
        <v>12696</v>
      </c>
      <c r="K41" s="3128">
        <v>0.4375</v>
      </c>
      <c r="L41" s="3119">
        <v>0.4680555555555555</v>
      </c>
      <c r="M41" s="3039">
        <v>465</v>
      </c>
      <c r="N41" s="3025" t="s">
        <v>12685</v>
      </c>
      <c r="O41" s="3045" t="s">
        <v>119</v>
      </c>
      <c r="P41" s="3025" t="s">
        <v>12323</v>
      </c>
      <c r="Q41" s="3025" t="s">
        <v>12697</v>
      </c>
      <c r="R41" s="3028"/>
      <c r="S41" s="3031"/>
      <c r="T41" s="3057"/>
      <c r="U41" s="2989"/>
      <c r="W41" s="2901"/>
      <c r="X41" s="2862"/>
    </row>
    <row r="42" spans="1:24" s="1592" customFormat="1" ht="29" hidden="1" x14ac:dyDescent="0.35">
      <c r="A42" s="2486">
        <v>44321</v>
      </c>
      <c r="B42" s="3036">
        <v>5</v>
      </c>
      <c r="C42" s="5" t="s">
        <v>12854</v>
      </c>
      <c r="D42" s="3032" t="s">
        <v>12204</v>
      </c>
      <c r="E42" s="3058" t="s">
        <v>12852</v>
      </c>
      <c r="F42" s="3029"/>
      <c r="G42" s="3040" t="s">
        <v>11442</v>
      </c>
      <c r="H42" s="3041"/>
      <c r="I42" s="2486">
        <v>44322</v>
      </c>
      <c r="J42" s="2722" t="s">
        <v>12853</v>
      </c>
      <c r="K42" s="6">
        <v>0.4375</v>
      </c>
      <c r="L42" s="3119">
        <v>0.55277777777777781</v>
      </c>
      <c r="M42" s="3039">
        <v>183</v>
      </c>
      <c r="N42" s="3016" t="s">
        <v>8999</v>
      </c>
      <c r="O42" s="3037" t="s">
        <v>119</v>
      </c>
      <c r="P42" s="3016" t="s">
        <v>12323</v>
      </c>
      <c r="Q42" s="3016" t="s">
        <v>12458</v>
      </c>
      <c r="R42" s="3028"/>
      <c r="S42" s="3031"/>
      <c r="T42" s="3057"/>
      <c r="U42" s="2989"/>
      <c r="W42" s="2901"/>
      <c r="X42" s="2862"/>
    </row>
    <row r="43" spans="1:24" s="1592" customFormat="1" ht="29" hidden="1" x14ac:dyDescent="0.35">
      <c r="A43" s="2486">
        <v>44321</v>
      </c>
      <c r="B43" s="3036">
        <v>12</v>
      </c>
      <c r="C43" s="5" t="s">
        <v>12880</v>
      </c>
      <c r="D43" s="3032" t="s">
        <v>12879</v>
      </c>
      <c r="E43" s="2725" t="s">
        <v>12878</v>
      </c>
      <c r="F43" s="3029"/>
      <c r="G43" s="3040" t="s">
        <v>14328</v>
      </c>
      <c r="H43" s="3041"/>
      <c r="I43" s="2486">
        <v>44322</v>
      </c>
      <c r="J43" s="3046" t="s">
        <v>5494</v>
      </c>
      <c r="K43" s="6">
        <v>0.45833333333333331</v>
      </c>
      <c r="L43" s="6">
        <v>0.45833333333333331</v>
      </c>
      <c r="M43" s="3039">
        <v>144</v>
      </c>
      <c r="N43" s="3016" t="s">
        <v>257</v>
      </c>
      <c r="O43" s="3037" t="s">
        <v>15</v>
      </c>
      <c r="P43" s="3016" t="s">
        <v>12323</v>
      </c>
      <c r="Q43" s="3016" t="s">
        <v>12406</v>
      </c>
      <c r="R43" s="3028"/>
      <c r="S43" s="3031"/>
      <c r="T43" s="3057"/>
      <c r="U43" s="2989"/>
      <c r="W43" s="2901"/>
      <c r="X43" s="2862"/>
    </row>
    <row r="44" spans="1:24" s="1592" customFormat="1" ht="29" hidden="1" x14ac:dyDescent="0.35">
      <c r="A44" s="2486">
        <v>44321</v>
      </c>
      <c r="B44" s="3107">
        <v>13</v>
      </c>
      <c r="C44" s="5" t="s">
        <v>12888</v>
      </c>
      <c r="D44" s="3032" t="s">
        <v>12009</v>
      </c>
      <c r="E44" s="3058" t="s">
        <v>12891</v>
      </c>
      <c r="F44" s="3029"/>
      <c r="G44" s="3040" t="s">
        <v>11539</v>
      </c>
      <c r="H44" s="3041"/>
      <c r="I44" s="2486">
        <v>44322</v>
      </c>
      <c r="J44" s="3046" t="s">
        <v>5494</v>
      </c>
      <c r="K44" s="6">
        <v>0.45833333333333331</v>
      </c>
      <c r="L44" s="6">
        <v>0.45833333333333331</v>
      </c>
      <c r="M44" s="3111">
        <v>168</v>
      </c>
      <c r="N44" s="3016" t="s">
        <v>257</v>
      </c>
      <c r="O44" s="3037" t="s">
        <v>15</v>
      </c>
      <c r="P44" s="3016" t="s">
        <v>12317</v>
      </c>
      <c r="Q44" s="3016" t="s">
        <v>12410</v>
      </c>
      <c r="R44" s="3028"/>
      <c r="S44" s="3109"/>
      <c r="T44" s="3110"/>
      <c r="U44" s="2989"/>
      <c r="W44" s="2901"/>
      <c r="X44" s="2862"/>
    </row>
    <row r="45" spans="1:24" s="1592" customFormat="1" ht="58" hidden="1" x14ac:dyDescent="0.35">
      <c r="A45" s="2486">
        <v>44313</v>
      </c>
      <c r="B45" s="3076">
        <v>14</v>
      </c>
      <c r="C45" s="5" t="s">
        <v>12517</v>
      </c>
      <c r="D45" s="3032" t="s">
        <v>12516</v>
      </c>
      <c r="E45" s="3016" t="s">
        <v>12632</v>
      </c>
      <c r="F45" s="3029"/>
      <c r="G45" s="3040" t="s">
        <v>12203</v>
      </c>
      <c r="H45" s="3041"/>
      <c r="I45" s="2486">
        <v>44322</v>
      </c>
      <c r="J45" s="3046" t="s">
        <v>5494</v>
      </c>
      <c r="K45" s="6">
        <v>0.45833333333333331</v>
      </c>
      <c r="L45" s="6">
        <v>0.45833333333333331</v>
      </c>
      <c r="M45" s="3079">
        <v>140</v>
      </c>
      <c r="N45" s="3016" t="s">
        <v>257</v>
      </c>
      <c r="O45" s="3037" t="s">
        <v>15</v>
      </c>
      <c r="P45" s="3016" t="s">
        <v>12323</v>
      </c>
      <c r="Q45" s="3016" t="s">
        <v>12633</v>
      </c>
      <c r="R45" s="3028"/>
      <c r="S45" s="3077"/>
      <c r="T45" s="3078"/>
      <c r="U45" s="2989"/>
      <c r="W45" s="2901"/>
      <c r="X45" s="2862"/>
    </row>
    <row r="46" spans="1:24" s="1592" customFormat="1" ht="43.5" hidden="1" x14ac:dyDescent="0.35">
      <c r="A46" s="2486">
        <v>44320</v>
      </c>
      <c r="B46" s="3107"/>
      <c r="C46" s="5" t="s">
        <v>12779</v>
      </c>
      <c r="D46" s="3032" t="s">
        <v>12767</v>
      </c>
      <c r="E46" s="3016" t="s">
        <v>12768</v>
      </c>
      <c r="F46" s="3029"/>
      <c r="G46" s="3040" t="s">
        <v>12274</v>
      </c>
      <c r="H46" s="3041"/>
      <c r="I46" s="2486">
        <v>44322</v>
      </c>
      <c r="J46" s="3034" t="s">
        <v>6815</v>
      </c>
      <c r="K46" s="6" t="s">
        <v>15</v>
      </c>
      <c r="L46" s="3117" t="s">
        <v>972</v>
      </c>
      <c r="M46" s="3111">
        <v>180</v>
      </c>
      <c r="N46" s="3016" t="s">
        <v>13034</v>
      </c>
      <c r="O46" s="3037" t="s">
        <v>15</v>
      </c>
      <c r="P46" s="3016" t="s">
        <v>17</v>
      </c>
      <c r="Q46" s="3016" t="s">
        <v>12769</v>
      </c>
      <c r="R46" s="3028"/>
      <c r="S46" s="3109"/>
      <c r="T46" s="3110"/>
      <c r="U46" s="2989"/>
      <c r="W46" s="2901"/>
      <c r="X46" s="2862"/>
    </row>
    <row r="47" spans="1:24" s="1592" customFormat="1" ht="101.5" hidden="1" x14ac:dyDescent="0.35">
      <c r="A47" s="3047">
        <v>44320</v>
      </c>
      <c r="B47" s="3112">
        <v>15</v>
      </c>
      <c r="C47" s="3026" t="s">
        <v>12753</v>
      </c>
      <c r="D47" s="3044" t="s">
        <v>12754</v>
      </c>
      <c r="E47" s="3158" t="s">
        <v>12755</v>
      </c>
      <c r="F47" s="3029"/>
      <c r="G47" s="3040" t="s">
        <v>11432</v>
      </c>
      <c r="H47" s="3041"/>
      <c r="I47" s="3047">
        <v>44322</v>
      </c>
      <c r="J47" s="3046" t="s">
        <v>12011</v>
      </c>
      <c r="K47" s="3128">
        <v>0.45833333333333331</v>
      </c>
      <c r="L47" s="3128">
        <v>0.45833333333333331</v>
      </c>
      <c r="M47" s="3111">
        <v>450</v>
      </c>
      <c r="N47" s="3025" t="s">
        <v>257</v>
      </c>
      <c r="O47" s="3045" t="s">
        <v>15</v>
      </c>
      <c r="P47" s="3025" t="s">
        <v>17</v>
      </c>
      <c r="Q47" s="3025" t="s">
        <v>12756</v>
      </c>
      <c r="R47" s="3028"/>
      <c r="S47" s="3109"/>
      <c r="T47" s="3110"/>
      <c r="U47" s="2989"/>
      <c r="W47" s="2901"/>
      <c r="X47" s="2862"/>
    </row>
    <row r="48" spans="1:24" s="1592" customFormat="1" ht="304.5" hidden="1" x14ac:dyDescent="0.35">
      <c r="A48" s="2486">
        <v>44321</v>
      </c>
      <c r="B48" s="3107">
        <v>1</v>
      </c>
      <c r="C48" s="2725" t="s">
        <v>13042</v>
      </c>
      <c r="D48" s="3032" t="s">
        <v>1950</v>
      </c>
      <c r="E48" s="3016" t="s">
        <v>13008</v>
      </c>
      <c r="F48" s="3029"/>
      <c r="G48" s="3040"/>
      <c r="H48" s="3041"/>
      <c r="I48" s="2486">
        <v>44323</v>
      </c>
      <c r="J48" s="3034" t="s">
        <v>12945</v>
      </c>
      <c r="K48" s="3125">
        <v>0.375</v>
      </c>
      <c r="L48" s="3124">
        <v>0.40625</v>
      </c>
      <c r="M48" s="3111">
        <v>0</v>
      </c>
      <c r="N48" s="3016" t="s">
        <v>5716</v>
      </c>
      <c r="O48" s="3037" t="s">
        <v>13059</v>
      </c>
      <c r="P48" s="3016" t="s">
        <v>17</v>
      </c>
      <c r="Q48" s="3016" t="s">
        <v>12500</v>
      </c>
      <c r="R48" s="3028"/>
      <c r="S48" s="3109"/>
      <c r="T48" s="3110"/>
      <c r="U48" s="2989"/>
      <c r="W48" s="2901"/>
      <c r="X48" s="2862"/>
    </row>
    <row r="49" spans="1:24" s="1592" customFormat="1" ht="290" hidden="1" x14ac:dyDescent="0.35">
      <c r="A49" s="2486">
        <v>44321</v>
      </c>
      <c r="B49" s="3107">
        <v>2</v>
      </c>
      <c r="C49" s="2725" t="s">
        <v>13042</v>
      </c>
      <c r="D49" s="3032" t="s">
        <v>1950</v>
      </c>
      <c r="E49" s="3016" t="s">
        <v>13040</v>
      </c>
      <c r="F49" s="3029"/>
      <c r="G49" s="3040"/>
      <c r="H49" s="3041"/>
      <c r="I49" s="2486">
        <v>44323</v>
      </c>
      <c r="J49" s="3034" t="s">
        <v>12945</v>
      </c>
      <c r="K49" s="3125">
        <v>0.375</v>
      </c>
      <c r="L49" s="3124">
        <v>0.40625</v>
      </c>
      <c r="M49" s="3111">
        <v>0</v>
      </c>
      <c r="N49" s="3016" t="s">
        <v>5716</v>
      </c>
      <c r="O49" s="3037" t="s">
        <v>13059</v>
      </c>
      <c r="P49" s="3016" t="s">
        <v>17</v>
      </c>
      <c r="Q49" s="3016" t="s">
        <v>12514</v>
      </c>
      <c r="R49" s="3028"/>
      <c r="S49" s="3109"/>
      <c r="T49" s="3110"/>
      <c r="U49" s="2989"/>
      <c r="W49" s="2901"/>
      <c r="X49" s="2862"/>
    </row>
    <row r="50" spans="1:24" s="1592" customFormat="1" ht="217.5" hidden="1" x14ac:dyDescent="0.35">
      <c r="A50" s="2486">
        <v>44321</v>
      </c>
      <c r="B50" s="3107">
        <v>3</v>
      </c>
      <c r="C50" s="2725" t="s">
        <v>13042</v>
      </c>
      <c r="D50" s="3032" t="s">
        <v>1950</v>
      </c>
      <c r="E50" s="3016" t="s">
        <v>13041</v>
      </c>
      <c r="F50" s="3029"/>
      <c r="G50" s="3040"/>
      <c r="H50" s="3041"/>
      <c r="I50" s="2486">
        <v>44323</v>
      </c>
      <c r="J50" s="3034" t="s">
        <v>12945</v>
      </c>
      <c r="K50" s="3125">
        <v>0.375</v>
      </c>
      <c r="L50" s="3124">
        <v>0.40625</v>
      </c>
      <c r="M50" s="3111">
        <v>0</v>
      </c>
      <c r="N50" s="3016" t="s">
        <v>5716</v>
      </c>
      <c r="O50" s="3037" t="s">
        <v>13059</v>
      </c>
      <c r="P50" s="3016" t="s">
        <v>17</v>
      </c>
      <c r="Q50" s="3016" t="s">
        <v>12514</v>
      </c>
      <c r="R50" s="3028"/>
      <c r="S50" s="3031"/>
      <c r="T50" s="3057"/>
      <c r="U50" s="2989"/>
      <c r="W50" s="2901"/>
      <c r="X50" s="2862"/>
    </row>
    <row r="51" spans="1:24" s="1592" customFormat="1" ht="43.5" hidden="1" x14ac:dyDescent="0.35">
      <c r="A51" s="2486">
        <v>44322</v>
      </c>
      <c r="B51" s="3107">
        <v>4</v>
      </c>
      <c r="C51" s="5" t="s">
        <v>13057</v>
      </c>
      <c r="D51" s="3032" t="s">
        <v>13016</v>
      </c>
      <c r="E51" s="3016" t="s">
        <v>13018</v>
      </c>
      <c r="F51" s="3029"/>
      <c r="G51" s="3040" t="s">
        <v>12321</v>
      </c>
      <c r="H51" s="3041"/>
      <c r="I51" s="2486">
        <v>44323</v>
      </c>
      <c r="J51" s="3046" t="s">
        <v>13017</v>
      </c>
      <c r="K51" s="3125">
        <v>0.375</v>
      </c>
      <c r="L51" s="3124">
        <v>0.40625</v>
      </c>
      <c r="M51" s="3111">
        <v>50</v>
      </c>
      <c r="N51" s="3016" t="s">
        <v>257</v>
      </c>
      <c r="O51" s="3037" t="s">
        <v>13059</v>
      </c>
      <c r="P51" s="3016" t="s">
        <v>974</v>
      </c>
      <c r="Q51" s="3015" t="s">
        <v>12413</v>
      </c>
      <c r="R51" s="3028"/>
      <c r="S51" s="3109"/>
      <c r="T51" s="3110"/>
      <c r="U51" s="2989"/>
      <c r="W51" s="2901"/>
      <c r="X51" s="2862"/>
    </row>
    <row r="52" spans="1:24" s="1592" customFormat="1" ht="87" hidden="1" x14ac:dyDescent="0.35">
      <c r="A52" s="3047">
        <v>44322</v>
      </c>
      <c r="B52" s="3112">
        <v>12</v>
      </c>
      <c r="C52" s="3048" t="s">
        <v>2262</v>
      </c>
      <c r="D52" s="3044" t="s">
        <v>12520</v>
      </c>
      <c r="E52" s="3025" t="s">
        <v>12949</v>
      </c>
      <c r="F52" s="3025"/>
      <c r="G52" s="3050" t="s">
        <v>11432</v>
      </c>
      <c r="H52" s="3049"/>
      <c r="I52" s="3047">
        <v>44323</v>
      </c>
      <c r="J52" s="3046" t="s">
        <v>12950</v>
      </c>
      <c r="K52" s="3128">
        <v>0.4375</v>
      </c>
      <c r="L52" s="3119">
        <v>0.61736111111111114</v>
      </c>
      <c r="M52" s="3111">
        <v>315</v>
      </c>
      <c r="N52" s="3025" t="s">
        <v>257</v>
      </c>
      <c r="O52" s="3045" t="s">
        <v>119</v>
      </c>
      <c r="P52" s="3025" t="s">
        <v>17</v>
      </c>
      <c r="Q52" s="3025" t="s">
        <v>12452</v>
      </c>
      <c r="R52" s="3028"/>
      <c r="S52" s="3109"/>
      <c r="T52" s="3110"/>
      <c r="U52" s="2989"/>
      <c r="W52" s="2901"/>
      <c r="X52" s="2862"/>
    </row>
    <row r="53" spans="1:24" s="1592" customFormat="1" ht="246.5" hidden="1" x14ac:dyDescent="0.35">
      <c r="A53" s="2195">
        <v>44286</v>
      </c>
      <c r="B53" s="3067">
        <v>8</v>
      </c>
      <c r="C53" s="3019" t="s">
        <v>12355</v>
      </c>
      <c r="D53" s="2879" t="s">
        <v>12356</v>
      </c>
      <c r="E53" s="3019" t="s">
        <v>12760</v>
      </c>
      <c r="F53" s="3022"/>
      <c r="G53" s="2933" t="s">
        <v>11478</v>
      </c>
      <c r="H53" s="3049"/>
      <c r="I53" s="2195">
        <v>44323</v>
      </c>
      <c r="J53" s="2883" t="s">
        <v>12761</v>
      </c>
      <c r="K53" s="2985">
        <v>0.4375</v>
      </c>
      <c r="L53" s="2999">
        <v>0.50486111111111109</v>
      </c>
      <c r="M53" s="3023">
        <v>1742</v>
      </c>
      <c r="N53" s="3022" t="s">
        <v>12357</v>
      </c>
      <c r="O53" s="3022" t="s">
        <v>119</v>
      </c>
      <c r="P53" s="3022" t="s">
        <v>17</v>
      </c>
      <c r="Q53" s="3022" t="s">
        <v>11183</v>
      </c>
      <c r="R53" s="3028"/>
      <c r="S53" s="3031"/>
      <c r="T53" s="3057"/>
      <c r="U53" s="2989"/>
      <c r="W53" s="2901"/>
      <c r="X53" s="2862"/>
    </row>
    <row r="54" spans="1:24" s="1592" customFormat="1" ht="58" hidden="1" x14ac:dyDescent="0.35">
      <c r="A54" s="2486">
        <v>44320</v>
      </c>
      <c r="B54" s="3107">
        <v>15</v>
      </c>
      <c r="C54" s="5" t="s">
        <v>12770</v>
      </c>
      <c r="D54" s="3032" t="s">
        <v>12771</v>
      </c>
      <c r="E54" s="3043" t="s">
        <v>12772</v>
      </c>
      <c r="F54" s="3029"/>
      <c r="G54" s="3040" t="s">
        <v>11860</v>
      </c>
      <c r="H54" s="3041"/>
      <c r="I54" s="2486">
        <v>44323</v>
      </c>
      <c r="J54" s="3034" t="s">
        <v>12773</v>
      </c>
      <c r="K54" s="6">
        <v>0.4381944444444445</v>
      </c>
      <c r="L54" s="3119">
        <v>0.44097222222222227</v>
      </c>
      <c r="M54" s="3111">
        <v>265</v>
      </c>
      <c r="N54" s="3016" t="s">
        <v>257</v>
      </c>
      <c r="O54" s="3037" t="s">
        <v>13058</v>
      </c>
      <c r="P54" s="3016" t="s">
        <v>17</v>
      </c>
      <c r="Q54" s="3016" t="s">
        <v>12774</v>
      </c>
      <c r="R54" s="3028"/>
      <c r="S54" s="3109"/>
      <c r="T54" s="3110"/>
      <c r="U54" s="2989"/>
      <c r="W54" s="2901"/>
      <c r="X54" s="2862"/>
    </row>
    <row r="55" spans="1:24" s="1592" customFormat="1" ht="87" hidden="1" x14ac:dyDescent="0.35">
      <c r="A55" s="2486">
        <v>44321</v>
      </c>
      <c r="B55" s="3107">
        <v>10</v>
      </c>
      <c r="C55" s="5" t="s">
        <v>12819</v>
      </c>
      <c r="D55" s="3032" t="s">
        <v>12820</v>
      </c>
      <c r="E55" s="3024" t="s">
        <v>12842</v>
      </c>
      <c r="F55" s="3029"/>
      <c r="G55" s="3041" t="s">
        <v>11860</v>
      </c>
      <c r="H55" s="2934"/>
      <c r="I55" s="3021">
        <v>44323</v>
      </c>
      <c r="J55" s="2722" t="s">
        <v>12821</v>
      </c>
      <c r="K55" s="6">
        <v>0.4375</v>
      </c>
      <c r="L55" s="3117">
        <v>0.57500000000000007</v>
      </c>
      <c r="M55" s="3111">
        <v>265</v>
      </c>
      <c r="N55" s="3016" t="s">
        <v>257</v>
      </c>
      <c r="O55" s="3037" t="s">
        <v>119</v>
      </c>
      <c r="P55" s="3016" t="s">
        <v>12323</v>
      </c>
      <c r="Q55" s="3016" t="s">
        <v>12822</v>
      </c>
      <c r="R55" s="3028"/>
      <c r="S55" s="3109"/>
      <c r="T55" s="3110"/>
      <c r="U55" s="2989"/>
      <c r="W55" s="2901"/>
      <c r="X55" s="2862"/>
    </row>
    <row r="56" spans="1:24" s="1592" customFormat="1" ht="58" hidden="1" x14ac:dyDescent="0.35">
      <c r="A56" s="2486">
        <v>44322</v>
      </c>
      <c r="B56" s="3036">
        <v>5</v>
      </c>
      <c r="C56" s="2725" t="s">
        <v>13044</v>
      </c>
      <c r="D56" s="3032" t="s">
        <v>13045</v>
      </c>
      <c r="E56" s="3016" t="s">
        <v>13047</v>
      </c>
      <c r="F56" s="3029"/>
      <c r="G56" s="3040" t="s">
        <v>11514</v>
      </c>
      <c r="H56" s="3041"/>
      <c r="I56" s="2486">
        <v>44323</v>
      </c>
      <c r="J56" s="3034" t="s">
        <v>13046</v>
      </c>
      <c r="K56" s="3122">
        <v>0.4375</v>
      </c>
      <c r="L56" s="3122">
        <v>0.44305555555555554</v>
      </c>
      <c r="M56" s="3039">
        <v>231</v>
      </c>
      <c r="N56" s="3016" t="s">
        <v>257</v>
      </c>
      <c r="O56" s="3030" t="s">
        <v>119</v>
      </c>
      <c r="P56" s="3015" t="s">
        <v>12323</v>
      </c>
      <c r="Q56" s="3015" t="s">
        <v>13048</v>
      </c>
      <c r="R56" s="3028"/>
      <c r="S56" s="3031"/>
      <c r="T56" s="3057"/>
      <c r="U56" s="2989"/>
      <c r="W56" s="2901"/>
      <c r="X56" s="2862"/>
    </row>
    <row r="57" spans="1:24" s="1592" customFormat="1" ht="101.5" hidden="1" x14ac:dyDescent="0.35">
      <c r="A57" s="2486">
        <v>44306</v>
      </c>
      <c r="B57" s="2596">
        <v>16</v>
      </c>
      <c r="C57" s="5" t="s">
        <v>12525</v>
      </c>
      <c r="D57" s="3032" t="s">
        <v>12526</v>
      </c>
      <c r="E57" s="3058" t="s">
        <v>12528</v>
      </c>
      <c r="F57" s="3029"/>
      <c r="G57" s="3040" t="s">
        <v>12529</v>
      </c>
      <c r="H57" s="2892"/>
      <c r="I57" s="2486">
        <v>44323</v>
      </c>
      <c r="J57" s="2722" t="s">
        <v>12527</v>
      </c>
      <c r="K57" s="6">
        <v>0.4381944444444445</v>
      </c>
      <c r="L57" s="3117">
        <v>0.47222222222222227</v>
      </c>
      <c r="M57" s="3039">
        <v>305</v>
      </c>
      <c r="N57" s="5" t="s">
        <v>8625</v>
      </c>
      <c r="O57" s="5" t="s">
        <v>13058</v>
      </c>
      <c r="P57" s="5" t="s">
        <v>12323</v>
      </c>
      <c r="Q57" s="5" t="s">
        <v>8499</v>
      </c>
      <c r="R57" s="3028"/>
      <c r="S57" s="3031"/>
      <c r="T57" s="3057"/>
      <c r="U57" s="2989"/>
      <c r="W57" s="2901"/>
      <c r="X57" s="2862"/>
    </row>
    <row r="58" spans="1:24" s="1592" customFormat="1" ht="43.5" hidden="1" x14ac:dyDescent="0.35">
      <c r="A58" s="2486">
        <v>44321</v>
      </c>
      <c r="B58" s="3107">
        <v>6</v>
      </c>
      <c r="C58" s="5" t="s">
        <v>11956</v>
      </c>
      <c r="D58" s="3032" t="s">
        <v>12185</v>
      </c>
      <c r="E58" s="2725" t="s">
        <v>12928</v>
      </c>
      <c r="F58" s="3029"/>
      <c r="G58" s="3040" t="s">
        <v>11500</v>
      </c>
      <c r="H58" s="3041"/>
      <c r="I58" s="2486">
        <v>44323</v>
      </c>
      <c r="J58" s="2722" t="s">
        <v>12929</v>
      </c>
      <c r="K58" s="3122">
        <v>0.4375</v>
      </c>
      <c r="L58" s="3125">
        <v>0.46249999999999997</v>
      </c>
      <c r="M58" s="3111">
        <v>155</v>
      </c>
      <c r="N58" s="3016" t="s">
        <v>8625</v>
      </c>
      <c r="O58" s="3037" t="s">
        <v>119</v>
      </c>
      <c r="P58" s="3016" t="s">
        <v>12323</v>
      </c>
      <c r="Q58" s="3016" t="s">
        <v>12930</v>
      </c>
      <c r="R58" s="3028"/>
      <c r="S58" s="3109"/>
      <c r="T58" s="3110"/>
      <c r="U58" s="2989"/>
      <c r="W58" s="2901"/>
      <c r="X58" s="2862"/>
    </row>
    <row r="59" spans="1:24" s="1592" customFormat="1" ht="43.5" hidden="1" x14ac:dyDescent="0.35">
      <c r="A59" s="2486">
        <v>44321</v>
      </c>
      <c r="B59" s="3107">
        <v>17</v>
      </c>
      <c r="C59" s="5" t="s">
        <v>12896</v>
      </c>
      <c r="D59" s="3032" t="s">
        <v>12897</v>
      </c>
      <c r="E59" s="2725" t="s">
        <v>12895</v>
      </c>
      <c r="F59" s="3029"/>
      <c r="G59" s="3040" t="s">
        <v>11500</v>
      </c>
      <c r="H59" s="3041"/>
      <c r="I59" s="2486">
        <v>44323</v>
      </c>
      <c r="J59" s="2722" t="s">
        <v>12898</v>
      </c>
      <c r="K59" s="6">
        <v>0.4381944444444445</v>
      </c>
      <c r="L59" s="3117">
        <v>0.48888888888888887</v>
      </c>
      <c r="M59" s="3111">
        <v>155</v>
      </c>
      <c r="N59" s="3016" t="s">
        <v>257</v>
      </c>
      <c r="O59" s="3037" t="s">
        <v>13058</v>
      </c>
      <c r="P59" s="3016" t="s">
        <v>12323</v>
      </c>
      <c r="Q59" s="3016" t="s">
        <v>12899</v>
      </c>
      <c r="R59" s="3028"/>
      <c r="S59" s="3109"/>
      <c r="T59" s="3110"/>
      <c r="U59" s="2989"/>
      <c r="W59" s="2901"/>
      <c r="X59" s="2862"/>
    </row>
    <row r="60" spans="1:24" s="1592" customFormat="1" ht="43.5" hidden="1" x14ac:dyDescent="0.35">
      <c r="A60" s="2486">
        <v>44321</v>
      </c>
      <c r="B60" s="3107">
        <v>11</v>
      </c>
      <c r="C60" s="5" t="s">
        <v>12690</v>
      </c>
      <c r="D60" s="3032" t="s">
        <v>12691</v>
      </c>
      <c r="E60" s="2725" t="s">
        <v>12903</v>
      </c>
      <c r="F60" s="3029"/>
      <c r="G60" s="3040" t="s">
        <v>12247</v>
      </c>
      <c r="H60" s="3041"/>
      <c r="I60" s="2486">
        <v>44323</v>
      </c>
      <c r="J60" s="2722" t="s">
        <v>12692</v>
      </c>
      <c r="K60" s="6">
        <v>0.4375</v>
      </c>
      <c r="L60" s="3117">
        <v>0.59861111111111109</v>
      </c>
      <c r="M60" s="3111">
        <v>0</v>
      </c>
      <c r="N60" s="3016" t="s">
        <v>12699</v>
      </c>
      <c r="O60" s="3037" t="s">
        <v>119</v>
      </c>
      <c r="P60" s="3016" t="s">
        <v>821</v>
      </c>
      <c r="Q60" s="3016" t="s">
        <v>12425</v>
      </c>
      <c r="R60" s="3028"/>
      <c r="S60" s="3109"/>
      <c r="T60" s="3110"/>
      <c r="U60" s="2989"/>
      <c r="W60" s="2901"/>
      <c r="X60" s="2862"/>
    </row>
    <row r="61" spans="1:24" s="1592" customFormat="1" ht="72.5" hidden="1" x14ac:dyDescent="0.35">
      <c r="A61" s="2486">
        <v>44321</v>
      </c>
      <c r="B61" s="3107">
        <v>13</v>
      </c>
      <c r="C61" s="5" t="s">
        <v>12828</v>
      </c>
      <c r="D61" s="3032" t="s">
        <v>11940</v>
      </c>
      <c r="E61" s="3024" t="s">
        <v>12841</v>
      </c>
      <c r="F61" s="3029"/>
      <c r="G61" s="3041" t="s">
        <v>11865</v>
      </c>
      <c r="H61" s="2934"/>
      <c r="I61" s="3021">
        <v>44323</v>
      </c>
      <c r="J61" s="2722" t="s">
        <v>12829</v>
      </c>
      <c r="K61" s="6">
        <v>0.4375</v>
      </c>
      <c r="L61" s="3117">
        <v>0.64027777777777783</v>
      </c>
      <c r="M61" s="3111">
        <v>265</v>
      </c>
      <c r="N61" s="3016" t="s">
        <v>8625</v>
      </c>
      <c r="O61" s="3037" t="s">
        <v>119</v>
      </c>
      <c r="P61" s="3016" t="s">
        <v>12323</v>
      </c>
      <c r="Q61" s="3016" t="s">
        <v>12830</v>
      </c>
      <c r="R61" s="3028"/>
      <c r="S61" s="3109"/>
      <c r="T61" s="3110"/>
      <c r="U61" s="2989"/>
      <c r="W61" s="2901"/>
      <c r="X61" s="2862"/>
    </row>
    <row r="62" spans="1:24" s="1592" customFormat="1" ht="43.5" hidden="1" x14ac:dyDescent="0.35">
      <c r="A62" s="2486">
        <v>44322</v>
      </c>
      <c r="B62" s="3107">
        <v>7</v>
      </c>
      <c r="C62" s="2725" t="s">
        <v>10435</v>
      </c>
      <c r="D62" s="3032" t="s">
        <v>10436</v>
      </c>
      <c r="E62" s="3043" t="s">
        <v>12990</v>
      </c>
      <c r="F62" s="3029"/>
      <c r="G62" s="3040" t="s">
        <v>12021</v>
      </c>
      <c r="H62" s="3041"/>
      <c r="I62" s="2486">
        <v>44323</v>
      </c>
      <c r="J62" s="3034" t="s">
        <v>12332</v>
      </c>
      <c r="K62" s="6">
        <v>0.4375</v>
      </c>
      <c r="L62" s="3117">
        <v>0.48541666666666666</v>
      </c>
      <c r="M62" s="3111">
        <v>224</v>
      </c>
      <c r="N62" s="3016" t="s">
        <v>8625</v>
      </c>
      <c r="O62" s="3037" t="s">
        <v>119</v>
      </c>
      <c r="P62" s="3016" t="s">
        <v>12323</v>
      </c>
      <c r="Q62" s="3016" t="s">
        <v>12981</v>
      </c>
      <c r="R62" s="3028"/>
      <c r="S62" s="3109"/>
      <c r="T62" s="3110"/>
      <c r="U62" s="2989"/>
      <c r="W62" s="2901"/>
      <c r="X62" s="2862"/>
    </row>
    <row r="63" spans="1:24" s="1592" customFormat="1" ht="29" hidden="1" x14ac:dyDescent="0.35">
      <c r="A63" s="3047">
        <v>44322</v>
      </c>
      <c r="B63" s="3112">
        <v>14</v>
      </c>
      <c r="C63" s="3048" t="s">
        <v>12962</v>
      </c>
      <c r="D63" s="3129"/>
      <c r="E63" s="3025" t="s">
        <v>13055</v>
      </c>
      <c r="F63" s="3025"/>
      <c r="G63" s="3050" t="s">
        <v>12095</v>
      </c>
      <c r="H63" s="3041"/>
      <c r="I63" s="3047">
        <v>44323</v>
      </c>
      <c r="J63" s="3046" t="s">
        <v>12961</v>
      </c>
      <c r="K63" s="3128">
        <v>0.4375</v>
      </c>
      <c r="L63" s="3118">
        <v>0.65902777777777777</v>
      </c>
      <c r="M63" s="3111">
        <v>165</v>
      </c>
      <c r="N63" s="3025" t="s">
        <v>257</v>
      </c>
      <c r="O63" s="3045" t="s">
        <v>119</v>
      </c>
      <c r="P63" s="3025" t="s">
        <v>11932</v>
      </c>
      <c r="Q63" s="3025" t="s">
        <v>11183</v>
      </c>
      <c r="R63" s="3028"/>
      <c r="S63" s="3109"/>
      <c r="T63" s="3110"/>
      <c r="U63" s="2989"/>
      <c r="W63" s="2901"/>
      <c r="X63" s="2862"/>
    </row>
    <row r="64" spans="1:24" s="1592" customFormat="1" ht="72.5" hidden="1" x14ac:dyDescent="0.35">
      <c r="A64" s="2486">
        <v>44320</v>
      </c>
      <c r="B64" s="3107">
        <v>9</v>
      </c>
      <c r="C64" s="5" t="s">
        <v>11907</v>
      </c>
      <c r="D64" s="3032" t="s">
        <v>11908</v>
      </c>
      <c r="E64" s="3016" t="s">
        <v>11868</v>
      </c>
      <c r="F64" s="3029"/>
      <c r="G64" s="3040" t="s">
        <v>14323</v>
      </c>
      <c r="H64" s="3041"/>
      <c r="I64" s="2486">
        <v>44323</v>
      </c>
      <c r="J64" s="3034" t="s">
        <v>13039</v>
      </c>
      <c r="K64" s="6">
        <v>0.4375</v>
      </c>
      <c r="L64" s="3117">
        <v>0.54861111111111105</v>
      </c>
      <c r="M64" s="3111">
        <v>159</v>
      </c>
      <c r="N64" s="3016" t="s">
        <v>257</v>
      </c>
      <c r="O64" s="3037" t="s">
        <v>119</v>
      </c>
      <c r="P64" s="3016" t="s">
        <v>17</v>
      </c>
      <c r="Q64" s="3016" t="s">
        <v>12766</v>
      </c>
      <c r="R64" s="3028"/>
      <c r="S64" s="3109"/>
      <c r="T64" s="3110"/>
      <c r="U64" s="2989"/>
      <c r="W64" s="2901"/>
      <c r="X64" s="2862"/>
    </row>
    <row r="65" spans="1:24" s="1592" customFormat="1" ht="43.5" hidden="1" x14ac:dyDescent="0.35">
      <c r="A65" s="2486">
        <v>44321</v>
      </c>
      <c r="B65" s="3107">
        <v>18</v>
      </c>
      <c r="C65" s="5" t="s">
        <v>12892</v>
      </c>
      <c r="D65" s="3032" t="s">
        <v>12893</v>
      </c>
      <c r="E65" s="2725" t="s">
        <v>12894</v>
      </c>
      <c r="F65" s="3029"/>
      <c r="G65" s="3040" t="s">
        <v>12246</v>
      </c>
      <c r="H65" s="3041"/>
      <c r="I65" s="2486">
        <v>44323</v>
      </c>
      <c r="J65" s="3046" t="s">
        <v>5494</v>
      </c>
      <c r="K65" s="6">
        <v>0.45833333333333331</v>
      </c>
      <c r="L65" s="6">
        <v>0.45833333333333331</v>
      </c>
      <c r="M65" s="3111">
        <v>216</v>
      </c>
      <c r="N65" s="3016" t="s">
        <v>257</v>
      </c>
      <c r="O65" s="3037" t="s">
        <v>15</v>
      </c>
      <c r="P65" s="3016" t="s">
        <v>12317</v>
      </c>
      <c r="Q65" s="3016" t="s">
        <v>12411</v>
      </c>
      <c r="R65" s="3028"/>
      <c r="S65" s="3109"/>
      <c r="T65" s="3110"/>
      <c r="U65" s="2989"/>
      <c r="W65" s="2901"/>
      <c r="X65" s="2862"/>
    </row>
    <row r="66" spans="1:24" s="1592" customFormat="1" ht="43.5" hidden="1" x14ac:dyDescent="0.35">
      <c r="A66" s="2486">
        <v>44323</v>
      </c>
      <c r="B66" s="3107"/>
      <c r="C66" s="5" t="s">
        <v>13067</v>
      </c>
      <c r="D66" s="3032" t="s">
        <v>13064</v>
      </c>
      <c r="E66" s="2725" t="s">
        <v>13065</v>
      </c>
      <c r="F66" s="3029"/>
      <c r="G66" s="3040" t="s">
        <v>12056</v>
      </c>
      <c r="H66" s="3041"/>
      <c r="I66" s="2486">
        <v>44323</v>
      </c>
      <c r="J66" s="3046" t="s">
        <v>11840</v>
      </c>
      <c r="K66" s="6" t="s">
        <v>15</v>
      </c>
      <c r="L66" s="3119" t="s">
        <v>13066</v>
      </c>
      <c r="M66" s="3111">
        <v>100</v>
      </c>
      <c r="N66" s="3016" t="s">
        <v>257</v>
      </c>
      <c r="O66" s="3037" t="s">
        <v>15</v>
      </c>
      <c r="P66" s="3016" t="s">
        <v>22</v>
      </c>
      <c r="Q66" s="3016" t="s">
        <v>12452</v>
      </c>
      <c r="R66" s="3028"/>
      <c r="S66" s="3109"/>
      <c r="T66" s="3110"/>
      <c r="U66" s="2989"/>
      <c r="W66" s="2901"/>
      <c r="X66" s="2862"/>
    </row>
    <row r="67" spans="1:24" s="1592" customFormat="1" ht="29" hidden="1" x14ac:dyDescent="0.35">
      <c r="A67" s="2486">
        <v>44323</v>
      </c>
      <c r="B67" s="3036"/>
      <c r="C67" s="5" t="s">
        <v>13103</v>
      </c>
      <c r="D67" s="3032" t="s">
        <v>2702</v>
      </c>
      <c r="E67" s="2725" t="s">
        <v>13104</v>
      </c>
      <c r="F67" s="3029"/>
      <c r="G67" s="3040" t="s">
        <v>14339</v>
      </c>
      <c r="H67" s="3041"/>
      <c r="I67" s="2486">
        <v>44323</v>
      </c>
      <c r="J67" s="3046" t="s">
        <v>5494</v>
      </c>
      <c r="K67" s="6" t="s">
        <v>15</v>
      </c>
      <c r="L67" s="3117" t="s">
        <v>972</v>
      </c>
      <c r="M67" s="3039">
        <v>0</v>
      </c>
      <c r="N67" s="3016" t="s">
        <v>5716</v>
      </c>
      <c r="O67" s="3037" t="s">
        <v>15</v>
      </c>
      <c r="P67" s="3016" t="s">
        <v>17</v>
      </c>
      <c r="Q67" s="3016" t="s">
        <v>12471</v>
      </c>
      <c r="R67" s="3028"/>
      <c r="S67" s="3031"/>
      <c r="T67" s="3057"/>
      <c r="U67" s="2989"/>
      <c r="W67" s="2901"/>
      <c r="X67" s="2862"/>
    </row>
    <row r="68" spans="1:24" s="1592" customFormat="1" ht="217.5" hidden="1" x14ac:dyDescent="0.35">
      <c r="A68" s="2486">
        <v>44320</v>
      </c>
      <c r="B68" s="3107">
        <v>19</v>
      </c>
      <c r="C68" s="5" t="s">
        <v>12759</v>
      </c>
      <c r="D68" s="3044" t="s">
        <v>12356</v>
      </c>
      <c r="E68" s="3016" t="s">
        <v>12758</v>
      </c>
      <c r="F68" s="3029"/>
      <c r="G68" s="3040"/>
      <c r="H68" s="3041"/>
      <c r="I68" s="2486">
        <v>44323</v>
      </c>
      <c r="J68" s="3046" t="s">
        <v>6815</v>
      </c>
      <c r="K68" s="6">
        <v>0.45833333333333331</v>
      </c>
      <c r="L68" s="6">
        <v>0.45833333333333331</v>
      </c>
      <c r="M68" s="3111">
        <v>0</v>
      </c>
      <c r="N68" s="3016" t="s">
        <v>11909</v>
      </c>
      <c r="O68" s="3037" t="s">
        <v>15</v>
      </c>
      <c r="P68" s="3016" t="s">
        <v>17</v>
      </c>
      <c r="Q68" s="3016" t="s">
        <v>2084</v>
      </c>
      <c r="R68" s="3028"/>
      <c r="S68" s="3109"/>
      <c r="T68" s="3110"/>
      <c r="U68" s="2989"/>
      <c r="W68" s="2901"/>
      <c r="X68" s="2862"/>
    </row>
    <row r="69" spans="1:24" s="1592" customFormat="1" ht="29" hidden="1" x14ac:dyDescent="0.35">
      <c r="A69" s="2486">
        <v>44320</v>
      </c>
      <c r="B69" s="3107">
        <v>20</v>
      </c>
      <c r="C69" s="5" t="s">
        <v>12752</v>
      </c>
      <c r="D69" s="3032" t="s">
        <v>12750</v>
      </c>
      <c r="E69" s="2725" t="s">
        <v>12751</v>
      </c>
      <c r="F69" s="3029"/>
      <c r="G69" s="3040" t="s">
        <v>11440</v>
      </c>
      <c r="H69" s="3041"/>
      <c r="I69" s="2486">
        <v>44323</v>
      </c>
      <c r="J69" s="3046" t="s">
        <v>6815</v>
      </c>
      <c r="K69" s="6">
        <v>0.45833333333333331</v>
      </c>
      <c r="L69" s="6">
        <v>0.45833333333333331</v>
      </c>
      <c r="M69" s="3111">
        <v>140</v>
      </c>
      <c r="N69" s="3016" t="s">
        <v>257</v>
      </c>
      <c r="O69" s="3037" t="s">
        <v>15</v>
      </c>
      <c r="P69" s="3016" t="s">
        <v>17</v>
      </c>
      <c r="Q69" s="3016" t="s">
        <v>12595</v>
      </c>
      <c r="R69" s="3028"/>
      <c r="S69" s="3109"/>
      <c r="T69" s="3110"/>
      <c r="U69" s="2989"/>
      <c r="W69" s="2901"/>
      <c r="X69" s="2862"/>
    </row>
    <row r="70" spans="1:24" s="1592" customFormat="1" ht="346.5" hidden="1" x14ac:dyDescent="0.35">
      <c r="A70" s="2486">
        <v>44323</v>
      </c>
      <c r="B70" s="3107">
        <v>1.1000000000000001</v>
      </c>
      <c r="C70" s="5" t="s">
        <v>13139</v>
      </c>
      <c r="D70" s="3032"/>
      <c r="E70" s="2725" t="s">
        <v>13141</v>
      </c>
      <c r="F70" s="3029"/>
      <c r="G70" s="3040" t="s">
        <v>14343</v>
      </c>
      <c r="H70" s="3041"/>
      <c r="I70" s="2486">
        <v>44324</v>
      </c>
      <c r="J70" s="2722" t="s">
        <v>12945</v>
      </c>
      <c r="K70" s="3125">
        <v>0.375</v>
      </c>
      <c r="L70" s="3124">
        <v>0.39027777777777778</v>
      </c>
      <c r="M70" s="3111">
        <v>0</v>
      </c>
      <c r="N70" s="3016" t="s">
        <v>5716</v>
      </c>
      <c r="O70" s="3037" t="s">
        <v>140</v>
      </c>
      <c r="P70" s="3016" t="s">
        <v>974</v>
      </c>
      <c r="Q70" s="3016" t="s">
        <v>12416</v>
      </c>
      <c r="R70" s="3028"/>
      <c r="S70" s="3031"/>
      <c r="T70" s="3057"/>
      <c r="U70" s="2989"/>
      <c r="W70" s="2901"/>
      <c r="X70" s="2862"/>
    </row>
    <row r="71" spans="1:24" s="1592" customFormat="1" ht="130.5" hidden="1" x14ac:dyDescent="0.35">
      <c r="A71" s="2486">
        <v>44323</v>
      </c>
      <c r="B71" s="3107">
        <v>1</v>
      </c>
      <c r="C71" s="5" t="s">
        <v>13139</v>
      </c>
      <c r="D71" s="3131"/>
      <c r="E71" s="2725" t="s">
        <v>13142</v>
      </c>
      <c r="F71" s="3029"/>
      <c r="G71" s="3040" t="s">
        <v>13143</v>
      </c>
      <c r="H71" s="3041"/>
      <c r="I71" s="2486">
        <v>44324</v>
      </c>
      <c r="J71" s="2722" t="s">
        <v>12945</v>
      </c>
      <c r="K71" s="3125">
        <v>0.375</v>
      </c>
      <c r="L71" s="3124">
        <v>0.39027777777777778</v>
      </c>
      <c r="M71" s="3111">
        <v>0</v>
      </c>
      <c r="N71" s="3016" t="s">
        <v>5716</v>
      </c>
      <c r="O71" s="3037" t="s">
        <v>140</v>
      </c>
      <c r="P71" s="3016" t="s">
        <v>974</v>
      </c>
      <c r="Q71" s="3016" t="s">
        <v>12416</v>
      </c>
      <c r="R71" s="3028"/>
      <c r="S71" s="3109"/>
      <c r="T71" s="3110"/>
      <c r="U71" s="2989"/>
      <c r="W71" s="2901"/>
      <c r="X71" s="2862"/>
    </row>
    <row r="72" spans="1:24" s="1592" customFormat="1" ht="43.5" hidden="1" x14ac:dyDescent="0.35">
      <c r="A72" s="2486">
        <v>44324</v>
      </c>
      <c r="B72" s="3107"/>
      <c r="C72" s="5" t="s">
        <v>13162</v>
      </c>
      <c r="D72" s="3032" t="s">
        <v>12195</v>
      </c>
      <c r="E72" s="2725" t="s">
        <v>11513</v>
      </c>
      <c r="F72" s="3029"/>
      <c r="G72" s="3040" t="s">
        <v>11539</v>
      </c>
      <c r="H72" s="3041"/>
      <c r="I72" s="2486">
        <v>44324</v>
      </c>
      <c r="J72" s="2722" t="s">
        <v>13163</v>
      </c>
      <c r="K72" s="3122" t="s">
        <v>15</v>
      </c>
      <c r="L72" s="3117" t="s">
        <v>972</v>
      </c>
      <c r="M72" s="3111">
        <v>183</v>
      </c>
      <c r="N72" s="3016" t="s">
        <v>392</v>
      </c>
      <c r="O72" s="3037" t="s">
        <v>15</v>
      </c>
      <c r="P72" s="3016" t="s">
        <v>821</v>
      </c>
      <c r="Q72" s="3016" t="s">
        <v>13164</v>
      </c>
      <c r="R72" s="3028"/>
      <c r="S72" s="3109"/>
      <c r="T72" s="3110"/>
      <c r="U72" s="2989"/>
      <c r="W72" s="2901"/>
      <c r="X72" s="2862"/>
    </row>
    <row r="73" spans="1:24" s="1592" customFormat="1" ht="188.5" hidden="1" x14ac:dyDescent="0.35">
      <c r="A73" s="2486">
        <v>44322</v>
      </c>
      <c r="B73" s="3107">
        <v>27</v>
      </c>
      <c r="C73" s="2725" t="s">
        <v>12551</v>
      </c>
      <c r="D73" s="3032" t="s">
        <v>9975</v>
      </c>
      <c r="E73" s="3016" t="s">
        <v>12989</v>
      </c>
      <c r="F73" s="3029"/>
      <c r="G73" s="3040" t="s">
        <v>11517</v>
      </c>
      <c r="H73" s="3041"/>
      <c r="I73" s="2486">
        <v>44324</v>
      </c>
      <c r="J73" s="3034" t="s">
        <v>12987</v>
      </c>
      <c r="K73" s="6">
        <v>0.3756944444444445</v>
      </c>
      <c r="L73" s="3117">
        <v>0.66111111111111109</v>
      </c>
      <c r="M73" s="3111">
        <v>375</v>
      </c>
      <c r="N73" s="3016" t="s">
        <v>8625</v>
      </c>
      <c r="O73" s="3037" t="s">
        <v>119</v>
      </c>
      <c r="P73" s="3016" t="s">
        <v>12323</v>
      </c>
      <c r="Q73" s="3016" t="s">
        <v>12988</v>
      </c>
      <c r="R73" s="3028"/>
      <c r="S73" s="3109"/>
      <c r="T73" s="3110"/>
      <c r="U73" s="2989"/>
      <c r="W73" s="2901"/>
      <c r="X73" s="2862"/>
    </row>
    <row r="74" spans="1:24" s="1592" customFormat="1" ht="304.5" hidden="1" x14ac:dyDescent="0.35">
      <c r="A74" s="3047">
        <v>44322</v>
      </c>
      <c r="B74" s="3112">
        <v>11</v>
      </c>
      <c r="C74" s="3048" t="s">
        <v>1730</v>
      </c>
      <c r="D74" s="3044" t="s">
        <v>1761</v>
      </c>
      <c r="E74" s="3025" t="s">
        <v>12960</v>
      </c>
      <c r="F74" s="3025"/>
      <c r="G74" s="3050" t="s">
        <v>11478</v>
      </c>
      <c r="H74" s="3049"/>
      <c r="I74" s="3047">
        <v>44324</v>
      </c>
      <c r="J74" s="2948" t="s">
        <v>12959</v>
      </c>
      <c r="K74" s="3128">
        <v>0.375</v>
      </c>
      <c r="L74" s="3119">
        <v>0.6479166666666667</v>
      </c>
      <c r="M74" s="3111">
        <v>0</v>
      </c>
      <c r="N74" s="3025" t="s">
        <v>5716</v>
      </c>
      <c r="O74" s="3045" t="s">
        <v>140</v>
      </c>
      <c r="P74" s="3025" t="s">
        <v>17</v>
      </c>
      <c r="Q74" s="3026" t="s">
        <v>12458</v>
      </c>
      <c r="R74" s="3028"/>
      <c r="S74" s="3109"/>
      <c r="T74" s="3110"/>
      <c r="U74" s="2989"/>
      <c r="W74" s="2901"/>
      <c r="X74" s="2862"/>
    </row>
    <row r="75" spans="1:24" s="1592" customFormat="1" ht="87" hidden="1" x14ac:dyDescent="0.35">
      <c r="A75" s="2486">
        <v>44323</v>
      </c>
      <c r="B75" s="3036">
        <v>6</v>
      </c>
      <c r="C75" s="5" t="s">
        <v>13085</v>
      </c>
      <c r="D75" s="3032" t="s">
        <v>13086</v>
      </c>
      <c r="E75" s="2725" t="s">
        <v>13084</v>
      </c>
      <c r="F75" s="3029"/>
      <c r="G75" s="3040" t="s">
        <v>14354</v>
      </c>
      <c r="H75" s="3041"/>
      <c r="I75" s="2486">
        <v>44324</v>
      </c>
      <c r="J75" s="2722" t="s">
        <v>13087</v>
      </c>
      <c r="K75" s="6">
        <v>0.375</v>
      </c>
      <c r="L75" s="3117">
        <v>0.4909722222222222</v>
      </c>
      <c r="M75" s="3039">
        <v>315</v>
      </c>
      <c r="N75" s="3016" t="s">
        <v>8625</v>
      </c>
      <c r="O75" s="3037" t="s">
        <v>140</v>
      </c>
      <c r="P75" s="3016" t="s">
        <v>12323</v>
      </c>
      <c r="Q75" s="3016" t="s">
        <v>13088</v>
      </c>
      <c r="R75" s="3028"/>
      <c r="S75" s="3031"/>
      <c r="T75" s="3057"/>
      <c r="U75" s="2989"/>
      <c r="W75" s="2901"/>
      <c r="X75" s="2862"/>
    </row>
    <row r="76" spans="1:24" s="1592" customFormat="1" ht="58" hidden="1" x14ac:dyDescent="0.35">
      <c r="A76" s="2486">
        <v>44321</v>
      </c>
      <c r="B76" s="3107">
        <v>16</v>
      </c>
      <c r="C76" s="5" t="s">
        <v>12913</v>
      </c>
      <c r="D76" s="3032" t="s">
        <v>12914</v>
      </c>
      <c r="E76" s="2725" t="s">
        <v>12917</v>
      </c>
      <c r="F76" s="3029"/>
      <c r="G76" s="3040" t="s">
        <v>14310</v>
      </c>
      <c r="H76" s="3041"/>
      <c r="I76" s="2486">
        <v>44324</v>
      </c>
      <c r="J76" s="2722" t="s">
        <v>12915</v>
      </c>
      <c r="K76" s="6">
        <v>0.3756944444444445</v>
      </c>
      <c r="L76" s="3119">
        <v>0.4284722222222222</v>
      </c>
      <c r="M76" s="3111">
        <v>315</v>
      </c>
      <c r="N76" s="3016" t="s">
        <v>257</v>
      </c>
      <c r="O76" s="3037" t="s">
        <v>119</v>
      </c>
      <c r="P76" s="3016" t="s">
        <v>821</v>
      </c>
      <c r="Q76" s="3016" t="s">
        <v>12427</v>
      </c>
      <c r="R76" s="3028"/>
      <c r="S76" s="3109"/>
      <c r="T76" s="3110"/>
      <c r="U76" s="2989"/>
      <c r="W76" s="2901"/>
      <c r="X76" s="2862"/>
    </row>
    <row r="77" spans="1:24" s="1592" customFormat="1" ht="29" hidden="1" x14ac:dyDescent="0.35">
      <c r="A77" s="2486">
        <v>44321</v>
      </c>
      <c r="B77" s="3036">
        <v>25</v>
      </c>
      <c r="C77" s="5" t="s">
        <v>13116</v>
      </c>
      <c r="D77" s="3032" t="s">
        <v>12865</v>
      </c>
      <c r="E77" s="3058" t="s">
        <v>12867</v>
      </c>
      <c r="F77" s="3029"/>
      <c r="G77" s="3040" t="s">
        <v>14316</v>
      </c>
      <c r="H77" s="3041"/>
      <c r="I77" s="2486">
        <v>44324</v>
      </c>
      <c r="J77" s="2722" t="s">
        <v>12866</v>
      </c>
      <c r="K77" s="6">
        <v>0.3756944444444445</v>
      </c>
      <c r="L77" s="3119">
        <v>0.61527777777777781</v>
      </c>
      <c r="M77" s="3039">
        <v>159</v>
      </c>
      <c r="N77" s="3016" t="s">
        <v>257</v>
      </c>
      <c r="O77" s="3037" t="s">
        <v>119</v>
      </c>
      <c r="P77" s="3016" t="s">
        <v>821</v>
      </c>
      <c r="Q77" s="3016" t="s">
        <v>12405</v>
      </c>
      <c r="R77" s="3028"/>
      <c r="S77" s="3031"/>
      <c r="T77" s="3057"/>
      <c r="U77" s="2989"/>
      <c r="W77" s="2901"/>
      <c r="X77" s="2862"/>
    </row>
    <row r="78" spans="1:24" s="1592" customFormat="1" ht="29" hidden="1" x14ac:dyDescent="0.35">
      <c r="A78" s="2486">
        <v>44321</v>
      </c>
      <c r="B78" s="3036">
        <v>22</v>
      </c>
      <c r="C78" s="5" t="s">
        <v>12881</v>
      </c>
      <c r="D78" s="3032" t="s">
        <v>12478</v>
      </c>
      <c r="E78" s="2725" t="s">
        <v>11891</v>
      </c>
      <c r="F78" s="3029"/>
      <c r="G78" s="3040" t="s">
        <v>14321</v>
      </c>
      <c r="H78" s="3041"/>
      <c r="I78" s="2486">
        <v>44324</v>
      </c>
      <c r="J78" s="3034" t="s">
        <v>12886</v>
      </c>
      <c r="K78" s="6">
        <v>0.3756944444444445</v>
      </c>
      <c r="L78" s="3117">
        <v>0.55277777777777781</v>
      </c>
      <c r="M78" s="3039">
        <v>231</v>
      </c>
      <c r="N78" s="3016" t="s">
        <v>257</v>
      </c>
      <c r="O78" s="3037" t="s">
        <v>119</v>
      </c>
      <c r="P78" s="3016" t="s">
        <v>12323</v>
      </c>
      <c r="Q78" s="3016" t="s">
        <v>12889</v>
      </c>
      <c r="R78" s="3028"/>
      <c r="S78" s="3031"/>
      <c r="T78" s="3057"/>
      <c r="U78" s="2989"/>
      <c r="W78" s="2901"/>
      <c r="X78" s="2862"/>
    </row>
    <row r="79" spans="1:24" s="1592" customFormat="1" ht="87" hidden="1" x14ac:dyDescent="0.35">
      <c r="A79" s="3047">
        <v>44321</v>
      </c>
      <c r="B79" s="3112">
        <v>24</v>
      </c>
      <c r="C79" s="3026" t="s">
        <v>12660</v>
      </c>
      <c r="D79" s="3044" t="s">
        <v>12661</v>
      </c>
      <c r="E79" s="3158" t="s">
        <v>12904</v>
      </c>
      <c r="F79" s="3025"/>
      <c r="G79" s="3050" t="s">
        <v>11432</v>
      </c>
      <c r="H79" s="3049"/>
      <c r="I79" s="3047">
        <v>44324</v>
      </c>
      <c r="J79" s="3046" t="s">
        <v>12905</v>
      </c>
      <c r="K79" s="3128">
        <v>0.3756944444444445</v>
      </c>
      <c r="L79" s="3118">
        <v>0.59027777777777779</v>
      </c>
      <c r="M79" s="3111">
        <v>465</v>
      </c>
      <c r="N79" s="3025" t="s">
        <v>257</v>
      </c>
      <c r="O79" s="3045" t="s">
        <v>119</v>
      </c>
      <c r="P79" s="3025" t="s">
        <v>12323</v>
      </c>
      <c r="Q79" s="3025" t="s">
        <v>12906</v>
      </c>
      <c r="R79" s="3028"/>
      <c r="S79" s="3109"/>
      <c r="T79" s="3110"/>
      <c r="U79" s="2989"/>
      <c r="W79" s="2901"/>
      <c r="X79" s="2862"/>
    </row>
    <row r="80" spans="1:24" s="1592" customFormat="1" ht="116" hidden="1" x14ac:dyDescent="0.35">
      <c r="A80" s="3047">
        <v>44320</v>
      </c>
      <c r="B80" s="3112">
        <v>26</v>
      </c>
      <c r="C80" s="3026" t="s">
        <v>12734</v>
      </c>
      <c r="D80" s="3044" t="s">
        <v>12735</v>
      </c>
      <c r="E80" s="3048" t="s">
        <v>12738</v>
      </c>
      <c r="F80" s="3029"/>
      <c r="G80" s="3050" t="s">
        <v>11869</v>
      </c>
      <c r="H80" s="3041"/>
      <c r="I80" s="3047">
        <v>44324</v>
      </c>
      <c r="J80" s="3046" t="s">
        <v>12736</v>
      </c>
      <c r="K80" s="3128">
        <v>0.3756944444444445</v>
      </c>
      <c r="L80" s="2954">
        <v>0.63194444444444442</v>
      </c>
      <c r="M80" s="3111">
        <v>765</v>
      </c>
      <c r="N80" s="3025" t="s">
        <v>8625</v>
      </c>
      <c r="O80" s="3025" t="s">
        <v>119</v>
      </c>
      <c r="P80" s="3025" t="s">
        <v>17</v>
      </c>
      <c r="Q80" s="3025" t="s">
        <v>12737</v>
      </c>
      <c r="R80" s="3028"/>
      <c r="S80" s="3109"/>
      <c r="T80" s="3110"/>
      <c r="U80" s="2989"/>
      <c r="W80" s="2901"/>
      <c r="X80" s="2862"/>
    </row>
    <row r="81" spans="1:24" s="1592" customFormat="1" ht="43.5" hidden="1" x14ac:dyDescent="0.35">
      <c r="A81" s="2486">
        <v>44322</v>
      </c>
      <c r="B81" s="3107">
        <v>31</v>
      </c>
      <c r="C81" s="2725" t="s">
        <v>12978</v>
      </c>
      <c r="D81" s="3032" t="s">
        <v>12979</v>
      </c>
      <c r="E81" s="3043" t="s">
        <v>12977</v>
      </c>
      <c r="F81" s="3029"/>
      <c r="G81" s="3040" t="s">
        <v>11441</v>
      </c>
      <c r="H81" s="3041"/>
      <c r="I81" s="2486">
        <v>44324</v>
      </c>
      <c r="J81" s="3034" t="s">
        <v>12980</v>
      </c>
      <c r="K81" s="6">
        <v>0.3756944444444445</v>
      </c>
      <c r="L81" s="3117">
        <v>0.74513888888888891</v>
      </c>
      <c r="M81" s="3111">
        <v>231</v>
      </c>
      <c r="N81" s="3016" t="s">
        <v>8625</v>
      </c>
      <c r="O81" s="3037" t="s">
        <v>119</v>
      </c>
      <c r="P81" s="3016" t="s">
        <v>12323</v>
      </c>
      <c r="Q81" s="3016" t="s">
        <v>12986</v>
      </c>
      <c r="R81" s="3028"/>
      <c r="S81" s="3109"/>
      <c r="T81" s="3110"/>
      <c r="U81" s="2989"/>
      <c r="W81" s="2901"/>
      <c r="X81" s="2862"/>
    </row>
    <row r="82" spans="1:24" s="1592" customFormat="1" ht="101.5" hidden="1" x14ac:dyDescent="0.35">
      <c r="A82" s="2486">
        <v>44321</v>
      </c>
      <c r="B82" s="3107">
        <v>12</v>
      </c>
      <c r="C82" s="5" t="s">
        <v>12823</v>
      </c>
      <c r="D82" s="3032" t="s">
        <v>12824</v>
      </c>
      <c r="E82" s="2725" t="s">
        <v>12825</v>
      </c>
      <c r="F82" s="3029"/>
      <c r="G82" s="3040" t="s">
        <v>14329</v>
      </c>
      <c r="H82" s="3041"/>
      <c r="I82" s="2486">
        <v>44324</v>
      </c>
      <c r="J82" s="2722" t="s">
        <v>12826</v>
      </c>
      <c r="K82" s="6">
        <v>0.375</v>
      </c>
      <c r="L82" s="3119">
        <v>0.67013888888888884</v>
      </c>
      <c r="M82" s="3111">
        <v>375</v>
      </c>
      <c r="N82" s="3016" t="s">
        <v>8999</v>
      </c>
      <c r="O82" s="3037" t="s">
        <v>140</v>
      </c>
      <c r="P82" s="3016" t="s">
        <v>12323</v>
      </c>
      <c r="Q82" s="3016" t="s">
        <v>12827</v>
      </c>
      <c r="R82" s="3028"/>
      <c r="S82" s="3109"/>
      <c r="T82" s="3110"/>
      <c r="U82" s="2989"/>
      <c r="W82" s="2901"/>
      <c r="X82" s="2862"/>
    </row>
    <row r="83" spans="1:24" s="1592" customFormat="1" ht="29" hidden="1" x14ac:dyDescent="0.35">
      <c r="A83" s="3047">
        <v>44322</v>
      </c>
      <c r="B83" s="3112">
        <v>2</v>
      </c>
      <c r="C83" s="3048" t="s">
        <v>11308</v>
      </c>
      <c r="D83" s="3044" t="s">
        <v>11309</v>
      </c>
      <c r="E83" s="3025" t="s">
        <v>13002</v>
      </c>
      <c r="F83" s="3025"/>
      <c r="G83" s="3050" t="s">
        <v>11432</v>
      </c>
      <c r="H83" s="3041"/>
      <c r="I83" s="3047">
        <v>44324</v>
      </c>
      <c r="J83" s="3046" t="s">
        <v>1631</v>
      </c>
      <c r="K83" s="3128">
        <v>0.375</v>
      </c>
      <c r="L83" s="3119">
        <v>0.4069444444444445</v>
      </c>
      <c r="M83" s="3111">
        <v>315</v>
      </c>
      <c r="N83" s="3025" t="s">
        <v>257</v>
      </c>
      <c r="O83" s="3045" t="s">
        <v>140</v>
      </c>
      <c r="P83" s="3025" t="s">
        <v>17</v>
      </c>
      <c r="Q83" s="3025" t="s">
        <v>12405</v>
      </c>
      <c r="R83" s="3028"/>
      <c r="S83" s="3109"/>
      <c r="T83" s="3110"/>
      <c r="U83" s="2989"/>
      <c r="W83" s="2901"/>
      <c r="X83" s="2862"/>
    </row>
    <row r="84" spans="1:24" s="1592" customFormat="1" ht="43.5" hidden="1" x14ac:dyDescent="0.35">
      <c r="A84" s="3047">
        <v>44310</v>
      </c>
      <c r="B84" s="3056">
        <v>4</v>
      </c>
      <c r="C84" s="3026" t="s">
        <v>12273</v>
      </c>
      <c r="D84" s="3137" t="s">
        <v>12593</v>
      </c>
      <c r="E84" s="3048" t="s">
        <v>12698</v>
      </c>
      <c r="F84" s="3025"/>
      <c r="G84" s="3050" t="s">
        <v>11863</v>
      </c>
      <c r="H84" s="3041"/>
      <c r="I84" s="3047">
        <v>44324</v>
      </c>
      <c r="J84" s="3046" t="s">
        <v>12592</v>
      </c>
      <c r="K84" s="3128">
        <v>0.375</v>
      </c>
      <c r="L84" s="3119">
        <v>0.45208333333333334</v>
      </c>
      <c r="M84" s="3055">
        <v>265</v>
      </c>
      <c r="N84" s="3025" t="s">
        <v>257</v>
      </c>
      <c r="O84" s="3045" t="s">
        <v>140</v>
      </c>
      <c r="P84" s="3025" t="s">
        <v>216</v>
      </c>
      <c r="Q84" s="3026" t="s">
        <v>12595</v>
      </c>
      <c r="R84" s="3028"/>
      <c r="S84" s="3054"/>
      <c r="T84" s="3066"/>
      <c r="U84" s="2989"/>
      <c r="W84" s="2901"/>
      <c r="X84" s="2862"/>
    </row>
    <row r="85" spans="1:24" s="1592" customFormat="1" ht="290" hidden="1" x14ac:dyDescent="0.35">
      <c r="A85" s="3021">
        <v>44322</v>
      </c>
      <c r="B85" s="3121">
        <v>13</v>
      </c>
      <c r="C85" s="3024" t="s">
        <v>12183</v>
      </c>
      <c r="D85" s="3033" t="s">
        <v>12964</v>
      </c>
      <c r="E85" s="3015" t="s">
        <v>13032</v>
      </c>
      <c r="F85" s="3029"/>
      <c r="G85" s="3041" t="s">
        <v>13033</v>
      </c>
      <c r="H85" s="2934"/>
      <c r="I85" s="3021">
        <v>44324</v>
      </c>
      <c r="J85" s="3034" t="s">
        <v>12963</v>
      </c>
      <c r="K85" s="3122">
        <v>0.3756944444444445</v>
      </c>
      <c r="L85" s="3122">
        <v>0.37708333333333338</v>
      </c>
      <c r="M85" s="3150">
        <v>87</v>
      </c>
      <c r="N85" s="3015" t="s">
        <v>257</v>
      </c>
      <c r="O85" s="3030" t="s">
        <v>119</v>
      </c>
      <c r="P85" s="3015" t="s">
        <v>1031</v>
      </c>
      <c r="Q85" s="3015" t="s">
        <v>12459</v>
      </c>
      <c r="R85" s="3028"/>
      <c r="S85" s="3109"/>
      <c r="T85" s="3110"/>
      <c r="U85" s="2989"/>
      <c r="W85" s="2901"/>
      <c r="X85" s="2862"/>
    </row>
    <row r="86" spans="1:24" s="1592" customFormat="1" ht="58" hidden="1" x14ac:dyDescent="0.35">
      <c r="A86" s="2195">
        <v>44323</v>
      </c>
      <c r="B86" s="3160">
        <v>19</v>
      </c>
      <c r="C86" s="3019" t="s">
        <v>1598</v>
      </c>
      <c r="D86" s="2879" t="s">
        <v>13118</v>
      </c>
      <c r="E86" s="3161" t="s">
        <v>13120</v>
      </c>
      <c r="F86" s="3022"/>
      <c r="G86" s="2933" t="s">
        <v>12274</v>
      </c>
      <c r="H86" s="3041"/>
      <c r="I86" s="2195">
        <v>44324</v>
      </c>
      <c r="J86" s="2883" t="s">
        <v>13119</v>
      </c>
      <c r="K86" s="2985">
        <v>0.3756944444444445</v>
      </c>
      <c r="L86" s="2999">
        <v>0.49305555555555558</v>
      </c>
      <c r="M86" s="3162">
        <v>195</v>
      </c>
      <c r="N86" s="3022" t="s">
        <v>11852</v>
      </c>
      <c r="O86" s="3163" t="s">
        <v>119</v>
      </c>
      <c r="P86" s="3022" t="s">
        <v>17</v>
      </c>
      <c r="Q86" s="3022" t="s">
        <v>12410</v>
      </c>
      <c r="R86" s="3028"/>
      <c r="S86" s="3109"/>
      <c r="T86" s="3110"/>
      <c r="U86" s="2989"/>
      <c r="W86" s="2901"/>
      <c r="X86" s="2862"/>
    </row>
    <row r="87" spans="1:24" s="1592" customFormat="1" ht="101.5" hidden="1" x14ac:dyDescent="0.35">
      <c r="A87" s="2486">
        <v>44323</v>
      </c>
      <c r="B87" s="3107">
        <v>20</v>
      </c>
      <c r="C87" s="5" t="s">
        <v>10912</v>
      </c>
      <c r="D87" s="3032" t="s">
        <v>10913</v>
      </c>
      <c r="E87" s="3058" t="s">
        <v>13079</v>
      </c>
      <c r="F87" s="3029"/>
      <c r="G87" s="3040" t="s">
        <v>13080</v>
      </c>
      <c r="H87" s="3041"/>
      <c r="I87" s="2486">
        <v>44324</v>
      </c>
      <c r="J87" s="2722" t="s">
        <v>13077</v>
      </c>
      <c r="K87" s="6">
        <v>0.3756944444444445</v>
      </c>
      <c r="L87" s="3119">
        <v>0.51597222222222217</v>
      </c>
      <c r="M87" s="3111">
        <v>291</v>
      </c>
      <c r="N87" s="3016" t="s">
        <v>8625</v>
      </c>
      <c r="O87" s="3037" t="s">
        <v>119</v>
      </c>
      <c r="P87" s="3016" t="s">
        <v>12323</v>
      </c>
      <c r="Q87" s="3016" t="s">
        <v>13078</v>
      </c>
      <c r="R87" s="3028"/>
      <c r="S87" s="3109"/>
      <c r="T87" s="3110"/>
      <c r="U87" s="2989"/>
      <c r="W87" s="2901"/>
      <c r="X87" s="2862"/>
    </row>
    <row r="88" spans="1:24" s="1592" customFormat="1" ht="43.5" hidden="1" x14ac:dyDescent="0.35">
      <c r="A88" s="2486">
        <v>44322</v>
      </c>
      <c r="B88" s="3036">
        <v>23</v>
      </c>
      <c r="C88" s="2725" t="s">
        <v>13028</v>
      </c>
      <c r="D88" s="3032" t="s">
        <v>13029</v>
      </c>
      <c r="E88" s="3043" t="s">
        <v>11870</v>
      </c>
      <c r="F88" s="3029"/>
      <c r="G88" s="3040" t="s">
        <v>14316</v>
      </c>
      <c r="H88" s="3041"/>
      <c r="I88" s="2486">
        <v>44324</v>
      </c>
      <c r="J88" s="3034" t="s">
        <v>13030</v>
      </c>
      <c r="K88" s="3122">
        <v>0.3756944444444445</v>
      </c>
      <c r="L88" s="3122">
        <v>0.57152777777777775</v>
      </c>
      <c r="M88" s="3039">
        <v>159</v>
      </c>
      <c r="N88" s="3016" t="s">
        <v>8625</v>
      </c>
      <c r="O88" s="3030" t="s">
        <v>119</v>
      </c>
      <c r="P88" s="3015" t="s">
        <v>12323</v>
      </c>
      <c r="Q88" s="3015" t="s">
        <v>13031</v>
      </c>
      <c r="R88" s="3028"/>
      <c r="S88" s="3031"/>
      <c r="T88" s="3057"/>
      <c r="U88" s="2989"/>
      <c r="W88" s="2901"/>
      <c r="X88" s="2862"/>
    </row>
    <row r="89" spans="1:24" s="1592" customFormat="1" ht="58" hidden="1" x14ac:dyDescent="0.35">
      <c r="A89" s="2486">
        <v>44323</v>
      </c>
      <c r="B89" s="3036">
        <v>30</v>
      </c>
      <c r="C89" s="5" t="s">
        <v>13081</v>
      </c>
      <c r="D89" s="3032" t="s">
        <v>12003</v>
      </c>
      <c r="E89" s="3058" t="s">
        <v>13102</v>
      </c>
      <c r="F89" s="3029"/>
      <c r="G89" s="3040" t="s">
        <v>11420</v>
      </c>
      <c r="H89" s="3041"/>
      <c r="I89" s="2486">
        <v>44324</v>
      </c>
      <c r="J89" s="2722" t="s">
        <v>13082</v>
      </c>
      <c r="K89" s="6">
        <v>0.3756944444444445</v>
      </c>
      <c r="L89" s="3117">
        <v>0.72430555555555554</v>
      </c>
      <c r="M89" s="3039">
        <v>183</v>
      </c>
      <c r="N89" s="3016" t="s">
        <v>257</v>
      </c>
      <c r="O89" s="3037" t="s">
        <v>119</v>
      </c>
      <c r="P89" s="3016" t="s">
        <v>12323</v>
      </c>
      <c r="Q89" s="3016" t="s">
        <v>13083</v>
      </c>
      <c r="R89" s="3028"/>
      <c r="S89" s="3031"/>
      <c r="T89" s="3057"/>
      <c r="U89" s="2989"/>
      <c r="W89" s="2901"/>
      <c r="X89" s="2862"/>
    </row>
    <row r="90" spans="1:24" s="1592" customFormat="1" ht="72.5" hidden="1" x14ac:dyDescent="0.35">
      <c r="A90" s="3021">
        <v>44319</v>
      </c>
      <c r="B90" s="3103">
        <v>17</v>
      </c>
      <c r="C90" s="3015" t="s">
        <v>12307</v>
      </c>
      <c r="D90" s="3032" t="s">
        <v>12726</v>
      </c>
      <c r="E90" s="3233" t="s">
        <v>12727</v>
      </c>
      <c r="F90" s="3029"/>
      <c r="G90" s="3040" t="s">
        <v>11432</v>
      </c>
      <c r="H90" s="3041"/>
      <c r="I90" s="3021">
        <v>44324</v>
      </c>
      <c r="J90" s="3034" t="s">
        <v>12728</v>
      </c>
      <c r="K90" s="3122">
        <v>0.3756944444444445</v>
      </c>
      <c r="L90" s="3117">
        <v>0.44513888888888892</v>
      </c>
      <c r="M90" s="3139">
        <v>465</v>
      </c>
      <c r="N90" s="3016" t="s">
        <v>8625</v>
      </c>
      <c r="O90" s="3037" t="s">
        <v>119</v>
      </c>
      <c r="P90" s="3016" t="s">
        <v>17</v>
      </c>
      <c r="Q90" s="3016" t="s">
        <v>12729</v>
      </c>
      <c r="R90" s="3028"/>
      <c r="S90" s="3104"/>
      <c r="T90" s="3105"/>
      <c r="U90" s="2989"/>
      <c r="W90" s="2901"/>
      <c r="X90" s="2862"/>
    </row>
    <row r="91" spans="1:24" s="1592" customFormat="1" ht="43.5" hidden="1" x14ac:dyDescent="0.35">
      <c r="A91" s="2486">
        <v>44320</v>
      </c>
      <c r="B91" s="3107">
        <v>18</v>
      </c>
      <c r="C91" s="5" t="s">
        <v>11861</v>
      </c>
      <c r="D91" s="3032" t="s">
        <v>11862</v>
      </c>
      <c r="E91" s="2725" t="s">
        <v>12743</v>
      </c>
      <c r="F91" s="3029"/>
      <c r="G91" s="3040" t="s">
        <v>11951</v>
      </c>
      <c r="H91" s="3041"/>
      <c r="I91" s="2486">
        <v>44324</v>
      </c>
      <c r="J91" s="2722" t="s">
        <v>12744</v>
      </c>
      <c r="K91" s="6">
        <v>0.3756944444444445</v>
      </c>
      <c r="L91" s="3117">
        <v>0.46875</v>
      </c>
      <c r="M91" s="3111">
        <v>165</v>
      </c>
      <c r="N91" s="3016" t="s">
        <v>8625</v>
      </c>
      <c r="O91" s="3016" t="s">
        <v>119</v>
      </c>
      <c r="P91" s="3016" t="s">
        <v>17</v>
      </c>
      <c r="Q91" s="3016" t="s">
        <v>12745</v>
      </c>
      <c r="R91" s="3028"/>
      <c r="S91" s="3109"/>
      <c r="T91" s="3110"/>
      <c r="U91" s="2989"/>
      <c r="W91" s="2901"/>
      <c r="X91" s="2862"/>
    </row>
    <row r="92" spans="1:24" s="1592" customFormat="1" ht="43.5" hidden="1" x14ac:dyDescent="0.35">
      <c r="A92" s="3047">
        <v>44322</v>
      </c>
      <c r="B92" s="3112">
        <v>3</v>
      </c>
      <c r="C92" s="3026" t="s">
        <v>13062</v>
      </c>
      <c r="D92" s="3044" t="s">
        <v>13060</v>
      </c>
      <c r="E92" s="3158" t="s">
        <v>13063</v>
      </c>
      <c r="F92" s="3025"/>
      <c r="G92" s="3050" t="s">
        <v>11432</v>
      </c>
      <c r="H92" s="3049"/>
      <c r="I92" s="3047">
        <v>44324</v>
      </c>
      <c r="J92" s="3046" t="s">
        <v>13061</v>
      </c>
      <c r="K92" s="3128">
        <v>0.375</v>
      </c>
      <c r="L92" s="3124">
        <v>0.42708333333333331</v>
      </c>
      <c r="M92" s="3150">
        <v>465</v>
      </c>
      <c r="N92" s="3025" t="s">
        <v>11285</v>
      </c>
      <c r="O92" s="3045" t="s">
        <v>140</v>
      </c>
      <c r="P92" s="3025" t="s">
        <v>1031</v>
      </c>
      <c r="Q92" s="3025" t="s">
        <v>12416</v>
      </c>
      <c r="R92" s="3028"/>
      <c r="S92" s="3109"/>
      <c r="T92" s="3110"/>
      <c r="U92" s="2989"/>
      <c r="W92" s="2901"/>
      <c r="X92" s="2862"/>
    </row>
    <row r="93" spans="1:24" s="1592" customFormat="1" ht="29" hidden="1" x14ac:dyDescent="0.35">
      <c r="A93" s="3047">
        <v>44322</v>
      </c>
      <c r="B93" s="3112">
        <v>8</v>
      </c>
      <c r="C93" s="3048" t="s">
        <v>13009</v>
      </c>
      <c r="D93" s="3044" t="s">
        <v>13010</v>
      </c>
      <c r="E93" s="3025" t="s">
        <v>13011</v>
      </c>
      <c r="F93" s="3025"/>
      <c r="G93" s="3050" t="s">
        <v>11432</v>
      </c>
      <c r="H93" s="3049"/>
      <c r="I93" s="3047">
        <v>44324</v>
      </c>
      <c r="J93" s="3046" t="s">
        <v>13012</v>
      </c>
      <c r="K93" s="3128">
        <v>0.375</v>
      </c>
      <c r="L93" s="3128">
        <v>0.54097222222222219</v>
      </c>
      <c r="M93" s="3111">
        <v>555</v>
      </c>
      <c r="N93" s="3025" t="s">
        <v>257</v>
      </c>
      <c r="O93" s="3045" t="s">
        <v>140</v>
      </c>
      <c r="P93" s="3025" t="s">
        <v>17</v>
      </c>
      <c r="Q93" s="3025" t="s">
        <v>12411</v>
      </c>
      <c r="R93" s="3028"/>
      <c r="S93" s="3109"/>
      <c r="T93" s="3110"/>
      <c r="U93" s="2989"/>
      <c r="W93" s="2901"/>
      <c r="X93" s="2862"/>
    </row>
    <row r="94" spans="1:24" s="1592" customFormat="1" ht="58" hidden="1" x14ac:dyDescent="0.35">
      <c r="A94" s="2486">
        <v>44321</v>
      </c>
      <c r="B94" s="3107">
        <v>15</v>
      </c>
      <c r="C94" s="5" t="s">
        <v>12936</v>
      </c>
      <c r="D94" s="3032" t="s">
        <v>12938</v>
      </c>
      <c r="E94" s="3058" t="s">
        <v>12935</v>
      </c>
      <c r="F94" s="3029"/>
      <c r="G94" s="3040" t="s">
        <v>11872</v>
      </c>
      <c r="H94" s="3041"/>
      <c r="I94" s="2486">
        <v>44324</v>
      </c>
      <c r="J94" s="2722" t="s">
        <v>12937</v>
      </c>
      <c r="K94" s="3122">
        <v>0.3756944444444445</v>
      </c>
      <c r="L94" s="3122">
        <v>0.41041666666666665</v>
      </c>
      <c r="M94" s="3111">
        <v>231</v>
      </c>
      <c r="N94" s="3016" t="s">
        <v>257</v>
      </c>
      <c r="O94" s="3037" t="s">
        <v>119</v>
      </c>
      <c r="P94" s="3016" t="s">
        <v>12323</v>
      </c>
      <c r="Q94" s="3016" t="s">
        <v>12939</v>
      </c>
      <c r="R94" s="3028"/>
      <c r="S94" s="3109"/>
      <c r="T94" s="3110"/>
      <c r="U94" s="2989"/>
      <c r="W94" s="2901"/>
      <c r="X94" s="2862"/>
    </row>
    <row r="95" spans="1:24" s="1592" customFormat="1" ht="58" hidden="1" x14ac:dyDescent="0.35">
      <c r="A95" s="2195">
        <v>44321</v>
      </c>
      <c r="B95" s="3160">
        <v>14</v>
      </c>
      <c r="C95" s="3019" t="s">
        <v>2910</v>
      </c>
      <c r="D95" s="2879" t="s">
        <v>12911</v>
      </c>
      <c r="E95" s="3161" t="s">
        <v>12934</v>
      </c>
      <c r="F95" s="3022"/>
      <c r="G95" s="2933" t="s">
        <v>11432</v>
      </c>
      <c r="H95" s="3049"/>
      <c r="I95" s="2195">
        <v>44324</v>
      </c>
      <c r="J95" s="2883" t="s">
        <v>12912</v>
      </c>
      <c r="K95" s="2985">
        <v>0.3756944444444445</v>
      </c>
      <c r="L95" s="2999">
        <v>0.3923611111111111</v>
      </c>
      <c r="M95" s="3162">
        <v>330</v>
      </c>
      <c r="N95" s="3022" t="s">
        <v>12287</v>
      </c>
      <c r="O95" s="3163" t="s">
        <v>119</v>
      </c>
      <c r="P95" s="3022" t="s">
        <v>821</v>
      </c>
      <c r="Q95" s="3022" t="s">
        <v>12426</v>
      </c>
      <c r="R95" s="3028"/>
      <c r="S95" s="3109"/>
      <c r="T95" s="3110"/>
      <c r="U95" s="2989"/>
      <c r="W95" s="2901"/>
      <c r="X95" s="2862"/>
    </row>
    <row r="96" spans="1:24" s="1592" customFormat="1" ht="58" hidden="1" x14ac:dyDescent="0.35">
      <c r="A96" s="2486">
        <v>44314</v>
      </c>
      <c r="B96" s="3036">
        <v>5</v>
      </c>
      <c r="C96" s="5" t="s">
        <v>13124</v>
      </c>
      <c r="D96" s="3032" t="s">
        <v>12678</v>
      </c>
      <c r="E96" s="3233" t="s">
        <v>11320</v>
      </c>
      <c r="F96" s="3029"/>
      <c r="G96" s="3040" t="s">
        <v>11440</v>
      </c>
      <c r="H96" s="3041"/>
      <c r="I96" s="2486">
        <v>44324</v>
      </c>
      <c r="J96" s="3034" t="s">
        <v>13125</v>
      </c>
      <c r="K96" s="6">
        <v>0.375</v>
      </c>
      <c r="L96" s="3119">
        <v>0.47222222222222227</v>
      </c>
      <c r="M96" s="3039">
        <v>155</v>
      </c>
      <c r="N96" s="3016" t="s">
        <v>257</v>
      </c>
      <c r="O96" s="3037" t="s">
        <v>140</v>
      </c>
      <c r="P96" s="3016" t="s">
        <v>1960</v>
      </c>
      <c r="Q96" s="3016" t="s">
        <v>12412</v>
      </c>
      <c r="R96" s="3028"/>
      <c r="S96" s="3031"/>
      <c r="T96" s="3051"/>
      <c r="U96" s="2989"/>
      <c r="W96" s="2901"/>
      <c r="X96" s="2862"/>
    </row>
    <row r="97" spans="1:24" s="1592" customFormat="1" ht="99" hidden="1" x14ac:dyDescent="0.35">
      <c r="A97" s="2486">
        <v>44321</v>
      </c>
      <c r="B97" s="3107">
        <v>21</v>
      </c>
      <c r="C97" s="5" t="s">
        <v>12523</v>
      </c>
      <c r="D97" s="3032" t="s">
        <v>12524</v>
      </c>
      <c r="E97" s="2725" t="s">
        <v>12809</v>
      </c>
      <c r="F97" s="3029"/>
      <c r="G97" s="3040" t="s">
        <v>12812</v>
      </c>
      <c r="H97" s="3041"/>
      <c r="I97" s="2486">
        <v>44324</v>
      </c>
      <c r="J97" s="2722" t="s">
        <v>12810</v>
      </c>
      <c r="K97" s="6">
        <v>0.3756944444444445</v>
      </c>
      <c r="L97" s="3117">
        <v>0.53472222222222221</v>
      </c>
      <c r="M97" s="3111">
        <v>113</v>
      </c>
      <c r="N97" s="3016" t="s">
        <v>257</v>
      </c>
      <c r="O97" s="3037" t="s">
        <v>119</v>
      </c>
      <c r="P97" s="3016" t="s">
        <v>12323</v>
      </c>
      <c r="Q97" s="3016" t="s">
        <v>12811</v>
      </c>
      <c r="R97" s="3028"/>
      <c r="S97" s="3109"/>
      <c r="T97" s="3110"/>
      <c r="U97" s="2989"/>
      <c r="W97" s="2901"/>
      <c r="X97" s="2862"/>
    </row>
    <row r="98" spans="1:24" s="1592" customFormat="1" ht="58" hidden="1" x14ac:dyDescent="0.35">
      <c r="A98" s="2486">
        <v>44321</v>
      </c>
      <c r="B98" s="3107">
        <v>7</v>
      </c>
      <c r="C98" s="5" t="s">
        <v>12920</v>
      </c>
      <c r="D98" s="3032" t="s">
        <v>12919</v>
      </c>
      <c r="E98" s="3058" t="s">
        <v>12918</v>
      </c>
      <c r="F98" s="3029"/>
      <c r="G98" s="3040" t="s">
        <v>12921</v>
      </c>
      <c r="H98" s="3041"/>
      <c r="I98" s="2486">
        <v>44324</v>
      </c>
      <c r="J98" s="3034" t="s">
        <v>12926</v>
      </c>
      <c r="K98" s="6">
        <v>0.375</v>
      </c>
      <c r="L98" s="3124">
        <v>0.51597222222222217</v>
      </c>
      <c r="M98" s="3111">
        <v>481</v>
      </c>
      <c r="N98" s="3016" t="s">
        <v>257</v>
      </c>
      <c r="O98" s="3037" t="s">
        <v>140</v>
      </c>
      <c r="P98" s="3016" t="s">
        <v>12317</v>
      </c>
      <c r="Q98" s="3016" t="s">
        <v>12416</v>
      </c>
      <c r="R98" s="3028"/>
      <c r="S98" s="3109"/>
      <c r="T98" s="3110"/>
      <c r="U98" s="2989"/>
      <c r="W98" s="2901"/>
      <c r="X98" s="2862"/>
    </row>
    <row r="99" spans="1:24" s="1592" customFormat="1" ht="58" hidden="1" x14ac:dyDescent="0.35">
      <c r="A99" s="3047">
        <v>44321</v>
      </c>
      <c r="B99" s="3112">
        <v>9</v>
      </c>
      <c r="C99" s="3026" t="s">
        <v>12349</v>
      </c>
      <c r="D99" s="3044" t="s">
        <v>12908</v>
      </c>
      <c r="E99" s="3048" t="s">
        <v>12907</v>
      </c>
      <c r="F99" s="3025"/>
      <c r="G99" s="3050" t="s">
        <v>11432</v>
      </c>
      <c r="H99" s="3049"/>
      <c r="I99" s="3047">
        <v>44324</v>
      </c>
      <c r="J99" s="3046" t="s">
        <v>12909</v>
      </c>
      <c r="K99" s="3128">
        <v>0.375</v>
      </c>
      <c r="L99" s="3118">
        <v>0.56874999999999998</v>
      </c>
      <c r="M99" s="3111">
        <v>465</v>
      </c>
      <c r="N99" s="3025" t="s">
        <v>8625</v>
      </c>
      <c r="O99" s="3045" t="s">
        <v>140</v>
      </c>
      <c r="P99" s="3025" t="s">
        <v>12323</v>
      </c>
      <c r="Q99" s="3025" t="s">
        <v>12910</v>
      </c>
      <c r="R99" s="3028"/>
      <c r="S99" s="3109"/>
      <c r="T99" s="3110"/>
      <c r="U99" s="2989"/>
      <c r="W99" s="2901"/>
      <c r="X99" s="2862"/>
    </row>
    <row r="100" spans="1:24" s="1592" customFormat="1" ht="87" hidden="1" x14ac:dyDescent="0.35">
      <c r="A100" s="3047">
        <v>44302</v>
      </c>
      <c r="B100" s="2953">
        <v>10</v>
      </c>
      <c r="C100" s="3026" t="s">
        <v>12490</v>
      </c>
      <c r="D100" s="3044" t="s">
        <v>12489</v>
      </c>
      <c r="E100" s="3026" t="s">
        <v>12492</v>
      </c>
      <c r="F100" s="3025"/>
      <c r="G100" s="3050" t="s">
        <v>11432</v>
      </c>
      <c r="H100" s="3049"/>
      <c r="I100" s="3047">
        <v>44324</v>
      </c>
      <c r="J100" s="3046" t="s">
        <v>12491</v>
      </c>
      <c r="K100" s="3128">
        <v>0.375</v>
      </c>
      <c r="L100" s="3119">
        <v>0.61111111111111105</v>
      </c>
      <c r="M100" s="3039">
        <v>315</v>
      </c>
      <c r="N100" s="3025" t="s">
        <v>257</v>
      </c>
      <c r="O100" s="3025" t="s">
        <v>140</v>
      </c>
      <c r="P100" s="3025" t="s">
        <v>12317</v>
      </c>
      <c r="Q100" s="3025" t="s">
        <v>12488</v>
      </c>
      <c r="R100" s="3028"/>
      <c r="S100" s="3031"/>
      <c r="T100" s="3057"/>
      <c r="U100" s="2989"/>
      <c r="W100" s="2901"/>
      <c r="X100" s="2862"/>
    </row>
    <row r="101" spans="1:24" s="1592" customFormat="1" ht="159.5" hidden="1" x14ac:dyDescent="0.35">
      <c r="A101" s="2486">
        <v>44324</v>
      </c>
      <c r="B101" s="3107"/>
      <c r="C101" s="2725" t="s">
        <v>12951</v>
      </c>
      <c r="D101" s="3032" t="s">
        <v>10161</v>
      </c>
      <c r="E101" s="3016" t="s">
        <v>12953</v>
      </c>
      <c r="F101" s="3029"/>
      <c r="G101" s="3040" t="s">
        <v>12021</v>
      </c>
      <c r="H101" s="3041"/>
      <c r="I101" s="2486">
        <v>44324</v>
      </c>
      <c r="J101" s="3034" t="s">
        <v>12952</v>
      </c>
      <c r="K101" s="6" t="s">
        <v>15</v>
      </c>
      <c r="L101" s="3117" t="s">
        <v>972</v>
      </c>
      <c r="M101" s="3111">
        <v>183</v>
      </c>
      <c r="N101" s="3016" t="s">
        <v>257</v>
      </c>
      <c r="O101" s="3037" t="s">
        <v>15</v>
      </c>
      <c r="P101" s="3016" t="s">
        <v>17</v>
      </c>
      <c r="Q101" s="3016" t="s">
        <v>12456</v>
      </c>
      <c r="R101" s="3028"/>
      <c r="S101" s="3109"/>
      <c r="T101" s="3110"/>
      <c r="U101" s="2989"/>
      <c r="W101" s="2901"/>
      <c r="X101" s="2862"/>
    </row>
    <row r="102" spans="1:24" s="1592" customFormat="1" ht="232" hidden="1" x14ac:dyDescent="0.35">
      <c r="A102" s="3047">
        <v>44321</v>
      </c>
      <c r="B102" s="3042">
        <v>32</v>
      </c>
      <c r="C102" s="3026" t="s">
        <v>13140</v>
      </c>
      <c r="D102" s="3044" t="s">
        <v>11881</v>
      </c>
      <c r="E102" s="3048" t="s">
        <v>12856</v>
      </c>
      <c r="F102" s="3025"/>
      <c r="G102" s="3050" t="s">
        <v>11478</v>
      </c>
      <c r="H102" s="2934"/>
      <c r="I102" s="3047">
        <v>44324</v>
      </c>
      <c r="J102" s="2948" t="s">
        <v>12855</v>
      </c>
      <c r="K102" s="3128">
        <v>0.39583333333333331</v>
      </c>
      <c r="L102" s="3119">
        <v>0.5</v>
      </c>
      <c r="M102" s="3039">
        <v>1558</v>
      </c>
      <c r="N102" s="3025" t="s">
        <v>12522</v>
      </c>
      <c r="O102" s="3045" t="s">
        <v>10475</v>
      </c>
      <c r="P102" s="3025" t="s">
        <v>12323</v>
      </c>
      <c r="Q102" s="3025" t="s">
        <v>12459</v>
      </c>
      <c r="R102" s="3028"/>
      <c r="S102" s="3031"/>
      <c r="T102" s="3057"/>
      <c r="U102" s="2989"/>
      <c r="W102" s="2901"/>
      <c r="X102" s="2862"/>
    </row>
    <row r="103" spans="1:24" s="1592" customFormat="1" ht="43.5" hidden="1" x14ac:dyDescent="0.35">
      <c r="A103" s="2486">
        <v>44322</v>
      </c>
      <c r="B103" s="3036">
        <v>37</v>
      </c>
      <c r="C103" s="2725" t="s">
        <v>13054</v>
      </c>
      <c r="D103" s="3032" t="s">
        <v>13052</v>
      </c>
      <c r="E103" s="3043" t="s">
        <v>13053</v>
      </c>
      <c r="F103" s="3029"/>
      <c r="G103" s="3040" t="s">
        <v>14316</v>
      </c>
      <c r="H103" s="3041"/>
      <c r="I103" s="2486">
        <v>44324</v>
      </c>
      <c r="J103" s="3046" t="s">
        <v>6032</v>
      </c>
      <c r="K103" s="3122">
        <v>0.41666666666666669</v>
      </c>
      <c r="L103" s="3125">
        <v>0.77083333333333337</v>
      </c>
      <c r="M103" s="3039">
        <v>144</v>
      </c>
      <c r="N103" s="3016" t="s">
        <v>257</v>
      </c>
      <c r="O103" s="3030" t="s">
        <v>15</v>
      </c>
      <c r="P103" s="3015" t="s">
        <v>216</v>
      </c>
      <c r="Q103" s="3015" t="s">
        <v>12415</v>
      </c>
      <c r="R103" s="3028"/>
      <c r="S103" s="3031"/>
      <c r="T103" s="3057"/>
      <c r="U103" s="2989"/>
      <c r="W103" s="2901"/>
      <c r="X103" s="2862"/>
    </row>
    <row r="104" spans="1:24" s="1592" customFormat="1" ht="29" hidden="1" x14ac:dyDescent="0.35">
      <c r="A104" s="2486">
        <v>44323</v>
      </c>
      <c r="B104" s="3036">
        <v>33</v>
      </c>
      <c r="C104" s="5" t="s">
        <v>12880</v>
      </c>
      <c r="D104" s="3032" t="s">
        <v>13109</v>
      </c>
      <c r="E104" s="2725" t="s">
        <v>13110</v>
      </c>
      <c r="F104" s="3029"/>
      <c r="G104" s="3040" t="s">
        <v>14321</v>
      </c>
      <c r="H104" s="3041"/>
      <c r="I104" s="2486">
        <v>44324</v>
      </c>
      <c r="J104" s="3046" t="s">
        <v>5494</v>
      </c>
      <c r="K104" s="3122">
        <v>0.41666666666666669</v>
      </c>
      <c r="L104" s="3122">
        <v>0.41666666666666669</v>
      </c>
      <c r="M104" s="3039">
        <v>216</v>
      </c>
      <c r="N104" s="3016" t="s">
        <v>257</v>
      </c>
      <c r="O104" s="3037" t="s">
        <v>15</v>
      </c>
      <c r="P104" s="3016" t="s">
        <v>1031</v>
      </c>
      <c r="Q104" s="3016" t="s">
        <v>12460</v>
      </c>
      <c r="R104" s="3028"/>
      <c r="S104" s="3031"/>
      <c r="T104" s="3057"/>
      <c r="U104" s="2989"/>
      <c r="W104" s="2901"/>
      <c r="X104" s="2862"/>
    </row>
    <row r="105" spans="1:24" s="1592" customFormat="1" ht="43.5" hidden="1" x14ac:dyDescent="0.35">
      <c r="A105" s="2486">
        <v>44323</v>
      </c>
      <c r="B105" s="3036">
        <v>34</v>
      </c>
      <c r="C105" s="5" t="s">
        <v>13101</v>
      </c>
      <c r="D105" s="3032" t="s">
        <v>13099</v>
      </c>
      <c r="E105" s="3058" t="s">
        <v>13098</v>
      </c>
      <c r="F105" s="3029"/>
      <c r="G105" s="3040" t="s">
        <v>12002</v>
      </c>
      <c r="H105" s="3041"/>
      <c r="I105" s="2486">
        <v>44324</v>
      </c>
      <c r="J105" s="3046" t="s">
        <v>5494</v>
      </c>
      <c r="K105" s="3122">
        <v>0.41666666666666669</v>
      </c>
      <c r="L105" s="3122">
        <v>0.41666666666666669</v>
      </c>
      <c r="M105" s="3039">
        <v>216</v>
      </c>
      <c r="N105" s="3016" t="s">
        <v>257</v>
      </c>
      <c r="O105" s="3037" t="s">
        <v>15</v>
      </c>
      <c r="P105" s="3016" t="s">
        <v>12323</v>
      </c>
      <c r="Q105" s="3016" t="s">
        <v>13100</v>
      </c>
      <c r="R105" s="3028"/>
      <c r="S105" s="3031"/>
      <c r="T105" s="3057"/>
      <c r="U105" s="2989"/>
      <c r="W105" s="2901"/>
      <c r="X105" s="2862"/>
    </row>
    <row r="106" spans="1:24" s="1592" customFormat="1" ht="29" hidden="1" x14ac:dyDescent="0.35">
      <c r="A106" s="3021">
        <v>44324</v>
      </c>
      <c r="B106" s="3121"/>
      <c r="C106" s="3015" t="s">
        <v>13186</v>
      </c>
      <c r="D106" s="3033" t="s">
        <v>13185</v>
      </c>
      <c r="E106" s="3024" t="s">
        <v>13187</v>
      </c>
      <c r="F106" s="3015"/>
      <c r="G106" s="3041" t="s">
        <v>11514</v>
      </c>
      <c r="H106" s="3041"/>
      <c r="I106" s="3021">
        <v>44324</v>
      </c>
      <c r="J106" s="3046" t="s">
        <v>11899</v>
      </c>
      <c r="K106" s="3122" t="s">
        <v>15</v>
      </c>
      <c r="L106" s="3148" t="s">
        <v>972</v>
      </c>
      <c r="M106" s="3150">
        <f>120*1.8</f>
        <v>216</v>
      </c>
      <c r="N106" s="3016" t="s">
        <v>392</v>
      </c>
      <c r="O106" s="3037" t="s">
        <v>15</v>
      </c>
      <c r="P106" s="3015" t="s">
        <v>216</v>
      </c>
      <c r="Q106" s="3015" t="s">
        <v>13188</v>
      </c>
      <c r="R106" s="3028"/>
      <c r="S106" s="3109"/>
      <c r="T106" s="3110"/>
      <c r="U106" s="2989"/>
      <c r="W106" s="2901"/>
      <c r="X106" s="2862"/>
    </row>
    <row r="107" spans="1:24" s="1592" customFormat="1" ht="71.5" hidden="1" x14ac:dyDescent="0.35">
      <c r="A107" s="2486">
        <v>44322</v>
      </c>
      <c r="B107" s="3107">
        <v>35</v>
      </c>
      <c r="C107" s="2725" t="s">
        <v>13007</v>
      </c>
      <c r="D107" s="3032" t="s">
        <v>12186</v>
      </c>
      <c r="E107" s="3016" t="s">
        <v>13006</v>
      </c>
      <c r="F107" s="3029"/>
      <c r="G107" s="3040" t="s">
        <v>14355</v>
      </c>
      <c r="H107" s="3041"/>
      <c r="I107" s="2486">
        <v>44324</v>
      </c>
      <c r="J107" s="3046" t="s">
        <v>6032</v>
      </c>
      <c r="K107" s="3122">
        <v>0.41666666666666669</v>
      </c>
      <c r="L107" s="3122">
        <v>0.41666666666666669</v>
      </c>
      <c r="M107" s="3111">
        <v>90</v>
      </c>
      <c r="N107" s="3016" t="s">
        <v>11285</v>
      </c>
      <c r="O107" s="3037" t="s">
        <v>15</v>
      </c>
      <c r="P107" s="3016" t="s">
        <v>216</v>
      </c>
      <c r="Q107" s="3016" t="s">
        <v>12410</v>
      </c>
      <c r="R107" s="3027"/>
      <c r="S107" s="3109"/>
      <c r="T107" s="3110"/>
      <c r="U107" s="2989"/>
      <c r="W107" s="2901"/>
      <c r="X107" s="2862"/>
    </row>
    <row r="108" spans="1:24" s="1592" customFormat="1" ht="43.5" hidden="1" x14ac:dyDescent="0.35">
      <c r="A108" s="2486">
        <v>44322</v>
      </c>
      <c r="B108" s="3107">
        <v>36</v>
      </c>
      <c r="C108" s="2725" t="s">
        <v>12995</v>
      </c>
      <c r="D108" s="3032" t="s">
        <v>12994</v>
      </c>
      <c r="E108" s="3016" t="s">
        <v>12996</v>
      </c>
      <c r="F108" s="3029"/>
      <c r="G108" s="3040" t="s">
        <v>14338</v>
      </c>
      <c r="H108" s="3041"/>
      <c r="I108" s="2486">
        <v>44324</v>
      </c>
      <c r="J108" s="3046" t="s">
        <v>6032</v>
      </c>
      <c r="K108" s="3122">
        <v>0.41666666666666669</v>
      </c>
      <c r="L108" s="3122">
        <v>0.41666666666666669</v>
      </c>
      <c r="M108" s="3111">
        <v>180</v>
      </c>
      <c r="N108" s="3016" t="s">
        <v>11285</v>
      </c>
      <c r="O108" s="3037" t="s">
        <v>15</v>
      </c>
      <c r="P108" s="3016" t="s">
        <v>17</v>
      </c>
      <c r="Q108" s="3016" t="s">
        <v>12462</v>
      </c>
      <c r="R108" s="3027"/>
      <c r="S108" s="3109"/>
      <c r="T108" s="3110"/>
      <c r="U108" s="2991"/>
      <c r="W108" s="2901"/>
      <c r="X108" s="2862"/>
    </row>
    <row r="109" spans="1:24" s="1592" customFormat="1" ht="275.5" hidden="1" x14ac:dyDescent="0.35">
      <c r="A109" s="2486">
        <v>44324</v>
      </c>
      <c r="B109" s="3036">
        <v>1</v>
      </c>
      <c r="C109" s="5" t="s">
        <v>13139</v>
      </c>
      <c r="D109" s="3032"/>
      <c r="E109" s="2725" t="s">
        <v>13192</v>
      </c>
      <c r="F109" s="3029"/>
      <c r="G109" s="3040" t="s">
        <v>13193</v>
      </c>
      <c r="H109" s="3041"/>
      <c r="I109" s="2486">
        <v>44325</v>
      </c>
      <c r="J109" s="2722" t="s">
        <v>12945</v>
      </c>
      <c r="K109" s="3122">
        <v>0.35416666666666669</v>
      </c>
      <c r="L109" s="3125">
        <v>0.36944444444444446</v>
      </c>
      <c r="M109" s="3151">
        <v>0</v>
      </c>
      <c r="N109" s="3016" t="s">
        <v>5716</v>
      </c>
      <c r="O109" s="3016" t="s">
        <v>4894</v>
      </c>
      <c r="P109" s="3016" t="s">
        <v>821</v>
      </c>
      <c r="Q109" s="3016" t="s">
        <v>11183</v>
      </c>
      <c r="R109" s="3027"/>
      <c r="S109" s="3031"/>
      <c r="T109" s="3057"/>
      <c r="U109" s="2991"/>
      <c r="W109" s="2901"/>
      <c r="X109" s="2862"/>
    </row>
    <row r="110" spans="1:24" s="1592" customFormat="1" ht="174" hidden="1" x14ac:dyDescent="0.35">
      <c r="A110" s="2486">
        <v>44324</v>
      </c>
      <c r="B110" s="3036">
        <v>2</v>
      </c>
      <c r="C110" s="5" t="s">
        <v>13139</v>
      </c>
      <c r="D110" s="3032"/>
      <c r="E110" s="2725" t="s">
        <v>13194</v>
      </c>
      <c r="F110" s="3029"/>
      <c r="G110" s="3040" t="s">
        <v>13143</v>
      </c>
      <c r="H110" s="3041"/>
      <c r="I110" s="2486">
        <v>44325</v>
      </c>
      <c r="J110" s="2722" t="s">
        <v>12945</v>
      </c>
      <c r="K110" s="3122">
        <v>0.35416666666666669</v>
      </c>
      <c r="L110" s="3125">
        <v>0.36944444444444446</v>
      </c>
      <c r="M110" s="3111">
        <v>0</v>
      </c>
      <c r="N110" s="3016" t="s">
        <v>5716</v>
      </c>
      <c r="O110" s="3037" t="s">
        <v>4894</v>
      </c>
      <c r="P110" s="3016" t="s">
        <v>821</v>
      </c>
      <c r="Q110" s="3016" t="s">
        <v>11183</v>
      </c>
      <c r="R110" s="3027"/>
      <c r="S110" s="3031"/>
      <c r="T110" s="3057"/>
      <c r="U110" s="2989"/>
      <c r="W110" s="2901"/>
      <c r="X110" s="2862"/>
    </row>
    <row r="111" spans="1:24" s="1592" customFormat="1" ht="43.5" hidden="1" x14ac:dyDescent="0.35">
      <c r="A111" s="2486">
        <v>44284</v>
      </c>
      <c r="B111" s="2596">
        <v>12</v>
      </c>
      <c r="C111" s="5" t="s">
        <v>11920</v>
      </c>
      <c r="D111" s="3032" t="s">
        <v>11921</v>
      </c>
      <c r="E111" s="5" t="s">
        <v>12351</v>
      </c>
      <c r="F111" s="3029"/>
      <c r="G111" s="3040" t="s">
        <v>11865</v>
      </c>
      <c r="H111" s="2892"/>
      <c r="I111" s="2486">
        <v>44325</v>
      </c>
      <c r="J111" s="2722" t="s">
        <v>12352</v>
      </c>
      <c r="K111" s="6">
        <v>0.35486111111111113</v>
      </c>
      <c r="L111" s="3119">
        <v>0.36458333333333331</v>
      </c>
      <c r="M111" s="3039">
        <v>228</v>
      </c>
      <c r="N111" s="3016" t="s">
        <v>257</v>
      </c>
      <c r="O111" s="3016" t="s">
        <v>140</v>
      </c>
      <c r="P111" s="3016" t="s">
        <v>12323</v>
      </c>
      <c r="Q111" s="3016" t="s">
        <v>11327</v>
      </c>
      <c r="R111" s="3027"/>
      <c r="S111" s="3031"/>
      <c r="T111" s="3057"/>
      <c r="U111" s="2989"/>
      <c r="W111" s="2901"/>
      <c r="X111" s="2862"/>
    </row>
    <row r="112" spans="1:24" s="1592" customFormat="1" ht="43.5" hidden="1" x14ac:dyDescent="0.35">
      <c r="A112" s="2486">
        <v>44323</v>
      </c>
      <c r="B112" s="3107">
        <v>8</v>
      </c>
      <c r="C112" s="5" t="s">
        <v>13069</v>
      </c>
      <c r="D112" s="3032" t="s">
        <v>12157</v>
      </c>
      <c r="E112" s="2725" t="s">
        <v>13068</v>
      </c>
      <c r="F112" s="3029"/>
      <c r="G112" s="3040" t="s">
        <v>14331</v>
      </c>
      <c r="H112" s="2973"/>
      <c r="I112" s="2486">
        <v>44325</v>
      </c>
      <c r="J112" s="2722" t="s">
        <v>13070</v>
      </c>
      <c r="K112" s="6">
        <v>0.35416666666666669</v>
      </c>
      <c r="L112" s="3117">
        <v>0.5180555555555556</v>
      </c>
      <c r="M112" s="3111">
        <v>159</v>
      </c>
      <c r="N112" s="3016" t="s">
        <v>8625</v>
      </c>
      <c r="O112" s="3037" t="s">
        <v>4894</v>
      </c>
      <c r="P112" s="3016" t="s">
        <v>12323</v>
      </c>
      <c r="Q112" s="3016" t="s">
        <v>13071</v>
      </c>
      <c r="R112" s="3027"/>
      <c r="S112" s="3109"/>
      <c r="T112" s="3110"/>
      <c r="U112" s="2991"/>
      <c r="W112" s="2901"/>
      <c r="X112" s="2862"/>
    </row>
    <row r="113" spans="1:24" s="1592" customFormat="1" ht="29" hidden="1" x14ac:dyDescent="0.35">
      <c r="A113" s="3047">
        <v>44321</v>
      </c>
      <c r="B113" s="3042">
        <v>11</v>
      </c>
      <c r="C113" s="3026" t="s">
        <v>12857</v>
      </c>
      <c r="D113" s="3044" t="s">
        <v>12858</v>
      </c>
      <c r="E113" s="3048" t="s">
        <v>12859</v>
      </c>
      <c r="F113" s="3025"/>
      <c r="G113" s="3050" t="s">
        <v>11432</v>
      </c>
      <c r="H113" s="3049"/>
      <c r="I113" s="3047">
        <v>44325</v>
      </c>
      <c r="J113" s="3046" t="s">
        <v>12860</v>
      </c>
      <c r="K113" s="3128">
        <v>0.35416666666666669</v>
      </c>
      <c r="L113" s="3119">
        <v>0.58888888888888891</v>
      </c>
      <c r="M113" s="3039">
        <v>415</v>
      </c>
      <c r="N113" s="3025" t="s">
        <v>257</v>
      </c>
      <c r="O113" s="3045" t="s">
        <v>4894</v>
      </c>
      <c r="P113" s="3025" t="s">
        <v>17</v>
      </c>
      <c r="Q113" s="3025" t="s">
        <v>12404</v>
      </c>
      <c r="R113" s="3027"/>
      <c r="S113" s="3031"/>
      <c r="T113" s="3057"/>
      <c r="U113" s="2991"/>
      <c r="W113" s="2901"/>
      <c r="X113" s="2862"/>
    </row>
    <row r="114" spans="1:24" s="1592" customFormat="1" ht="29" hidden="1" x14ac:dyDescent="0.35">
      <c r="A114" s="2195">
        <v>44325</v>
      </c>
      <c r="B114" s="3165">
        <v>11.5</v>
      </c>
      <c r="C114" s="3019" t="s">
        <v>11992</v>
      </c>
      <c r="D114" s="3166" t="s">
        <v>9855</v>
      </c>
      <c r="E114" s="3161" t="s">
        <v>13227</v>
      </c>
      <c r="F114" s="3022"/>
      <c r="G114" s="2933" t="s">
        <v>13235</v>
      </c>
      <c r="H114" s="3041"/>
      <c r="I114" s="2195">
        <v>44325</v>
      </c>
      <c r="J114" s="2883" t="s">
        <v>13228</v>
      </c>
      <c r="K114" s="2985">
        <v>0.35416666666666669</v>
      </c>
      <c r="L114" s="3167">
        <v>0.60416666666666663</v>
      </c>
      <c r="M114" s="3168">
        <v>119</v>
      </c>
      <c r="N114" s="3019" t="s">
        <v>13229</v>
      </c>
      <c r="O114" s="3169" t="s">
        <v>119</v>
      </c>
      <c r="P114" s="3019" t="s">
        <v>17</v>
      </c>
      <c r="Q114" s="3019" t="s">
        <v>13230</v>
      </c>
      <c r="R114" s="3027"/>
      <c r="S114" s="3109"/>
      <c r="T114" s="3110"/>
      <c r="U114" s="2989"/>
      <c r="W114" s="2901"/>
      <c r="X114" s="2862"/>
    </row>
    <row r="115" spans="1:24" s="1592" customFormat="1" ht="29" hidden="1" x14ac:dyDescent="0.35">
      <c r="A115" s="2195">
        <v>44322</v>
      </c>
      <c r="B115" s="3160">
        <v>19</v>
      </c>
      <c r="C115" s="3161" t="s">
        <v>12997</v>
      </c>
      <c r="D115" s="2879" t="s">
        <v>12998</v>
      </c>
      <c r="E115" s="3022" t="s">
        <v>13000</v>
      </c>
      <c r="F115" s="3022"/>
      <c r="G115" s="2933" t="s">
        <v>11432</v>
      </c>
      <c r="H115" s="3041"/>
      <c r="I115" s="2195">
        <v>44325</v>
      </c>
      <c r="J115" s="2883" t="s">
        <v>12999</v>
      </c>
      <c r="K115" s="2985">
        <v>0.35486111111111113</v>
      </c>
      <c r="L115" s="2999">
        <v>0.55486111111111114</v>
      </c>
      <c r="M115" s="3162">
        <v>325</v>
      </c>
      <c r="N115" s="3022" t="s">
        <v>13001</v>
      </c>
      <c r="O115" s="3163" t="s">
        <v>140</v>
      </c>
      <c r="P115" s="3022" t="s">
        <v>17</v>
      </c>
      <c r="Q115" s="3022" t="s">
        <v>12403</v>
      </c>
      <c r="R115" s="3027"/>
      <c r="S115" s="3109"/>
      <c r="T115" s="3110"/>
      <c r="U115" s="2989"/>
      <c r="W115" s="2901"/>
      <c r="X115" s="2862"/>
    </row>
    <row r="116" spans="1:24" s="1592" customFormat="1" ht="29" hidden="1" x14ac:dyDescent="0.35">
      <c r="A116" s="3021">
        <v>44324</v>
      </c>
      <c r="B116" s="3035">
        <v>4</v>
      </c>
      <c r="C116" s="3015" t="s">
        <v>13199</v>
      </c>
      <c r="D116" s="3033" t="s">
        <v>13200</v>
      </c>
      <c r="E116" s="3015" t="s">
        <v>13204</v>
      </c>
      <c r="F116" s="3015"/>
      <c r="G116" s="3041" t="s">
        <v>12010</v>
      </c>
      <c r="H116" s="3041"/>
      <c r="I116" s="3021">
        <v>44325</v>
      </c>
      <c r="J116" s="3034" t="s">
        <v>13201</v>
      </c>
      <c r="K116" s="3122">
        <v>0.35416666666666669</v>
      </c>
      <c r="L116" s="3148">
        <v>0.41111111111111115</v>
      </c>
      <c r="M116" s="2876">
        <v>195</v>
      </c>
      <c r="N116" s="3015" t="s">
        <v>13202</v>
      </c>
      <c r="O116" s="3030" t="s">
        <v>4894</v>
      </c>
      <c r="P116" s="3015" t="s">
        <v>821</v>
      </c>
      <c r="Q116" s="3015" t="s">
        <v>13203</v>
      </c>
      <c r="R116" s="828"/>
      <c r="S116" s="2701"/>
      <c r="T116" s="3153"/>
      <c r="U116" s="2995"/>
      <c r="W116" s="2901"/>
      <c r="X116" s="2862"/>
    </row>
    <row r="117" spans="1:24" s="1592" customFormat="1" ht="43.5" hidden="1" x14ac:dyDescent="0.35">
      <c r="A117" s="2195">
        <v>44321</v>
      </c>
      <c r="B117" s="3164">
        <v>5</v>
      </c>
      <c r="C117" s="3019" t="s">
        <v>12873</v>
      </c>
      <c r="D117" s="2879" t="s">
        <v>11855</v>
      </c>
      <c r="E117" s="3161" t="s">
        <v>12872</v>
      </c>
      <c r="F117" s="3022"/>
      <c r="G117" s="2933" t="s">
        <v>11432</v>
      </c>
      <c r="H117" s="3049"/>
      <c r="I117" s="2195">
        <v>44325</v>
      </c>
      <c r="J117" s="2883" t="s">
        <v>12871</v>
      </c>
      <c r="K117" s="2985">
        <v>0.35416666666666669</v>
      </c>
      <c r="L117" s="2999">
        <v>0.43402777777777773</v>
      </c>
      <c r="M117" s="3023">
        <v>765</v>
      </c>
      <c r="N117" s="3022" t="s">
        <v>12874</v>
      </c>
      <c r="O117" s="3163" t="s">
        <v>4894</v>
      </c>
      <c r="P117" s="3022" t="s">
        <v>12323</v>
      </c>
      <c r="Q117" s="3022" t="s">
        <v>12404</v>
      </c>
      <c r="R117" s="3027"/>
      <c r="S117" s="3031"/>
      <c r="T117" s="3057"/>
      <c r="U117" s="2989"/>
      <c r="W117" s="2901"/>
      <c r="X117" s="2862"/>
    </row>
    <row r="118" spans="1:24" s="1592" customFormat="1" ht="43.5" hidden="1" x14ac:dyDescent="0.35">
      <c r="A118" s="3047">
        <v>44322</v>
      </c>
      <c r="B118" s="3112">
        <v>7</v>
      </c>
      <c r="C118" s="3048" t="s">
        <v>13019</v>
      </c>
      <c r="D118" s="3044" t="s">
        <v>13020</v>
      </c>
      <c r="E118" s="3025" t="s">
        <v>13021</v>
      </c>
      <c r="F118" s="3025"/>
      <c r="G118" s="3050" t="s">
        <v>11432</v>
      </c>
      <c r="H118" s="3049"/>
      <c r="I118" s="3047">
        <v>44325</v>
      </c>
      <c r="J118" s="3046" t="s">
        <v>13022</v>
      </c>
      <c r="K118" s="3128">
        <v>0.35416666666666669</v>
      </c>
      <c r="L118" s="3125">
        <v>0.48472222222222222</v>
      </c>
      <c r="M118" s="3111">
        <v>465</v>
      </c>
      <c r="N118" s="3025" t="s">
        <v>257</v>
      </c>
      <c r="O118" s="3045" t="s">
        <v>4894</v>
      </c>
      <c r="P118" s="3025" t="s">
        <v>821</v>
      </c>
      <c r="Q118" s="3025" t="s">
        <v>12425</v>
      </c>
      <c r="R118" s="3027"/>
      <c r="S118" s="3109"/>
      <c r="T118" s="3110"/>
      <c r="U118" s="2991"/>
      <c r="W118" s="2901"/>
      <c r="X118" s="2862"/>
    </row>
    <row r="119" spans="1:24" s="1592" customFormat="1" ht="232" hidden="1" x14ac:dyDescent="0.35">
      <c r="A119" s="3047">
        <v>44322</v>
      </c>
      <c r="B119" s="3112">
        <v>6</v>
      </c>
      <c r="C119" s="3048" t="s">
        <v>12969</v>
      </c>
      <c r="D119" s="3044" t="s">
        <v>12552</v>
      </c>
      <c r="E119" s="3025" t="s">
        <v>13123</v>
      </c>
      <c r="F119" s="3025"/>
      <c r="G119" s="3050" t="s">
        <v>11478</v>
      </c>
      <c r="H119" s="3049"/>
      <c r="I119" s="3047">
        <v>44325</v>
      </c>
      <c r="J119" s="2948" t="s">
        <v>12970</v>
      </c>
      <c r="K119" s="3128">
        <v>0.35416666666666669</v>
      </c>
      <c r="L119" s="3119">
        <v>0.46388888888888885</v>
      </c>
      <c r="M119" s="3111">
        <v>1188</v>
      </c>
      <c r="N119" s="3025" t="s">
        <v>257</v>
      </c>
      <c r="O119" s="3045" t="s">
        <v>4894</v>
      </c>
      <c r="P119" s="3025" t="s">
        <v>1960</v>
      </c>
      <c r="Q119" s="3026" t="s">
        <v>12411</v>
      </c>
      <c r="R119" s="3027"/>
      <c r="S119" s="3109"/>
      <c r="T119" s="3110"/>
      <c r="U119" s="2991"/>
      <c r="W119" s="2901"/>
      <c r="X119" s="2862"/>
    </row>
    <row r="120" spans="1:24" s="1592" customFormat="1" ht="43.5" hidden="1" x14ac:dyDescent="0.35">
      <c r="A120" s="2486">
        <v>44321</v>
      </c>
      <c r="B120" s="3036">
        <v>14</v>
      </c>
      <c r="C120" s="5" t="s">
        <v>12883</v>
      </c>
      <c r="D120" s="3032" t="s">
        <v>12884</v>
      </c>
      <c r="E120" s="2725" t="s">
        <v>12882</v>
      </c>
      <c r="F120" s="3029"/>
      <c r="G120" s="3040" t="s">
        <v>11442</v>
      </c>
      <c r="H120" s="3041"/>
      <c r="I120" s="2486">
        <v>44325</v>
      </c>
      <c r="J120" s="2722" t="s">
        <v>12885</v>
      </c>
      <c r="K120" s="6">
        <v>0.35486111111111113</v>
      </c>
      <c r="L120" s="3119">
        <v>0.39652777777777781</v>
      </c>
      <c r="M120" s="3039">
        <v>183</v>
      </c>
      <c r="N120" s="3016" t="s">
        <v>8625</v>
      </c>
      <c r="O120" s="3037" t="s">
        <v>140</v>
      </c>
      <c r="P120" s="3016" t="s">
        <v>12323</v>
      </c>
      <c r="Q120" s="3016" t="s">
        <v>12890</v>
      </c>
      <c r="R120" s="3027"/>
      <c r="S120" s="3031"/>
      <c r="T120" s="3057"/>
      <c r="U120" s="2989"/>
      <c r="W120" s="2901"/>
      <c r="X120" s="2862"/>
    </row>
    <row r="121" spans="1:24" s="1592" customFormat="1" ht="58" hidden="1" x14ac:dyDescent="0.35">
      <c r="A121" s="3047">
        <v>44321</v>
      </c>
      <c r="B121" s="3112">
        <v>3</v>
      </c>
      <c r="C121" s="3026" t="s">
        <v>11878</v>
      </c>
      <c r="D121" s="3044" t="s">
        <v>11879</v>
      </c>
      <c r="E121" s="3048" t="s">
        <v>12813</v>
      </c>
      <c r="F121" s="3025"/>
      <c r="G121" s="3050" t="s">
        <v>11432</v>
      </c>
      <c r="H121" s="3049"/>
      <c r="I121" s="3047">
        <v>44325</v>
      </c>
      <c r="J121" s="3046" t="s">
        <v>12814</v>
      </c>
      <c r="K121" s="3128">
        <v>0.35416666666666669</v>
      </c>
      <c r="L121" s="3118">
        <v>0.3888888888888889</v>
      </c>
      <c r="M121" s="3111">
        <v>465</v>
      </c>
      <c r="N121" s="3025" t="s">
        <v>8625</v>
      </c>
      <c r="O121" s="3045" t="s">
        <v>4894</v>
      </c>
      <c r="P121" s="3025" t="s">
        <v>12323</v>
      </c>
      <c r="Q121" s="3025" t="s">
        <v>12815</v>
      </c>
      <c r="R121" s="3027"/>
      <c r="S121" s="3109"/>
      <c r="T121" s="3110"/>
      <c r="U121" s="2989"/>
      <c r="W121" s="2901"/>
      <c r="X121" s="2862"/>
    </row>
    <row r="122" spans="1:24" s="1592" customFormat="1" ht="29" hidden="1" x14ac:dyDescent="0.35">
      <c r="A122" s="2486">
        <v>44324</v>
      </c>
      <c r="B122" s="3107">
        <v>16.5</v>
      </c>
      <c r="C122" s="3024" t="s">
        <v>13223</v>
      </c>
      <c r="D122" s="3033" t="s">
        <v>13224</v>
      </c>
      <c r="E122" s="3015" t="s">
        <v>13225</v>
      </c>
      <c r="F122" s="2959"/>
      <c r="G122" s="2971"/>
      <c r="H122" s="3041"/>
      <c r="I122" s="3021">
        <v>44325</v>
      </c>
      <c r="J122" s="3034" t="s">
        <v>13226</v>
      </c>
      <c r="K122" s="3122">
        <v>0.35486111111111113</v>
      </c>
      <c r="L122" s="3147">
        <v>0.45833333333333331</v>
      </c>
      <c r="M122" s="3150">
        <v>331</v>
      </c>
      <c r="N122" s="3015" t="s">
        <v>392</v>
      </c>
      <c r="O122" s="3030" t="s">
        <v>140</v>
      </c>
      <c r="P122" s="3015" t="s">
        <v>22</v>
      </c>
      <c r="Q122" s="3015" t="s">
        <v>11183</v>
      </c>
      <c r="R122" s="3027"/>
      <c r="S122" s="3109"/>
      <c r="T122" s="3110"/>
      <c r="U122" s="2991"/>
      <c r="W122" s="2901"/>
      <c r="X122" s="2862"/>
    </row>
    <row r="123" spans="1:24" s="1592" customFormat="1" ht="72.5" hidden="1" x14ac:dyDescent="0.35">
      <c r="A123" s="2486">
        <v>44324</v>
      </c>
      <c r="B123" s="3107">
        <v>9</v>
      </c>
      <c r="C123" s="5" t="s">
        <v>13181</v>
      </c>
      <c r="D123" s="3032" t="s">
        <v>12158</v>
      </c>
      <c r="E123" s="5" t="s">
        <v>13182</v>
      </c>
      <c r="F123" s="3029"/>
      <c r="G123" s="3040" t="s">
        <v>14356</v>
      </c>
      <c r="H123" s="3041"/>
      <c r="I123" s="2486">
        <v>44325</v>
      </c>
      <c r="J123" s="2722" t="s">
        <v>13183</v>
      </c>
      <c r="K123" s="6">
        <v>0.35416666666666669</v>
      </c>
      <c r="L123" s="3117">
        <v>0.53611111111111109</v>
      </c>
      <c r="M123" s="3111">
        <v>235</v>
      </c>
      <c r="N123" s="3016" t="s">
        <v>11311</v>
      </c>
      <c r="O123" s="3037" t="s">
        <v>4894</v>
      </c>
      <c r="P123" s="3016" t="s">
        <v>821</v>
      </c>
      <c r="Q123" s="3016" t="s">
        <v>13184</v>
      </c>
      <c r="R123" s="3027"/>
      <c r="S123" s="3109"/>
      <c r="T123" s="3110"/>
      <c r="U123" s="2989"/>
      <c r="W123" s="2901"/>
      <c r="X123" s="2862"/>
    </row>
    <row r="124" spans="1:24" s="1592" customFormat="1" ht="43.5" hidden="1" x14ac:dyDescent="0.35">
      <c r="A124" s="2486">
        <v>44324</v>
      </c>
      <c r="B124" s="3107">
        <v>15</v>
      </c>
      <c r="C124" s="5" t="s">
        <v>13165</v>
      </c>
      <c r="D124" s="2964" t="s">
        <v>13167</v>
      </c>
      <c r="E124" s="2725" t="s">
        <v>13166</v>
      </c>
      <c r="F124" s="2959"/>
      <c r="G124" s="2971" t="s">
        <v>11420</v>
      </c>
      <c r="H124" s="2973"/>
      <c r="I124" s="2486">
        <v>44325</v>
      </c>
      <c r="J124" s="2722" t="s">
        <v>13168</v>
      </c>
      <c r="K124" s="3122">
        <v>0.35486111111111113</v>
      </c>
      <c r="L124" s="3117">
        <v>0.41250000000000003</v>
      </c>
      <c r="M124" s="3111">
        <v>183</v>
      </c>
      <c r="N124" s="2955" t="s">
        <v>392</v>
      </c>
      <c r="O124" s="2965" t="s">
        <v>140</v>
      </c>
      <c r="P124" s="2955" t="s">
        <v>821</v>
      </c>
      <c r="Q124" s="2955" t="s">
        <v>13169</v>
      </c>
      <c r="R124" s="3027"/>
      <c r="S124" s="3109"/>
      <c r="T124" s="3110"/>
      <c r="U124" s="2989"/>
      <c r="W124" s="2901"/>
      <c r="X124" s="2862"/>
    </row>
    <row r="125" spans="1:24" s="1592" customFormat="1" ht="203" hidden="1" x14ac:dyDescent="0.35">
      <c r="A125" s="3047">
        <v>44308</v>
      </c>
      <c r="B125" s="2953">
        <v>10</v>
      </c>
      <c r="C125" s="3048" t="s">
        <v>1991</v>
      </c>
      <c r="D125" s="3044" t="s">
        <v>12484</v>
      </c>
      <c r="E125" s="3048" t="s">
        <v>12566</v>
      </c>
      <c r="F125" s="3025"/>
      <c r="G125" s="3050" t="s">
        <v>11432</v>
      </c>
      <c r="H125" s="3049"/>
      <c r="I125" s="3047">
        <v>44325</v>
      </c>
      <c r="J125" s="3046" t="s">
        <v>12567</v>
      </c>
      <c r="K125" s="3128">
        <v>0.35416666666666669</v>
      </c>
      <c r="L125" s="3119">
        <v>0.55694444444444446</v>
      </c>
      <c r="M125" s="3039">
        <v>615</v>
      </c>
      <c r="N125" s="3025" t="s">
        <v>2767</v>
      </c>
      <c r="O125" s="3025" t="s">
        <v>4894</v>
      </c>
      <c r="P125" s="3025" t="s">
        <v>1960</v>
      </c>
      <c r="Q125" s="3025" t="s">
        <v>12515</v>
      </c>
      <c r="R125" s="3027"/>
      <c r="S125" s="3031"/>
      <c r="T125" s="3057"/>
      <c r="U125" s="2989"/>
      <c r="W125" s="2901"/>
      <c r="X125" s="2862"/>
    </row>
    <row r="126" spans="1:24" s="1592" customFormat="1" ht="72.5" hidden="1" x14ac:dyDescent="0.35">
      <c r="A126" s="3047">
        <v>44322</v>
      </c>
      <c r="B126" s="3112">
        <v>17</v>
      </c>
      <c r="C126" s="3048" t="s">
        <v>12955</v>
      </c>
      <c r="D126" s="3044" t="s">
        <v>12956</v>
      </c>
      <c r="E126" s="3025" t="s">
        <v>12958</v>
      </c>
      <c r="F126" s="3025"/>
      <c r="G126" s="3050" t="s">
        <v>11432</v>
      </c>
      <c r="H126" s="3049"/>
      <c r="I126" s="3047">
        <v>44325</v>
      </c>
      <c r="J126" s="3046" t="s">
        <v>12957</v>
      </c>
      <c r="K126" s="3128">
        <v>0.35486111111111113</v>
      </c>
      <c r="L126" s="3119">
        <v>0.46666666666666662</v>
      </c>
      <c r="M126" s="3111">
        <f>815-165</f>
        <v>650</v>
      </c>
      <c r="N126" s="3025" t="s">
        <v>257</v>
      </c>
      <c r="O126" s="3045" t="s">
        <v>140</v>
      </c>
      <c r="P126" s="3025" t="s">
        <v>17</v>
      </c>
      <c r="Q126" s="3025" t="s">
        <v>12471</v>
      </c>
      <c r="R126" s="3027"/>
      <c r="S126" s="3109"/>
      <c r="T126" s="3110"/>
      <c r="U126" s="2989"/>
      <c r="W126" s="2901"/>
      <c r="X126" s="2862"/>
    </row>
    <row r="127" spans="1:24" s="1592" customFormat="1" ht="29" hidden="1" x14ac:dyDescent="0.35">
      <c r="A127" s="2486">
        <v>44320</v>
      </c>
      <c r="B127" s="3107">
        <v>16</v>
      </c>
      <c r="C127" s="2725" t="s">
        <v>12790</v>
      </c>
      <c r="D127" s="3032" t="s">
        <v>12791</v>
      </c>
      <c r="E127" s="3016" t="s">
        <v>12792</v>
      </c>
      <c r="F127" s="2959"/>
      <c r="G127" s="2971" t="s">
        <v>11444</v>
      </c>
      <c r="H127" s="3041"/>
      <c r="I127" s="2486">
        <v>44325</v>
      </c>
      <c r="J127" s="3034" t="s">
        <v>12789</v>
      </c>
      <c r="K127" s="6">
        <v>0.35486111111111113</v>
      </c>
      <c r="L127" s="3119">
        <v>0.4368055555555555</v>
      </c>
      <c r="M127" s="3039">
        <v>215</v>
      </c>
      <c r="N127" s="3016" t="s">
        <v>257</v>
      </c>
      <c r="O127" s="3037" t="s">
        <v>140</v>
      </c>
      <c r="P127" s="3016" t="s">
        <v>17</v>
      </c>
      <c r="Q127" s="3016" t="s">
        <v>12795</v>
      </c>
      <c r="R127" s="3027"/>
      <c r="S127" s="3109"/>
      <c r="T127" s="3110"/>
      <c r="U127" s="2989"/>
      <c r="W127" s="2901"/>
      <c r="X127" s="2862"/>
    </row>
    <row r="128" spans="1:24" s="1592" customFormat="1" ht="43.5" hidden="1" x14ac:dyDescent="0.35">
      <c r="A128" s="3047">
        <v>44323</v>
      </c>
      <c r="B128" s="3112">
        <v>13</v>
      </c>
      <c r="C128" s="3026" t="s">
        <v>11231</v>
      </c>
      <c r="D128" s="3044" t="s">
        <v>11981</v>
      </c>
      <c r="E128" s="3048" t="s">
        <v>13114</v>
      </c>
      <c r="F128" s="3025"/>
      <c r="G128" s="3050" t="s">
        <v>11432</v>
      </c>
      <c r="H128" s="3049"/>
      <c r="I128" s="3047">
        <v>44325</v>
      </c>
      <c r="J128" s="3046" t="s">
        <v>13115</v>
      </c>
      <c r="K128" s="3128">
        <v>0.35486111111111113</v>
      </c>
      <c r="L128" s="3118">
        <v>0.37916666666666665</v>
      </c>
      <c r="M128" s="3111">
        <v>465</v>
      </c>
      <c r="N128" s="3025" t="s">
        <v>257</v>
      </c>
      <c r="O128" s="3045" t="s">
        <v>140</v>
      </c>
      <c r="P128" s="3025" t="s">
        <v>216</v>
      </c>
      <c r="Q128" s="3025" t="s">
        <v>12403</v>
      </c>
      <c r="R128" s="3027"/>
      <c r="S128" s="3109"/>
      <c r="T128" s="3110"/>
      <c r="U128" s="2991"/>
      <c r="W128" s="2901"/>
      <c r="X128" s="2862"/>
    </row>
    <row r="129" spans="1:24" s="1592" customFormat="1" ht="187" hidden="1" x14ac:dyDescent="0.35">
      <c r="A129" s="2486">
        <v>44320</v>
      </c>
      <c r="B129" s="3107">
        <v>18</v>
      </c>
      <c r="C129" s="2725" t="s">
        <v>12796</v>
      </c>
      <c r="D129" s="3032" t="s">
        <v>12288</v>
      </c>
      <c r="E129" s="3016" t="s">
        <v>12797</v>
      </c>
      <c r="F129" s="2959"/>
      <c r="G129" s="2971" t="s">
        <v>12798</v>
      </c>
      <c r="H129" s="3041"/>
      <c r="I129" s="2486">
        <v>44325</v>
      </c>
      <c r="J129" s="3034" t="s">
        <v>12799</v>
      </c>
      <c r="K129" s="6">
        <v>0.35486111111111113</v>
      </c>
      <c r="L129" s="3117">
        <v>0.51180555555555551</v>
      </c>
      <c r="M129" s="3111">
        <v>721</v>
      </c>
      <c r="N129" s="3016" t="s">
        <v>257</v>
      </c>
      <c r="O129" s="3037" t="s">
        <v>140</v>
      </c>
      <c r="P129" s="3016" t="s">
        <v>17</v>
      </c>
      <c r="Q129" s="3016" t="s">
        <v>12804</v>
      </c>
      <c r="R129" s="3027"/>
      <c r="S129" s="3109"/>
      <c r="T129" s="3110"/>
      <c r="U129" s="2989"/>
      <c r="W129" s="2901"/>
      <c r="X129" s="2862"/>
    </row>
    <row r="130" spans="1:24" s="1592" customFormat="1" ht="29" hidden="1" x14ac:dyDescent="0.35">
      <c r="A130" s="2486">
        <v>44323</v>
      </c>
      <c r="B130" s="3107">
        <v>20</v>
      </c>
      <c r="C130" s="5" t="s">
        <v>13126</v>
      </c>
      <c r="D130" s="3032" t="s">
        <v>12009</v>
      </c>
      <c r="E130" s="2725" t="s">
        <v>13127</v>
      </c>
      <c r="F130" s="2959"/>
      <c r="G130" s="2971" t="s">
        <v>14304</v>
      </c>
      <c r="H130" s="3041"/>
      <c r="I130" s="2486">
        <v>44325</v>
      </c>
      <c r="J130" s="3046" t="s">
        <v>5494</v>
      </c>
      <c r="K130" s="6">
        <v>0.41666666666666669</v>
      </c>
      <c r="L130" s="3117">
        <v>0.41666666666666669</v>
      </c>
      <c r="M130" s="3111">
        <v>19</v>
      </c>
      <c r="N130" s="3016" t="s">
        <v>257</v>
      </c>
      <c r="O130" s="3037" t="s">
        <v>15</v>
      </c>
      <c r="P130" s="3016" t="s">
        <v>216</v>
      </c>
      <c r="Q130" s="3016" t="s">
        <v>12414</v>
      </c>
      <c r="R130" s="3027"/>
      <c r="S130" s="3109"/>
      <c r="T130" s="3110"/>
      <c r="U130" s="2989"/>
      <c r="W130" s="2901"/>
      <c r="X130" s="2862"/>
    </row>
    <row r="131" spans="1:24" s="1592" customFormat="1" ht="29" hidden="1" x14ac:dyDescent="0.35">
      <c r="A131" s="2486">
        <v>44324</v>
      </c>
      <c r="B131" s="3107">
        <v>21</v>
      </c>
      <c r="C131" s="5" t="s">
        <v>13176</v>
      </c>
      <c r="D131" s="3032" t="s">
        <v>13175</v>
      </c>
      <c r="E131" s="2725" t="s">
        <v>13174</v>
      </c>
      <c r="F131" s="2959"/>
      <c r="G131" s="2971" t="s">
        <v>13177</v>
      </c>
      <c r="H131" s="3041"/>
      <c r="I131" s="2486">
        <v>44325</v>
      </c>
      <c r="J131" s="3046" t="s">
        <v>11899</v>
      </c>
      <c r="K131" s="3122">
        <v>0.41666666666666669</v>
      </c>
      <c r="L131" s="3117">
        <v>0.41666666666666669</v>
      </c>
      <c r="M131" s="3111">
        <f>1.4*100+1.4*120</f>
        <v>308</v>
      </c>
      <c r="N131" s="3016" t="s">
        <v>11285</v>
      </c>
      <c r="O131" s="3037" t="s">
        <v>15</v>
      </c>
      <c r="P131" s="3016" t="s">
        <v>1031</v>
      </c>
      <c r="Q131" s="3016" t="s">
        <v>12402</v>
      </c>
      <c r="R131" s="3027"/>
      <c r="S131" s="3109"/>
      <c r="T131" s="3110"/>
      <c r="U131" s="2991"/>
      <c r="W131" s="2901"/>
      <c r="X131" s="2862"/>
    </row>
    <row r="132" spans="1:24" s="1592" customFormat="1" ht="29" hidden="1" x14ac:dyDescent="0.35">
      <c r="A132" s="2486">
        <v>44321</v>
      </c>
      <c r="B132" s="3036">
        <v>22</v>
      </c>
      <c r="C132" s="5" t="s">
        <v>12850</v>
      </c>
      <c r="D132" s="3032" t="s">
        <v>12622</v>
      </c>
      <c r="E132" s="2725" t="s">
        <v>12851</v>
      </c>
      <c r="F132" s="3029"/>
      <c r="G132" s="3040" t="s">
        <v>11872</v>
      </c>
      <c r="H132" s="3041"/>
      <c r="I132" s="2486">
        <v>44325</v>
      </c>
      <c r="J132" s="3046" t="s">
        <v>5494</v>
      </c>
      <c r="K132" s="6">
        <v>0.41666666666666669</v>
      </c>
      <c r="L132" s="3117">
        <v>0.41666666666666669</v>
      </c>
      <c r="M132" s="3039">
        <v>176</v>
      </c>
      <c r="N132" s="3016" t="s">
        <v>257</v>
      </c>
      <c r="O132" s="3037" t="s">
        <v>15</v>
      </c>
      <c r="P132" s="3016" t="s">
        <v>12323</v>
      </c>
      <c r="Q132" s="3016" t="s">
        <v>12471</v>
      </c>
      <c r="R132" s="3027"/>
      <c r="S132" s="3031"/>
      <c r="T132" s="3057"/>
      <c r="U132" s="2989"/>
      <c r="W132" s="2901"/>
      <c r="X132" s="2862"/>
    </row>
    <row r="133" spans="1:24" s="1592" customFormat="1" ht="29" hidden="1" x14ac:dyDescent="0.35">
      <c r="A133" s="2486">
        <v>44324</v>
      </c>
      <c r="B133" s="3107">
        <v>23</v>
      </c>
      <c r="C133" s="5" t="s">
        <v>13189</v>
      </c>
      <c r="D133" s="3032" t="s">
        <v>13190</v>
      </c>
      <c r="E133" s="5" t="s">
        <v>13191</v>
      </c>
      <c r="F133" s="2959"/>
      <c r="G133" s="2971" t="s">
        <v>11440</v>
      </c>
      <c r="H133" s="3041"/>
      <c r="I133" s="2486">
        <v>44325</v>
      </c>
      <c r="J133" s="3046" t="s">
        <v>11899</v>
      </c>
      <c r="K133" s="6">
        <v>0.41666666666666669</v>
      </c>
      <c r="L133" s="3149">
        <v>0.41666666666666669</v>
      </c>
      <c r="M133" s="3111">
        <f>120*1.4</f>
        <v>168</v>
      </c>
      <c r="N133" s="3016" t="s">
        <v>392</v>
      </c>
      <c r="O133" s="3037" t="s">
        <v>15</v>
      </c>
      <c r="P133" s="3016" t="s">
        <v>821</v>
      </c>
      <c r="Q133" s="3016" t="s">
        <v>5367</v>
      </c>
      <c r="R133" s="3027"/>
      <c r="S133" s="3109"/>
      <c r="T133" s="3110"/>
      <c r="U133" s="2989"/>
      <c r="W133" s="2901"/>
      <c r="X133" s="2862"/>
    </row>
    <row r="134" spans="1:24" s="1592" customFormat="1" ht="104.5" hidden="1" x14ac:dyDescent="0.35">
      <c r="A134" s="2486">
        <v>44325</v>
      </c>
      <c r="B134" s="3036">
        <v>1</v>
      </c>
      <c r="C134" s="5" t="s">
        <v>13282</v>
      </c>
      <c r="D134" s="3032" t="s">
        <v>12597</v>
      </c>
      <c r="E134" s="2725" t="s">
        <v>13265</v>
      </c>
      <c r="F134" s="3029"/>
      <c r="G134" s="2971" t="s">
        <v>13266</v>
      </c>
      <c r="H134" s="3041"/>
      <c r="I134" s="2486">
        <v>44326</v>
      </c>
      <c r="J134" s="2722" t="s">
        <v>13267</v>
      </c>
      <c r="K134" s="3122">
        <v>0.33333333333333331</v>
      </c>
      <c r="L134" s="3157" t="s">
        <v>13268</v>
      </c>
      <c r="M134" s="3020">
        <v>139</v>
      </c>
      <c r="N134" s="3016" t="s">
        <v>257</v>
      </c>
      <c r="O134" s="3037" t="s">
        <v>10475</v>
      </c>
      <c r="P134" s="3016" t="s">
        <v>1960</v>
      </c>
      <c r="Q134" s="3015" t="s">
        <v>13269</v>
      </c>
      <c r="R134" s="3027"/>
      <c r="S134" s="3031"/>
      <c r="T134" s="3057"/>
      <c r="U134" s="2989"/>
      <c r="W134" s="2901"/>
      <c r="X134" s="2862"/>
    </row>
    <row r="135" spans="1:24" s="1592" customFormat="1" ht="58" hidden="1" x14ac:dyDescent="0.35">
      <c r="A135" s="2486">
        <v>44326</v>
      </c>
      <c r="B135" s="3107"/>
      <c r="C135" s="5" t="s">
        <v>13339</v>
      </c>
      <c r="D135" s="3131"/>
      <c r="E135" s="2725" t="s">
        <v>13332</v>
      </c>
      <c r="F135" s="3029"/>
      <c r="G135" s="3040" t="s">
        <v>13334</v>
      </c>
      <c r="H135" s="3041"/>
      <c r="I135" s="2486">
        <v>44326</v>
      </c>
      <c r="J135" s="3046" t="s">
        <v>6032</v>
      </c>
      <c r="K135" s="3122" t="s">
        <v>15</v>
      </c>
      <c r="L135" s="3149" t="s">
        <v>972</v>
      </c>
      <c r="M135" s="3108">
        <v>234</v>
      </c>
      <c r="N135" s="3227" t="s">
        <v>13333</v>
      </c>
      <c r="O135" s="3037" t="s">
        <v>15</v>
      </c>
      <c r="P135" s="3016" t="s">
        <v>12317</v>
      </c>
      <c r="Q135" s="3016" t="s">
        <v>11183</v>
      </c>
      <c r="R135" s="3027"/>
      <c r="S135" s="3109"/>
      <c r="T135" s="3110"/>
      <c r="U135" s="2991"/>
      <c r="W135" s="2901"/>
      <c r="X135" s="2862"/>
    </row>
    <row r="136" spans="1:24" s="1592" customFormat="1" ht="29" hidden="1" x14ac:dyDescent="0.35">
      <c r="A136" s="2486">
        <v>44326</v>
      </c>
      <c r="B136" s="3107"/>
      <c r="C136" s="5" t="s">
        <v>13319</v>
      </c>
      <c r="D136" s="3131"/>
      <c r="E136" s="2725" t="s">
        <v>13317</v>
      </c>
      <c r="F136" s="3029"/>
      <c r="G136" s="3040" t="s">
        <v>11869</v>
      </c>
      <c r="H136" s="3041"/>
      <c r="I136" s="2486">
        <v>44326</v>
      </c>
      <c r="J136" s="3046" t="s">
        <v>13017</v>
      </c>
      <c r="K136" s="3122" t="s">
        <v>15</v>
      </c>
      <c r="L136" s="3149" t="s">
        <v>972</v>
      </c>
      <c r="M136" s="3108">
        <v>270</v>
      </c>
      <c r="N136" s="3227" t="s">
        <v>13318</v>
      </c>
      <c r="O136" s="3037" t="s">
        <v>15</v>
      </c>
      <c r="P136" s="3016" t="s">
        <v>10475</v>
      </c>
      <c r="Q136" s="3016" t="s">
        <v>11183</v>
      </c>
      <c r="R136" s="3027"/>
      <c r="S136" s="3109"/>
      <c r="T136" s="3110"/>
      <c r="U136" s="2989"/>
      <c r="W136" s="2901"/>
      <c r="X136" s="2862"/>
    </row>
    <row r="137" spans="1:24" s="1592" customFormat="1" ht="406" hidden="1" x14ac:dyDescent="0.35">
      <c r="A137" s="2486">
        <v>44325</v>
      </c>
      <c r="B137" s="3036">
        <v>2</v>
      </c>
      <c r="C137" s="5" t="s">
        <v>13276</v>
      </c>
      <c r="D137" s="3032"/>
      <c r="E137" s="2725" t="s">
        <v>13281</v>
      </c>
      <c r="F137" s="3029"/>
      <c r="G137" s="3040" t="s">
        <v>14357</v>
      </c>
      <c r="H137" s="3041"/>
      <c r="I137" s="2486">
        <v>44326</v>
      </c>
      <c r="J137" s="2722" t="s">
        <v>13277</v>
      </c>
      <c r="K137" s="3122">
        <v>0.375</v>
      </c>
      <c r="L137" s="3157">
        <v>0.39583333333333331</v>
      </c>
      <c r="M137" s="3039">
        <v>0</v>
      </c>
      <c r="N137" s="3016" t="s">
        <v>5716</v>
      </c>
      <c r="O137" s="3037" t="s">
        <v>10475</v>
      </c>
      <c r="P137" s="3016" t="s">
        <v>12317</v>
      </c>
      <c r="Q137" s="3016" t="s">
        <v>13278</v>
      </c>
      <c r="R137" s="3027"/>
      <c r="S137" s="3031"/>
      <c r="T137" s="3057"/>
      <c r="U137" s="2989"/>
      <c r="W137" s="2901"/>
      <c r="X137" s="2862"/>
    </row>
    <row r="138" spans="1:24" s="1592" customFormat="1" ht="87" hidden="1" x14ac:dyDescent="0.35">
      <c r="A138" s="2486">
        <v>44325</v>
      </c>
      <c r="B138" s="3036">
        <v>7</v>
      </c>
      <c r="C138" s="5" t="s">
        <v>11992</v>
      </c>
      <c r="D138" s="3032" t="s">
        <v>13261</v>
      </c>
      <c r="E138" s="2725" t="s">
        <v>13262</v>
      </c>
      <c r="F138" s="3029"/>
      <c r="G138" s="3040" t="s">
        <v>11423</v>
      </c>
      <c r="H138" s="3041"/>
      <c r="I138" s="2486">
        <v>44326</v>
      </c>
      <c r="J138" s="2722" t="s">
        <v>13263</v>
      </c>
      <c r="K138" s="3122">
        <v>0.41666666666666669</v>
      </c>
      <c r="L138" s="3149">
        <v>0.50555555555555554</v>
      </c>
      <c r="M138" s="3039">
        <v>0</v>
      </c>
      <c r="N138" s="3016" t="s">
        <v>298</v>
      </c>
      <c r="O138" s="3037" t="s">
        <v>7067</v>
      </c>
      <c r="P138" s="3016" t="s">
        <v>1960</v>
      </c>
      <c r="Q138" s="3015" t="s">
        <v>13264</v>
      </c>
      <c r="R138" s="3027"/>
      <c r="S138" s="3031"/>
      <c r="T138" s="3057"/>
      <c r="U138" s="2991"/>
      <c r="W138" s="2901"/>
      <c r="X138" s="2862"/>
    </row>
    <row r="139" spans="1:24" s="1592" customFormat="1" ht="72.5" hidden="1" x14ac:dyDescent="0.35">
      <c r="A139" s="2486">
        <v>44324</v>
      </c>
      <c r="B139" s="3107">
        <v>9</v>
      </c>
      <c r="C139" s="5" t="s">
        <v>13153</v>
      </c>
      <c r="D139" s="3032" t="s">
        <v>13154</v>
      </c>
      <c r="E139" s="2725" t="s">
        <v>13155</v>
      </c>
      <c r="F139" s="3029"/>
      <c r="G139" s="3040" t="s">
        <v>14316</v>
      </c>
      <c r="H139" s="3041"/>
      <c r="I139" s="2486">
        <v>44326</v>
      </c>
      <c r="J139" s="2722" t="s">
        <v>13156</v>
      </c>
      <c r="K139" s="3122">
        <v>0.41666666666666669</v>
      </c>
      <c r="L139" s="3117">
        <v>0.55069444444444449</v>
      </c>
      <c r="M139" s="3111">
        <v>159</v>
      </c>
      <c r="N139" s="3016" t="s">
        <v>11311</v>
      </c>
      <c r="O139" s="3037" t="s">
        <v>7067</v>
      </c>
      <c r="P139" s="3016" t="s">
        <v>821</v>
      </c>
      <c r="Q139" s="3016" t="s">
        <v>13157</v>
      </c>
      <c r="R139" s="3027"/>
      <c r="S139" s="3109"/>
      <c r="T139" s="3110"/>
      <c r="U139" s="2989"/>
      <c r="W139" s="2901"/>
      <c r="X139" s="2862"/>
    </row>
    <row r="140" spans="1:24" s="1592" customFormat="1" ht="87" hidden="1" x14ac:dyDescent="0.35">
      <c r="A140" s="3021">
        <v>44324</v>
      </c>
      <c r="B140" s="3107">
        <v>12</v>
      </c>
      <c r="C140" s="3015" t="s">
        <v>821</v>
      </c>
      <c r="D140" s="3032" t="s">
        <v>13220</v>
      </c>
      <c r="E140" s="3015" t="s">
        <v>13221</v>
      </c>
      <c r="F140" s="3029"/>
      <c r="G140" s="3040" t="s">
        <v>13279</v>
      </c>
      <c r="H140" s="3041"/>
      <c r="I140" s="3021">
        <v>44326</v>
      </c>
      <c r="J140" s="3034" t="s">
        <v>13222</v>
      </c>
      <c r="K140" s="3122">
        <v>0.41666666666666669</v>
      </c>
      <c r="L140" s="3157">
        <v>0.63055555555555554</v>
      </c>
      <c r="M140" s="3111">
        <v>0</v>
      </c>
      <c r="N140" s="3016" t="s">
        <v>298</v>
      </c>
      <c r="O140" s="3037" t="s">
        <v>7067</v>
      </c>
      <c r="P140" s="3016" t="s">
        <v>17</v>
      </c>
      <c r="Q140" s="3016" t="s">
        <v>10908</v>
      </c>
      <c r="R140" s="3027"/>
      <c r="S140" s="3109"/>
      <c r="T140" s="3110"/>
      <c r="U140" s="2989"/>
      <c r="W140" s="2901"/>
      <c r="X140" s="2862"/>
    </row>
    <row r="141" spans="1:24" s="1592" customFormat="1" ht="29" hidden="1" x14ac:dyDescent="0.35">
      <c r="A141" s="2486">
        <v>44325</v>
      </c>
      <c r="B141" s="3036">
        <v>11</v>
      </c>
      <c r="C141" s="5" t="s">
        <v>13270</v>
      </c>
      <c r="D141" s="3032" t="s">
        <v>13271</v>
      </c>
      <c r="E141" s="2725" t="s">
        <v>13272</v>
      </c>
      <c r="F141" s="3029"/>
      <c r="G141" s="3040" t="s">
        <v>11423</v>
      </c>
      <c r="H141" s="3041"/>
      <c r="I141" s="2486">
        <v>44326</v>
      </c>
      <c r="J141" s="2722" t="s">
        <v>13273</v>
      </c>
      <c r="K141" s="3122">
        <v>0.41666666666666669</v>
      </c>
      <c r="L141" s="3149">
        <v>0.59444444444444444</v>
      </c>
      <c r="M141" s="3039">
        <v>0</v>
      </c>
      <c r="N141" s="3016" t="s">
        <v>298</v>
      </c>
      <c r="O141" s="3037" t="s">
        <v>7067</v>
      </c>
      <c r="P141" s="3016" t="s">
        <v>1960</v>
      </c>
      <c r="Q141" s="3015" t="s">
        <v>13274</v>
      </c>
      <c r="R141" s="3027"/>
      <c r="S141" s="3031"/>
      <c r="T141" s="3057"/>
      <c r="U141" s="2991"/>
      <c r="W141" s="2901"/>
      <c r="X141" s="2862"/>
    </row>
    <row r="142" spans="1:24" s="1592" customFormat="1" ht="43.5" hidden="1" x14ac:dyDescent="0.35">
      <c r="A142" s="2486">
        <v>44323</v>
      </c>
      <c r="B142" s="3036">
        <v>8</v>
      </c>
      <c r="C142" s="5" t="s">
        <v>13145</v>
      </c>
      <c r="D142" s="3032" t="s">
        <v>13146</v>
      </c>
      <c r="E142" s="2725" t="s">
        <v>13144</v>
      </c>
      <c r="F142" s="3029"/>
      <c r="G142" s="3040" t="s">
        <v>11499</v>
      </c>
      <c r="H142" s="3041"/>
      <c r="I142" s="2486">
        <v>44326</v>
      </c>
      <c r="J142" s="3034" t="s">
        <v>13147</v>
      </c>
      <c r="K142" s="6">
        <v>0.41666666666666669</v>
      </c>
      <c r="L142" s="3117">
        <v>0.52569444444444446</v>
      </c>
      <c r="M142" s="3020">
        <v>183</v>
      </c>
      <c r="N142" s="3016" t="s">
        <v>257</v>
      </c>
      <c r="O142" s="3037" t="s">
        <v>7067</v>
      </c>
      <c r="P142" s="3016" t="s">
        <v>12323</v>
      </c>
      <c r="Q142" s="3016" t="s">
        <v>13148</v>
      </c>
      <c r="R142" s="3027"/>
      <c r="S142" s="3031"/>
      <c r="T142" s="3057"/>
      <c r="U142" s="2991"/>
      <c r="W142" s="2901"/>
      <c r="X142" s="2862"/>
    </row>
    <row r="143" spans="1:24" s="1592" customFormat="1" ht="43.5" hidden="1" x14ac:dyDescent="0.35">
      <c r="A143" s="2486">
        <v>44324</v>
      </c>
      <c r="B143" s="3107">
        <v>3</v>
      </c>
      <c r="C143" s="5" t="s">
        <v>13158</v>
      </c>
      <c r="D143" s="3032" t="s">
        <v>11838</v>
      </c>
      <c r="E143" s="2725" t="s">
        <v>13159</v>
      </c>
      <c r="F143" s="3029"/>
      <c r="G143" s="3040" t="s">
        <v>12591</v>
      </c>
      <c r="H143" s="3041"/>
      <c r="I143" s="2486">
        <v>44326</v>
      </c>
      <c r="J143" s="2722" t="s">
        <v>13160</v>
      </c>
      <c r="K143" s="3122">
        <v>0.41666666666666669</v>
      </c>
      <c r="L143" s="3117">
        <v>0.42291666666666666</v>
      </c>
      <c r="M143" s="3108">
        <v>284</v>
      </c>
      <c r="N143" s="3016" t="s">
        <v>392</v>
      </c>
      <c r="O143" s="3037" t="s">
        <v>7067</v>
      </c>
      <c r="P143" s="3016" t="s">
        <v>821</v>
      </c>
      <c r="Q143" s="3016" t="s">
        <v>13161</v>
      </c>
      <c r="R143" s="3027"/>
      <c r="S143" s="3109"/>
      <c r="T143" s="3110"/>
      <c r="U143" s="2989"/>
      <c r="W143" s="2901"/>
      <c r="X143" s="2862"/>
    </row>
    <row r="144" spans="1:24" s="1592" customFormat="1" ht="217.5" hidden="1" x14ac:dyDescent="0.35">
      <c r="A144" s="2486">
        <v>44322</v>
      </c>
      <c r="B144" s="3107">
        <v>5</v>
      </c>
      <c r="C144" s="2725" t="s">
        <v>12971</v>
      </c>
      <c r="D144" s="3032" t="s">
        <v>12972</v>
      </c>
      <c r="E144" s="3016" t="s">
        <v>12973</v>
      </c>
      <c r="F144" s="3029"/>
      <c r="G144" s="3040" t="s">
        <v>11466</v>
      </c>
      <c r="H144" s="3041"/>
      <c r="I144" s="2486">
        <v>44326</v>
      </c>
      <c r="J144" s="3034" t="s">
        <v>12974</v>
      </c>
      <c r="K144" s="6">
        <v>0.41666666666666669</v>
      </c>
      <c r="L144" s="3117">
        <v>0.4604166666666667</v>
      </c>
      <c r="M144" s="3108">
        <v>183</v>
      </c>
      <c r="N144" s="3016" t="s">
        <v>12976</v>
      </c>
      <c r="O144" s="3037" t="s">
        <v>7067</v>
      </c>
      <c r="P144" s="3016" t="s">
        <v>22</v>
      </c>
      <c r="Q144" s="3016" t="s">
        <v>12975</v>
      </c>
      <c r="R144" s="3027"/>
      <c r="S144" s="3109"/>
      <c r="T144" s="3110"/>
      <c r="U144" s="2989"/>
      <c r="W144" s="2901"/>
      <c r="X144" s="2862"/>
    </row>
    <row r="145" spans="1:24" s="1592" customFormat="1" ht="110" hidden="1" x14ac:dyDescent="0.35">
      <c r="A145" s="2486">
        <v>44326</v>
      </c>
      <c r="B145" s="3107"/>
      <c r="C145" s="5" t="s">
        <v>13300</v>
      </c>
      <c r="D145" s="3032" t="s">
        <v>13301</v>
      </c>
      <c r="E145" s="3024" t="s">
        <v>13316</v>
      </c>
      <c r="F145" s="3029"/>
      <c r="G145" s="3040" t="s">
        <v>14358</v>
      </c>
      <c r="H145" s="3041"/>
      <c r="I145" s="3021">
        <v>44326</v>
      </c>
      <c r="J145" s="2722" t="s">
        <v>13302</v>
      </c>
      <c r="K145" s="3122" t="s">
        <v>15</v>
      </c>
      <c r="L145" s="3149" t="s">
        <v>972</v>
      </c>
      <c r="M145" s="3108">
        <v>256</v>
      </c>
      <c r="N145" s="3016" t="s">
        <v>257</v>
      </c>
      <c r="O145" s="3037" t="s">
        <v>11553</v>
      </c>
      <c r="P145" s="3016" t="s">
        <v>12323</v>
      </c>
      <c r="Q145" s="3016" t="s">
        <v>13303</v>
      </c>
      <c r="R145" s="3027"/>
      <c r="S145" s="3109"/>
      <c r="T145" s="3110"/>
      <c r="U145" s="2991"/>
      <c r="W145" s="2901"/>
      <c r="X145" s="2862"/>
    </row>
    <row r="146" spans="1:24" s="1592" customFormat="1" ht="43.5" hidden="1" x14ac:dyDescent="0.35">
      <c r="A146" s="2486">
        <v>44325</v>
      </c>
      <c r="B146" s="3107">
        <v>6</v>
      </c>
      <c r="C146" s="5" t="s">
        <v>13232</v>
      </c>
      <c r="D146" s="3032" t="s">
        <v>13233</v>
      </c>
      <c r="E146" s="2725" t="s">
        <v>13234</v>
      </c>
      <c r="F146" s="3029"/>
      <c r="G146" s="3040" t="s">
        <v>11423</v>
      </c>
      <c r="H146" s="3041"/>
      <c r="I146" s="2486">
        <v>44326</v>
      </c>
      <c r="J146" s="2722" t="s">
        <v>13236</v>
      </c>
      <c r="K146" s="3122">
        <v>0.41666666666666669</v>
      </c>
      <c r="L146" s="3157">
        <v>0.48819444444444443</v>
      </c>
      <c r="M146" s="3111">
        <v>114</v>
      </c>
      <c r="N146" s="3016" t="s">
        <v>11311</v>
      </c>
      <c r="O146" s="3037" t="s">
        <v>7067</v>
      </c>
      <c r="P146" s="3016" t="s">
        <v>821</v>
      </c>
      <c r="Q146" s="3016" t="s">
        <v>13237</v>
      </c>
      <c r="R146" s="3028"/>
      <c r="S146" s="3109"/>
      <c r="T146" s="3110"/>
      <c r="U146" s="2991"/>
      <c r="W146" s="2901"/>
      <c r="X146" s="2862"/>
    </row>
    <row r="147" spans="1:24" s="1592" customFormat="1" ht="43.5" hidden="1" x14ac:dyDescent="0.35">
      <c r="A147" s="3021">
        <v>44324</v>
      </c>
      <c r="B147" s="3036">
        <v>4</v>
      </c>
      <c r="C147" s="3015" t="s">
        <v>13211</v>
      </c>
      <c r="D147" s="3032" t="s">
        <v>13212</v>
      </c>
      <c r="E147" s="3015" t="s">
        <v>13213</v>
      </c>
      <c r="F147" s="3029"/>
      <c r="G147" s="3040" t="s">
        <v>13214</v>
      </c>
      <c r="H147" s="3041"/>
      <c r="I147" s="3021">
        <v>44326</v>
      </c>
      <c r="J147" s="3034" t="s">
        <v>13215</v>
      </c>
      <c r="K147" s="3122">
        <v>0.41666666666666669</v>
      </c>
      <c r="L147" s="3149">
        <v>0.44166666666666665</v>
      </c>
      <c r="M147" s="3039">
        <v>190</v>
      </c>
      <c r="N147" s="3015" t="s">
        <v>13202</v>
      </c>
      <c r="O147" s="3030" t="s">
        <v>7067</v>
      </c>
      <c r="P147" s="3015" t="s">
        <v>821</v>
      </c>
      <c r="Q147" s="3015" t="s">
        <v>13216</v>
      </c>
      <c r="R147" s="3027"/>
      <c r="S147" s="3031"/>
      <c r="T147" s="3057"/>
      <c r="U147" s="2989"/>
      <c r="W147" s="2901"/>
      <c r="X147" s="2862"/>
    </row>
    <row r="148" spans="1:24" s="1592" customFormat="1" ht="58" hidden="1" x14ac:dyDescent="0.35">
      <c r="A148" s="2486">
        <v>44322</v>
      </c>
      <c r="B148" s="3036">
        <v>10</v>
      </c>
      <c r="C148" s="2725" t="s">
        <v>13038</v>
      </c>
      <c r="D148" s="3032" t="s">
        <v>13035</v>
      </c>
      <c r="E148" s="3016" t="s">
        <v>13037</v>
      </c>
      <c r="F148" s="3029"/>
      <c r="G148" s="3040" t="s">
        <v>11997</v>
      </c>
      <c r="H148" s="3041"/>
      <c r="I148" s="2486">
        <v>44326</v>
      </c>
      <c r="J148" s="3034" t="s">
        <v>13036</v>
      </c>
      <c r="K148" s="3122">
        <v>0.41666666666666669</v>
      </c>
      <c r="L148" s="3122">
        <v>0.57152777777777775</v>
      </c>
      <c r="M148" s="3039">
        <v>0</v>
      </c>
      <c r="N148" s="3016" t="s">
        <v>5716</v>
      </c>
      <c r="O148" s="3030" t="s">
        <v>7067</v>
      </c>
      <c r="P148" s="3015" t="s">
        <v>17</v>
      </c>
      <c r="Q148" s="3015" t="s">
        <v>12427</v>
      </c>
      <c r="R148" s="3027"/>
      <c r="S148" s="3031"/>
      <c r="T148" s="3057"/>
      <c r="U148" s="2989"/>
      <c r="W148" s="2901"/>
      <c r="X148" s="2862"/>
    </row>
    <row r="149" spans="1:24" s="1592" customFormat="1" ht="72.5" hidden="1" x14ac:dyDescent="0.35">
      <c r="A149" s="2486">
        <v>44325</v>
      </c>
      <c r="B149" s="3107">
        <v>13</v>
      </c>
      <c r="C149" s="5" t="s">
        <v>13280</v>
      </c>
      <c r="D149" s="3032" t="s">
        <v>13238</v>
      </c>
      <c r="E149" s="2725" t="s">
        <v>13239</v>
      </c>
      <c r="F149" s="3029"/>
      <c r="G149" s="3040" t="s">
        <v>13240</v>
      </c>
      <c r="H149" s="3041"/>
      <c r="I149" s="2486">
        <v>44326</v>
      </c>
      <c r="J149" s="3046" t="s">
        <v>11899</v>
      </c>
      <c r="K149" s="3122">
        <v>0.45833333333333331</v>
      </c>
      <c r="L149" s="3122">
        <v>0.45833333333333331</v>
      </c>
      <c r="M149" s="3111">
        <v>57</v>
      </c>
      <c r="N149" s="3016" t="s">
        <v>11311</v>
      </c>
      <c r="O149" s="3037" t="s">
        <v>15</v>
      </c>
      <c r="P149" s="3016" t="s">
        <v>821</v>
      </c>
      <c r="Q149" s="3016" t="s">
        <v>13241</v>
      </c>
      <c r="R149" s="3027"/>
      <c r="S149" s="3109"/>
      <c r="T149" s="3110"/>
      <c r="U149" s="2989"/>
      <c r="W149" s="2901"/>
      <c r="X149" s="2862"/>
    </row>
    <row r="150" spans="1:24" s="1592" customFormat="1" ht="130.5" hidden="1" x14ac:dyDescent="0.35">
      <c r="A150" s="2486">
        <v>44323</v>
      </c>
      <c r="B150" s="3107">
        <v>14</v>
      </c>
      <c r="C150" s="5" t="s">
        <v>13128</v>
      </c>
      <c r="D150" s="3032" t="s">
        <v>13129</v>
      </c>
      <c r="E150" s="2725" t="s">
        <v>13283</v>
      </c>
      <c r="F150" s="3029"/>
      <c r="G150" s="3040" t="s">
        <v>11481</v>
      </c>
      <c r="H150" s="3041"/>
      <c r="I150" s="2486">
        <v>44326</v>
      </c>
      <c r="J150" s="3046" t="s">
        <v>5494</v>
      </c>
      <c r="K150" s="6">
        <v>0.45833333333333331</v>
      </c>
      <c r="L150" s="3117">
        <v>0.70833333333333337</v>
      </c>
      <c r="M150" s="3108">
        <v>250</v>
      </c>
      <c r="N150" s="3016" t="s">
        <v>257</v>
      </c>
      <c r="O150" s="3037" t="s">
        <v>15</v>
      </c>
      <c r="P150" s="3016" t="s">
        <v>12323</v>
      </c>
      <c r="Q150" s="3016" t="s">
        <v>13130</v>
      </c>
      <c r="R150" s="3027"/>
      <c r="S150" s="3109"/>
      <c r="T150" s="3110"/>
      <c r="U150" s="2989"/>
      <c r="W150" s="2901"/>
      <c r="X150" s="2862"/>
    </row>
    <row r="151" spans="1:24" s="1592" customFormat="1" hidden="1" x14ac:dyDescent="0.35">
      <c r="A151" s="2486">
        <v>44227</v>
      </c>
      <c r="B151" s="2596">
        <v>15</v>
      </c>
      <c r="C151" s="5" t="s">
        <v>11286</v>
      </c>
      <c r="D151" s="3032" t="s">
        <v>3798</v>
      </c>
      <c r="E151" s="5" t="s">
        <v>11995</v>
      </c>
      <c r="F151" s="3029"/>
      <c r="G151" s="3040" t="s">
        <v>11446</v>
      </c>
      <c r="H151" s="2892"/>
      <c r="I151" s="2486">
        <v>44326</v>
      </c>
      <c r="J151" s="2722" t="s">
        <v>3798</v>
      </c>
      <c r="K151" s="6">
        <v>0.45902777777777781</v>
      </c>
      <c r="L151" s="3117">
        <v>0.45902777777777781</v>
      </c>
      <c r="M151" s="3039">
        <v>0</v>
      </c>
      <c r="N151" s="3016" t="s">
        <v>3798</v>
      </c>
      <c r="O151" s="3016" t="s">
        <v>3798</v>
      </c>
      <c r="P151" s="3016" t="s">
        <v>821</v>
      </c>
      <c r="Q151" s="3016" t="s">
        <v>3798</v>
      </c>
      <c r="R151" s="3017"/>
      <c r="S151" s="3031"/>
      <c r="T151" s="3057"/>
      <c r="U151" s="2989"/>
      <c r="W151" s="2901"/>
      <c r="X151" s="2862"/>
    </row>
    <row r="152" spans="1:24" s="1592" customFormat="1" ht="43.5" hidden="1" x14ac:dyDescent="0.35">
      <c r="A152" s="2869">
        <v>44019</v>
      </c>
      <c r="B152" s="3061">
        <v>16</v>
      </c>
      <c r="C152" s="2822" t="s">
        <v>11286</v>
      </c>
      <c r="D152" s="3062"/>
      <c r="E152" s="2822" t="s">
        <v>11292</v>
      </c>
      <c r="F152" s="3029"/>
      <c r="G152" s="2897"/>
      <c r="H152" s="2892"/>
      <c r="I152" s="2869">
        <v>44326</v>
      </c>
      <c r="J152" s="2873" t="s">
        <v>3798</v>
      </c>
      <c r="K152" s="2984">
        <v>0.45902777777777781</v>
      </c>
      <c r="L152" s="2984">
        <v>0.45902777777777781</v>
      </c>
      <c r="M152" s="3039">
        <v>0</v>
      </c>
      <c r="N152" s="2822" t="s">
        <v>3798</v>
      </c>
      <c r="O152" s="2822" t="s">
        <v>15</v>
      </c>
      <c r="P152" s="2822" t="s">
        <v>821</v>
      </c>
      <c r="Q152" s="2822" t="s">
        <v>3798</v>
      </c>
      <c r="R152" s="3229"/>
      <c r="S152" s="3031"/>
      <c r="T152" s="3057"/>
      <c r="U152" s="2989"/>
      <c r="W152" s="2901"/>
      <c r="X152" s="2862"/>
    </row>
    <row r="153" spans="1:24" s="1592" customFormat="1" ht="261" hidden="1" x14ac:dyDescent="0.35">
      <c r="A153" s="3047">
        <v>44323</v>
      </c>
      <c r="B153" s="3112">
        <v>1.1000000000000001</v>
      </c>
      <c r="C153" s="3026" t="s">
        <v>13365</v>
      </c>
      <c r="D153" s="3044" t="s">
        <v>12431</v>
      </c>
      <c r="E153" s="3048" t="s">
        <v>13132</v>
      </c>
      <c r="F153" s="3029"/>
      <c r="G153" s="3050" t="s">
        <v>11478</v>
      </c>
      <c r="H153" s="3049"/>
      <c r="I153" s="3047">
        <v>44327</v>
      </c>
      <c r="J153" s="2948" t="s">
        <v>13131</v>
      </c>
      <c r="K153" s="3128">
        <v>0.29166666666666669</v>
      </c>
      <c r="L153" s="3119" t="s">
        <v>13133</v>
      </c>
      <c r="M153" s="3113">
        <v>924</v>
      </c>
      <c r="N153" s="3025" t="s">
        <v>13134</v>
      </c>
      <c r="O153" s="3045" t="s">
        <v>140</v>
      </c>
      <c r="P153" s="3025" t="s">
        <v>17</v>
      </c>
      <c r="Q153" s="3025" t="s">
        <v>12425</v>
      </c>
      <c r="R153" s="3028"/>
      <c r="S153" s="3109"/>
      <c r="T153" s="3110"/>
      <c r="U153" s="2989"/>
      <c r="W153" s="2901"/>
      <c r="X153" s="2862"/>
    </row>
    <row r="154" spans="1:24" s="1592" customFormat="1" ht="290" hidden="1" x14ac:dyDescent="0.35">
      <c r="A154" s="2486">
        <v>44326</v>
      </c>
      <c r="B154" s="3107">
        <v>1</v>
      </c>
      <c r="C154" s="5" t="s">
        <v>13353</v>
      </c>
      <c r="D154" s="3131"/>
      <c r="E154" s="2725" t="s">
        <v>13354</v>
      </c>
      <c r="F154" s="3029"/>
      <c r="G154" s="3040" t="s">
        <v>14359</v>
      </c>
      <c r="H154" s="3041"/>
      <c r="I154" s="2486">
        <v>44327</v>
      </c>
      <c r="J154" s="2722" t="s">
        <v>12945</v>
      </c>
      <c r="K154" s="3122">
        <v>0.375</v>
      </c>
      <c r="L154" s="3157">
        <v>0.39027777777777778</v>
      </c>
      <c r="M154" s="3108">
        <v>0</v>
      </c>
      <c r="N154" s="3016" t="s">
        <v>5716</v>
      </c>
      <c r="O154" s="3037" t="s">
        <v>136</v>
      </c>
      <c r="P154" s="3016" t="s">
        <v>12317</v>
      </c>
      <c r="Q154" s="3016" t="s">
        <v>11183</v>
      </c>
      <c r="R154" s="3028"/>
      <c r="S154" s="3109"/>
      <c r="T154" s="3110"/>
      <c r="U154" s="2989"/>
      <c r="W154" s="2901"/>
      <c r="X154" s="2862"/>
    </row>
    <row r="155" spans="1:24" s="1592" customFormat="1" ht="217.5" hidden="1" x14ac:dyDescent="0.35">
      <c r="A155" s="2486">
        <v>44326</v>
      </c>
      <c r="B155" s="3107">
        <v>2</v>
      </c>
      <c r="C155" s="5" t="s">
        <v>13353</v>
      </c>
      <c r="D155" s="3131"/>
      <c r="E155" s="2725" t="s">
        <v>13367</v>
      </c>
      <c r="F155" s="3029"/>
      <c r="G155" s="3040" t="s">
        <v>13368</v>
      </c>
      <c r="H155" s="3041"/>
      <c r="I155" s="2486">
        <v>44327</v>
      </c>
      <c r="J155" s="2722" t="s">
        <v>12945</v>
      </c>
      <c r="K155" s="3122">
        <v>0.375</v>
      </c>
      <c r="L155" s="3157">
        <v>0.39027777777777778</v>
      </c>
      <c r="M155" s="3108">
        <v>0</v>
      </c>
      <c r="N155" s="3016" t="s">
        <v>5716</v>
      </c>
      <c r="O155" s="3037" t="s">
        <v>136</v>
      </c>
      <c r="P155" s="3016" t="s">
        <v>12317</v>
      </c>
      <c r="Q155" s="3016" t="s">
        <v>11183</v>
      </c>
      <c r="R155" s="3028"/>
      <c r="S155" s="3109"/>
      <c r="T155" s="3110"/>
      <c r="U155" s="2989"/>
      <c r="W155" s="2901"/>
      <c r="X155" s="2862"/>
    </row>
    <row r="156" spans="1:24" s="1592" customFormat="1" ht="29" hidden="1" x14ac:dyDescent="0.35">
      <c r="A156" s="2486">
        <v>44325</v>
      </c>
      <c r="B156" s="3107">
        <v>8</v>
      </c>
      <c r="C156" s="5" t="s">
        <v>11992</v>
      </c>
      <c r="D156" s="3032" t="s">
        <v>9855</v>
      </c>
      <c r="E156" s="2725" t="s">
        <v>13227</v>
      </c>
      <c r="F156" s="3029"/>
      <c r="G156" s="3040" t="s">
        <v>13235</v>
      </c>
      <c r="H156" s="3041"/>
      <c r="I156" s="2486">
        <v>44327</v>
      </c>
      <c r="J156" s="2722" t="s">
        <v>13228</v>
      </c>
      <c r="K156" s="3122">
        <v>0.375</v>
      </c>
      <c r="L156" s="3149">
        <v>0.55208333333333337</v>
      </c>
      <c r="M156" s="3108">
        <v>119</v>
      </c>
      <c r="N156" s="3016" t="s">
        <v>13229</v>
      </c>
      <c r="O156" s="3037" t="s">
        <v>140</v>
      </c>
      <c r="P156" s="3016" t="s">
        <v>17</v>
      </c>
      <c r="Q156" s="3015" t="s">
        <v>13231</v>
      </c>
      <c r="R156" s="3028"/>
      <c r="S156" s="3109"/>
      <c r="T156" s="3110"/>
      <c r="U156" s="2989"/>
      <c r="W156" s="2901"/>
      <c r="X156" s="2862"/>
    </row>
    <row r="157" spans="1:24" s="1592" customFormat="1" ht="43.5" hidden="1" x14ac:dyDescent="0.35">
      <c r="A157" s="2486">
        <v>44326</v>
      </c>
      <c r="B157" s="3107">
        <v>4</v>
      </c>
      <c r="C157" s="5" t="s">
        <v>13341</v>
      </c>
      <c r="D157" s="3032" t="s">
        <v>13342</v>
      </c>
      <c r="E157" s="2725" t="s">
        <v>13340</v>
      </c>
      <c r="F157" s="3029"/>
      <c r="G157" s="3040" t="s">
        <v>14338</v>
      </c>
      <c r="H157" s="3041"/>
      <c r="I157" s="2486">
        <v>44327</v>
      </c>
      <c r="J157" s="2722" t="s">
        <v>13343</v>
      </c>
      <c r="K157" s="3122">
        <v>0.375</v>
      </c>
      <c r="L157" s="3149">
        <v>0.45416666666666666</v>
      </c>
      <c r="M157" s="3108">
        <v>195</v>
      </c>
      <c r="N157" s="3016" t="s">
        <v>257</v>
      </c>
      <c r="O157" s="3037" t="s">
        <v>140</v>
      </c>
      <c r="P157" s="3016" t="s">
        <v>12323</v>
      </c>
      <c r="Q157" s="3016" t="s">
        <v>13344</v>
      </c>
      <c r="R157" s="3028"/>
      <c r="S157" s="3109"/>
      <c r="T157" s="3110"/>
      <c r="U157" s="2989"/>
      <c r="W157" s="2901"/>
      <c r="X157" s="2862"/>
    </row>
    <row r="158" spans="1:24" s="1592" customFormat="1" ht="29" hidden="1" x14ac:dyDescent="0.35">
      <c r="A158" s="3021">
        <v>44321</v>
      </c>
      <c r="B158" s="3035">
        <v>5</v>
      </c>
      <c r="C158" s="3015" t="s">
        <v>12057</v>
      </c>
      <c r="D158" s="3033" t="s">
        <v>12058</v>
      </c>
      <c r="E158" s="3024" t="s">
        <v>12954</v>
      </c>
      <c r="F158" s="3015"/>
      <c r="G158" s="3041" t="s">
        <v>11849</v>
      </c>
      <c r="H158" s="3041"/>
      <c r="I158" s="3021">
        <v>44327</v>
      </c>
      <c r="J158" s="3034" t="s">
        <v>12833</v>
      </c>
      <c r="K158" s="3122">
        <v>0.375</v>
      </c>
      <c r="L158" s="3122">
        <v>0.4826388888888889</v>
      </c>
      <c r="M158" s="3018">
        <v>183</v>
      </c>
      <c r="N158" s="3015" t="s">
        <v>8625</v>
      </c>
      <c r="O158" s="3030" t="s">
        <v>140</v>
      </c>
      <c r="P158" s="3015" t="s">
        <v>12323</v>
      </c>
      <c r="Q158" s="3015" t="s">
        <v>12834</v>
      </c>
      <c r="R158" s="3028"/>
      <c r="S158" s="3031"/>
      <c r="T158" s="3057"/>
      <c r="U158" s="2989"/>
      <c r="W158" s="2901"/>
      <c r="X158" s="2862"/>
    </row>
    <row r="159" spans="1:24" s="1592" customFormat="1" ht="72.5" hidden="1" x14ac:dyDescent="0.35">
      <c r="A159" s="3047">
        <v>44301</v>
      </c>
      <c r="B159" s="2953">
        <v>7</v>
      </c>
      <c r="C159" s="3026" t="s">
        <v>12476</v>
      </c>
      <c r="D159" s="3044" t="s">
        <v>12475</v>
      </c>
      <c r="E159" s="3048" t="s">
        <v>12473</v>
      </c>
      <c r="F159" s="3025"/>
      <c r="G159" s="3050" t="s">
        <v>11432</v>
      </c>
      <c r="H159" s="3049"/>
      <c r="I159" s="3047">
        <v>44327</v>
      </c>
      <c r="J159" s="3046" t="s">
        <v>12474</v>
      </c>
      <c r="K159" s="3128">
        <v>0.375</v>
      </c>
      <c r="L159" s="3119">
        <v>0.53125</v>
      </c>
      <c r="M159" s="3038">
        <v>450</v>
      </c>
      <c r="N159" s="3025" t="s">
        <v>257</v>
      </c>
      <c r="O159" s="3025" t="s">
        <v>140</v>
      </c>
      <c r="P159" s="3025" t="s">
        <v>17</v>
      </c>
      <c r="Q159" s="3025" t="s">
        <v>12456</v>
      </c>
      <c r="R159" s="3028"/>
      <c r="S159" s="3031"/>
      <c r="T159" s="3057"/>
      <c r="U159" s="2989"/>
      <c r="W159" s="2901"/>
      <c r="X159" s="2862"/>
    </row>
    <row r="160" spans="1:24" s="1592" customFormat="1" ht="58" hidden="1" x14ac:dyDescent="0.35">
      <c r="A160" s="2486">
        <v>44326</v>
      </c>
      <c r="B160" s="3107">
        <v>11</v>
      </c>
      <c r="C160" s="5" t="s">
        <v>13327</v>
      </c>
      <c r="D160" s="3032" t="s">
        <v>9263</v>
      </c>
      <c r="E160" s="2725" t="s">
        <v>13328</v>
      </c>
      <c r="F160" s="3029"/>
      <c r="G160" s="3040" t="s">
        <v>13329</v>
      </c>
      <c r="H160" s="3041"/>
      <c r="I160" s="2486">
        <v>44327</v>
      </c>
      <c r="J160" s="2722" t="s">
        <v>13330</v>
      </c>
      <c r="K160" s="3122">
        <v>0.375</v>
      </c>
      <c r="L160" s="3149">
        <v>0.61458333333333337</v>
      </c>
      <c r="M160" s="3108">
        <v>0</v>
      </c>
      <c r="N160" s="3016" t="s">
        <v>298</v>
      </c>
      <c r="O160" s="3037" t="s">
        <v>140</v>
      </c>
      <c r="P160" s="3016" t="s">
        <v>1960</v>
      </c>
      <c r="Q160" s="3016" t="s">
        <v>12458</v>
      </c>
      <c r="R160" s="3028"/>
      <c r="S160" s="3109"/>
      <c r="T160" s="3110"/>
      <c r="U160" s="2989"/>
      <c r="W160" s="2901"/>
      <c r="X160" s="2862"/>
    </row>
    <row r="161" spans="1:24" s="1592" customFormat="1" ht="87" hidden="1" x14ac:dyDescent="0.35">
      <c r="A161" s="2486">
        <v>44326</v>
      </c>
      <c r="B161" s="3107">
        <v>9</v>
      </c>
      <c r="C161" s="5" t="s">
        <v>13320</v>
      </c>
      <c r="D161" s="3032" t="s">
        <v>13321</v>
      </c>
      <c r="E161" s="2725" t="s">
        <v>13323</v>
      </c>
      <c r="F161" s="3029"/>
      <c r="G161" s="3040" t="s">
        <v>14344</v>
      </c>
      <c r="H161" s="3041"/>
      <c r="I161" s="2486">
        <v>44327</v>
      </c>
      <c r="J161" s="2722" t="s">
        <v>13322</v>
      </c>
      <c r="K161" s="3122">
        <v>0.375</v>
      </c>
      <c r="L161" s="3228">
        <v>0.5805555555555556</v>
      </c>
      <c r="M161" s="3108">
        <v>315</v>
      </c>
      <c r="N161" s="3016" t="s">
        <v>257</v>
      </c>
      <c r="O161" s="3037" t="s">
        <v>140</v>
      </c>
      <c r="P161" s="3016" t="s">
        <v>22</v>
      </c>
      <c r="Q161" s="3016" t="s">
        <v>12452</v>
      </c>
      <c r="R161" s="3028"/>
      <c r="S161" s="3109"/>
      <c r="T161" s="3110"/>
      <c r="U161" s="2989"/>
      <c r="W161" s="2901"/>
      <c r="X161" s="2862"/>
    </row>
    <row r="162" spans="1:24" s="1592" customFormat="1" ht="29" hidden="1" x14ac:dyDescent="0.35">
      <c r="A162" s="2486">
        <v>44323</v>
      </c>
      <c r="B162" s="3036">
        <v>6</v>
      </c>
      <c r="C162" s="5" t="s">
        <v>13094</v>
      </c>
      <c r="D162" s="3032" t="s">
        <v>13095</v>
      </c>
      <c r="E162" s="2725" t="s">
        <v>12012</v>
      </c>
      <c r="F162" s="3029"/>
      <c r="G162" s="3040" t="s">
        <v>12005</v>
      </c>
      <c r="H162" s="3041"/>
      <c r="I162" s="2486">
        <v>44327</v>
      </c>
      <c r="J162" s="2722" t="s">
        <v>13096</v>
      </c>
      <c r="K162" s="6">
        <v>0.375</v>
      </c>
      <c r="L162" s="3117">
        <v>0.5083333333333333</v>
      </c>
      <c r="M162" s="3039">
        <v>183</v>
      </c>
      <c r="N162" s="3016" t="s">
        <v>8625</v>
      </c>
      <c r="O162" s="3037" t="s">
        <v>140</v>
      </c>
      <c r="P162" s="3016" t="s">
        <v>12323</v>
      </c>
      <c r="Q162" s="3016" t="s">
        <v>13097</v>
      </c>
      <c r="R162" s="3028"/>
      <c r="S162" s="3031"/>
      <c r="T162" s="3057"/>
      <c r="U162" s="2989"/>
      <c r="W162" s="2901"/>
      <c r="X162" s="2862"/>
    </row>
    <row r="163" spans="1:24" s="1592" customFormat="1" ht="29" hidden="1" x14ac:dyDescent="0.35">
      <c r="A163" s="2486">
        <v>44326</v>
      </c>
      <c r="B163" s="3107">
        <v>10</v>
      </c>
      <c r="C163" s="5" t="s">
        <v>13366</v>
      </c>
      <c r="D163" s="3131"/>
      <c r="E163" s="5" t="s">
        <v>13366</v>
      </c>
      <c r="F163" s="3029"/>
      <c r="G163" s="3040"/>
      <c r="H163" s="3041"/>
      <c r="I163" s="2486">
        <v>44327</v>
      </c>
      <c r="J163" s="2722" t="s">
        <v>12945</v>
      </c>
      <c r="K163" s="3122">
        <v>0.375</v>
      </c>
      <c r="L163" s="3226">
        <v>0.72916666666666663</v>
      </c>
      <c r="M163" s="3108">
        <v>0</v>
      </c>
      <c r="N163" s="3227"/>
      <c r="O163" s="3037" t="s">
        <v>140</v>
      </c>
      <c r="P163" s="3016" t="s">
        <v>216</v>
      </c>
      <c r="Q163" s="3016" t="s">
        <v>12406</v>
      </c>
      <c r="R163" s="3028"/>
      <c r="S163" s="3109"/>
      <c r="T163" s="3110"/>
      <c r="U163" s="2989"/>
      <c r="W163" s="2901"/>
      <c r="X163" s="2862"/>
    </row>
    <row r="164" spans="1:24" s="1592" customFormat="1" ht="43.5" hidden="1" x14ac:dyDescent="0.35">
      <c r="A164" s="2486">
        <v>44326</v>
      </c>
      <c r="B164" s="3107">
        <v>3</v>
      </c>
      <c r="C164" s="5" t="s">
        <v>13294</v>
      </c>
      <c r="D164" s="3032" t="s">
        <v>13295</v>
      </c>
      <c r="E164" s="2725" t="s">
        <v>13293</v>
      </c>
      <c r="F164" s="3029"/>
      <c r="G164" s="3040" t="s">
        <v>13214</v>
      </c>
      <c r="H164" s="3041"/>
      <c r="I164" s="2486">
        <v>44327</v>
      </c>
      <c r="J164" s="2722" t="s">
        <v>13296</v>
      </c>
      <c r="K164" s="3122">
        <v>0.375</v>
      </c>
      <c r="L164" s="3149">
        <v>0.43263888888888885</v>
      </c>
      <c r="M164" s="3111">
        <v>155</v>
      </c>
      <c r="N164" s="3016" t="s">
        <v>8625</v>
      </c>
      <c r="O164" s="3037" t="s">
        <v>140</v>
      </c>
      <c r="P164" s="3016" t="s">
        <v>12323</v>
      </c>
      <c r="Q164" s="3016" t="s">
        <v>13297</v>
      </c>
      <c r="R164" s="3028"/>
      <c r="S164" s="3109"/>
      <c r="T164" s="3110"/>
      <c r="U164" s="2989"/>
      <c r="W164" s="2901"/>
      <c r="X164" s="2862"/>
    </row>
    <row r="165" spans="1:24" s="1592" customFormat="1" ht="43.5" hidden="1" x14ac:dyDescent="0.35">
      <c r="A165" s="2486">
        <v>44326</v>
      </c>
      <c r="B165" s="3107">
        <v>12</v>
      </c>
      <c r="C165" s="5" t="s">
        <v>13331</v>
      </c>
      <c r="D165" s="3131"/>
      <c r="E165" s="2725" t="s">
        <v>13474</v>
      </c>
      <c r="F165" s="3029"/>
      <c r="G165" s="3040" t="s">
        <v>13475</v>
      </c>
      <c r="H165" s="3041"/>
      <c r="I165" s="2486">
        <v>44327</v>
      </c>
      <c r="J165" s="3046" t="s">
        <v>6032</v>
      </c>
      <c r="K165" s="3122">
        <v>0.41666666666666669</v>
      </c>
      <c r="L165" s="3157">
        <v>0.77083333333333337</v>
      </c>
      <c r="M165" s="3111">
        <f>180*0.7</f>
        <v>125.99999999999999</v>
      </c>
      <c r="N165" s="3016" t="s">
        <v>257</v>
      </c>
      <c r="O165" s="3037" t="s">
        <v>15</v>
      </c>
      <c r="P165" s="3016" t="s">
        <v>10475</v>
      </c>
      <c r="Q165" s="3016" t="s">
        <v>12459</v>
      </c>
      <c r="R165" s="3028"/>
      <c r="S165" s="3109"/>
      <c r="T165" s="3110"/>
      <c r="U165" s="2989"/>
      <c r="W165" s="2901"/>
      <c r="X165" s="2862"/>
    </row>
    <row r="166" spans="1:24" s="1592" customFormat="1" ht="275.5" hidden="1" x14ac:dyDescent="0.35">
      <c r="A166" s="3047">
        <v>44323</v>
      </c>
      <c r="B166" s="3112">
        <v>1.1000000000000001</v>
      </c>
      <c r="C166" s="3026" t="s">
        <v>13365</v>
      </c>
      <c r="D166" s="3044" t="s">
        <v>12431</v>
      </c>
      <c r="E166" s="3048" t="s">
        <v>13135</v>
      </c>
      <c r="F166" s="3029"/>
      <c r="G166" s="3050" t="s">
        <v>11478</v>
      </c>
      <c r="H166" s="3041"/>
      <c r="I166" s="3047">
        <v>44328</v>
      </c>
      <c r="J166" s="2948" t="s">
        <v>13131</v>
      </c>
      <c r="K166" s="3128">
        <v>0.3125</v>
      </c>
      <c r="L166" s="3119" t="s">
        <v>13133</v>
      </c>
      <c r="M166" s="3113">
        <v>620</v>
      </c>
      <c r="N166" s="3025" t="s">
        <v>13134</v>
      </c>
      <c r="O166" s="3045" t="s">
        <v>119</v>
      </c>
      <c r="P166" s="3025" t="s">
        <v>17</v>
      </c>
      <c r="Q166" s="3025" t="s">
        <v>12426</v>
      </c>
      <c r="R166" s="3028"/>
      <c r="S166" s="3109"/>
      <c r="T166" s="3110"/>
      <c r="U166" s="2989"/>
      <c r="W166" s="2901"/>
      <c r="X166" s="2862"/>
    </row>
    <row r="167" spans="1:24" s="1592" customFormat="1" ht="72.5" hidden="1" x14ac:dyDescent="0.35">
      <c r="A167" s="3021">
        <v>44327</v>
      </c>
      <c r="B167" s="3036">
        <v>1.2</v>
      </c>
      <c r="C167" s="3015" t="s">
        <v>13339</v>
      </c>
      <c r="D167" s="3032" t="s">
        <v>13427</v>
      </c>
      <c r="E167" s="3024" t="s">
        <v>13431</v>
      </c>
      <c r="F167" s="3029"/>
      <c r="G167" s="3040" t="s">
        <v>14360</v>
      </c>
      <c r="H167" s="3041"/>
      <c r="I167" s="3021">
        <v>44328</v>
      </c>
      <c r="J167" s="3046" t="s">
        <v>13429</v>
      </c>
      <c r="K167" s="3122">
        <v>0.375</v>
      </c>
      <c r="L167" s="3157">
        <v>0.40625</v>
      </c>
      <c r="M167" s="3020">
        <f>144+60</f>
        <v>204</v>
      </c>
      <c r="N167" s="3015" t="s">
        <v>257</v>
      </c>
      <c r="O167" s="3030" t="s">
        <v>119</v>
      </c>
      <c r="P167" s="3015" t="s">
        <v>216</v>
      </c>
      <c r="Q167" s="3015" t="s">
        <v>12403</v>
      </c>
      <c r="R167" s="3028"/>
      <c r="S167" s="3031"/>
      <c r="T167" s="3057"/>
      <c r="U167" s="2989"/>
      <c r="W167" s="2901"/>
      <c r="X167" s="2862"/>
    </row>
    <row r="168" spans="1:24" s="1592" customFormat="1" ht="174" hidden="1" x14ac:dyDescent="0.35">
      <c r="A168" s="3021">
        <v>44327</v>
      </c>
      <c r="B168" s="3036">
        <v>1.3</v>
      </c>
      <c r="C168" s="3015" t="s">
        <v>13353</v>
      </c>
      <c r="D168" s="3032"/>
      <c r="E168" s="3024" t="s">
        <v>13460</v>
      </c>
      <c r="F168" s="3029"/>
      <c r="G168" s="3040" t="s">
        <v>14361</v>
      </c>
      <c r="H168" s="3041"/>
      <c r="I168" s="3021">
        <v>44328</v>
      </c>
      <c r="J168" s="3034" t="s">
        <v>12945</v>
      </c>
      <c r="K168" s="3122">
        <v>0.375</v>
      </c>
      <c r="L168" s="3157">
        <v>0.40625</v>
      </c>
      <c r="M168" s="3020">
        <v>0</v>
      </c>
      <c r="N168" s="3016" t="s">
        <v>5716</v>
      </c>
      <c r="O168" s="3037" t="s">
        <v>119</v>
      </c>
      <c r="P168" s="3016" t="s">
        <v>216</v>
      </c>
      <c r="Q168" s="3015" t="s">
        <v>12414</v>
      </c>
      <c r="R168" s="3028"/>
      <c r="S168" s="3031"/>
      <c r="T168" s="3057"/>
      <c r="U168" s="2989"/>
      <c r="W168" s="2901"/>
      <c r="X168" s="2862"/>
    </row>
    <row r="169" spans="1:24" s="1592" customFormat="1" ht="333.5" hidden="1" x14ac:dyDescent="0.35">
      <c r="A169" s="3021">
        <v>44327</v>
      </c>
      <c r="B169" s="3036">
        <v>1.4</v>
      </c>
      <c r="C169" s="3015" t="s">
        <v>13353</v>
      </c>
      <c r="D169" s="3032"/>
      <c r="E169" s="3024" t="s">
        <v>13461</v>
      </c>
      <c r="F169" s="3029"/>
      <c r="G169" s="3040" t="s">
        <v>13466</v>
      </c>
      <c r="H169" s="3041"/>
      <c r="I169" s="3021">
        <v>44328</v>
      </c>
      <c r="J169" s="3034" t="s">
        <v>12945</v>
      </c>
      <c r="K169" s="3122">
        <v>0.375</v>
      </c>
      <c r="L169" s="3157">
        <v>0.40625</v>
      </c>
      <c r="M169" s="3020">
        <v>0</v>
      </c>
      <c r="N169" s="3016" t="s">
        <v>5716</v>
      </c>
      <c r="O169" s="3037" t="s">
        <v>119</v>
      </c>
      <c r="P169" s="3016" t="s">
        <v>216</v>
      </c>
      <c r="Q169" s="3015" t="s">
        <v>12414</v>
      </c>
      <c r="R169" s="3028"/>
      <c r="S169" s="3031"/>
      <c r="T169" s="3057"/>
      <c r="U169" s="2989"/>
      <c r="W169" s="2901"/>
      <c r="X169" s="2862"/>
    </row>
    <row r="170" spans="1:24" s="1592" customFormat="1" ht="58" hidden="1" x14ac:dyDescent="0.35">
      <c r="A170" s="2486">
        <v>44321</v>
      </c>
      <c r="B170" s="3036">
        <v>1</v>
      </c>
      <c r="C170" s="5" t="s">
        <v>12941</v>
      </c>
      <c r="D170" s="3032" t="s">
        <v>12942</v>
      </c>
      <c r="E170" s="2725" t="s">
        <v>12940</v>
      </c>
      <c r="F170" s="3029"/>
      <c r="G170" s="3040" t="s">
        <v>12062</v>
      </c>
      <c r="H170" s="3041"/>
      <c r="I170" s="2486">
        <v>44328</v>
      </c>
      <c r="J170" s="2722" t="s">
        <v>12943</v>
      </c>
      <c r="K170" s="3122">
        <v>0.41666666666666669</v>
      </c>
      <c r="L170" s="3122">
        <v>0.42638888888888887</v>
      </c>
      <c r="M170" s="3020">
        <v>115</v>
      </c>
      <c r="N170" s="3016" t="s">
        <v>8625</v>
      </c>
      <c r="O170" s="3037" t="s">
        <v>7067</v>
      </c>
      <c r="P170" s="3016" t="s">
        <v>12323</v>
      </c>
      <c r="Q170" s="3016" t="s">
        <v>12944</v>
      </c>
      <c r="R170" s="3028"/>
      <c r="S170" s="3031"/>
      <c r="T170" s="3057"/>
      <c r="U170" s="2989"/>
      <c r="W170" s="2901"/>
      <c r="X170" s="2862"/>
    </row>
    <row r="171" spans="1:24" s="1592" customFormat="1" ht="43.5" hidden="1" x14ac:dyDescent="0.35">
      <c r="A171" s="2486">
        <v>44325</v>
      </c>
      <c r="B171" s="3036">
        <v>3</v>
      </c>
      <c r="C171" s="5" t="s">
        <v>13251</v>
      </c>
      <c r="D171" s="3032" t="s">
        <v>13252</v>
      </c>
      <c r="E171" s="2725" t="s">
        <v>13253</v>
      </c>
      <c r="F171" s="3029"/>
      <c r="G171" s="3040" t="s">
        <v>14316</v>
      </c>
      <c r="H171" s="3041"/>
      <c r="I171" s="2486">
        <v>44328</v>
      </c>
      <c r="J171" s="2722" t="s">
        <v>13254</v>
      </c>
      <c r="K171" s="3122">
        <v>0.41666666666666669</v>
      </c>
      <c r="L171" s="3149">
        <v>0.47291666666666665</v>
      </c>
      <c r="M171" s="3020">
        <v>159</v>
      </c>
      <c r="N171" s="3016" t="s">
        <v>257</v>
      </c>
      <c r="O171" s="3037" t="s">
        <v>7067</v>
      </c>
      <c r="P171" s="3016" t="s">
        <v>821</v>
      </c>
      <c r="Q171" s="3016" t="s">
        <v>13255</v>
      </c>
      <c r="R171" s="3028"/>
      <c r="S171" s="3031"/>
      <c r="T171" s="3057"/>
      <c r="U171" s="2989"/>
      <c r="W171" s="2901"/>
      <c r="X171" s="2862"/>
    </row>
    <row r="172" spans="1:24" s="1592" customFormat="1" ht="43.5" hidden="1" x14ac:dyDescent="0.35">
      <c r="A172" s="3021">
        <v>44327</v>
      </c>
      <c r="B172" s="3036">
        <v>8</v>
      </c>
      <c r="C172" s="3015" t="s">
        <v>13384</v>
      </c>
      <c r="D172" s="3032" t="s">
        <v>13385</v>
      </c>
      <c r="E172" s="3024" t="s">
        <v>13383</v>
      </c>
      <c r="F172" s="3029"/>
      <c r="G172" s="3040" t="s">
        <v>12010</v>
      </c>
      <c r="H172" s="3041"/>
      <c r="I172" s="3021">
        <v>44328</v>
      </c>
      <c r="J172" s="3034" t="s">
        <v>13386</v>
      </c>
      <c r="K172" s="3122">
        <v>0.41666666666666669</v>
      </c>
      <c r="L172" s="3157">
        <v>0.56944444444444442</v>
      </c>
      <c r="M172" s="3020">
        <v>195</v>
      </c>
      <c r="N172" s="3016" t="s">
        <v>257</v>
      </c>
      <c r="O172" s="3037" t="s">
        <v>7067</v>
      </c>
      <c r="P172" s="3016" t="s">
        <v>12323</v>
      </c>
      <c r="Q172" s="3016" t="s">
        <v>12457</v>
      </c>
      <c r="R172" s="3028"/>
      <c r="S172" s="3031"/>
      <c r="T172" s="3057"/>
      <c r="U172" s="2989"/>
      <c r="W172" s="2901"/>
      <c r="X172" s="2862"/>
    </row>
    <row r="173" spans="1:24" s="1592" customFormat="1" ht="58" hidden="1" x14ac:dyDescent="0.35">
      <c r="A173" s="3047">
        <v>44322</v>
      </c>
      <c r="B173" s="3112">
        <v>2</v>
      </c>
      <c r="C173" s="3048" t="s">
        <v>12991</v>
      </c>
      <c r="D173" s="3044" t="s">
        <v>12992</v>
      </c>
      <c r="E173" s="3025" t="s">
        <v>13502</v>
      </c>
      <c r="F173" s="3025"/>
      <c r="G173" s="3050" t="s">
        <v>11432</v>
      </c>
      <c r="H173" s="3049"/>
      <c r="I173" s="3047">
        <v>44328</v>
      </c>
      <c r="J173" s="3046" t="s">
        <v>13043</v>
      </c>
      <c r="K173" s="3128">
        <v>0.41666666666666669</v>
      </c>
      <c r="L173" s="3119">
        <v>0.44722222222222219</v>
      </c>
      <c r="M173" s="3113">
        <v>465</v>
      </c>
      <c r="N173" s="3025" t="s">
        <v>257</v>
      </c>
      <c r="O173" s="3045" t="s">
        <v>7067</v>
      </c>
      <c r="P173" s="3025" t="s">
        <v>12323</v>
      </c>
      <c r="Q173" s="3025" t="s">
        <v>12993</v>
      </c>
      <c r="R173" s="3028"/>
      <c r="S173" s="3109"/>
      <c r="T173" s="3110"/>
      <c r="U173" s="2989"/>
      <c r="W173" s="2901"/>
      <c r="X173" s="2862"/>
    </row>
    <row r="174" spans="1:24" s="1592" customFormat="1" ht="43.5" hidden="1" x14ac:dyDescent="0.35">
      <c r="A174" s="2486">
        <v>44328</v>
      </c>
      <c r="B174" s="3107"/>
      <c r="C174" s="5" t="s">
        <v>13553</v>
      </c>
      <c r="D174" s="3032" t="s">
        <v>13554</v>
      </c>
      <c r="E174" s="3016" t="s">
        <v>13556</v>
      </c>
      <c r="F174" s="3029"/>
      <c r="G174" s="3040" t="s">
        <v>11997</v>
      </c>
      <c r="H174" s="3041"/>
      <c r="I174" s="3021">
        <v>44328</v>
      </c>
      <c r="J174" s="2722" t="s">
        <v>13555</v>
      </c>
      <c r="K174" s="6" t="s">
        <v>15</v>
      </c>
      <c r="L174" s="3149" t="s">
        <v>972</v>
      </c>
      <c r="M174" s="3108">
        <v>125</v>
      </c>
      <c r="N174" s="3016" t="s">
        <v>257</v>
      </c>
      <c r="O174" s="3037" t="s">
        <v>119</v>
      </c>
      <c r="P174" s="3016" t="s">
        <v>12317</v>
      </c>
      <c r="Q174" s="3016" t="s">
        <v>12452</v>
      </c>
      <c r="R174" s="3028"/>
      <c r="S174" s="3109"/>
      <c r="T174" s="3110"/>
      <c r="U174" s="2989"/>
      <c r="W174" s="2901"/>
      <c r="X174" s="2862"/>
    </row>
    <row r="175" spans="1:24" s="1592" customFormat="1" ht="43.5" hidden="1" x14ac:dyDescent="0.35">
      <c r="A175" s="2486">
        <v>44304</v>
      </c>
      <c r="B175" s="2596">
        <v>5</v>
      </c>
      <c r="C175" s="5" t="s">
        <v>12172</v>
      </c>
      <c r="D175" s="3032" t="s">
        <v>12173</v>
      </c>
      <c r="E175" s="3016" t="s">
        <v>12508</v>
      </c>
      <c r="F175" s="3029"/>
      <c r="G175" s="3040" t="s">
        <v>11517</v>
      </c>
      <c r="H175" s="2892"/>
      <c r="I175" s="2486">
        <v>44328</v>
      </c>
      <c r="J175" s="2722" t="s">
        <v>12509</v>
      </c>
      <c r="K175" s="6">
        <v>0.41666666666666669</v>
      </c>
      <c r="L175" s="3117">
        <v>0.5131944444444444</v>
      </c>
      <c r="M175" s="3020">
        <v>375</v>
      </c>
      <c r="N175" s="3016" t="s">
        <v>392</v>
      </c>
      <c r="O175" s="3016" t="s">
        <v>7067</v>
      </c>
      <c r="P175" s="3016" t="s">
        <v>821</v>
      </c>
      <c r="Q175" s="3016" t="s">
        <v>11327</v>
      </c>
      <c r="R175" s="3028"/>
      <c r="S175" s="3031"/>
      <c r="T175" s="3057"/>
      <c r="U175" s="2989"/>
      <c r="W175" s="2901"/>
      <c r="X175" s="2862"/>
    </row>
    <row r="176" spans="1:24" s="1592" customFormat="1" ht="43.5" hidden="1" x14ac:dyDescent="0.35">
      <c r="A176" s="3021">
        <v>44327</v>
      </c>
      <c r="B176" s="3036">
        <v>7</v>
      </c>
      <c r="C176" s="3015" t="s">
        <v>13388</v>
      </c>
      <c r="D176" s="3032" t="s">
        <v>13389</v>
      </c>
      <c r="E176" s="3024" t="s">
        <v>13387</v>
      </c>
      <c r="F176" s="3029"/>
      <c r="G176" s="3040" t="s">
        <v>13390</v>
      </c>
      <c r="H176" s="3041"/>
      <c r="I176" s="3021">
        <v>44328</v>
      </c>
      <c r="J176" s="3034" t="s">
        <v>13391</v>
      </c>
      <c r="K176" s="3122">
        <v>0.41666666666666669</v>
      </c>
      <c r="L176" s="3149">
        <v>0.55347222222222225</v>
      </c>
      <c r="M176" s="3020">
        <v>135</v>
      </c>
      <c r="N176" s="3016" t="s">
        <v>257</v>
      </c>
      <c r="O176" s="3037" t="s">
        <v>7067</v>
      </c>
      <c r="P176" s="3016" t="s">
        <v>12323</v>
      </c>
      <c r="Q176" s="3016" t="s">
        <v>13392</v>
      </c>
      <c r="R176" s="3028"/>
      <c r="S176" s="3031"/>
      <c r="T176" s="3057"/>
      <c r="U176" s="2989"/>
      <c r="W176" s="2901"/>
      <c r="X176" s="2862"/>
    </row>
    <row r="177" spans="1:24" s="1592" customFormat="1" ht="29" hidden="1" x14ac:dyDescent="0.35">
      <c r="A177" s="2486">
        <v>44326</v>
      </c>
      <c r="B177" s="3107">
        <v>9</v>
      </c>
      <c r="C177" s="5" t="s">
        <v>12664</v>
      </c>
      <c r="D177" s="3032" t="s">
        <v>12665</v>
      </c>
      <c r="E177" s="2725" t="s">
        <v>13234</v>
      </c>
      <c r="F177" s="3029"/>
      <c r="G177" s="3040" t="s">
        <v>11423</v>
      </c>
      <c r="H177" s="3041"/>
      <c r="I177" s="2486">
        <v>44328</v>
      </c>
      <c r="J177" s="2722" t="s">
        <v>12667</v>
      </c>
      <c r="K177" s="3122">
        <v>0.41666666666666669</v>
      </c>
      <c r="L177" s="3149">
        <v>0.58958333333333335</v>
      </c>
      <c r="M177" s="3108">
        <v>114</v>
      </c>
      <c r="N177" s="3016" t="s">
        <v>257</v>
      </c>
      <c r="O177" s="3037" t="s">
        <v>7067</v>
      </c>
      <c r="P177" s="3016" t="s">
        <v>12323</v>
      </c>
      <c r="Q177" s="3016" t="s">
        <v>13299</v>
      </c>
      <c r="R177" s="3028"/>
      <c r="S177" s="3109"/>
      <c r="T177" s="3110"/>
      <c r="U177" s="2989"/>
      <c r="W177" s="2901"/>
      <c r="X177" s="2862"/>
    </row>
    <row r="178" spans="1:24" s="1592" customFormat="1" ht="116" hidden="1" x14ac:dyDescent="0.35">
      <c r="A178" s="3021">
        <v>44324</v>
      </c>
      <c r="B178" s="3036">
        <v>10</v>
      </c>
      <c r="C178" s="3015" t="s">
        <v>13205</v>
      </c>
      <c r="D178" s="3032" t="s">
        <v>13206</v>
      </c>
      <c r="E178" s="3015" t="s">
        <v>13207</v>
      </c>
      <c r="F178" s="3029"/>
      <c r="G178" s="3040" t="s">
        <v>13208</v>
      </c>
      <c r="H178" s="3041"/>
      <c r="I178" s="3021">
        <v>44328</v>
      </c>
      <c r="J178" s="3034" t="s">
        <v>13209</v>
      </c>
      <c r="K178" s="3122">
        <v>0.41666666666666669</v>
      </c>
      <c r="L178" s="3149">
        <v>0.6166666666666667</v>
      </c>
      <c r="M178" s="3020">
        <v>275</v>
      </c>
      <c r="N178" s="3016" t="s">
        <v>392</v>
      </c>
      <c r="O178" s="3037" t="s">
        <v>7067</v>
      </c>
      <c r="P178" s="3016" t="s">
        <v>821</v>
      </c>
      <c r="Q178" s="3015" t="s">
        <v>13210</v>
      </c>
      <c r="R178" s="3028"/>
      <c r="S178" s="3031"/>
      <c r="T178" s="3057"/>
      <c r="U178" s="2989"/>
      <c r="W178" s="2901"/>
      <c r="X178" s="2862"/>
    </row>
    <row r="179" spans="1:24" s="1592" customFormat="1" ht="43.5" hidden="1" x14ac:dyDescent="0.35">
      <c r="A179" s="2486">
        <v>44322</v>
      </c>
      <c r="B179" s="3036">
        <v>4</v>
      </c>
      <c r="C179" s="2725" t="s">
        <v>12151</v>
      </c>
      <c r="D179" s="3032" t="s">
        <v>12293</v>
      </c>
      <c r="E179" s="3016" t="s">
        <v>13049</v>
      </c>
      <c r="F179" s="3029"/>
      <c r="G179" s="3040" t="s">
        <v>12328</v>
      </c>
      <c r="H179" s="3041"/>
      <c r="I179" s="2486">
        <v>44328</v>
      </c>
      <c r="J179" s="3034" t="s">
        <v>13050</v>
      </c>
      <c r="K179" s="3122">
        <v>0.41666666666666669</v>
      </c>
      <c r="L179" s="3122">
        <v>0.42499999999999999</v>
      </c>
      <c r="M179" s="3039">
        <v>265</v>
      </c>
      <c r="N179" s="3016" t="s">
        <v>8625</v>
      </c>
      <c r="O179" s="3030" t="s">
        <v>7067</v>
      </c>
      <c r="P179" s="3015" t="s">
        <v>12323</v>
      </c>
      <c r="Q179" s="3015" t="s">
        <v>13051</v>
      </c>
      <c r="R179" s="3028"/>
      <c r="S179" s="3031"/>
      <c r="T179" s="3057"/>
      <c r="U179" s="2989"/>
      <c r="W179" s="2901"/>
      <c r="X179" s="2862"/>
    </row>
    <row r="180" spans="1:24" s="1592" customFormat="1" ht="58" hidden="1" x14ac:dyDescent="0.35">
      <c r="A180" s="3021">
        <v>44327</v>
      </c>
      <c r="B180" s="3107">
        <v>6</v>
      </c>
      <c r="C180" s="3015" t="s">
        <v>13375</v>
      </c>
      <c r="D180" s="3033" t="s">
        <v>13428</v>
      </c>
      <c r="E180" s="3024" t="s">
        <v>13374</v>
      </c>
      <c r="F180" s="3029"/>
      <c r="G180" s="3040" t="s">
        <v>14328</v>
      </c>
      <c r="H180" s="3041"/>
      <c r="I180" s="3021">
        <v>44328</v>
      </c>
      <c r="J180" s="3034" t="s">
        <v>13376</v>
      </c>
      <c r="K180" s="3122">
        <v>0.41666666666666669</v>
      </c>
      <c r="L180" s="3149">
        <v>0.32847222222222222</v>
      </c>
      <c r="M180" s="3111">
        <v>159</v>
      </c>
      <c r="N180" s="3016" t="s">
        <v>8625</v>
      </c>
      <c r="O180" s="3037" t="s">
        <v>7067</v>
      </c>
      <c r="P180" s="3016" t="s">
        <v>12323</v>
      </c>
      <c r="Q180" s="3016" t="s">
        <v>13377</v>
      </c>
      <c r="R180" s="3028"/>
      <c r="S180" s="3109"/>
      <c r="T180" s="3110"/>
      <c r="U180" s="2989"/>
      <c r="W180" s="2901"/>
      <c r="X180" s="2862"/>
    </row>
    <row r="181" spans="1:24" s="1592" customFormat="1" ht="116" hidden="1" x14ac:dyDescent="0.35">
      <c r="A181" s="2486">
        <v>44328</v>
      </c>
      <c r="B181" s="3107">
        <v>4</v>
      </c>
      <c r="C181" s="5" t="s">
        <v>13282</v>
      </c>
      <c r="D181" s="3032" t="s">
        <v>12597</v>
      </c>
      <c r="E181" s="3016" t="s">
        <v>13609</v>
      </c>
      <c r="F181" s="3029"/>
      <c r="G181" s="3040" t="s">
        <v>13610</v>
      </c>
      <c r="H181" s="3041"/>
      <c r="I181" s="2486">
        <v>44329</v>
      </c>
      <c r="J181" s="2722" t="s">
        <v>12663</v>
      </c>
      <c r="K181" s="6">
        <v>0.375</v>
      </c>
      <c r="L181" s="3157">
        <v>0.47291666666666665</v>
      </c>
      <c r="M181" s="3108">
        <v>104</v>
      </c>
      <c r="N181" s="3015" t="s">
        <v>257</v>
      </c>
      <c r="O181" s="3030" t="s">
        <v>140</v>
      </c>
      <c r="P181" s="3015" t="s">
        <v>821</v>
      </c>
      <c r="Q181" s="3015" t="s">
        <v>12410</v>
      </c>
      <c r="R181" s="3028"/>
      <c r="S181" s="3109"/>
      <c r="T181" s="3110"/>
      <c r="U181" s="2989"/>
      <c r="W181" s="2901"/>
      <c r="X181" s="2862"/>
    </row>
    <row r="182" spans="1:24" s="1592" customFormat="1" ht="29" hidden="1" x14ac:dyDescent="0.35">
      <c r="A182" s="2486">
        <v>44328</v>
      </c>
      <c r="B182" s="3107">
        <v>1</v>
      </c>
      <c r="C182" s="5" t="s">
        <v>13339</v>
      </c>
      <c r="D182" s="3032" t="s">
        <v>13623</v>
      </c>
      <c r="E182" s="3016" t="s">
        <v>13624</v>
      </c>
      <c r="F182" s="3029"/>
      <c r="G182" s="3040" t="s">
        <v>12004</v>
      </c>
      <c r="H182" s="3041"/>
      <c r="I182" s="2486">
        <v>44329</v>
      </c>
      <c r="J182" s="3046" t="s">
        <v>13017</v>
      </c>
      <c r="K182" s="6">
        <v>0.375</v>
      </c>
      <c r="L182" s="3228">
        <v>0.4465277777777778</v>
      </c>
      <c r="M182" s="3108">
        <v>140</v>
      </c>
      <c r="N182" s="3016" t="s">
        <v>257</v>
      </c>
      <c r="O182" s="3030" t="s">
        <v>140</v>
      </c>
      <c r="P182" s="3016" t="s">
        <v>216</v>
      </c>
      <c r="Q182" s="3016" t="s">
        <v>12414</v>
      </c>
      <c r="R182" s="3028"/>
      <c r="S182" s="3109"/>
      <c r="T182" s="3110"/>
      <c r="U182" s="2989"/>
      <c r="W182" s="2901"/>
      <c r="X182" s="2862"/>
    </row>
    <row r="183" spans="1:24" s="1592" customFormat="1" ht="116" hidden="1" x14ac:dyDescent="0.35">
      <c r="A183" s="2486">
        <v>44328</v>
      </c>
      <c r="B183" s="3107">
        <v>2</v>
      </c>
      <c r="C183" s="5" t="s">
        <v>13692</v>
      </c>
      <c r="D183" s="3032" t="s">
        <v>13691</v>
      </c>
      <c r="E183" s="3016" t="s">
        <v>13694</v>
      </c>
      <c r="F183" s="3029"/>
      <c r="G183" s="3040" t="s">
        <v>14317</v>
      </c>
      <c r="H183" s="3041"/>
      <c r="I183" s="2486">
        <v>44329</v>
      </c>
      <c r="J183" s="2722" t="s">
        <v>12945</v>
      </c>
      <c r="K183" s="6">
        <v>0.375</v>
      </c>
      <c r="L183" s="3228">
        <v>0.45694444444444443</v>
      </c>
      <c r="M183" s="3108">
        <v>0</v>
      </c>
      <c r="N183" s="3016" t="s">
        <v>5716</v>
      </c>
      <c r="O183" s="3030" t="s">
        <v>140</v>
      </c>
      <c r="P183" s="3016" t="s">
        <v>12323</v>
      </c>
      <c r="Q183" s="3016" t="s">
        <v>13695</v>
      </c>
      <c r="R183" s="3028"/>
      <c r="S183" s="3109"/>
      <c r="T183" s="3110"/>
      <c r="U183" s="2989"/>
      <c r="W183" s="2901"/>
      <c r="X183" s="2862"/>
    </row>
    <row r="184" spans="1:24" s="1592" customFormat="1" ht="409.5" hidden="1" x14ac:dyDescent="0.35">
      <c r="A184" s="2486">
        <v>44328</v>
      </c>
      <c r="B184" s="3107">
        <v>3</v>
      </c>
      <c r="C184" s="5" t="s">
        <v>13692</v>
      </c>
      <c r="D184" s="3032" t="s">
        <v>13691</v>
      </c>
      <c r="E184" s="3016" t="s">
        <v>13696</v>
      </c>
      <c r="F184" s="3029"/>
      <c r="G184" s="3040" t="s">
        <v>14362</v>
      </c>
      <c r="H184" s="3041"/>
      <c r="I184" s="2486">
        <v>44329</v>
      </c>
      <c r="J184" s="2722" t="s">
        <v>12945</v>
      </c>
      <c r="K184" s="6">
        <v>0.375</v>
      </c>
      <c r="L184" s="3228">
        <v>0.34652777777777777</v>
      </c>
      <c r="M184" s="3108">
        <v>0</v>
      </c>
      <c r="N184" s="3016" t="s">
        <v>5716</v>
      </c>
      <c r="O184" s="3030" t="s">
        <v>140</v>
      </c>
      <c r="P184" s="3016" t="s">
        <v>12323</v>
      </c>
      <c r="Q184" s="3016" t="s">
        <v>13693</v>
      </c>
      <c r="R184" s="3028"/>
      <c r="S184" s="3109"/>
      <c r="T184" s="3110"/>
      <c r="U184" s="2989"/>
      <c r="W184" s="2901"/>
      <c r="X184" s="2862"/>
    </row>
    <row r="185" spans="1:24" s="1592" customFormat="1" ht="104.5" hidden="1" x14ac:dyDescent="0.35">
      <c r="A185" s="2486">
        <v>44329</v>
      </c>
      <c r="B185" s="3107"/>
      <c r="C185" s="5" t="s">
        <v>13759</v>
      </c>
      <c r="D185" s="3032" t="s">
        <v>13760</v>
      </c>
      <c r="E185" s="2725" t="s">
        <v>13761</v>
      </c>
      <c r="F185" s="3029"/>
      <c r="G185" s="3040" t="s">
        <v>13762</v>
      </c>
      <c r="H185" s="3041"/>
      <c r="I185" s="2486">
        <v>44329</v>
      </c>
      <c r="J185" s="2722" t="s">
        <v>13763</v>
      </c>
      <c r="K185" s="6" t="s">
        <v>15</v>
      </c>
      <c r="L185" s="3149" t="s">
        <v>972</v>
      </c>
      <c r="M185" s="3111">
        <v>215</v>
      </c>
      <c r="N185" s="3016" t="s">
        <v>8625</v>
      </c>
      <c r="O185" s="3037" t="s">
        <v>15</v>
      </c>
      <c r="P185" s="3016" t="s">
        <v>821</v>
      </c>
      <c r="Q185" s="3016" t="s">
        <v>13764</v>
      </c>
      <c r="R185" s="3028"/>
      <c r="S185" s="3109"/>
      <c r="T185" s="3110"/>
      <c r="U185" s="2989"/>
      <c r="W185" s="2901"/>
      <c r="X185" s="2862"/>
    </row>
    <row r="186" spans="1:24" s="1592" customFormat="1" ht="43.5" hidden="1" x14ac:dyDescent="0.35">
      <c r="A186" s="3021">
        <v>44327</v>
      </c>
      <c r="B186" s="3036">
        <v>17</v>
      </c>
      <c r="C186" s="3015" t="s">
        <v>13399</v>
      </c>
      <c r="D186" s="3032" t="s">
        <v>13400</v>
      </c>
      <c r="E186" s="3024" t="s">
        <v>13397</v>
      </c>
      <c r="F186" s="3029"/>
      <c r="G186" s="3040" t="s">
        <v>13398</v>
      </c>
      <c r="H186" s="3041"/>
      <c r="I186" s="3021">
        <v>44329</v>
      </c>
      <c r="J186" s="3034" t="s">
        <v>13401</v>
      </c>
      <c r="K186" s="3122">
        <v>0.41666666666666669</v>
      </c>
      <c r="L186" s="3149">
        <v>0.41944444444444445</v>
      </c>
      <c r="M186" s="3039">
        <v>155</v>
      </c>
      <c r="N186" s="3016" t="s">
        <v>8625</v>
      </c>
      <c r="O186" s="3037" t="s">
        <v>119</v>
      </c>
      <c r="P186" s="3016" t="s">
        <v>12323</v>
      </c>
      <c r="Q186" s="3016" t="s">
        <v>13402</v>
      </c>
      <c r="R186" s="3028"/>
      <c r="S186" s="3031"/>
      <c r="T186" s="3057"/>
      <c r="U186" s="2989"/>
      <c r="W186" s="2901"/>
      <c r="X186" s="2862"/>
    </row>
    <row r="187" spans="1:24" s="1592" customFormat="1" ht="43.5" hidden="1" x14ac:dyDescent="0.35">
      <c r="A187" s="2486">
        <v>44328</v>
      </c>
      <c r="B187" s="3107">
        <v>12</v>
      </c>
      <c r="C187" s="5" t="s">
        <v>13645</v>
      </c>
      <c r="D187" s="3032" t="s">
        <v>13646</v>
      </c>
      <c r="E187" s="3016" t="s">
        <v>13644</v>
      </c>
      <c r="F187" s="3029"/>
      <c r="G187" s="3040" t="s">
        <v>14316</v>
      </c>
      <c r="H187" s="3041"/>
      <c r="I187" s="2486">
        <v>44329</v>
      </c>
      <c r="J187" s="2722" t="s">
        <v>13647</v>
      </c>
      <c r="K187" s="6">
        <v>0.41666666666666669</v>
      </c>
      <c r="L187" s="3149">
        <v>0.38125000000000003</v>
      </c>
      <c r="M187" s="3111">
        <v>159</v>
      </c>
      <c r="N187" s="3016" t="s">
        <v>8625</v>
      </c>
      <c r="O187" s="3037" t="s">
        <v>119</v>
      </c>
      <c r="P187" s="3016" t="s">
        <v>12323</v>
      </c>
      <c r="Q187" s="3016" t="s">
        <v>13648</v>
      </c>
      <c r="R187" s="3028"/>
      <c r="S187" s="3109"/>
      <c r="T187" s="3110"/>
      <c r="U187" s="2989"/>
      <c r="W187" s="2901"/>
      <c r="X187" s="2862"/>
    </row>
    <row r="188" spans="1:24" s="1592" customFormat="1" ht="116" hidden="1" x14ac:dyDescent="0.35">
      <c r="A188" s="2486">
        <v>44322</v>
      </c>
      <c r="B188" s="3107">
        <v>7</v>
      </c>
      <c r="C188" s="2725" t="s">
        <v>13025</v>
      </c>
      <c r="D188" s="3032" t="s">
        <v>13027</v>
      </c>
      <c r="E188" s="3016" t="s">
        <v>13026</v>
      </c>
      <c r="F188" s="3029"/>
      <c r="G188" s="3040" t="s">
        <v>11444</v>
      </c>
      <c r="H188" s="3041"/>
      <c r="I188" s="2486">
        <v>44329</v>
      </c>
      <c r="J188" s="3034" t="s">
        <v>13566</v>
      </c>
      <c r="K188" s="3122">
        <v>0.41666666666666669</v>
      </c>
      <c r="L188" s="3122">
        <v>0.49722222222222223</v>
      </c>
      <c r="M188" s="3111">
        <v>231</v>
      </c>
      <c r="N188" s="3016" t="s">
        <v>8625</v>
      </c>
      <c r="O188" s="3030" t="s">
        <v>119</v>
      </c>
      <c r="P188" s="3015" t="s">
        <v>12317</v>
      </c>
      <c r="Q188" s="3015" t="s">
        <v>12458</v>
      </c>
      <c r="R188" s="3028"/>
      <c r="S188" s="3109"/>
      <c r="T188" s="3110"/>
      <c r="U188" s="2989"/>
      <c r="W188" s="2901"/>
      <c r="X188" s="2862"/>
    </row>
    <row r="189" spans="1:24" s="1592" customFormat="1" ht="72.5" hidden="1" x14ac:dyDescent="0.35">
      <c r="A189" s="2486">
        <v>44328</v>
      </c>
      <c r="B189" s="3107">
        <v>8</v>
      </c>
      <c r="C189" s="5" t="s">
        <v>13550</v>
      </c>
      <c r="D189" s="3032" t="s">
        <v>12431</v>
      </c>
      <c r="E189" s="3016" t="s">
        <v>13551</v>
      </c>
      <c r="F189" s="3029"/>
      <c r="G189" s="3040"/>
      <c r="H189" s="3041"/>
      <c r="I189" s="2486">
        <v>44329</v>
      </c>
      <c r="J189" s="2722" t="s">
        <v>13572</v>
      </c>
      <c r="K189" s="6">
        <v>0.41666666666666669</v>
      </c>
      <c r="L189" s="3157">
        <v>0.53680555555555554</v>
      </c>
      <c r="M189" s="3108">
        <v>0</v>
      </c>
      <c r="N189" s="3016" t="s">
        <v>13552</v>
      </c>
      <c r="O189" s="3037" t="s">
        <v>119</v>
      </c>
      <c r="P189" s="3016" t="s">
        <v>11932</v>
      </c>
      <c r="Q189" s="3016" t="s">
        <v>11183</v>
      </c>
      <c r="R189" s="3028"/>
      <c r="S189" s="3109"/>
      <c r="T189" s="3110"/>
      <c r="U189" s="2989"/>
      <c r="W189" s="2901"/>
      <c r="X189" s="2862"/>
    </row>
    <row r="190" spans="1:24" s="1592" customFormat="1" ht="71.5" hidden="1" x14ac:dyDescent="0.35">
      <c r="A190" s="2486">
        <v>44328</v>
      </c>
      <c r="B190" s="3107">
        <v>11</v>
      </c>
      <c r="C190" s="5" t="s">
        <v>13525</v>
      </c>
      <c r="D190" s="3032" t="s">
        <v>13536</v>
      </c>
      <c r="E190" s="3016" t="s">
        <v>13524</v>
      </c>
      <c r="F190" s="3029"/>
      <c r="G190" s="3040" t="s">
        <v>14330</v>
      </c>
      <c r="H190" s="3041"/>
      <c r="I190" s="2486">
        <v>44329</v>
      </c>
      <c r="J190" s="2722" t="s">
        <v>13573</v>
      </c>
      <c r="K190" s="6">
        <v>0.41666666666666669</v>
      </c>
      <c r="L190" s="3149">
        <v>0.4826388888888889</v>
      </c>
      <c r="M190" s="3111">
        <v>254</v>
      </c>
      <c r="N190" s="3016" t="s">
        <v>8625</v>
      </c>
      <c r="O190" s="3037" t="s">
        <v>119</v>
      </c>
      <c r="P190" s="3016" t="s">
        <v>12323</v>
      </c>
      <c r="Q190" s="3016" t="s">
        <v>13526</v>
      </c>
      <c r="R190" s="3028"/>
      <c r="S190" s="3109"/>
      <c r="T190" s="3110"/>
      <c r="U190" s="2989"/>
      <c r="W190" s="2901"/>
      <c r="X190" s="2862"/>
    </row>
    <row r="191" spans="1:24" s="1592" customFormat="1" ht="43.5" hidden="1" x14ac:dyDescent="0.35">
      <c r="A191" s="2486">
        <v>44328</v>
      </c>
      <c r="B191" s="3107">
        <v>6</v>
      </c>
      <c r="C191" s="5" t="s">
        <v>13509</v>
      </c>
      <c r="D191" s="3032" t="s">
        <v>13510</v>
      </c>
      <c r="E191" s="3016" t="s">
        <v>13508</v>
      </c>
      <c r="F191" s="3029"/>
      <c r="G191" s="3040" t="s">
        <v>13511</v>
      </c>
      <c r="H191" s="3041"/>
      <c r="I191" s="2486">
        <v>44329</v>
      </c>
      <c r="J191" s="2722" t="s">
        <v>13574</v>
      </c>
      <c r="K191" s="6">
        <v>0.41666666666666669</v>
      </c>
      <c r="L191" s="3149">
        <v>0.31041666666666667</v>
      </c>
      <c r="M191" s="3111">
        <v>155</v>
      </c>
      <c r="N191" s="3016" t="s">
        <v>8625</v>
      </c>
      <c r="O191" s="3037" t="s">
        <v>119</v>
      </c>
      <c r="P191" s="3016" t="s">
        <v>12323</v>
      </c>
      <c r="Q191" s="3016" t="s">
        <v>13517</v>
      </c>
      <c r="R191" s="3028"/>
      <c r="S191" s="3109"/>
      <c r="T191" s="3110"/>
      <c r="U191" s="2989"/>
      <c r="W191" s="2901"/>
      <c r="X191" s="2862"/>
    </row>
    <row r="192" spans="1:24" s="1592" customFormat="1" ht="58" hidden="1" x14ac:dyDescent="0.35">
      <c r="A192" s="2486">
        <v>44328</v>
      </c>
      <c r="B192" s="3107">
        <v>10</v>
      </c>
      <c r="C192" s="5" t="s">
        <v>13649</v>
      </c>
      <c r="D192" s="3032" t="s">
        <v>13650</v>
      </c>
      <c r="E192" s="3016" t="s">
        <v>13653</v>
      </c>
      <c r="F192" s="3029"/>
      <c r="G192" s="3040" t="s">
        <v>13654</v>
      </c>
      <c r="H192" s="3041"/>
      <c r="I192" s="2486">
        <v>44329</v>
      </c>
      <c r="J192" s="2722" t="s">
        <v>13651</v>
      </c>
      <c r="K192" s="6">
        <v>0.41666666666666669</v>
      </c>
      <c r="L192" s="3149">
        <v>0.30138888888888887</v>
      </c>
      <c r="M192" s="3111">
        <v>165</v>
      </c>
      <c r="N192" s="3016" t="s">
        <v>8625</v>
      </c>
      <c r="O192" s="3037" t="s">
        <v>119</v>
      </c>
      <c r="P192" s="3016" t="s">
        <v>12323</v>
      </c>
      <c r="Q192" s="3016" t="s">
        <v>13652</v>
      </c>
      <c r="R192" s="3028"/>
      <c r="S192" s="3109"/>
      <c r="T192" s="3110"/>
      <c r="U192" s="2989"/>
      <c r="W192" s="2901"/>
      <c r="X192" s="2862"/>
    </row>
    <row r="193" spans="1:24" s="1592" customFormat="1" ht="93.5" hidden="1" x14ac:dyDescent="0.35">
      <c r="A193" s="2486">
        <v>44328</v>
      </c>
      <c r="B193" s="3107">
        <v>9</v>
      </c>
      <c r="C193" s="5" t="s">
        <v>13675</v>
      </c>
      <c r="D193" s="3032" t="s">
        <v>13674</v>
      </c>
      <c r="E193" s="3016" t="s">
        <v>13676</v>
      </c>
      <c r="F193" s="3029"/>
      <c r="G193" s="3040" t="s">
        <v>14363</v>
      </c>
      <c r="H193" s="3041"/>
      <c r="I193" s="2486">
        <v>44329</v>
      </c>
      <c r="J193" s="2722" t="s">
        <v>13677</v>
      </c>
      <c r="K193" s="6">
        <v>0.41666666666666669</v>
      </c>
      <c r="L193" s="3157">
        <v>0.50208333333333333</v>
      </c>
      <c r="M193" s="3123">
        <v>121</v>
      </c>
      <c r="N193" s="3016" t="s">
        <v>257</v>
      </c>
      <c r="O193" s="3037" t="s">
        <v>119</v>
      </c>
      <c r="P193" s="3016" t="s">
        <v>216</v>
      </c>
      <c r="Q193" s="3015" t="s">
        <v>12427</v>
      </c>
      <c r="R193" s="3028"/>
      <c r="S193" s="3109"/>
      <c r="T193" s="3110"/>
      <c r="U193" s="2989"/>
      <c r="W193" s="2901"/>
      <c r="X193" s="2862"/>
    </row>
    <row r="194" spans="1:24" s="1592" customFormat="1" ht="43.5" hidden="1" x14ac:dyDescent="0.35">
      <c r="A194" s="2486">
        <v>44328</v>
      </c>
      <c r="B194" s="3107">
        <v>16</v>
      </c>
      <c r="C194" s="5" t="s">
        <v>2815</v>
      </c>
      <c r="D194" s="3032" t="s">
        <v>13661</v>
      </c>
      <c r="E194" s="3016" t="s">
        <v>13660</v>
      </c>
      <c r="F194" s="3029"/>
      <c r="G194" s="3040" t="s">
        <v>13287</v>
      </c>
      <c r="H194" s="3041"/>
      <c r="I194" s="2486">
        <v>44329</v>
      </c>
      <c r="J194" s="2722" t="s">
        <v>13662</v>
      </c>
      <c r="K194" s="6">
        <v>0.41666666666666669</v>
      </c>
      <c r="L194" s="3149">
        <v>0.37916666666666665</v>
      </c>
      <c r="M194" s="3111">
        <v>231</v>
      </c>
      <c r="N194" s="3016" t="s">
        <v>8625</v>
      </c>
      <c r="O194" s="3037" t="s">
        <v>119</v>
      </c>
      <c r="P194" s="3016" t="s">
        <v>12323</v>
      </c>
      <c r="Q194" s="3016" t="s">
        <v>13664</v>
      </c>
      <c r="R194" s="3028"/>
      <c r="S194" s="3109"/>
      <c r="T194" s="3110"/>
      <c r="U194" s="2989"/>
      <c r="W194" s="2901"/>
      <c r="X194" s="2862"/>
    </row>
    <row r="195" spans="1:24" s="1592" customFormat="1" ht="72.5" hidden="1" x14ac:dyDescent="0.35">
      <c r="A195" s="3047">
        <v>44325</v>
      </c>
      <c r="B195" s="3042">
        <v>13</v>
      </c>
      <c r="C195" s="3026" t="s">
        <v>13246</v>
      </c>
      <c r="D195" s="3044" t="s">
        <v>13247</v>
      </c>
      <c r="E195" s="3048" t="s">
        <v>13248</v>
      </c>
      <c r="F195" s="3025"/>
      <c r="G195" s="3050" t="s">
        <v>11432</v>
      </c>
      <c r="H195" s="3049"/>
      <c r="I195" s="3047">
        <v>44329</v>
      </c>
      <c r="J195" s="3046" t="s">
        <v>13249</v>
      </c>
      <c r="K195" s="3128">
        <v>0.41666666666666669</v>
      </c>
      <c r="L195" s="3152">
        <v>0.3611111111111111</v>
      </c>
      <c r="M195" s="3039">
        <v>465</v>
      </c>
      <c r="N195" s="3025" t="s">
        <v>11311</v>
      </c>
      <c r="O195" s="3045" t="s">
        <v>119</v>
      </c>
      <c r="P195" s="3025" t="s">
        <v>821</v>
      </c>
      <c r="Q195" s="3025" t="s">
        <v>13250</v>
      </c>
      <c r="R195" s="3028"/>
      <c r="S195" s="3031"/>
      <c r="T195" s="3057"/>
      <c r="U195" s="2989"/>
      <c r="W195" s="2901"/>
      <c r="X195" s="2862"/>
    </row>
    <row r="196" spans="1:24" s="1592" customFormat="1" ht="43.5" hidden="1" x14ac:dyDescent="0.35">
      <c r="A196" s="2486">
        <v>44328</v>
      </c>
      <c r="B196" s="3107">
        <v>5</v>
      </c>
      <c r="C196" s="5" t="s">
        <v>13630</v>
      </c>
      <c r="D196" s="3032" t="s">
        <v>13631</v>
      </c>
      <c r="E196" s="3016" t="s">
        <v>13629</v>
      </c>
      <c r="F196" s="3029"/>
      <c r="G196" s="3040" t="s">
        <v>14328</v>
      </c>
      <c r="H196" s="3041"/>
      <c r="I196" s="2486">
        <v>44329</v>
      </c>
      <c r="J196" s="2722" t="s">
        <v>13632</v>
      </c>
      <c r="K196" s="6">
        <v>0.41666666666666669</v>
      </c>
      <c r="L196" s="3149">
        <v>0.40069444444444446</v>
      </c>
      <c r="M196" s="3108">
        <v>159</v>
      </c>
      <c r="N196" s="3016" t="s">
        <v>257</v>
      </c>
      <c r="O196" s="3037" t="s">
        <v>119</v>
      </c>
      <c r="P196" s="3016" t="s">
        <v>12323</v>
      </c>
      <c r="Q196" s="3016" t="s">
        <v>13633</v>
      </c>
      <c r="R196" s="3028"/>
      <c r="S196" s="3109"/>
      <c r="T196" s="3110"/>
      <c r="U196" s="2989"/>
      <c r="W196" s="2901"/>
      <c r="X196" s="2862"/>
    </row>
    <row r="197" spans="1:24" s="1592" customFormat="1" ht="217.5" hidden="1" x14ac:dyDescent="0.35">
      <c r="A197" s="3047">
        <v>44323</v>
      </c>
      <c r="B197" s="2880">
        <v>18</v>
      </c>
      <c r="C197" s="3026" t="s">
        <v>13149</v>
      </c>
      <c r="D197" s="3134" t="s">
        <v>13150</v>
      </c>
      <c r="E197" s="3026" t="s">
        <v>13580</v>
      </c>
      <c r="F197" s="3022"/>
      <c r="G197" s="2934" t="s">
        <v>11478</v>
      </c>
      <c r="H197" s="3049"/>
      <c r="I197" s="3047">
        <v>44329</v>
      </c>
      <c r="J197" s="3136" t="s">
        <v>13151</v>
      </c>
      <c r="K197" s="3128">
        <v>0.45833333333333331</v>
      </c>
      <c r="L197" s="3125" t="s">
        <v>13152</v>
      </c>
      <c r="M197" s="3135">
        <v>1000</v>
      </c>
      <c r="N197" s="3026" t="s">
        <v>257</v>
      </c>
      <c r="O197" s="2878" t="s">
        <v>10475</v>
      </c>
      <c r="P197" s="3026" t="s">
        <v>17</v>
      </c>
      <c r="Q197" s="3026" t="s">
        <v>12417</v>
      </c>
      <c r="R197" s="3028"/>
      <c r="S197" s="3031"/>
      <c r="T197" s="3057"/>
      <c r="U197" s="2989"/>
      <c r="W197" s="2901"/>
      <c r="X197" s="2862"/>
    </row>
    <row r="198" spans="1:24" s="1592" customFormat="1" ht="148.5" hidden="1" x14ac:dyDescent="0.35">
      <c r="A198" s="2486">
        <v>44328</v>
      </c>
      <c r="B198" s="3107">
        <v>14</v>
      </c>
      <c r="C198" s="5" t="s">
        <v>13618</v>
      </c>
      <c r="D198" s="3032" t="s">
        <v>13619</v>
      </c>
      <c r="E198" s="3016" t="s">
        <v>13620</v>
      </c>
      <c r="F198" s="3029"/>
      <c r="G198" s="3040" t="s">
        <v>13621</v>
      </c>
      <c r="H198" s="3041"/>
      <c r="I198" s="2486">
        <v>44329</v>
      </c>
      <c r="J198" s="2722" t="s">
        <v>13622</v>
      </c>
      <c r="K198" s="6">
        <v>0.41666666666666669</v>
      </c>
      <c r="L198" s="3149">
        <v>0.6479166666666667</v>
      </c>
      <c r="M198" s="3108">
        <v>0</v>
      </c>
      <c r="N198" s="3016" t="s">
        <v>5716</v>
      </c>
      <c r="O198" s="3037" t="s">
        <v>119</v>
      </c>
      <c r="P198" s="3016" t="s">
        <v>216</v>
      </c>
      <c r="Q198" s="3016" t="s">
        <v>12413</v>
      </c>
      <c r="R198" s="3028"/>
      <c r="S198" s="3109"/>
      <c r="T198" s="3110"/>
      <c r="U198" s="2989"/>
      <c r="W198" s="2901"/>
      <c r="X198" s="2862"/>
    </row>
    <row r="199" spans="1:24" s="1592" customFormat="1" ht="58" hidden="1" x14ac:dyDescent="0.35">
      <c r="A199" s="2486">
        <v>44328</v>
      </c>
      <c r="B199" s="3107">
        <v>15</v>
      </c>
      <c r="C199" s="5" t="s">
        <v>13616</v>
      </c>
      <c r="D199" s="3131"/>
      <c r="E199" s="3016" t="s">
        <v>13615</v>
      </c>
      <c r="F199" s="3029"/>
      <c r="G199" s="3040"/>
      <c r="H199" s="3041"/>
      <c r="I199" s="2486">
        <v>44329</v>
      </c>
      <c r="J199" s="2722" t="s">
        <v>13617</v>
      </c>
      <c r="K199" s="6">
        <v>0.41666666666666669</v>
      </c>
      <c r="L199" s="3157">
        <v>0.67222222222222217</v>
      </c>
      <c r="M199" s="3108">
        <v>0</v>
      </c>
      <c r="N199" s="3016" t="s">
        <v>13615</v>
      </c>
      <c r="O199" s="3037" t="s">
        <v>119</v>
      </c>
      <c r="P199" s="3016" t="s">
        <v>4870</v>
      </c>
      <c r="Q199" s="3016" t="s">
        <v>11183</v>
      </c>
      <c r="R199" s="3028"/>
      <c r="S199" s="3109"/>
      <c r="T199" s="3110"/>
      <c r="U199" s="2989"/>
      <c r="W199" s="2901"/>
      <c r="X199" s="2862"/>
    </row>
    <row r="200" spans="1:24" s="1592" customFormat="1" ht="43.5" hidden="1" x14ac:dyDescent="0.35">
      <c r="A200" s="2486">
        <v>44326</v>
      </c>
      <c r="B200" s="3107">
        <v>19</v>
      </c>
      <c r="C200" s="5" t="s">
        <v>13298</v>
      </c>
      <c r="D200" s="3032" t="s">
        <v>13291</v>
      </c>
      <c r="E200" s="2725" t="s">
        <v>13290</v>
      </c>
      <c r="F200" s="3029"/>
      <c r="G200" s="3040" t="s">
        <v>11466</v>
      </c>
      <c r="H200" s="3041"/>
      <c r="I200" s="2486">
        <v>44329</v>
      </c>
      <c r="J200" s="3046" t="s">
        <v>5494</v>
      </c>
      <c r="K200" s="3149">
        <v>0.45833333333333331</v>
      </c>
      <c r="L200" s="3149">
        <v>0.45833333333333331</v>
      </c>
      <c r="M200" s="3111">
        <v>140</v>
      </c>
      <c r="N200" s="3016" t="s">
        <v>8625</v>
      </c>
      <c r="O200" s="3037" t="s">
        <v>15</v>
      </c>
      <c r="P200" s="3016" t="s">
        <v>12323</v>
      </c>
      <c r="Q200" s="3016" t="s">
        <v>13292</v>
      </c>
      <c r="R200" s="3028"/>
      <c r="S200" s="3109"/>
      <c r="T200" s="3110"/>
      <c r="U200" s="2989"/>
      <c r="W200" s="2901"/>
      <c r="X200" s="2862"/>
    </row>
    <row r="201" spans="1:24" s="1592" customFormat="1" ht="116" hidden="1" x14ac:dyDescent="0.35">
      <c r="A201" s="3021">
        <v>44327</v>
      </c>
      <c r="B201" s="3036">
        <v>20</v>
      </c>
      <c r="C201" s="3015" t="s">
        <v>13423</v>
      </c>
      <c r="D201" s="3032" t="s">
        <v>13420</v>
      </c>
      <c r="E201" s="3024" t="s">
        <v>13422</v>
      </c>
      <c r="F201" s="3022"/>
      <c r="G201" s="2933" t="s">
        <v>13421</v>
      </c>
      <c r="H201" s="3041"/>
      <c r="I201" s="3021">
        <v>44329</v>
      </c>
      <c r="J201" s="3046" t="s">
        <v>6032</v>
      </c>
      <c r="K201" s="3149">
        <v>0.45833333333333331</v>
      </c>
      <c r="L201" s="3149">
        <v>0.45833333333333331</v>
      </c>
      <c r="M201" s="3020">
        <v>300</v>
      </c>
      <c r="N201" s="3016" t="s">
        <v>257</v>
      </c>
      <c r="O201" s="3037" t="s">
        <v>15</v>
      </c>
      <c r="P201" s="3016" t="s">
        <v>22</v>
      </c>
      <c r="Q201" s="3015" t="s">
        <v>12460</v>
      </c>
      <c r="R201" s="3027"/>
      <c r="S201" s="3031"/>
      <c r="T201" s="3057"/>
      <c r="U201" s="2992"/>
      <c r="W201" s="2901"/>
      <c r="X201" s="2862"/>
    </row>
    <row r="202" spans="1:24" s="1592" customFormat="1" ht="409.5" hidden="1" x14ac:dyDescent="0.35">
      <c r="A202" s="2486">
        <v>44329</v>
      </c>
      <c r="B202" s="3107">
        <v>1</v>
      </c>
      <c r="C202" s="5" t="s">
        <v>13042</v>
      </c>
      <c r="D202" s="3131"/>
      <c r="E202" s="2725" t="s">
        <v>13781</v>
      </c>
      <c r="F202" s="3029"/>
      <c r="G202" s="3041" t="s">
        <v>14364</v>
      </c>
      <c r="H202" s="3041"/>
      <c r="I202" s="2486">
        <v>44330</v>
      </c>
      <c r="J202" s="2722" t="s">
        <v>12945</v>
      </c>
      <c r="K202" s="6">
        <v>0.375</v>
      </c>
      <c r="L202" s="3157">
        <v>0.39027777777777778</v>
      </c>
      <c r="M202" s="3108">
        <v>0</v>
      </c>
      <c r="N202" s="3016" t="s">
        <v>5716</v>
      </c>
      <c r="O202" s="3037" t="s">
        <v>7067</v>
      </c>
      <c r="P202" s="3016" t="s">
        <v>821</v>
      </c>
      <c r="Q202" s="3016" t="s">
        <v>11183</v>
      </c>
      <c r="R202" s="3028"/>
      <c r="S202" s="3109"/>
      <c r="T202" s="3110"/>
      <c r="U202" s="2992"/>
      <c r="W202" s="2901"/>
      <c r="X202" s="2862"/>
    </row>
    <row r="203" spans="1:24" s="1592" customFormat="1" ht="43.5" hidden="1" x14ac:dyDescent="0.35">
      <c r="A203" s="3021">
        <v>44327</v>
      </c>
      <c r="B203" s="3036">
        <v>23</v>
      </c>
      <c r="C203" s="3015" t="s">
        <v>13437</v>
      </c>
      <c r="D203" s="3032" t="s">
        <v>13438</v>
      </c>
      <c r="E203" s="3024" t="s">
        <v>13436</v>
      </c>
      <c r="F203" s="3029"/>
      <c r="G203" s="3040" t="s">
        <v>14316</v>
      </c>
      <c r="H203" s="3041"/>
      <c r="I203" s="3021">
        <v>44330</v>
      </c>
      <c r="J203" s="3034" t="s">
        <v>13439</v>
      </c>
      <c r="K203" s="3122">
        <v>0.3756944444444445</v>
      </c>
      <c r="L203" s="3149">
        <v>0.56319444444444444</v>
      </c>
      <c r="M203" s="3020">
        <v>159</v>
      </c>
      <c r="N203" s="3016" t="s">
        <v>257</v>
      </c>
      <c r="O203" s="3030" t="s">
        <v>119</v>
      </c>
      <c r="P203" s="3015" t="s">
        <v>12323</v>
      </c>
      <c r="Q203" s="3015" t="s">
        <v>13440</v>
      </c>
      <c r="R203" s="3028"/>
      <c r="S203" s="3031"/>
      <c r="T203" s="3057"/>
      <c r="U203" s="2992"/>
      <c r="W203" s="2901"/>
      <c r="X203" s="2862"/>
    </row>
    <row r="204" spans="1:24" s="1592" customFormat="1" ht="43.5" hidden="1" x14ac:dyDescent="0.35">
      <c r="A204" s="2486">
        <v>44329</v>
      </c>
      <c r="B204" s="3036">
        <v>19</v>
      </c>
      <c r="C204" s="5" t="s">
        <v>13723</v>
      </c>
      <c r="D204" s="3032" t="s">
        <v>13724</v>
      </c>
      <c r="E204" s="2725" t="s">
        <v>13726</v>
      </c>
      <c r="F204" s="3029"/>
      <c r="G204" s="3040" t="s">
        <v>11439</v>
      </c>
      <c r="H204" s="3041"/>
      <c r="I204" s="2486">
        <v>44330</v>
      </c>
      <c r="J204" s="2722" t="s">
        <v>13725</v>
      </c>
      <c r="K204" s="6">
        <v>0.3756944444444445</v>
      </c>
      <c r="L204" s="3149">
        <v>0.43263888888888885</v>
      </c>
      <c r="M204" s="3039">
        <v>105</v>
      </c>
      <c r="N204" s="3016" t="s">
        <v>8625</v>
      </c>
      <c r="O204" s="3037" t="s">
        <v>119</v>
      </c>
      <c r="P204" s="3016" t="s">
        <v>12323</v>
      </c>
      <c r="Q204" s="3015" t="s">
        <v>13727</v>
      </c>
      <c r="R204" s="3028"/>
      <c r="S204" s="3031"/>
      <c r="T204" s="3057"/>
      <c r="U204" s="2992"/>
      <c r="W204" s="2901"/>
      <c r="X204" s="2862"/>
    </row>
    <row r="205" spans="1:24" s="1592" customFormat="1" ht="43.5" hidden="1" x14ac:dyDescent="0.35">
      <c r="A205" s="2486">
        <v>44326</v>
      </c>
      <c r="B205" s="3107">
        <v>29</v>
      </c>
      <c r="C205" s="5" t="s">
        <v>13305</v>
      </c>
      <c r="D205" s="3032" t="s">
        <v>13306</v>
      </c>
      <c r="E205" s="2725" t="s">
        <v>13304</v>
      </c>
      <c r="F205" s="3029"/>
      <c r="G205" s="3040" t="s">
        <v>13307</v>
      </c>
      <c r="H205" s="3041"/>
      <c r="I205" s="2486">
        <v>44330</v>
      </c>
      <c r="J205" s="2722" t="s">
        <v>13308</v>
      </c>
      <c r="K205" s="3122">
        <v>0.3756944444444445</v>
      </c>
      <c r="L205" s="3149">
        <v>0.70000000000000007</v>
      </c>
      <c r="M205" s="3111">
        <v>195</v>
      </c>
      <c r="N205" s="3016" t="s">
        <v>8625</v>
      </c>
      <c r="O205" s="3037" t="s">
        <v>119</v>
      </c>
      <c r="P205" s="3016" t="s">
        <v>12323</v>
      </c>
      <c r="Q205" s="3016" t="s">
        <v>13309</v>
      </c>
      <c r="R205" s="3028"/>
      <c r="S205" s="3109"/>
      <c r="T205" s="3110"/>
      <c r="U205" s="2992"/>
      <c r="W205" s="2901"/>
      <c r="X205" s="2862"/>
    </row>
    <row r="206" spans="1:24" s="1592" customFormat="1" ht="58" hidden="1" x14ac:dyDescent="0.35">
      <c r="A206" s="3047">
        <v>44327</v>
      </c>
      <c r="B206" s="3042">
        <v>6</v>
      </c>
      <c r="C206" s="3026" t="s">
        <v>12308</v>
      </c>
      <c r="D206" s="3044" t="s">
        <v>12309</v>
      </c>
      <c r="E206" s="3048" t="s">
        <v>13454</v>
      </c>
      <c r="F206" s="3025"/>
      <c r="G206" s="3050" t="s">
        <v>11432</v>
      </c>
      <c r="H206" s="3049"/>
      <c r="I206" s="3047">
        <v>44330</v>
      </c>
      <c r="J206" s="3046" t="s">
        <v>13453</v>
      </c>
      <c r="K206" s="3128">
        <v>0.375</v>
      </c>
      <c r="L206" s="3157">
        <v>0.52013888888888882</v>
      </c>
      <c r="M206" s="3038">
        <v>315</v>
      </c>
      <c r="N206" s="3025" t="s">
        <v>257</v>
      </c>
      <c r="O206" s="3045" t="s">
        <v>7067</v>
      </c>
      <c r="P206" s="3025" t="s">
        <v>821</v>
      </c>
      <c r="Q206" s="3026" t="s">
        <v>12406</v>
      </c>
      <c r="R206" s="3028"/>
      <c r="S206" s="3031"/>
      <c r="T206" s="3057"/>
      <c r="U206" s="2992"/>
      <c r="W206" s="2901"/>
      <c r="X206" s="2862"/>
    </row>
    <row r="207" spans="1:24" s="1592" customFormat="1" ht="43.5" hidden="1" x14ac:dyDescent="0.35">
      <c r="A207" s="3021">
        <v>44327</v>
      </c>
      <c r="B207" s="3036">
        <v>18</v>
      </c>
      <c r="C207" s="3015" t="s">
        <v>13498</v>
      </c>
      <c r="D207" s="3032" t="s">
        <v>13501</v>
      </c>
      <c r="E207" s="3024" t="s">
        <v>13387</v>
      </c>
      <c r="F207" s="3029"/>
      <c r="G207" s="3040" t="s">
        <v>13390</v>
      </c>
      <c r="H207" s="3041"/>
      <c r="I207" s="3021">
        <v>44330</v>
      </c>
      <c r="J207" s="3034" t="s">
        <v>13499</v>
      </c>
      <c r="K207" s="3122">
        <v>0.3756944444444445</v>
      </c>
      <c r="L207" s="3149">
        <v>0.41111111111111115</v>
      </c>
      <c r="M207" s="3020">
        <v>135</v>
      </c>
      <c r="N207" s="3016" t="s">
        <v>257</v>
      </c>
      <c r="O207" s="3037" t="s">
        <v>119</v>
      </c>
      <c r="P207" s="3016" t="s">
        <v>12323</v>
      </c>
      <c r="Q207" s="3016" t="s">
        <v>13500</v>
      </c>
      <c r="R207" s="3028"/>
      <c r="S207" s="3031"/>
      <c r="T207" s="3057"/>
      <c r="U207" s="2992"/>
      <c r="W207" s="2901"/>
      <c r="X207" s="2862"/>
    </row>
    <row r="208" spans="1:24" s="1592" customFormat="1" ht="348" hidden="1" x14ac:dyDescent="0.35">
      <c r="A208" s="3047">
        <v>44276</v>
      </c>
      <c r="B208" s="2953">
        <v>20</v>
      </c>
      <c r="C208" s="3026" t="s">
        <v>12325</v>
      </c>
      <c r="D208" s="3044" t="s">
        <v>12326</v>
      </c>
      <c r="E208" s="3026" t="s">
        <v>13013</v>
      </c>
      <c r="F208" s="3029"/>
      <c r="G208" s="3050" t="s">
        <v>12167</v>
      </c>
      <c r="H208" s="2892"/>
      <c r="I208" s="3047">
        <v>44330</v>
      </c>
      <c r="J208" s="2948" t="s">
        <v>13014</v>
      </c>
      <c r="K208" s="3128">
        <v>0.3756944444444445</v>
      </c>
      <c r="L208" s="3119">
        <v>0.4770833333333333</v>
      </c>
      <c r="M208" s="3039">
        <v>1188</v>
      </c>
      <c r="N208" s="3025" t="s">
        <v>13015</v>
      </c>
      <c r="O208" s="3025" t="s">
        <v>119</v>
      </c>
      <c r="P208" s="3025" t="s">
        <v>821</v>
      </c>
      <c r="Q208" s="3025" t="s">
        <v>12412</v>
      </c>
      <c r="R208" s="3028"/>
      <c r="S208" s="3031"/>
      <c r="T208" s="3057"/>
      <c r="U208" s="2992"/>
      <c r="W208" s="2901"/>
      <c r="X208" s="2862"/>
    </row>
    <row r="209" spans="1:24" s="1592" customFormat="1" ht="58" hidden="1" x14ac:dyDescent="0.35">
      <c r="A209" s="2486">
        <v>44329</v>
      </c>
      <c r="B209" s="3036">
        <v>22</v>
      </c>
      <c r="C209" s="5" t="s">
        <v>13719</v>
      </c>
      <c r="D209" s="3032" t="s">
        <v>13720</v>
      </c>
      <c r="E209" s="2725" t="s">
        <v>13718</v>
      </c>
      <c r="F209" s="3029"/>
      <c r="G209" s="3040" t="s">
        <v>14321</v>
      </c>
      <c r="H209" s="3041"/>
      <c r="I209" s="2486">
        <v>44330</v>
      </c>
      <c r="J209" s="2722" t="s">
        <v>13721</v>
      </c>
      <c r="K209" s="6">
        <v>0.3756944444444445</v>
      </c>
      <c r="L209" s="3149">
        <v>0.5444444444444444</v>
      </c>
      <c r="M209" s="3020">
        <v>231</v>
      </c>
      <c r="N209" s="3016" t="s">
        <v>257</v>
      </c>
      <c r="O209" s="3037" t="s">
        <v>119</v>
      </c>
      <c r="P209" s="3016" t="s">
        <v>12323</v>
      </c>
      <c r="Q209" s="3015" t="s">
        <v>13722</v>
      </c>
      <c r="R209" s="3028"/>
      <c r="S209" s="3031"/>
      <c r="T209" s="3057"/>
      <c r="U209" s="2992"/>
      <c r="W209" s="2901"/>
      <c r="X209" s="2862"/>
    </row>
    <row r="210" spans="1:24" s="1592" customFormat="1" ht="58" hidden="1" x14ac:dyDescent="0.35">
      <c r="A210" s="2486">
        <v>44329</v>
      </c>
      <c r="B210" s="3107">
        <v>12</v>
      </c>
      <c r="C210" s="5" t="s">
        <v>12273</v>
      </c>
      <c r="D210" s="3032" t="s">
        <v>13795</v>
      </c>
      <c r="E210" s="2725" t="s">
        <v>13791</v>
      </c>
      <c r="F210" s="3029"/>
      <c r="G210" s="3040" t="s">
        <v>13214</v>
      </c>
      <c r="H210" s="3041"/>
      <c r="I210" s="2486">
        <v>44330</v>
      </c>
      <c r="J210" s="2722" t="s">
        <v>13794</v>
      </c>
      <c r="K210" s="6">
        <v>0.375</v>
      </c>
      <c r="L210" s="3157">
        <v>0.6430555555555556</v>
      </c>
      <c r="M210" s="3108">
        <v>155</v>
      </c>
      <c r="N210" s="3016" t="s">
        <v>257</v>
      </c>
      <c r="O210" s="3037" t="s">
        <v>7067</v>
      </c>
      <c r="P210" s="3016" t="s">
        <v>1031</v>
      </c>
      <c r="Q210" s="3016" t="s">
        <v>12403</v>
      </c>
      <c r="R210" s="3028"/>
      <c r="S210" s="3109"/>
      <c r="T210" s="3110"/>
      <c r="U210" s="2992"/>
      <c r="W210" s="2901"/>
      <c r="X210" s="2862"/>
    </row>
    <row r="211" spans="1:24" s="1592" customFormat="1" ht="58" hidden="1" x14ac:dyDescent="0.35">
      <c r="A211" s="2486">
        <v>44329</v>
      </c>
      <c r="B211" s="3107">
        <v>16</v>
      </c>
      <c r="C211" s="5" t="s">
        <v>12273</v>
      </c>
      <c r="D211" s="3032" t="s">
        <v>13789</v>
      </c>
      <c r="E211" s="2725" t="s">
        <v>13787</v>
      </c>
      <c r="F211" s="3029"/>
      <c r="G211" s="3040" t="s">
        <v>13790</v>
      </c>
      <c r="H211" s="3041"/>
      <c r="I211" s="2486">
        <v>44330</v>
      </c>
      <c r="J211" s="2722" t="s">
        <v>13788</v>
      </c>
      <c r="K211" s="6">
        <v>0.375</v>
      </c>
      <c r="L211" s="3157">
        <v>0.7270833333333333</v>
      </c>
      <c r="M211" s="3108">
        <f>150+140+15</f>
        <v>305</v>
      </c>
      <c r="N211" s="3016" t="s">
        <v>257</v>
      </c>
      <c r="O211" s="3037" t="s">
        <v>7067</v>
      </c>
      <c r="P211" s="3016" t="s">
        <v>1031</v>
      </c>
      <c r="Q211" s="3016" t="s">
        <v>12462</v>
      </c>
      <c r="R211" s="3028"/>
      <c r="S211" s="3109"/>
      <c r="T211" s="3110"/>
      <c r="U211" s="2992"/>
      <c r="W211" s="2901"/>
      <c r="X211" s="2862"/>
    </row>
    <row r="212" spans="1:24" s="1592" customFormat="1" ht="29" hidden="1" x14ac:dyDescent="0.35">
      <c r="A212" s="3021">
        <v>44327</v>
      </c>
      <c r="B212" s="3036">
        <v>26</v>
      </c>
      <c r="C212" s="3015" t="s">
        <v>12873</v>
      </c>
      <c r="D212" s="3032" t="s">
        <v>13468</v>
      </c>
      <c r="E212" s="3024" t="s">
        <v>13467</v>
      </c>
      <c r="F212" s="3029"/>
      <c r="G212" s="3040" t="s">
        <v>12010</v>
      </c>
      <c r="H212" s="3041"/>
      <c r="I212" s="3021">
        <v>44330</v>
      </c>
      <c r="J212" s="3034" t="s">
        <v>13469</v>
      </c>
      <c r="K212" s="3122">
        <v>0.3756944444444445</v>
      </c>
      <c r="L212" s="3149">
        <v>0.62430555555555556</v>
      </c>
      <c r="M212" s="3020">
        <v>0</v>
      </c>
      <c r="N212" s="3016" t="s">
        <v>12699</v>
      </c>
      <c r="O212" s="3037" t="s">
        <v>119</v>
      </c>
      <c r="P212" s="3016" t="s">
        <v>216</v>
      </c>
      <c r="Q212" s="3015" t="s">
        <v>12426</v>
      </c>
      <c r="R212" s="3028"/>
      <c r="S212" s="3031"/>
      <c r="T212" s="3057"/>
      <c r="U212" s="2992"/>
      <c r="W212" s="2901"/>
      <c r="X212" s="2862"/>
    </row>
    <row r="213" spans="1:24" s="1592" customFormat="1" ht="72.5" hidden="1" x14ac:dyDescent="0.35">
      <c r="A213" s="3047">
        <v>44323</v>
      </c>
      <c r="B213" s="3112">
        <v>25</v>
      </c>
      <c r="C213" s="3026" t="s">
        <v>11250</v>
      </c>
      <c r="D213" s="3044" t="s">
        <v>9427</v>
      </c>
      <c r="E213" s="3048" t="s">
        <v>13122</v>
      </c>
      <c r="F213" s="3025"/>
      <c r="G213" s="3050" t="s">
        <v>11952</v>
      </c>
      <c r="H213" s="3049"/>
      <c r="I213" s="3047">
        <v>44330</v>
      </c>
      <c r="J213" s="3046" t="s">
        <v>13121</v>
      </c>
      <c r="K213" s="3128">
        <v>0.3756944444444445</v>
      </c>
      <c r="L213" s="3119">
        <v>0.60069444444444442</v>
      </c>
      <c r="M213" s="3113">
        <v>465</v>
      </c>
      <c r="N213" s="3025" t="s">
        <v>257</v>
      </c>
      <c r="O213" s="3045" t="s">
        <v>119</v>
      </c>
      <c r="P213" s="3025" t="s">
        <v>1031</v>
      </c>
      <c r="Q213" s="3025" t="s">
        <v>12461</v>
      </c>
      <c r="R213" s="3028"/>
      <c r="S213" s="3109"/>
      <c r="T213" s="3110"/>
      <c r="U213" s="2992"/>
      <c r="W213" s="2901"/>
      <c r="X213" s="2862"/>
    </row>
    <row r="214" spans="1:24" s="1592" customFormat="1" ht="72.5" hidden="1" x14ac:dyDescent="0.35">
      <c r="A214" s="3047">
        <v>44330</v>
      </c>
      <c r="B214" s="3112">
        <v>23.5</v>
      </c>
      <c r="C214" s="3026" t="s">
        <v>13826</v>
      </c>
      <c r="D214" s="3044" t="s">
        <v>13827</v>
      </c>
      <c r="E214" s="3048" t="s">
        <v>13829</v>
      </c>
      <c r="F214" s="3025"/>
      <c r="G214" s="3050" t="s">
        <v>13214</v>
      </c>
      <c r="H214" s="3049"/>
      <c r="I214" s="3047">
        <v>44330</v>
      </c>
      <c r="J214" s="3046" t="s">
        <v>13828</v>
      </c>
      <c r="K214" s="3128">
        <v>0.3756944444444445</v>
      </c>
      <c r="L214" s="3236">
        <v>0.57291666666666663</v>
      </c>
      <c r="M214" s="3113">
        <v>195</v>
      </c>
      <c r="N214" s="3025" t="s">
        <v>392</v>
      </c>
      <c r="O214" s="3045" t="s">
        <v>5930</v>
      </c>
      <c r="P214" s="3025" t="s">
        <v>12323</v>
      </c>
      <c r="Q214" s="3025" t="s">
        <v>11183</v>
      </c>
      <c r="R214" s="3028"/>
      <c r="S214" s="3109"/>
      <c r="T214" s="3110"/>
      <c r="U214" s="2992"/>
      <c r="W214" s="2901"/>
      <c r="X214" s="2862"/>
    </row>
    <row r="215" spans="1:24" s="1592" customFormat="1" ht="159.5" hidden="1" x14ac:dyDescent="0.35">
      <c r="A215" s="2486">
        <v>44328</v>
      </c>
      <c r="B215" s="3107">
        <v>7</v>
      </c>
      <c r="C215" s="5" t="s">
        <v>13657</v>
      </c>
      <c r="D215" s="3032" t="s">
        <v>13658</v>
      </c>
      <c r="E215" s="3016" t="s">
        <v>13655</v>
      </c>
      <c r="F215" s="3029"/>
      <c r="G215" s="3040" t="s">
        <v>13656</v>
      </c>
      <c r="H215" s="3041"/>
      <c r="I215" s="2486">
        <v>44330</v>
      </c>
      <c r="J215" s="2722" t="s">
        <v>13659</v>
      </c>
      <c r="K215" s="6">
        <v>0.375</v>
      </c>
      <c r="L215" s="3157">
        <v>0.5395833333333333</v>
      </c>
      <c r="M215" s="3111">
        <v>621</v>
      </c>
      <c r="N215" s="3016" t="s">
        <v>8625</v>
      </c>
      <c r="O215" s="3037" t="s">
        <v>7067</v>
      </c>
      <c r="P215" s="3016" t="s">
        <v>12323</v>
      </c>
      <c r="Q215" s="3016" t="s">
        <v>13663</v>
      </c>
      <c r="R215" s="3028"/>
      <c r="S215" s="3109"/>
      <c r="T215" s="3110"/>
      <c r="U215" s="2992"/>
      <c r="W215" s="2901"/>
      <c r="X215" s="2862"/>
    </row>
    <row r="216" spans="1:24" s="1592" customFormat="1" ht="43.5" hidden="1" x14ac:dyDescent="0.35">
      <c r="A216" s="2486">
        <v>44328</v>
      </c>
      <c r="B216" s="3107">
        <v>10</v>
      </c>
      <c r="C216" s="5" t="s">
        <v>13703</v>
      </c>
      <c r="D216" s="3032" t="s">
        <v>13704</v>
      </c>
      <c r="E216" s="3016" t="s">
        <v>13702</v>
      </c>
      <c r="F216" s="3029"/>
      <c r="G216" s="3040" t="s">
        <v>11500</v>
      </c>
      <c r="H216" s="3041"/>
      <c r="I216" s="2486">
        <v>44330</v>
      </c>
      <c r="J216" s="2722" t="s">
        <v>13705</v>
      </c>
      <c r="K216" s="6">
        <v>0.375</v>
      </c>
      <c r="L216" s="3149">
        <v>0.60347222222222219</v>
      </c>
      <c r="M216" s="3111">
        <v>155</v>
      </c>
      <c r="N216" s="3016" t="s">
        <v>8625</v>
      </c>
      <c r="O216" s="3037" t="s">
        <v>7067</v>
      </c>
      <c r="P216" s="3016" t="s">
        <v>12323</v>
      </c>
      <c r="Q216" s="3016" t="s">
        <v>13706</v>
      </c>
      <c r="R216" s="3028"/>
      <c r="S216" s="3109"/>
      <c r="T216" s="3110"/>
      <c r="U216" s="2992"/>
      <c r="W216" s="2901"/>
      <c r="X216" s="2862"/>
    </row>
    <row r="217" spans="1:24" s="1592" customFormat="1" ht="72.5" hidden="1" x14ac:dyDescent="0.35">
      <c r="A217" s="2486">
        <v>44328</v>
      </c>
      <c r="B217" s="3107">
        <v>14</v>
      </c>
      <c r="C217" s="5" t="s">
        <v>13698</v>
      </c>
      <c r="D217" s="3032" t="s">
        <v>13699</v>
      </c>
      <c r="E217" s="3016" t="s">
        <v>13697</v>
      </c>
      <c r="F217" s="3029"/>
      <c r="G217" s="3040" t="s">
        <v>11860</v>
      </c>
      <c r="H217" s="3041"/>
      <c r="I217" s="2486">
        <v>44330</v>
      </c>
      <c r="J217" s="2722" t="s">
        <v>13700</v>
      </c>
      <c r="K217" s="6">
        <v>0.375</v>
      </c>
      <c r="L217" s="3149">
        <v>0.68888888888888899</v>
      </c>
      <c r="M217" s="3111">
        <v>265</v>
      </c>
      <c r="N217" s="3016" t="s">
        <v>8625</v>
      </c>
      <c r="O217" s="3037" t="s">
        <v>7067</v>
      </c>
      <c r="P217" s="3016" t="s">
        <v>12323</v>
      </c>
      <c r="Q217" s="3016" t="s">
        <v>13701</v>
      </c>
      <c r="R217" s="3028"/>
      <c r="S217" s="3109"/>
      <c r="T217" s="3110"/>
      <c r="U217" s="2992"/>
      <c r="W217" s="2901"/>
      <c r="X217" s="2862"/>
    </row>
    <row r="218" spans="1:24" s="1592" customFormat="1" ht="72.5" hidden="1" x14ac:dyDescent="0.35">
      <c r="A218" s="3021">
        <v>44327</v>
      </c>
      <c r="B218" s="3036">
        <v>13</v>
      </c>
      <c r="C218" s="3015" t="s">
        <v>13494</v>
      </c>
      <c r="D218" s="3032" t="s">
        <v>13495</v>
      </c>
      <c r="E218" s="3024" t="s">
        <v>13493</v>
      </c>
      <c r="F218" s="3029"/>
      <c r="G218" s="3040" t="s">
        <v>11951</v>
      </c>
      <c r="H218" s="3041"/>
      <c r="I218" s="3021">
        <v>44330</v>
      </c>
      <c r="J218" s="3034" t="s">
        <v>13496</v>
      </c>
      <c r="K218" s="3122">
        <v>0.375</v>
      </c>
      <c r="L218" s="3149">
        <v>0.66805555555555562</v>
      </c>
      <c r="M218" s="3020">
        <v>165</v>
      </c>
      <c r="N218" s="3016" t="s">
        <v>257</v>
      </c>
      <c r="O218" s="3037" t="s">
        <v>7067</v>
      </c>
      <c r="P218" s="3016" t="s">
        <v>12323</v>
      </c>
      <c r="Q218" s="3016" t="s">
        <v>13497</v>
      </c>
      <c r="R218" s="3028"/>
      <c r="S218" s="3031"/>
      <c r="T218" s="3057"/>
      <c r="U218" s="2992"/>
      <c r="W218" s="2901"/>
      <c r="X218" s="2862"/>
    </row>
    <row r="219" spans="1:24" s="1592" customFormat="1" ht="29" hidden="1" x14ac:dyDescent="0.35">
      <c r="A219" s="2486">
        <v>44329</v>
      </c>
      <c r="B219" s="3036">
        <v>24</v>
      </c>
      <c r="C219" s="5" t="s">
        <v>13732</v>
      </c>
      <c r="D219" s="3032" t="s">
        <v>13733</v>
      </c>
      <c r="E219" s="2725" t="s">
        <v>13728</v>
      </c>
      <c r="F219" s="3029"/>
      <c r="G219" s="3040" t="s">
        <v>13730</v>
      </c>
      <c r="H219" s="3041"/>
      <c r="I219" s="2486">
        <v>44330</v>
      </c>
      <c r="J219" s="2722" t="s">
        <v>13729</v>
      </c>
      <c r="K219" s="6">
        <v>0.3756944444444445</v>
      </c>
      <c r="L219" s="3149">
        <v>0.58194444444444449</v>
      </c>
      <c r="M219" s="3039">
        <v>255</v>
      </c>
      <c r="N219" s="3016" t="s">
        <v>8625</v>
      </c>
      <c r="O219" s="3037" t="s">
        <v>119</v>
      </c>
      <c r="P219" s="3016" t="s">
        <v>12323</v>
      </c>
      <c r="Q219" s="3015" t="s">
        <v>13731</v>
      </c>
      <c r="R219" s="3028"/>
      <c r="S219" s="3031"/>
      <c r="T219" s="3057"/>
      <c r="U219" s="2992"/>
      <c r="W219" s="2901"/>
      <c r="X219" s="2862"/>
    </row>
    <row r="220" spans="1:24" s="1592" customFormat="1" ht="43.5" hidden="1" x14ac:dyDescent="0.35">
      <c r="A220" s="2486">
        <v>44329</v>
      </c>
      <c r="B220" s="3036">
        <v>21</v>
      </c>
      <c r="C220" s="5" t="s">
        <v>3327</v>
      </c>
      <c r="D220" s="3032" t="s">
        <v>13757</v>
      </c>
      <c r="E220" s="2725" t="s">
        <v>13756</v>
      </c>
      <c r="F220" s="3029"/>
      <c r="G220" s="3040" t="s">
        <v>14316</v>
      </c>
      <c r="H220" s="3041"/>
      <c r="I220" s="2486">
        <v>44330</v>
      </c>
      <c r="J220" s="2722" t="s">
        <v>13758</v>
      </c>
      <c r="K220" s="6">
        <v>0.3756944444444445</v>
      </c>
      <c r="L220" s="3149">
        <v>0.52500000000000002</v>
      </c>
      <c r="M220" s="3020">
        <v>138</v>
      </c>
      <c r="N220" s="3016" t="s">
        <v>257</v>
      </c>
      <c r="O220" s="3037" t="s">
        <v>119</v>
      </c>
      <c r="P220" s="3016" t="s">
        <v>974</v>
      </c>
      <c r="Q220" s="3015" t="s">
        <v>12452</v>
      </c>
      <c r="R220" s="3028"/>
      <c r="S220" s="3031"/>
      <c r="T220" s="3057"/>
      <c r="U220" s="2992"/>
      <c r="W220" s="2901"/>
      <c r="X220" s="2862"/>
    </row>
    <row r="221" spans="1:24" s="1592" customFormat="1" ht="43.5" hidden="1" x14ac:dyDescent="0.35">
      <c r="A221" s="2486">
        <v>44328</v>
      </c>
      <c r="B221" s="3107">
        <v>8</v>
      </c>
      <c r="C221" s="5" t="s">
        <v>13600</v>
      </c>
      <c r="D221" s="3032" t="s">
        <v>13601</v>
      </c>
      <c r="E221" s="3016" t="s">
        <v>13603</v>
      </c>
      <c r="F221" s="3029"/>
      <c r="G221" s="3040" t="s">
        <v>11539</v>
      </c>
      <c r="H221" s="3041"/>
      <c r="I221" s="2486">
        <v>44330</v>
      </c>
      <c r="J221" s="2722" t="s">
        <v>13602</v>
      </c>
      <c r="K221" s="6">
        <v>0.375</v>
      </c>
      <c r="L221" s="3149">
        <v>0.55833333333333335</v>
      </c>
      <c r="M221" s="3108">
        <v>183</v>
      </c>
      <c r="N221" s="3016" t="s">
        <v>257</v>
      </c>
      <c r="O221" s="3037" t="s">
        <v>7067</v>
      </c>
      <c r="P221" s="3016" t="s">
        <v>821</v>
      </c>
      <c r="Q221" s="3015" t="s">
        <v>12405</v>
      </c>
      <c r="R221" s="3028"/>
      <c r="S221" s="3109"/>
      <c r="T221" s="3110"/>
      <c r="U221" s="2992"/>
      <c r="W221" s="2901"/>
      <c r="X221" s="2862"/>
    </row>
    <row r="222" spans="1:24" s="1592" customFormat="1" ht="181.5" hidden="1" x14ac:dyDescent="0.35">
      <c r="A222" s="3021">
        <v>44327</v>
      </c>
      <c r="B222" s="3036">
        <v>11</v>
      </c>
      <c r="C222" s="3015" t="s">
        <v>13435</v>
      </c>
      <c r="D222" s="3032" t="s">
        <v>13433</v>
      </c>
      <c r="E222" s="3024" t="s">
        <v>13432</v>
      </c>
      <c r="F222" s="3234"/>
      <c r="G222" s="3235" t="s">
        <v>14345</v>
      </c>
      <c r="H222" s="3041"/>
      <c r="I222" s="3021">
        <v>44330</v>
      </c>
      <c r="J222" s="3034" t="s">
        <v>13434</v>
      </c>
      <c r="K222" s="3122">
        <v>0.375</v>
      </c>
      <c r="L222" s="3157">
        <v>0.62569444444444444</v>
      </c>
      <c r="M222" s="3039">
        <v>343</v>
      </c>
      <c r="N222" s="3016" t="s">
        <v>13459</v>
      </c>
      <c r="O222" s="3030" t="s">
        <v>7067</v>
      </c>
      <c r="P222" s="3015" t="s">
        <v>216</v>
      </c>
      <c r="Q222" s="3015" t="s">
        <v>12413</v>
      </c>
      <c r="R222" s="3028"/>
      <c r="S222" s="3031"/>
      <c r="T222" s="3057"/>
      <c r="U222" s="2992"/>
      <c r="W222" s="2901"/>
      <c r="X222" s="2862"/>
    </row>
    <row r="223" spans="1:24" s="1592" customFormat="1" ht="58" hidden="1" x14ac:dyDescent="0.35">
      <c r="A223" s="2486">
        <v>44321</v>
      </c>
      <c r="B223" s="3107">
        <v>27</v>
      </c>
      <c r="C223" s="5" t="s">
        <v>12923</v>
      </c>
      <c r="D223" s="3032" t="s">
        <v>12924</v>
      </c>
      <c r="E223" s="2725" t="s">
        <v>12922</v>
      </c>
      <c r="F223" s="3029"/>
      <c r="G223" s="3040" t="s">
        <v>11865</v>
      </c>
      <c r="H223" s="3041"/>
      <c r="I223" s="2486">
        <v>44330</v>
      </c>
      <c r="J223" s="2722" t="s">
        <v>12925</v>
      </c>
      <c r="K223" s="3122">
        <v>0.3756944444444445</v>
      </c>
      <c r="L223" s="3122">
        <v>0.63958333333333328</v>
      </c>
      <c r="M223" s="3108">
        <v>265</v>
      </c>
      <c r="N223" s="3016" t="s">
        <v>257</v>
      </c>
      <c r="O223" s="3037" t="s">
        <v>119</v>
      </c>
      <c r="P223" s="3016" t="s">
        <v>1960</v>
      </c>
      <c r="Q223" s="3016" t="s">
        <v>12417</v>
      </c>
      <c r="R223" s="3028"/>
      <c r="S223" s="3109"/>
      <c r="T223" s="3110"/>
      <c r="U223" s="2992"/>
      <c r="W223" s="2901"/>
      <c r="X223" s="2862"/>
    </row>
    <row r="224" spans="1:24" s="1592" customFormat="1" ht="72.5" hidden="1" x14ac:dyDescent="0.35">
      <c r="A224" s="2486">
        <v>44328</v>
      </c>
      <c r="B224" s="3107">
        <v>28</v>
      </c>
      <c r="C224" s="5" t="s">
        <v>13512</v>
      </c>
      <c r="D224" s="3032" t="s">
        <v>13513</v>
      </c>
      <c r="E224" s="3016" t="s">
        <v>13515</v>
      </c>
      <c r="F224" s="3029"/>
      <c r="G224" s="3040" t="s">
        <v>14365</v>
      </c>
      <c r="H224" s="3041"/>
      <c r="I224" s="2486">
        <v>44330</v>
      </c>
      <c r="J224" s="2722" t="s">
        <v>13514</v>
      </c>
      <c r="K224" s="6">
        <v>0.3756944444444445</v>
      </c>
      <c r="L224" s="3149">
        <v>0.66666666666666663</v>
      </c>
      <c r="M224" s="3108">
        <v>98</v>
      </c>
      <c r="N224" s="3016" t="s">
        <v>257</v>
      </c>
      <c r="O224" s="3037" t="s">
        <v>119</v>
      </c>
      <c r="P224" s="3016" t="s">
        <v>12323</v>
      </c>
      <c r="Q224" s="3016" t="s">
        <v>13516</v>
      </c>
      <c r="R224" s="3028"/>
      <c r="S224" s="3109"/>
      <c r="T224" s="3110"/>
      <c r="U224" s="2992"/>
      <c r="W224" s="2901"/>
      <c r="X224" s="2862"/>
    </row>
    <row r="225" spans="1:24" s="1592" customFormat="1" ht="58" hidden="1" x14ac:dyDescent="0.35">
      <c r="A225" s="2486">
        <v>44328</v>
      </c>
      <c r="B225" s="3107">
        <v>15</v>
      </c>
      <c r="C225" s="5" t="s">
        <v>13581</v>
      </c>
      <c r="D225" s="3032" t="s">
        <v>13582</v>
      </c>
      <c r="E225" s="3016" t="s">
        <v>13584</v>
      </c>
      <c r="F225" s="3029"/>
      <c r="G225" s="3040" t="s">
        <v>11865</v>
      </c>
      <c r="H225" s="3041"/>
      <c r="I225" s="2486">
        <v>44330</v>
      </c>
      <c r="J225" s="2722" t="s">
        <v>13583</v>
      </c>
      <c r="K225" s="6">
        <v>0.375</v>
      </c>
      <c r="L225" s="3228">
        <v>0.70972222222222225</v>
      </c>
      <c r="M225" s="3108">
        <v>265</v>
      </c>
      <c r="N225" s="3016" t="s">
        <v>257</v>
      </c>
      <c r="O225" s="3037" t="s">
        <v>7067</v>
      </c>
      <c r="P225" s="3016" t="s">
        <v>821</v>
      </c>
      <c r="Q225" s="3016" t="s">
        <v>12461</v>
      </c>
      <c r="R225" s="3028"/>
      <c r="S225" s="3109"/>
      <c r="T225" s="3110"/>
      <c r="U225" s="2992"/>
      <c r="W225" s="2901"/>
      <c r="X225" s="2862"/>
    </row>
    <row r="226" spans="1:24" s="1592" customFormat="1" ht="43.5" hidden="1" x14ac:dyDescent="0.35">
      <c r="A226" s="2486">
        <v>44329</v>
      </c>
      <c r="B226" s="3036">
        <v>9</v>
      </c>
      <c r="C226" s="5" t="s">
        <v>13738</v>
      </c>
      <c r="D226" s="3032" t="s">
        <v>13739</v>
      </c>
      <c r="E226" s="2725" t="s">
        <v>13800</v>
      </c>
      <c r="F226" s="3022"/>
      <c r="G226" s="2933" t="s">
        <v>14366</v>
      </c>
      <c r="H226" s="3041"/>
      <c r="I226" s="2486">
        <v>44330</v>
      </c>
      <c r="J226" s="2722" t="s">
        <v>13740</v>
      </c>
      <c r="K226" s="6">
        <v>0.375</v>
      </c>
      <c r="L226" s="3149">
        <v>0.58333333333333337</v>
      </c>
      <c r="M226" s="3039">
        <v>220</v>
      </c>
      <c r="N226" s="3016" t="s">
        <v>8625</v>
      </c>
      <c r="O226" s="3037" t="s">
        <v>7067</v>
      </c>
      <c r="P226" s="3016" t="s">
        <v>12323</v>
      </c>
      <c r="Q226" s="3015" t="s">
        <v>13741</v>
      </c>
      <c r="R226" s="3028"/>
      <c r="S226" s="3031"/>
      <c r="T226" s="3057"/>
      <c r="U226" s="2992"/>
      <c r="W226" s="2901"/>
      <c r="X226" s="2862"/>
    </row>
    <row r="227" spans="1:24" s="1592" customFormat="1" ht="43.5" hidden="1" x14ac:dyDescent="0.35">
      <c r="A227" s="3021">
        <v>44327</v>
      </c>
      <c r="B227" s="3036">
        <v>17</v>
      </c>
      <c r="C227" s="3015" t="s">
        <v>13478</v>
      </c>
      <c r="D227" s="3032" t="s">
        <v>13479</v>
      </c>
      <c r="E227" s="3024" t="s">
        <v>13476</v>
      </c>
      <c r="F227" s="3029"/>
      <c r="G227" s="3040" t="s">
        <v>13477</v>
      </c>
      <c r="H227" s="3041"/>
      <c r="I227" s="3021">
        <v>44330</v>
      </c>
      <c r="J227" s="3034" t="s">
        <v>13480</v>
      </c>
      <c r="K227" s="3122">
        <v>0.3756944444444445</v>
      </c>
      <c r="L227" s="3157">
        <v>0.38819444444444445</v>
      </c>
      <c r="M227" s="3020">
        <v>265</v>
      </c>
      <c r="N227" s="3016" t="s">
        <v>257</v>
      </c>
      <c r="O227" s="3037" t="s">
        <v>119</v>
      </c>
      <c r="P227" s="3016" t="s">
        <v>12323</v>
      </c>
      <c r="Q227" s="3015" t="s">
        <v>13481</v>
      </c>
      <c r="R227" s="3028"/>
      <c r="S227" s="3031"/>
      <c r="T227" s="3057"/>
      <c r="U227" s="2992"/>
      <c r="W227" s="2901"/>
      <c r="X227" s="2862"/>
    </row>
    <row r="228" spans="1:24" s="1592" customFormat="1" ht="43.5" hidden="1" x14ac:dyDescent="0.35">
      <c r="A228" s="3047">
        <v>44326</v>
      </c>
      <c r="B228" s="3112">
        <v>2</v>
      </c>
      <c r="C228" s="3026" t="s">
        <v>13348</v>
      </c>
      <c r="D228" s="3044" t="s">
        <v>13349</v>
      </c>
      <c r="E228" s="3048" t="s">
        <v>13352</v>
      </c>
      <c r="F228" s="3025"/>
      <c r="G228" s="3050" t="s">
        <v>11432</v>
      </c>
      <c r="H228" s="3049"/>
      <c r="I228" s="3047">
        <v>44330</v>
      </c>
      <c r="J228" s="3046" t="s">
        <v>13350</v>
      </c>
      <c r="K228" s="3128">
        <v>0.375</v>
      </c>
      <c r="L228" s="3152">
        <v>0.41944444444444445</v>
      </c>
      <c r="M228" s="3113">
        <v>372</v>
      </c>
      <c r="N228" s="3025" t="s">
        <v>257</v>
      </c>
      <c r="O228" s="3045" t="s">
        <v>7067</v>
      </c>
      <c r="P228" s="3025" t="s">
        <v>13351</v>
      </c>
      <c r="Q228" s="3026" t="s">
        <v>11183</v>
      </c>
      <c r="R228" s="3028"/>
      <c r="S228" s="3109"/>
      <c r="T228" s="3110"/>
      <c r="U228" s="2992"/>
      <c r="W228" s="2901"/>
      <c r="X228" s="2862"/>
    </row>
    <row r="229" spans="1:24" s="1592" customFormat="1" ht="116" hidden="1" x14ac:dyDescent="0.35">
      <c r="A229" s="2486">
        <v>44328</v>
      </c>
      <c r="B229" s="3107">
        <v>3</v>
      </c>
      <c r="C229" s="5" t="s">
        <v>1631</v>
      </c>
      <c r="D229" s="3032" t="s">
        <v>11269</v>
      </c>
      <c r="E229" s="3016" t="s">
        <v>13586</v>
      </c>
      <c r="F229" s="3022"/>
      <c r="G229" s="2933"/>
      <c r="H229" s="3041"/>
      <c r="I229" s="2486">
        <v>44330</v>
      </c>
      <c r="J229" s="2722" t="s">
        <v>13585</v>
      </c>
      <c r="K229" s="6">
        <v>0.375</v>
      </c>
      <c r="L229" s="3228">
        <v>0.44444444444444442</v>
      </c>
      <c r="M229" s="3108">
        <v>250</v>
      </c>
      <c r="N229" s="3227" t="s">
        <v>12187</v>
      </c>
      <c r="O229" s="3037" t="s">
        <v>7067</v>
      </c>
      <c r="P229" s="3016" t="s">
        <v>1960</v>
      </c>
      <c r="Q229" s="3016" t="s">
        <v>12462</v>
      </c>
      <c r="R229" s="3028"/>
      <c r="S229" s="3109"/>
      <c r="T229" s="3110"/>
      <c r="U229" s="2992"/>
      <c r="W229" s="2901"/>
      <c r="X229" s="2862"/>
    </row>
    <row r="230" spans="1:24" s="1592" customFormat="1" ht="29" hidden="1" x14ac:dyDescent="0.35">
      <c r="A230" s="2486">
        <v>44329</v>
      </c>
      <c r="B230" s="3036">
        <v>4</v>
      </c>
      <c r="C230" s="5" t="s">
        <v>13769</v>
      </c>
      <c r="D230" s="3032" t="s">
        <v>13150</v>
      </c>
      <c r="E230" s="2725" t="s">
        <v>13770</v>
      </c>
      <c r="F230" s="3029"/>
      <c r="G230" s="3040"/>
      <c r="H230" s="3041"/>
      <c r="I230" s="2486">
        <v>44330</v>
      </c>
      <c r="J230" s="2722" t="s">
        <v>13771</v>
      </c>
      <c r="K230" s="6">
        <v>0.375</v>
      </c>
      <c r="L230" s="3157">
        <v>0.4597222222222222</v>
      </c>
      <c r="M230" s="3020">
        <v>0</v>
      </c>
      <c r="N230" s="3016" t="s">
        <v>13552</v>
      </c>
      <c r="O230" s="3037" t="s">
        <v>7067</v>
      </c>
      <c r="P230" s="3016" t="s">
        <v>13772</v>
      </c>
      <c r="Q230" s="3016" t="s">
        <v>11183</v>
      </c>
      <c r="R230" s="3028"/>
      <c r="S230" s="3031"/>
      <c r="T230" s="3057"/>
      <c r="U230" s="2992"/>
      <c r="W230" s="2901"/>
      <c r="X230" s="2862"/>
    </row>
    <row r="231" spans="1:24" s="1592" customFormat="1" ht="130.5" hidden="1" x14ac:dyDescent="0.35">
      <c r="A231" s="3047">
        <v>44328</v>
      </c>
      <c r="B231" s="3112">
        <v>5</v>
      </c>
      <c r="C231" s="3026" t="s">
        <v>13670</v>
      </c>
      <c r="D231" s="3044" t="s">
        <v>13671</v>
      </c>
      <c r="E231" s="3025" t="s">
        <v>13672</v>
      </c>
      <c r="F231" s="3025"/>
      <c r="G231" s="3050" t="s">
        <v>11514</v>
      </c>
      <c r="H231" s="3049"/>
      <c r="I231" s="3047">
        <v>44330</v>
      </c>
      <c r="J231" s="3046" t="s">
        <v>13673</v>
      </c>
      <c r="K231" s="3128">
        <v>0.375</v>
      </c>
      <c r="L231" s="3157">
        <v>0.4909722222222222</v>
      </c>
      <c r="M231" s="3113">
        <v>261</v>
      </c>
      <c r="N231" s="3025" t="s">
        <v>257</v>
      </c>
      <c r="O231" s="3045" t="s">
        <v>7067</v>
      </c>
      <c r="P231" s="3025" t="s">
        <v>22</v>
      </c>
      <c r="Q231" s="3025" t="s">
        <v>12426</v>
      </c>
      <c r="R231" s="3028"/>
      <c r="S231" s="3109"/>
      <c r="T231" s="3110"/>
      <c r="U231" s="2992"/>
      <c r="W231" s="2901"/>
      <c r="X231" s="2862"/>
    </row>
    <row r="232" spans="1:24" s="1592" customFormat="1" ht="87" hidden="1" x14ac:dyDescent="0.35">
      <c r="A232" s="2486">
        <v>44328</v>
      </c>
      <c r="B232" s="3107">
        <v>30</v>
      </c>
      <c r="C232" s="5" t="s">
        <v>13520</v>
      </c>
      <c r="D232" s="3032" t="s">
        <v>13521</v>
      </c>
      <c r="E232" s="3016" t="s">
        <v>13518</v>
      </c>
      <c r="F232" s="3029"/>
      <c r="G232" s="3040" t="s">
        <v>13519</v>
      </c>
      <c r="H232" s="3041"/>
      <c r="I232" s="2486">
        <v>44330</v>
      </c>
      <c r="J232" s="2722" t="s">
        <v>13522</v>
      </c>
      <c r="K232" s="6">
        <v>0.3756944444444445</v>
      </c>
      <c r="L232" s="3149">
        <v>0.71805555555555556</v>
      </c>
      <c r="M232" s="3111">
        <v>87</v>
      </c>
      <c r="N232" s="3016" t="s">
        <v>8625</v>
      </c>
      <c r="O232" s="3037" t="s">
        <v>119</v>
      </c>
      <c r="P232" s="3016" t="s">
        <v>12323</v>
      </c>
      <c r="Q232" s="3016" t="s">
        <v>13523</v>
      </c>
      <c r="R232" s="3028"/>
      <c r="S232" s="3109"/>
      <c r="T232" s="3110"/>
      <c r="U232" s="2992"/>
      <c r="W232" s="2901"/>
      <c r="X232" s="2862"/>
    </row>
    <row r="233" spans="1:24" s="1592" customFormat="1" ht="43.5" hidden="1" x14ac:dyDescent="0.35">
      <c r="A233" s="2486">
        <v>44328</v>
      </c>
      <c r="B233" s="3107">
        <v>31</v>
      </c>
      <c r="C233" s="5" t="s">
        <v>13591</v>
      </c>
      <c r="D233" s="3032" t="s">
        <v>13592</v>
      </c>
      <c r="E233" s="3016" t="s">
        <v>13590</v>
      </c>
      <c r="F233" s="3029"/>
      <c r="G233" s="3040" t="s">
        <v>11849</v>
      </c>
      <c r="H233" s="3041"/>
      <c r="I233" s="2486">
        <v>44330</v>
      </c>
      <c r="J233" s="3046" t="s">
        <v>5494</v>
      </c>
      <c r="K233" s="6">
        <v>0.45833333333333331</v>
      </c>
      <c r="L233" s="6">
        <v>0.45833333333333331</v>
      </c>
      <c r="M233" s="3108">
        <v>140</v>
      </c>
      <c r="N233" s="3016" t="s">
        <v>257</v>
      </c>
      <c r="O233" s="3037" t="s">
        <v>15</v>
      </c>
      <c r="P233" s="3016" t="s">
        <v>12323</v>
      </c>
      <c r="Q233" s="3016" t="s">
        <v>13593</v>
      </c>
      <c r="R233" s="3028"/>
      <c r="S233" s="3109"/>
      <c r="T233" s="3110"/>
      <c r="U233" s="2992"/>
      <c r="W233" s="2901"/>
      <c r="X233" s="2862"/>
    </row>
    <row r="234" spans="1:24" s="1592" customFormat="1" ht="43.5" hidden="1" x14ac:dyDescent="0.35">
      <c r="A234" s="2486">
        <v>44329</v>
      </c>
      <c r="B234" s="3107">
        <v>32</v>
      </c>
      <c r="C234" s="5" t="s">
        <v>13820</v>
      </c>
      <c r="D234" s="3032" t="s">
        <v>13817</v>
      </c>
      <c r="E234" s="2725" t="s">
        <v>13819</v>
      </c>
      <c r="F234" s="3029"/>
      <c r="G234" s="3040" t="s">
        <v>11423</v>
      </c>
      <c r="H234" s="3041"/>
      <c r="I234" s="2486">
        <v>44330</v>
      </c>
      <c r="J234" s="3046" t="s">
        <v>6032</v>
      </c>
      <c r="K234" s="6">
        <v>0.45833333333333331</v>
      </c>
      <c r="L234" s="6">
        <v>0.45833333333333331</v>
      </c>
      <c r="M234" s="3108">
        <v>99</v>
      </c>
      <c r="N234" s="3016" t="s">
        <v>257</v>
      </c>
      <c r="O234" s="3037" t="s">
        <v>15</v>
      </c>
      <c r="P234" s="3016" t="s">
        <v>12323</v>
      </c>
      <c r="Q234" s="3016" t="s">
        <v>13821</v>
      </c>
      <c r="R234" s="3028"/>
      <c r="S234" s="3109"/>
      <c r="T234" s="3110"/>
      <c r="U234" s="2992"/>
      <c r="W234" s="2901"/>
      <c r="X234" s="2862"/>
    </row>
    <row r="235" spans="1:24" s="1592" customFormat="1" ht="58" hidden="1" x14ac:dyDescent="0.35">
      <c r="A235" s="3021">
        <v>44327</v>
      </c>
      <c r="B235" s="3036">
        <v>33</v>
      </c>
      <c r="C235" s="3015" t="s">
        <v>13395</v>
      </c>
      <c r="D235" s="3032" t="s">
        <v>13393</v>
      </c>
      <c r="E235" s="3024" t="s">
        <v>13394</v>
      </c>
      <c r="F235" s="3029"/>
      <c r="G235" s="3040" t="s">
        <v>14316</v>
      </c>
      <c r="H235" s="3041"/>
      <c r="I235" s="3021">
        <v>44330</v>
      </c>
      <c r="J235" s="3046" t="s">
        <v>6032</v>
      </c>
      <c r="K235" s="6">
        <v>0.45833333333333331</v>
      </c>
      <c r="L235" s="6">
        <v>0.45833333333333331</v>
      </c>
      <c r="M235" s="3020">
        <v>144</v>
      </c>
      <c r="N235" s="3016" t="s">
        <v>257</v>
      </c>
      <c r="O235" s="3037" t="s">
        <v>15</v>
      </c>
      <c r="P235" s="3016" t="s">
        <v>12323</v>
      </c>
      <c r="Q235" s="3016" t="s">
        <v>13396</v>
      </c>
      <c r="R235" s="3028"/>
      <c r="S235" s="3031"/>
      <c r="T235" s="3057"/>
      <c r="U235" s="2992"/>
      <c r="W235" s="2901"/>
      <c r="X235" s="2862"/>
    </row>
    <row r="236" spans="1:24" s="1592" customFormat="1" ht="71.5" hidden="1" x14ac:dyDescent="0.35">
      <c r="A236" s="2486">
        <v>44329</v>
      </c>
      <c r="B236" s="3107">
        <v>34</v>
      </c>
      <c r="C236" s="5" t="s">
        <v>13810</v>
      </c>
      <c r="D236" s="3032" t="s">
        <v>13807</v>
      </c>
      <c r="E236" s="2725" t="s">
        <v>13808</v>
      </c>
      <c r="F236" s="3029"/>
      <c r="G236" s="3040" t="s">
        <v>14367</v>
      </c>
      <c r="H236" s="3041"/>
      <c r="I236" s="2486">
        <v>44330</v>
      </c>
      <c r="J236" s="3046" t="s">
        <v>6032</v>
      </c>
      <c r="K236" s="6">
        <v>0.45833333333333331</v>
      </c>
      <c r="L236" s="6">
        <v>0.45833333333333331</v>
      </c>
      <c r="M236" s="3108">
        <v>106</v>
      </c>
      <c r="N236" s="3016" t="s">
        <v>257</v>
      </c>
      <c r="O236" s="3037" t="s">
        <v>15</v>
      </c>
      <c r="P236" s="3016" t="s">
        <v>12323</v>
      </c>
      <c r="Q236" s="3016" t="s">
        <v>13809</v>
      </c>
      <c r="R236" s="3028"/>
      <c r="S236" s="3109"/>
      <c r="T236" s="3110"/>
      <c r="U236" s="2992"/>
      <c r="W236" s="2901"/>
      <c r="X236" s="2862"/>
    </row>
    <row r="237" spans="1:24" s="1592" customFormat="1" ht="43.5" hidden="1" x14ac:dyDescent="0.35">
      <c r="A237" s="2486">
        <v>44325</v>
      </c>
      <c r="B237" s="3107">
        <v>35</v>
      </c>
      <c r="C237" s="5" t="s">
        <v>13242</v>
      </c>
      <c r="D237" s="3032" t="s">
        <v>13243</v>
      </c>
      <c r="E237" s="2725" t="s">
        <v>13244</v>
      </c>
      <c r="F237" s="3029"/>
      <c r="G237" s="3040" t="s">
        <v>12203</v>
      </c>
      <c r="H237" s="3041"/>
      <c r="I237" s="2486">
        <v>44330</v>
      </c>
      <c r="J237" s="3046" t="s">
        <v>6032</v>
      </c>
      <c r="K237" s="6">
        <v>0.45833333333333331</v>
      </c>
      <c r="L237" s="6">
        <v>0.45833333333333331</v>
      </c>
      <c r="M237" s="3108">
        <v>175</v>
      </c>
      <c r="N237" s="3016" t="s">
        <v>257</v>
      </c>
      <c r="O237" s="3037" t="s">
        <v>15</v>
      </c>
      <c r="P237" s="3016" t="s">
        <v>821</v>
      </c>
      <c r="Q237" s="3016" t="s">
        <v>13245</v>
      </c>
      <c r="R237" s="3028"/>
      <c r="S237" s="3109"/>
      <c r="T237" s="3110"/>
      <c r="U237" s="2992"/>
      <c r="W237" s="2901"/>
      <c r="X237" s="2862"/>
    </row>
    <row r="238" spans="1:24" s="1592" customFormat="1" ht="72.5" hidden="1" x14ac:dyDescent="0.35">
      <c r="A238" s="2486">
        <v>44328</v>
      </c>
      <c r="B238" s="3107">
        <v>1</v>
      </c>
      <c r="C238" s="5" t="s">
        <v>13588</v>
      </c>
      <c r="D238" s="3032" t="s">
        <v>9727</v>
      </c>
      <c r="E238" s="3016" t="s">
        <v>13587</v>
      </c>
      <c r="F238" s="3029"/>
      <c r="G238" s="3040" t="s">
        <v>11500</v>
      </c>
      <c r="H238" s="3041"/>
      <c r="I238" s="2486">
        <v>44331</v>
      </c>
      <c r="J238" s="3046" t="s">
        <v>13989</v>
      </c>
      <c r="K238" s="3125">
        <v>0.29166666666666669</v>
      </c>
      <c r="L238" s="3157">
        <v>0.29166666666666669</v>
      </c>
      <c r="M238" s="3111">
        <v>140</v>
      </c>
      <c r="N238" s="3016" t="s">
        <v>257</v>
      </c>
      <c r="O238" s="3037" t="s">
        <v>15</v>
      </c>
      <c r="P238" s="3016" t="s">
        <v>216</v>
      </c>
      <c r="Q238" s="3016" t="s">
        <v>12403</v>
      </c>
      <c r="R238" s="3028"/>
      <c r="S238" s="3109"/>
      <c r="T238" s="3110"/>
      <c r="U238" s="2992"/>
      <c r="W238" s="2901"/>
      <c r="X238" s="2862"/>
    </row>
    <row r="239" spans="1:24" s="1592" customFormat="1" ht="409.5" hidden="1" x14ac:dyDescent="0.35">
      <c r="A239" s="3021">
        <v>44330</v>
      </c>
      <c r="B239" s="3036">
        <v>2</v>
      </c>
      <c r="C239" s="5" t="s">
        <v>13353</v>
      </c>
      <c r="D239" s="3032"/>
      <c r="E239" s="2725" t="s">
        <v>13934</v>
      </c>
      <c r="F239" s="3029"/>
      <c r="G239" s="3041" t="s">
        <v>14368</v>
      </c>
      <c r="H239" s="3041"/>
      <c r="I239" s="2486">
        <v>44331</v>
      </c>
      <c r="J239" s="2722" t="s">
        <v>12945</v>
      </c>
      <c r="K239" s="3125">
        <v>0.29166666666666669</v>
      </c>
      <c r="L239" s="3157">
        <v>0.29166666666666669</v>
      </c>
      <c r="M239" s="3039">
        <v>0</v>
      </c>
      <c r="N239" s="3016" t="s">
        <v>5716</v>
      </c>
      <c r="O239" s="3037" t="s">
        <v>15</v>
      </c>
      <c r="P239" s="3016" t="s">
        <v>821</v>
      </c>
      <c r="Q239" s="3016" t="s">
        <v>8499</v>
      </c>
      <c r="R239" s="3028"/>
      <c r="S239" s="3031"/>
      <c r="T239" s="3057"/>
      <c r="U239" s="2992"/>
      <c r="W239" s="2901"/>
      <c r="X239" s="2862"/>
    </row>
    <row r="240" spans="1:24" s="1592" customFormat="1" ht="43.5" hidden="1" x14ac:dyDescent="0.35">
      <c r="A240" s="2486">
        <v>44328</v>
      </c>
      <c r="B240" s="3107">
        <v>23</v>
      </c>
      <c r="C240" s="5" t="s">
        <v>13576</v>
      </c>
      <c r="D240" s="3032" t="s">
        <v>13577</v>
      </c>
      <c r="E240" s="3016" t="s">
        <v>13575</v>
      </c>
      <c r="F240" s="3029"/>
      <c r="G240" s="3040" t="s">
        <v>14307</v>
      </c>
      <c r="H240" s="3041"/>
      <c r="I240" s="2486">
        <v>44331</v>
      </c>
      <c r="J240" s="2722" t="s">
        <v>13578</v>
      </c>
      <c r="K240" s="6">
        <v>0.29236111111111113</v>
      </c>
      <c r="L240" s="3157">
        <v>0.42499999999999999</v>
      </c>
      <c r="M240" s="3111">
        <v>190</v>
      </c>
      <c r="N240" s="3016" t="s">
        <v>8625</v>
      </c>
      <c r="O240" s="3037" t="s">
        <v>119</v>
      </c>
      <c r="P240" s="3016" t="s">
        <v>12323</v>
      </c>
      <c r="Q240" s="3016" t="s">
        <v>13579</v>
      </c>
      <c r="R240" s="3028"/>
      <c r="S240" s="3109"/>
      <c r="T240" s="3110"/>
      <c r="U240" s="2992"/>
      <c r="W240" s="2901"/>
      <c r="X240" s="2862"/>
    </row>
    <row r="241" spans="1:24" s="1592" customFormat="1" ht="43.5" hidden="1" x14ac:dyDescent="0.35">
      <c r="A241" s="2486">
        <v>44330</v>
      </c>
      <c r="B241" s="3107">
        <v>20</v>
      </c>
      <c r="C241" s="5" t="s">
        <v>13835</v>
      </c>
      <c r="D241" s="3032" t="s">
        <v>13836</v>
      </c>
      <c r="E241" s="2725" t="s">
        <v>13863</v>
      </c>
      <c r="F241" s="3029"/>
      <c r="G241" s="3040" t="s">
        <v>13864</v>
      </c>
      <c r="H241" s="3041"/>
      <c r="I241" s="2486">
        <v>44331</v>
      </c>
      <c r="J241" s="2722" t="s">
        <v>13837</v>
      </c>
      <c r="K241" s="6">
        <v>0.29236111111111113</v>
      </c>
      <c r="L241" s="3149">
        <v>0.32500000000000001</v>
      </c>
      <c r="M241" s="3108">
        <v>174</v>
      </c>
      <c r="N241" s="3016" t="s">
        <v>257</v>
      </c>
      <c r="O241" s="3037" t="s">
        <v>119</v>
      </c>
      <c r="P241" s="3016" t="s">
        <v>12323</v>
      </c>
      <c r="Q241" s="3016" t="s">
        <v>13838</v>
      </c>
      <c r="R241" s="3028"/>
      <c r="S241" s="3109"/>
      <c r="T241" s="3110"/>
      <c r="U241" s="2992"/>
      <c r="W241" s="2901"/>
      <c r="X241" s="2862"/>
    </row>
    <row r="242" spans="1:24" s="1592" customFormat="1" ht="319" hidden="1" x14ac:dyDescent="0.35">
      <c r="A242" s="3047">
        <v>44328</v>
      </c>
      <c r="B242" s="3112">
        <v>3</v>
      </c>
      <c r="C242" s="3026" t="s">
        <v>13686</v>
      </c>
      <c r="D242" s="3044" t="s">
        <v>13687</v>
      </c>
      <c r="E242" s="3025" t="s">
        <v>13773</v>
      </c>
      <c r="F242" s="3025"/>
      <c r="G242" s="3050" t="s">
        <v>11432</v>
      </c>
      <c r="H242" s="3049"/>
      <c r="I242" s="3047">
        <v>44331</v>
      </c>
      <c r="J242" s="3046" t="s">
        <v>13688</v>
      </c>
      <c r="K242" s="3128">
        <v>0.29166666666666669</v>
      </c>
      <c r="L242" s="3157">
        <v>0.33124999999999999</v>
      </c>
      <c r="M242" s="3113">
        <v>865</v>
      </c>
      <c r="N242" s="3025" t="s">
        <v>257</v>
      </c>
      <c r="O242" s="3045" t="s">
        <v>7067</v>
      </c>
      <c r="P242" s="3025" t="s">
        <v>821</v>
      </c>
      <c r="Q242" s="3026" t="s">
        <v>12417</v>
      </c>
      <c r="R242" s="3028"/>
      <c r="S242" s="3109"/>
      <c r="T242" s="3110"/>
      <c r="U242" s="2992"/>
      <c r="W242" s="2901"/>
      <c r="X242" s="2862"/>
    </row>
    <row r="243" spans="1:24" s="1592" customFormat="1" ht="72.5" hidden="1" x14ac:dyDescent="0.35">
      <c r="A243" s="3047">
        <v>44328</v>
      </c>
      <c r="B243" s="3112">
        <v>5</v>
      </c>
      <c r="C243" s="3026" t="s">
        <v>330</v>
      </c>
      <c r="D243" s="3044" t="s">
        <v>13558</v>
      </c>
      <c r="E243" s="3025" t="s">
        <v>13557</v>
      </c>
      <c r="F243" s="3022"/>
      <c r="G243" s="2933" t="s">
        <v>11432</v>
      </c>
      <c r="H243" s="3049"/>
      <c r="I243" s="2195">
        <v>44331</v>
      </c>
      <c r="J243" s="3046" t="s">
        <v>13559</v>
      </c>
      <c r="K243" s="3128">
        <v>0.29166666666666669</v>
      </c>
      <c r="L243" s="3230">
        <v>0.38194444444444442</v>
      </c>
      <c r="M243" s="3113">
        <v>640</v>
      </c>
      <c r="N243" s="3025" t="s">
        <v>257</v>
      </c>
      <c r="O243" s="3045" t="s">
        <v>7067</v>
      </c>
      <c r="P243" s="3025" t="s">
        <v>12317</v>
      </c>
      <c r="Q243" s="3025" t="s">
        <v>12456</v>
      </c>
      <c r="R243" s="3028"/>
      <c r="S243" s="3109"/>
      <c r="T243" s="3110"/>
      <c r="U243" s="2992"/>
      <c r="W243" s="2901"/>
      <c r="X243" s="2862"/>
    </row>
    <row r="244" spans="1:24" s="1592" customFormat="1" ht="58" hidden="1" x14ac:dyDescent="0.35">
      <c r="A244" s="3047">
        <v>44323</v>
      </c>
      <c r="B244" s="3042">
        <v>29</v>
      </c>
      <c r="C244" s="3026" t="s">
        <v>13106</v>
      </c>
      <c r="D244" s="3044" t="s">
        <v>13107</v>
      </c>
      <c r="E244" s="3048" t="s">
        <v>13105</v>
      </c>
      <c r="F244" s="3025"/>
      <c r="G244" s="3050" t="s">
        <v>11432</v>
      </c>
      <c r="H244" s="3049"/>
      <c r="I244" s="3047">
        <v>44331</v>
      </c>
      <c r="J244" s="3046" t="s">
        <v>13108</v>
      </c>
      <c r="K244" s="3128">
        <v>0.29236111111111113</v>
      </c>
      <c r="L244" s="3119">
        <v>0.53402777777777777</v>
      </c>
      <c r="M244" s="3038">
        <v>465</v>
      </c>
      <c r="N244" s="3025" t="s">
        <v>257</v>
      </c>
      <c r="O244" s="3045" t="s">
        <v>119</v>
      </c>
      <c r="P244" s="3025" t="s">
        <v>17</v>
      </c>
      <c r="Q244" s="3025" t="s">
        <v>12459</v>
      </c>
      <c r="R244" s="3028"/>
      <c r="S244" s="3031"/>
      <c r="T244" s="3057"/>
      <c r="U244" s="2992"/>
      <c r="W244" s="2901"/>
      <c r="X244" s="2862"/>
    </row>
    <row r="245" spans="1:24" s="1592" customFormat="1" ht="72.5" hidden="1" x14ac:dyDescent="0.35">
      <c r="A245" s="3047">
        <v>44326</v>
      </c>
      <c r="B245" s="3112">
        <v>17</v>
      </c>
      <c r="C245" s="3026" t="s">
        <v>13335</v>
      </c>
      <c r="D245" s="3044" t="s">
        <v>13336</v>
      </c>
      <c r="E245" s="3048" t="s">
        <v>13337</v>
      </c>
      <c r="F245" s="3025"/>
      <c r="G245" s="3050" t="s">
        <v>11432</v>
      </c>
      <c r="H245" s="3049"/>
      <c r="I245" s="3047">
        <v>44331</v>
      </c>
      <c r="J245" s="3046" t="s">
        <v>13338</v>
      </c>
      <c r="K245" s="3128">
        <v>0.29166666666666669</v>
      </c>
      <c r="L245" s="3157">
        <v>0.63611111111111118</v>
      </c>
      <c r="M245" s="3113">
        <v>465</v>
      </c>
      <c r="N245" s="3025" t="s">
        <v>257</v>
      </c>
      <c r="O245" s="3045" t="s">
        <v>7067</v>
      </c>
      <c r="P245" s="3025" t="s">
        <v>821</v>
      </c>
      <c r="Q245" s="3025" t="s">
        <v>12461</v>
      </c>
      <c r="R245" s="3028"/>
      <c r="S245" s="3109"/>
      <c r="T245" s="3110"/>
      <c r="U245" s="2992"/>
      <c r="W245" s="2901"/>
      <c r="X245" s="2862"/>
    </row>
    <row r="246" spans="1:24" s="1592" customFormat="1" ht="72.5" hidden="1" x14ac:dyDescent="0.35">
      <c r="A246" s="2486">
        <v>44329</v>
      </c>
      <c r="B246" s="3036">
        <v>31</v>
      </c>
      <c r="C246" s="5" t="s">
        <v>13752</v>
      </c>
      <c r="D246" s="3032" t="s">
        <v>13753</v>
      </c>
      <c r="E246" s="2725" t="s">
        <v>13755</v>
      </c>
      <c r="F246" s="3029"/>
      <c r="G246" s="3040" t="s">
        <v>13751</v>
      </c>
      <c r="H246" s="3041"/>
      <c r="I246" s="2486">
        <v>44331</v>
      </c>
      <c r="J246" s="2722" t="s">
        <v>13754</v>
      </c>
      <c r="K246" s="6">
        <v>0.29236111111111113</v>
      </c>
      <c r="L246" s="3149">
        <v>0.57916666666666672</v>
      </c>
      <c r="M246" s="3039">
        <v>220</v>
      </c>
      <c r="N246" s="3016" t="s">
        <v>8625</v>
      </c>
      <c r="O246" s="3037" t="s">
        <v>119</v>
      </c>
      <c r="P246" s="3016" t="s">
        <v>12323</v>
      </c>
      <c r="Q246" s="3015" t="s">
        <v>13750</v>
      </c>
      <c r="R246" s="3028"/>
      <c r="S246" s="3031"/>
      <c r="T246" s="3057"/>
      <c r="U246" s="2992"/>
      <c r="W246" s="2901"/>
      <c r="X246" s="2862"/>
    </row>
    <row r="247" spans="1:24" s="1592" customFormat="1" ht="217.5" hidden="1" x14ac:dyDescent="0.35">
      <c r="A247" s="3047">
        <v>44327</v>
      </c>
      <c r="B247" s="3042">
        <v>14</v>
      </c>
      <c r="C247" s="3026" t="s">
        <v>13457</v>
      </c>
      <c r="D247" s="3044" t="s">
        <v>13458</v>
      </c>
      <c r="E247" s="3048" t="s">
        <v>13456</v>
      </c>
      <c r="F247" s="3025"/>
      <c r="G247" s="3050" t="s">
        <v>11432</v>
      </c>
      <c r="H247" s="3041"/>
      <c r="I247" s="3047">
        <v>44331</v>
      </c>
      <c r="J247" s="3046" t="s">
        <v>13455</v>
      </c>
      <c r="K247" s="3128">
        <v>0.29166666666666669</v>
      </c>
      <c r="L247" s="3157">
        <v>0.57500000000000007</v>
      </c>
      <c r="M247" s="3038">
        <v>390</v>
      </c>
      <c r="N247" s="3025" t="s">
        <v>257</v>
      </c>
      <c r="O247" s="3045" t="s">
        <v>7067</v>
      </c>
      <c r="P247" s="3025" t="s">
        <v>22</v>
      </c>
      <c r="Q247" s="3026" t="s">
        <v>12412</v>
      </c>
      <c r="R247" s="3028"/>
      <c r="S247" s="3031"/>
      <c r="T247" s="3057"/>
      <c r="U247" s="2992"/>
      <c r="W247" s="2901"/>
      <c r="X247" s="2862"/>
    </row>
    <row r="248" spans="1:24" s="1592" customFormat="1" ht="145" hidden="1" x14ac:dyDescent="0.35">
      <c r="A248" s="3047">
        <v>44324</v>
      </c>
      <c r="B248" s="3042">
        <v>10</v>
      </c>
      <c r="C248" s="3026" t="s">
        <v>13217</v>
      </c>
      <c r="D248" s="3044" t="s">
        <v>13218</v>
      </c>
      <c r="E248" s="3026" t="s">
        <v>13945</v>
      </c>
      <c r="F248" s="3025"/>
      <c r="G248" s="3050" t="s">
        <v>11432</v>
      </c>
      <c r="H248" s="3041"/>
      <c r="I248" s="3047">
        <v>44331</v>
      </c>
      <c r="J248" s="3046" t="s">
        <v>13219</v>
      </c>
      <c r="K248" s="3128">
        <v>0.29166666666666669</v>
      </c>
      <c r="L248" s="3157">
        <v>0.4826388888888889</v>
      </c>
      <c r="M248" s="3038">
        <f>120*2.5+95</f>
        <v>395</v>
      </c>
      <c r="N248" s="3025" t="s">
        <v>392</v>
      </c>
      <c r="O248" s="3045" t="s">
        <v>7067</v>
      </c>
      <c r="P248" s="3025" t="s">
        <v>216</v>
      </c>
      <c r="Q248" s="3026" t="s">
        <v>12404</v>
      </c>
      <c r="R248" s="3028"/>
      <c r="S248" s="3031"/>
      <c r="T248" s="3057"/>
      <c r="U248" s="2992"/>
      <c r="W248" s="2901"/>
      <c r="X248" s="2862"/>
    </row>
    <row r="249" spans="1:24" s="1592" customFormat="1" ht="87" hidden="1" x14ac:dyDescent="0.35">
      <c r="A249" s="3047">
        <v>44327</v>
      </c>
      <c r="B249" s="3042">
        <v>11</v>
      </c>
      <c r="C249" s="3026" t="s">
        <v>13448</v>
      </c>
      <c r="D249" s="3044" t="s">
        <v>13449</v>
      </c>
      <c r="E249" s="3048" t="s">
        <v>13452</v>
      </c>
      <c r="F249" s="3025"/>
      <c r="G249" s="3050" t="s">
        <v>13450</v>
      </c>
      <c r="H249" s="3049"/>
      <c r="I249" s="3047">
        <v>44331</v>
      </c>
      <c r="J249" s="3046" t="s">
        <v>13451</v>
      </c>
      <c r="K249" s="3128">
        <v>0.29166666666666669</v>
      </c>
      <c r="L249" s="3157">
        <v>0.51250000000000007</v>
      </c>
      <c r="M249" s="3135">
        <v>1110</v>
      </c>
      <c r="N249" s="3026" t="s">
        <v>8297</v>
      </c>
      <c r="O249" s="2878" t="s">
        <v>7067</v>
      </c>
      <c r="P249" s="3026" t="s">
        <v>216</v>
      </c>
      <c r="Q249" s="3026" t="s">
        <v>12406</v>
      </c>
      <c r="R249" s="3028"/>
      <c r="S249" s="3031"/>
      <c r="T249" s="3057"/>
      <c r="U249" s="2992"/>
      <c r="W249" s="2901"/>
      <c r="X249" s="2862"/>
    </row>
    <row r="250" spans="1:24" s="1592" customFormat="1" ht="87" hidden="1" x14ac:dyDescent="0.35">
      <c r="A250" s="3047">
        <v>44328</v>
      </c>
      <c r="B250" s="3042">
        <v>21</v>
      </c>
      <c r="C250" s="3026" t="s">
        <v>12873</v>
      </c>
      <c r="D250" s="3044" t="s">
        <v>13560</v>
      </c>
      <c r="E250" s="3025" t="s">
        <v>13561</v>
      </c>
      <c r="F250" s="3025"/>
      <c r="G250" s="3050" t="s">
        <v>11432</v>
      </c>
      <c r="H250" s="3049"/>
      <c r="I250" s="3047">
        <v>44331</v>
      </c>
      <c r="J250" s="3046" t="s">
        <v>13562</v>
      </c>
      <c r="K250" s="3128">
        <v>0.29236111111111113</v>
      </c>
      <c r="L250" s="3157">
        <v>0.38194444444444442</v>
      </c>
      <c r="M250" s="3039">
        <v>765</v>
      </c>
      <c r="N250" s="3025" t="s">
        <v>13933</v>
      </c>
      <c r="O250" s="3045" t="s">
        <v>119</v>
      </c>
      <c r="P250" s="3025" t="s">
        <v>216</v>
      </c>
      <c r="Q250" s="3025" t="s">
        <v>12467</v>
      </c>
      <c r="R250" s="3028"/>
      <c r="S250" s="3031"/>
      <c r="T250" s="3057"/>
      <c r="U250" s="2992"/>
      <c r="W250" s="2901"/>
      <c r="X250" s="2862"/>
    </row>
    <row r="251" spans="1:24" s="1592" customFormat="1" ht="58" hidden="1" x14ac:dyDescent="0.35">
      <c r="A251" s="3047">
        <v>44324</v>
      </c>
      <c r="B251" s="3112">
        <v>6</v>
      </c>
      <c r="C251" s="3026" t="s">
        <v>13179</v>
      </c>
      <c r="D251" s="3044" t="s">
        <v>12280</v>
      </c>
      <c r="E251" s="3048" t="s">
        <v>13180</v>
      </c>
      <c r="F251" s="3025"/>
      <c r="G251" s="3050" t="s">
        <v>11432</v>
      </c>
      <c r="H251" s="3049"/>
      <c r="I251" s="3047">
        <v>44331</v>
      </c>
      <c r="J251" s="3046" t="s">
        <v>13355</v>
      </c>
      <c r="K251" s="3128">
        <v>0.29166666666666669</v>
      </c>
      <c r="L251" s="3119">
        <v>0.3972222222222222</v>
      </c>
      <c r="M251" s="3113">
        <f>150*3.5+15</f>
        <v>540</v>
      </c>
      <c r="N251" s="3025" t="s">
        <v>392</v>
      </c>
      <c r="O251" s="3045" t="s">
        <v>7067</v>
      </c>
      <c r="P251" s="3025" t="s">
        <v>1031</v>
      </c>
      <c r="Q251" s="3025" t="s">
        <v>12456</v>
      </c>
      <c r="R251" s="3028"/>
      <c r="S251" s="3109"/>
      <c r="T251" s="3110"/>
      <c r="U251" s="2992"/>
      <c r="W251" s="2901"/>
      <c r="X251" s="2862"/>
    </row>
    <row r="252" spans="1:24" s="1592" customFormat="1" ht="43.5" hidden="1" x14ac:dyDescent="0.35">
      <c r="A252" s="2486">
        <v>44329</v>
      </c>
      <c r="B252" s="3036">
        <v>18</v>
      </c>
      <c r="C252" s="5" t="s">
        <v>13713</v>
      </c>
      <c r="D252" s="3032" t="s">
        <v>13716</v>
      </c>
      <c r="E252" s="2725" t="s">
        <v>13712</v>
      </c>
      <c r="F252" s="3029"/>
      <c r="G252" s="3040" t="s">
        <v>12203</v>
      </c>
      <c r="H252" s="3041"/>
      <c r="I252" s="2486">
        <v>44331</v>
      </c>
      <c r="J252" s="2722" t="s">
        <v>13714</v>
      </c>
      <c r="K252" s="6">
        <v>0.29166666666666669</v>
      </c>
      <c r="L252" s="3149">
        <v>0.66666666666666663</v>
      </c>
      <c r="M252" s="3020">
        <v>155</v>
      </c>
      <c r="N252" s="3016" t="s">
        <v>257</v>
      </c>
      <c r="O252" s="3037" t="s">
        <v>7067</v>
      </c>
      <c r="P252" s="3016" t="s">
        <v>12323</v>
      </c>
      <c r="Q252" s="3015" t="s">
        <v>13715</v>
      </c>
      <c r="R252" s="3028"/>
      <c r="S252" s="3031"/>
      <c r="T252" s="3057"/>
      <c r="U252" s="2992"/>
      <c r="W252" s="2901"/>
      <c r="X252" s="2862"/>
    </row>
    <row r="253" spans="1:24" s="1592" customFormat="1" ht="188.5" hidden="1" x14ac:dyDescent="0.35">
      <c r="A253" s="3047">
        <v>44327</v>
      </c>
      <c r="B253" s="3042">
        <v>27</v>
      </c>
      <c r="C253" s="3026" t="s">
        <v>13774</v>
      </c>
      <c r="D253" s="3044" t="s">
        <v>13271</v>
      </c>
      <c r="E253" s="3048" t="s">
        <v>13410</v>
      </c>
      <c r="F253" s="3022"/>
      <c r="G253" s="2933" t="s">
        <v>11478</v>
      </c>
      <c r="H253" s="3041"/>
      <c r="I253" s="3047">
        <v>44331</v>
      </c>
      <c r="J253" s="2948" t="s">
        <v>13409</v>
      </c>
      <c r="K253" s="3128">
        <v>0.29236111111111113</v>
      </c>
      <c r="L253" s="3157">
        <v>0.47916666666666669</v>
      </c>
      <c r="M253" s="3038">
        <v>878</v>
      </c>
      <c r="N253" s="3025" t="s">
        <v>257</v>
      </c>
      <c r="O253" s="3045" t="s">
        <v>119</v>
      </c>
      <c r="P253" s="3025" t="s">
        <v>17</v>
      </c>
      <c r="Q253" s="3025" t="s">
        <v>12452</v>
      </c>
      <c r="R253" s="3028"/>
      <c r="S253" s="3031"/>
      <c r="T253" s="3057"/>
      <c r="U253" s="2992"/>
      <c r="W253" s="2901"/>
      <c r="X253" s="2862"/>
    </row>
    <row r="254" spans="1:24" s="1592" customFormat="1" ht="72.5" hidden="1" x14ac:dyDescent="0.35">
      <c r="A254" s="3047">
        <v>44312</v>
      </c>
      <c r="B254" s="3056">
        <v>8</v>
      </c>
      <c r="C254" s="3026" t="s">
        <v>12617</v>
      </c>
      <c r="D254" s="3044" t="s">
        <v>12618</v>
      </c>
      <c r="E254" s="3048" t="s">
        <v>12616</v>
      </c>
      <c r="F254" s="3025"/>
      <c r="G254" s="3050" t="s">
        <v>11432</v>
      </c>
      <c r="H254" s="3049"/>
      <c r="I254" s="3047">
        <v>44331</v>
      </c>
      <c r="J254" s="3046" t="s">
        <v>13879</v>
      </c>
      <c r="K254" s="3128">
        <v>0.29166666666666669</v>
      </c>
      <c r="L254" s="3118">
        <v>0.43958333333333338</v>
      </c>
      <c r="M254" s="3055">
        <v>915</v>
      </c>
      <c r="N254" s="3025" t="s">
        <v>12550</v>
      </c>
      <c r="O254" s="3045" t="s">
        <v>7067</v>
      </c>
      <c r="P254" s="3025" t="s">
        <v>821</v>
      </c>
      <c r="Q254" s="3025" t="s">
        <v>12460</v>
      </c>
      <c r="R254" s="3028"/>
      <c r="S254" s="3054"/>
      <c r="T254" s="3066"/>
      <c r="U254" s="2992"/>
      <c r="W254" s="2901"/>
      <c r="X254" s="2862"/>
    </row>
    <row r="255" spans="1:24" s="1592" customFormat="1" ht="43.5" hidden="1" x14ac:dyDescent="0.35">
      <c r="A255" s="2486">
        <v>44330</v>
      </c>
      <c r="B255" s="3036">
        <v>13</v>
      </c>
      <c r="C255" s="5" t="s">
        <v>13914</v>
      </c>
      <c r="D255" s="3032" t="s">
        <v>13915</v>
      </c>
      <c r="E255" s="2725" t="s">
        <v>13918</v>
      </c>
      <c r="F255" s="3029"/>
      <c r="G255" s="3040" t="s">
        <v>11466</v>
      </c>
      <c r="H255" s="3041"/>
      <c r="I255" s="2486">
        <v>44331</v>
      </c>
      <c r="J255" s="2722" t="s">
        <v>13916</v>
      </c>
      <c r="K255" s="3122">
        <v>0.29166666666666669</v>
      </c>
      <c r="L255" s="3149">
        <v>0.55694444444444446</v>
      </c>
      <c r="M255" s="3039">
        <v>155</v>
      </c>
      <c r="N255" s="3016" t="s">
        <v>8625</v>
      </c>
      <c r="O255" s="3037" t="s">
        <v>7067</v>
      </c>
      <c r="P255" s="3016" t="s">
        <v>12323</v>
      </c>
      <c r="Q255" s="3016" t="s">
        <v>13917</v>
      </c>
      <c r="R255" s="3028"/>
      <c r="S255" s="3031"/>
      <c r="T255" s="3057"/>
      <c r="U255" s="2992"/>
      <c r="W255" s="2901"/>
      <c r="X255" s="2862"/>
    </row>
    <row r="256" spans="1:24" s="1592" customFormat="1" ht="58" hidden="1" x14ac:dyDescent="0.35">
      <c r="A256" s="2486">
        <v>44323</v>
      </c>
      <c r="B256" s="3036">
        <v>24</v>
      </c>
      <c r="C256" s="5" t="s">
        <v>13090</v>
      </c>
      <c r="D256" s="3032" t="s">
        <v>13091</v>
      </c>
      <c r="E256" s="2725" t="s">
        <v>13089</v>
      </c>
      <c r="F256" s="3029"/>
      <c r="G256" s="3040" t="s">
        <v>11432</v>
      </c>
      <c r="H256" s="3041"/>
      <c r="I256" s="2486">
        <v>44331</v>
      </c>
      <c r="J256" s="2722" t="s">
        <v>13092</v>
      </c>
      <c r="K256" s="6">
        <v>0.29236111111111113</v>
      </c>
      <c r="L256" s="3117">
        <v>0.44236111111111115</v>
      </c>
      <c r="M256" s="3020">
        <v>615</v>
      </c>
      <c r="N256" s="3016" t="s">
        <v>257</v>
      </c>
      <c r="O256" s="3037" t="s">
        <v>119</v>
      </c>
      <c r="P256" s="3016" t="s">
        <v>12323</v>
      </c>
      <c r="Q256" s="3016" t="s">
        <v>13093</v>
      </c>
      <c r="R256" s="3028"/>
      <c r="S256" s="3031"/>
      <c r="T256" s="3057"/>
      <c r="U256" s="2992"/>
      <c r="W256" s="2901"/>
      <c r="X256" s="2862"/>
    </row>
    <row r="257" spans="1:24" s="1592" customFormat="1" ht="101.5" hidden="1" x14ac:dyDescent="0.35">
      <c r="A257" s="3047">
        <v>44327</v>
      </c>
      <c r="B257" s="3042">
        <v>25</v>
      </c>
      <c r="C257" s="3026" t="s">
        <v>13470</v>
      </c>
      <c r="D257" s="3044" t="s">
        <v>13471</v>
      </c>
      <c r="E257" s="3048" t="s">
        <v>13473</v>
      </c>
      <c r="F257" s="3025"/>
      <c r="G257" s="3050" t="s">
        <v>11432</v>
      </c>
      <c r="H257" s="3041"/>
      <c r="I257" s="3047">
        <v>44331</v>
      </c>
      <c r="J257" s="3046" t="s">
        <v>13472</v>
      </c>
      <c r="K257" s="3128">
        <v>0.29236111111111113</v>
      </c>
      <c r="L257" s="3152">
        <v>0.46111111111111108</v>
      </c>
      <c r="M257" s="3038">
        <v>370</v>
      </c>
      <c r="N257" s="3025" t="s">
        <v>257</v>
      </c>
      <c r="O257" s="3045" t="s">
        <v>119</v>
      </c>
      <c r="P257" s="3025" t="s">
        <v>22</v>
      </c>
      <c r="Q257" s="3026" t="s">
        <v>12427</v>
      </c>
      <c r="R257" s="3028"/>
      <c r="S257" s="3031"/>
      <c r="T257" s="3057"/>
      <c r="U257" s="2992"/>
      <c r="W257" s="2901"/>
      <c r="X257" s="2862"/>
    </row>
    <row r="258" spans="1:24" s="1592" customFormat="1" ht="43.5" hidden="1" x14ac:dyDescent="0.35">
      <c r="A258" s="2486">
        <v>44328</v>
      </c>
      <c r="B258" s="3107">
        <v>12</v>
      </c>
      <c r="C258" s="5" t="s">
        <v>13542</v>
      </c>
      <c r="D258" s="3032" t="s">
        <v>13543</v>
      </c>
      <c r="E258" s="3016" t="s">
        <v>13545</v>
      </c>
      <c r="F258" s="3029"/>
      <c r="G258" s="3040" t="s">
        <v>13546</v>
      </c>
      <c r="H258" s="3041"/>
      <c r="I258" s="2486">
        <v>44331</v>
      </c>
      <c r="J258" s="2722" t="s">
        <v>13544</v>
      </c>
      <c r="K258" s="6">
        <v>0.29166666666666669</v>
      </c>
      <c r="L258" s="3149">
        <v>0.53611111111111109</v>
      </c>
      <c r="M258" s="3108">
        <v>265</v>
      </c>
      <c r="N258" s="3016" t="s">
        <v>257</v>
      </c>
      <c r="O258" s="3037" t="s">
        <v>7067</v>
      </c>
      <c r="P258" s="3016" t="s">
        <v>12323</v>
      </c>
      <c r="Q258" s="3016" t="s">
        <v>13547</v>
      </c>
      <c r="R258" s="3028"/>
      <c r="S258" s="3109"/>
      <c r="T258" s="3110"/>
      <c r="U258" s="2992"/>
      <c r="W258" s="2901"/>
      <c r="X258" s="2862"/>
    </row>
    <row r="259" spans="1:24" s="1592" customFormat="1" ht="116" hidden="1" x14ac:dyDescent="0.35">
      <c r="A259" s="3047">
        <v>44327</v>
      </c>
      <c r="B259" s="3112">
        <v>16</v>
      </c>
      <c r="C259" s="3026" t="s">
        <v>13411</v>
      </c>
      <c r="D259" s="3044" t="s">
        <v>13412</v>
      </c>
      <c r="E259" s="3048" t="s">
        <v>13418</v>
      </c>
      <c r="F259" s="3025"/>
      <c r="G259" s="3050" t="s">
        <v>11432</v>
      </c>
      <c r="H259" s="3049"/>
      <c r="I259" s="3047">
        <v>44331</v>
      </c>
      <c r="J259" s="3046" t="s">
        <v>13413</v>
      </c>
      <c r="K259" s="3128">
        <v>0.29166666666666669</v>
      </c>
      <c r="L259" s="3152">
        <v>0.61319444444444449</v>
      </c>
      <c r="M259" s="3113">
        <v>465</v>
      </c>
      <c r="N259" s="3025" t="s">
        <v>257</v>
      </c>
      <c r="O259" s="3045" t="s">
        <v>7067</v>
      </c>
      <c r="P259" s="3025" t="s">
        <v>12323</v>
      </c>
      <c r="Q259" s="3025" t="s">
        <v>5560</v>
      </c>
      <c r="R259" s="3028"/>
      <c r="S259" s="3109"/>
      <c r="T259" s="3110"/>
      <c r="U259" s="2992"/>
      <c r="W259" s="2901"/>
      <c r="X259" s="2862"/>
    </row>
    <row r="260" spans="1:24" s="1592" customFormat="1" ht="58" hidden="1" x14ac:dyDescent="0.35">
      <c r="A260" s="3021">
        <v>44327</v>
      </c>
      <c r="B260" s="3036">
        <v>4</v>
      </c>
      <c r="C260" s="3015" t="s">
        <v>13462</v>
      </c>
      <c r="D260" s="3032" t="s">
        <v>13463</v>
      </c>
      <c r="E260" s="3024" t="s">
        <v>13465</v>
      </c>
      <c r="F260" s="2933"/>
      <c r="G260" s="2933" t="s">
        <v>11423</v>
      </c>
      <c r="H260" s="3041"/>
      <c r="I260" s="3021">
        <v>44331</v>
      </c>
      <c r="J260" s="3034" t="s">
        <v>13464</v>
      </c>
      <c r="K260" s="3122">
        <v>0.29166666666666669</v>
      </c>
      <c r="L260" s="3157">
        <v>0.35138888888888892</v>
      </c>
      <c r="M260" s="3020">
        <v>414</v>
      </c>
      <c r="N260" s="3016" t="s">
        <v>257</v>
      </c>
      <c r="O260" s="3037" t="s">
        <v>7067</v>
      </c>
      <c r="P260" s="3016" t="s">
        <v>821</v>
      </c>
      <c r="Q260" s="3015" t="s">
        <v>12425</v>
      </c>
      <c r="R260" s="3028"/>
      <c r="S260" s="3031"/>
      <c r="T260" s="3057"/>
      <c r="U260" s="2992"/>
      <c r="W260" s="2901"/>
      <c r="X260" s="2862"/>
    </row>
    <row r="261" spans="1:24" s="1592" customFormat="1" ht="29" hidden="1" x14ac:dyDescent="0.35">
      <c r="A261" s="2486">
        <v>44329</v>
      </c>
      <c r="B261" s="3036">
        <v>30</v>
      </c>
      <c r="C261" s="5" t="s">
        <v>13765</v>
      </c>
      <c r="D261" s="3032" t="s">
        <v>13766</v>
      </c>
      <c r="E261" s="2725" t="s">
        <v>13767</v>
      </c>
      <c r="F261" s="3029"/>
      <c r="G261" s="3040" t="s">
        <v>12056</v>
      </c>
      <c r="H261" s="3041"/>
      <c r="I261" s="2486">
        <v>44331</v>
      </c>
      <c r="J261" s="2722" t="s">
        <v>13768</v>
      </c>
      <c r="K261" s="6">
        <v>0.29236111111111113</v>
      </c>
      <c r="L261" s="3157">
        <v>0.55902777777777779</v>
      </c>
      <c r="M261" s="3020">
        <v>85</v>
      </c>
      <c r="N261" s="3016" t="s">
        <v>392</v>
      </c>
      <c r="O261" s="3037" t="s">
        <v>119</v>
      </c>
      <c r="P261" s="3016" t="s">
        <v>821</v>
      </c>
      <c r="Q261" s="3016" t="s">
        <v>12457</v>
      </c>
      <c r="R261" s="3028"/>
      <c r="S261" s="3031"/>
      <c r="T261" s="3057"/>
      <c r="U261" s="2992"/>
      <c r="W261" s="2901"/>
      <c r="X261" s="2862"/>
    </row>
    <row r="262" spans="1:24" s="1592" customFormat="1" ht="188.5" hidden="1" x14ac:dyDescent="0.35">
      <c r="A262" s="2195">
        <v>44262</v>
      </c>
      <c r="B262" s="3067">
        <v>28</v>
      </c>
      <c r="C262" s="3019" t="s">
        <v>12283</v>
      </c>
      <c r="D262" s="2879" t="s">
        <v>12285</v>
      </c>
      <c r="E262" s="3019" t="s">
        <v>12887</v>
      </c>
      <c r="F262" s="3022"/>
      <c r="G262" s="2933" t="s">
        <v>11432</v>
      </c>
      <c r="H262" s="3049"/>
      <c r="I262" s="2195">
        <v>44331</v>
      </c>
      <c r="J262" s="2883" t="s">
        <v>13946</v>
      </c>
      <c r="K262" s="2985">
        <v>0.29236111111111113</v>
      </c>
      <c r="L262" s="2999">
        <v>0.51041666666666663</v>
      </c>
      <c r="M262" s="3023">
        <f>5*150*0.7</f>
        <v>525</v>
      </c>
      <c r="N262" s="3022" t="s">
        <v>12284</v>
      </c>
      <c r="O262" s="3022" t="s">
        <v>119</v>
      </c>
      <c r="P262" s="3022" t="s">
        <v>821</v>
      </c>
      <c r="Q262" s="3022" t="s">
        <v>2084</v>
      </c>
      <c r="R262" s="3159"/>
      <c r="S262" s="3031"/>
      <c r="T262" s="3057"/>
      <c r="U262" s="2992"/>
      <c r="W262" s="2901"/>
      <c r="X262" s="2862"/>
    </row>
    <row r="263" spans="1:24" s="1592" customFormat="1" ht="72.5" hidden="1" x14ac:dyDescent="0.35">
      <c r="A263" s="2486">
        <v>44330</v>
      </c>
      <c r="B263" s="3036">
        <v>22</v>
      </c>
      <c r="C263" s="5" t="s">
        <v>13887</v>
      </c>
      <c r="D263" s="3032" t="s">
        <v>13888</v>
      </c>
      <c r="E263" s="2725" t="s">
        <v>13890</v>
      </c>
      <c r="F263" s="3029"/>
      <c r="G263" s="3040" t="s">
        <v>11420</v>
      </c>
      <c r="H263" s="3041"/>
      <c r="I263" s="2486">
        <v>44331</v>
      </c>
      <c r="J263" s="2722" t="s">
        <v>13889</v>
      </c>
      <c r="K263" s="6">
        <v>0.29236111111111113</v>
      </c>
      <c r="L263" s="3157">
        <v>0.40069444444444446</v>
      </c>
      <c r="M263" s="3020">
        <v>183</v>
      </c>
      <c r="N263" s="3016" t="s">
        <v>257</v>
      </c>
      <c r="O263" s="3037" t="s">
        <v>119</v>
      </c>
      <c r="P263" s="3016" t="s">
        <v>22</v>
      </c>
      <c r="Q263" s="3015" t="s">
        <v>12405</v>
      </c>
      <c r="R263" s="3028"/>
      <c r="S263" s="3031"/>
      <c r="T263" s="3057"/>
      <c r="U263" s="2992"/>
      <c r="W263" s="2901"/>
      <c r="X263" s="2862"/>
    </row>
    <row r="264" spans="1:24" s="1592" customFormat="1" ht="275.5" hidden="1" x14ac:dyDescent="0.35">
      <c r="A264" s="3047">
        <v>44327</v>
      </c>
      <c r="B264" s="3042">
        <v>19</v>
      </c>
      <c r="C264" s="3026" t="s">
        <v>13483</v>
      </c>
      <c r="D264" s="3044" t="s">
        <v>13484</v>
      </c>
      <c r="E264" s="3048" t="s">
        <v>13485</v>
      </c>
      <c r="F264" s="3025"/>
      <c r="G264" s="3050" t="s">
        <v>11432</v>
      </c>
      <c r="H264" s="3049"/>
      <c r="I264" s="3047">
        <v>44331</v>
      </c>
      <c r="J264" s="3046" t="s">
        <v>13482</v>
      </c>
      <c r="K264" s="3128">
        <v>0.29236111111111113</v>
      </c>
      <c r="L264" s="3152">
        <v>0.30069444444444443</v>
      </c>
      <c r="M264" s="3038">
        <v>255</v>
      </c>
      <c r="N264" s="3025" t="s">
        <v>257</v>
      </c>
      <c r="O264" s="3045" t="s">
        <v>119</v>
      </c>
      <c r="P264" s="3025" t="s">
        <v>216</v>
      </c>
      <c r="Q264" s="3026" t="s">
        <v>11183</v>
      </c>
      <c r="R264" s="3028"/>
      <c r="S264" s="3031"/>
      <c r="T264" s="3057"/>
      <c r="U264" s="2992"/>
      <c r="W264" s="2901"/>
      <c r="X264" s="2862"/>
    </row>
    <row r="265" spans="1:24" s="1592" customFormat="1" ht="174" hidden="1" x14ac:dyDescent="0.35">
      <c r="A265" s="3047">
        <v>44324</v>
      </c>
      <c r="B265" s="3112">
        <v>7</v>
      </c>
      <c r="C265" s="3026" t="s">
        <v>13170</v>
      </c>
      <c r="D265" s="3044" t="s">
        <v>13171</v>
      </c>
      <c r="E265" s="3048" t="s">
        <v>13172</v>
      </c>
      <c r="F265" s="3025"/>
      <c r="G265" s="3050" t="s">
        <v>11432</v>
      </c>
      <c r="H265" s="3049"/>
      <c r="I265" s="3047">
        <v>44331</v>
      </c>
      <c r="J265" s="3046" t="s">
        <v>13173</v>
      </c>
      <c r="K265" s="3128">
        <v>0.29166666666666669</v>
      </c>
      <c r="L265" s="3119">
        <v>0.41666666666666669</v>
      </c>
      <c r="M265" s="3111">
        <v>650</v>
      </c>
      <c r="N265" s="3025" t="s">
        <v>13711</v>
      </c>
      <c r="O265" s="3045" t="s">
        <v>7067</v>
      </c>
      <c r="P265" s="3025" t="s">
        <v>1960</v>
      </c>
      <c r="Q265" s="3025" t="s">
        <v>12467</v>
      </c>
      <c r="R265" s="3028"/>
      <c r="S265" s="3109"/>
      <c r="T265" s="3110"/>
      <c r="U265" s="2992"/>
      <c r="W265" s="2901"/>
      <c r="X265" s="2862"/>
    </row>
    <row r="266" spans="1:24" s="1592" customFormat="1" ht="130.5" hidden="1" x14ac:dyDescent="0.35">
      <c r="A266" s="2486">
        <v>44329</v>
      </c>
      <c r="B266" s="3107">
        <v>15</v>
      </c>
      <c r="C266" s="5" t="s">
        <v>13211</v>
      </c>
      <c r="D266" s="3032" t="s">
        <v>13212</v>
      </c>
      <c r="E266" s="2725" t="s">
        <v>13782</v>
      </c>
      <c r="F266" s="3029"/>
      <c r="G266" s="3040" t="s">
        <v>13785</v>
      </c>
      <c r="H266" s="3041"/>
      <c r="I266" s="2486">
        <v>44331</v>
      </c>
      <c r="J266" s="2722" t="s">
        <v>13784</v>
      </c>
      <c r="K266" s="6">
        <v>0.29166666666666669</v>
      </c>
      <c r="L266" s="3157">
        <v>0.59236111111111112</v>
      </c>
      <c r="M266" s="3111">
        <v>852</v>
      </c>
      <c r="N266" s="3016" t="s">
        <v>8625</v>
      </c>
      <c r="O266" s="3037" t="s">
        <v>7067</v>
      </c>
      <c r="P266" s="3016" t="s">
        <v>12323</v>
      </c>
      <c r="Q266" s="3016" t="s">
        <v>13783</v>
      </c>
      <c r="R266" s="3028"/>
      <c r="S266" s="3109"/>
      <c r="T266" s="3110"/>
      <c r="U266" s="2992"/>
      <c r="W266" s="2901"/>
      <c r="X266" s="2862"/>
    </row>
    <row r="267" spans="1:24" s="1592" customFormat="1" ht="58" hidden="1" x14ac:dyDescent="0.35">
      <c r="A267" s="2486">
        <v>44328</v>
      </c>
      <c r="B267" s="3107">
        <v>9</v>
      </c>
      <c r="C267" s="5" t="s">
        <v>13678</v>
      </c>
      <c r="D267" s="3032" t="s">
        <v>13679</v>
      </c>
      <c r="E267" s="3016" t="s">
        <v>13689</v>
      </c>
      <c r="F267" s="3029"/>
      <c r="G267" s="3040" t="s">
        <v>13690</v>
      </c>
      <c r="H267" s="3041"/>
      <c r="I267" s="2486">
        <v>44331</v>
      </c>
      <c r="J267" s="2722" t="s">
        <v>13682</v>
      </c>
      <c r="K267" s="6">
        <v>0.29166666666666669</v>
      </c>
      <c r="L267" s="3149">
        <v>0.4548611111111111</v>
      </c>
      <c r="M267" s="3123">
        <v>189</v>
      </c>
      <c r="N267" s="3016" t="s">
        <v>257</v>
      </c>
      <c r="O267" s="3037" t="s">
        <v>7067</v>
      </c>
      <c r="P267" s="3016" t="s">
        <v>10475</v>
      </c>
      <c r="Q267" s="3015" t="s">
        <v>11183</v>
      </c>
      <c r="R267" s="3028"/>
      <c r="S267" s="3109"/>
      <c r="T267" s="3110"/>
      <c r="U267" s="2992"/>
      <c r="W267" s="2901"/>
      <c r="X267" s="2862"/>
    </row>
    <row r="268" spans="1:24" s="1592" customFormat="1" ht="43.5" hidden="1" x14ac:dyDescent="0.35">
      <c r="A268" s="2486">
        <v>44329</v>
      </c>
      <c r="B268" s="3036">
        <v>26</v>
      </c>
      <c r="C268" s="5" t="s">
        <v>13747</v>
      </c>
      <c r="D268" s="3032" t="s">
        <v>13748</v>
      </c>
      <c r="E268" s="2725" t="s">
        <v>13746</v>
      </c>
      <c r="F268" s="3029"/>
      <c r="G268" s="3040" t="s">
        <v>13511</v>
      </c>
      <c r="H268" s="3041"/>
      <c r="I268" s="2486">
        <v>44331</v>
      </c>
      <c r="J268" s="2722" t="s">
        <v>13749</v>
      </c>
      <c r="K268" s="6">
        <v>0.29236111111111113</v>
      </c>
      <c r="L268" s="3149">
        <v>0.48541666666666666</v>
      </c>
      <c r="M268" s="3039">
        <v>155</v>
      </c>
      <c r="N268" s="3016" t="s">
        <v>8625</v>
      </c>
      <c r="O268" s="3037" t="s">
        <v>119</v>
      </c>
      <c r="P268" s="3016" t="s">
        <v>12323</v>
      </c>
      <c r="Q268" s="3015" t="s">
        <v>13750</v>
      </c>
      <c r="R268" s="3028"/>
      <c r="S268" s="3031"/>
      <c r="T268" s="3057"/>
      <c r="U268" s="2992"/>
      <c r="W268" s="2901"/>
      <c r="X268" s="2862"/>
    </row>
    <row r="269" spans="1:24" s="1592" customFormat="1" ht="58" hidden="1" x14ac:dyDescent="0.35">
      <c r="A269" s="2486">
        <v>44328</v>
      </c>
      <c r="B269" s="3107">
        <v>32</v>
      </c>
      <c r="C269" s="5" t="s">
        <v>13539</v>
      </c>
      <c r="D269" s="3032" t="s">
        <v>13537</v>
      </c>
      <c r="E269" s="3016" t="s">
        <v>13541</v>
      </c>
      <c r="F269" s="3029"/>
      <c r="G269" s="3040" t="s">
        <v>13540</v>
      </c>
      <c r="H269" s="3041"/>
      <c r="I269" s="2486">
        <v>44331</v>
      </c>
      <c r="J269" s="3046" t="s">
        <v>5494</v>
      </c>
      <c r="K269" s="6">
        <v>0.41666666666666669</v>
      </c>
      <c r="L269" s="6">
        <v>0.41666666666666669</v>
      </c>
      <c r="M269" s="3108">
        <v>40</v>
      </c>
      <c r="N269" s="3016" t="s">
        <v>257</v>
      </c>
      <c r="O269" s="3037" t="s">
        <v>15</v>
      </c>
      <c r="P269" s="3016" t="s">
        <v>12323</v>
      </c>
      <c r="Q269" s="3016" t="s">
        <v>13538</v>
      </c>
      <c r="R269" s="3028"/>
      <c r="S269" s="3109"/>
      <c r="T269" s="3110"/>
      <c r="U269" s="2992"/>
      <c r="W269" s="2901"/>
      <c r="X269" s="2862"/>
    </row>
    <row r="270" spans="1:24" s="1592" customFormat="1" ht="58" hidden="1" x14ac:dyDescent="0.35">
      <c r="A270" s="3047">
        <v>44324</v>
      </c>
      <c r="B270" s="3042">
        <v>33</v>
      </c>
      <c r="C270" s="3026" t="s">
        <v>13197</v>
      </c>
      <c r="D270" s="3044" t="s">
        <v>13195</v>
      </c>
      <c r="E270" s="3048" t="s">
        <v>13196</v>
      </c>
      <c r="F270" s="3025"/>
      <c r="G270" s="3050" t="s">
        <v>11432</v>
      </c>
      <c r="H270" s="3049"/>
      <c r="I270" s="3047">
        <v>44331</v>
      </c>
      <c r="J270" s="3046" t="s">
        <v>5494</v>
      </c>
      <c r="K270" s="6">
        <v>0.41666666666666669</v>
      </c>
      <c r="L270" s="6">
        <v>0.41666666666666669</v>
      </c>
      <c r="M270" s="3039">
        <v>450</v>
      </c>
      <c r="N270" s="3025" t="s">
        <v>392</v>
      </c>
      <c r="O270" s="3045" t="s">
        <v>15</v>
      </c>
      <c r="P270" s="3025" t="s">
        <v>17</v>
      </c>
      <c r="Q270" s="3025" t="s">
        <v>13198</v>
      </c>
      <c r="R270" s="3028"/>
      <c r="S270" s="3031"/>
      <c r="T270" s="3057"/>
      <c r="U270" s="2992"/>
      <c r="W270" s="2901"/>
      <c r="X270" s="2862"/>
    </row>
    <row r="271" spans="1:24" s="1592" customFormat="1" ht="58" hidden="1" x14ac:dyDescent="0.35">
      <c r="A271" s="3047">
        <v>44326</v>
      </c>
      <c r="B271" s="3112">
        <v>34</v>
      </c>
      <c r="C271" s="3026" t="s">
        <v>13360</v>
      </c>
      <c r="D271" s="3044" t="s">
        <v>13357</v>
      </c>
      <c r="E271" s="3048" t="s">
        <v>13356</v>
      </c>
      <c r="F271" s="3025"/>
      <c r="G271" s="3050" t="s">
        <v>11432</v>
      </c>
      <c r="H271" s="3049"/>
      <c r="I271" s="3047">
        <v>44331</v>
      </c>
      <c r="J271" s="3046" t="s">
        <v>5494</v>
      </c>
      <c r="K271" s="6">
        <v>0.41666666666666669</v>
      </c>
      <c r="L271" s="6">
        <v>0.41666666666666669</v>
      </c>
      <c r="M271" s="3111">
        <v>450</v>
      </c>
      <c r="N271" s="3025" t="s">
        <v>8625</v>
      </c>
      <c r="O271" s="3045" t="s">
        <v>15</v>
      </c>
      <c r="P271" s="3025" t="s">
        <v>12323</v>
      </c>
      <c r="Q271" s="3025" t="s">
        <v>13358</v>
      </c>
      <c r="R271" s="3028"/>
      <c r="S271" s="3109"/>
      <c r="T271" s="3110"/>
      <c r="U271" s="2992"/>
      <c r="W271" s="2901"/>
      <c r="X271" s="2862"/>
    </row>
    <row r="272" spans="1:24" s="1592" customFormat="1" ht="72.5" hidden="1" x14ac:dyDescent="0.35">
      <c r="A272" s="2486">
        <v>44326</v>
      </c>
      <c r="B272" s="3107"/>
      <c r="C272" s="5" t="s">
        <v>13362</v>
      </c>
      <c r="D272" s="3032" t="s">
        <v>13359</v>
      </c>
      <c r="E272" s="2725" t="s">
        <v>13363</v>
      </c>
      <c r="F272" s="3029"/>
      <c r="G272" s="3040" t="s">
        <v>13364</v>
      </c>
      <c r="H272" s="3041"/>
      <c r="I272" s="2486">
        <v>44331</v>
      </c>
      <c r="J272" s="3046" t="s">
        <v>5494</v>
      </c>
      <c r="K272" s="3122" t="s">
        <v>15</v>
      </c>
      <c r="L272" s="3149" t="s">
        <v>972</v>
      </c>
      <c r="M272" s="3111">
        <v>612</v>
      </c>
      <c r="N272" s="3016" t="s">
        <v>13361</v>
      </c>
      <c r="O272" s="3037" t="s">
        <v>15</v>
      </c>
      <c r="P272" s="3016" t="s">
        <v>10475</v>
      </c>
      <c r="Q272" s="3016" t="s">
        <v>12410</v>
      </c>
      <c r="R272" s="3028"/>
      <c r="S272" s="3109"/>
      <c r="T272" s="3110"/>
      <c r="U272" s="2992"/>
      <c r="W272" s="2901"/>
      <c r="X272" s="2862"/>
    </row>
    <row r="273" spans="1:24" s="1592" customFormat="1" ht="43.5" hidden="1" x14ac:dyDescent="0.35">
      <c r="A273" s="2486">
        <v>44330</v>
      </c>
      <c r="B273" s="3107">
        <v>35</v>
      </c>
      <c r="C273" s="5" t="s">
        <v>13872</v>
      </c>
      <c r="D273" s="3032" t="s">
        <v>13871</v>
      </c>
      <c r="E273" s="2725" t="s">
        <v>13873</v>
      </c>
      <c r="F273" s="3029"/>
      <c r="G273" s="3040" t="s">
        <v>14328</v>
      </c>
      <c r="H273" s="3041"/>
      <c r="I273" s="2486">
        <v>44331</v>
      </c>
      <c r="J273" s="3046" t="s">
        <v>5502</v>
      </c>
      <c r="K273" s="6">
        <v>0.41666666666666669</v>
      </c>
      <c r="L273" s="6">
        <v>0.41666666666666669</v>
      </c>
      <c r="M273" s="3111">
        <v>144</v>
      </c>
      <c r="N273" s="3016" t="s">
        <v>11285</v>
      </c>
      <c r="O273" s="3037" t="s">
        <v>15</v>
      </c>
      <c r="P273" s="3016" t="s">
        <v>974</v>
      </c>
      <c r="Q273" s="3016" t="s">
        <v>12471</v>
      </c>
      <c r="R273" s="3028"/>
      <c r="S273" s="3109"/>
      <c r="T273" s="3110"/>
      <c r="U273" s="2992"/>
      <c r="W273" s="2901"/>
      <c r="X273" s="2862"/>
    </row>
    <row r="274" spans="1:24" s="1592" customFormat="1" ht="58" hidden="1" x14ac:dyDescent="0.35">
      <c r="A274" s="3021">
        <v>44330</v>
      </c>
      <c r="B274" s="3036">
        <v>36</v>
      </c>
      <c r="C274" s="5" t="s">
        <v>13942</v>
      </c>
      <c r="D274" s="3032" t="s">
        <v>13943</v>
      </c>
      <c r="E274" s="2725" t="s">
        <v>13941</v>
      </c>
      <c r="F274" s="3022"/>
      <c r="G274" s="2933" t="s">
        <v>13940</v>
      </c>
      <c r="H274" s="3041"/>
      <c r="I274" s="2486">
        <v>44331</v>
      </c>
      <c r="J274" s="3046" t="s">
        <v>5494</v>
      </c>
      <c r="K274" s="6">
        <v>0.41666666666666669</v>
      </c>
      <c r="L274" s="6">
        <v>0.41666666666666669</v>
      </c>
      <c r="M274" s="3039">
        <v>238</v>
      </c>
      <c r="N274" s="3016" t="s">
        <v>11285</v>
      </c>
      <c r="O274" s="3037" t="s">
        <v>15</v>
      </c>
      <c r="P274" s="3016" t="s">
        <v>12323</v>
      </c>
      <c r="Q274" s="3016" t="s">
        <v>13944</v>
      </c>
      <c r="R274" s="3028"/>
      <c r="S274" s="3031"/>
      <c r="T274" s="3057"/>
      <c r="U274" s="2992"/>
      <c r="W274" s="2901"/>
      <c r="X274" s="2862"/>
    </row>
    <row r="275" spans="1:24" s="1592" customFormat="1" ht="72.5" hidden="1" x14ac:dyDescent="0.35">
      <c r="A275" s="3021">
        <v>44327</v>
      </c>
      <c r="B275" s="3107">
        <v>37</v>
      </c>
      <c r="C275" s="3015" t="s">
        <v>13372</v>
      </c>
      <c r="D275" s="3032" t="s">
        <v>13371</v>
      </c>
      <c r="E275" s="3024" t="s">
        <v>13369</v>
      </c>
      <c r="F275" s="3029"/>
      <c r="G275" s="3040" t="s">
        <v>13370</v>
      </c>
      <c r="H275" s="3041"/>
      <c r="I275" s="3021">
        <v>44331</v>
      </c>
      <c r="J275" s="3046" t="s">
        <v>5494</v>
      </c>
      <c r="K275" s="6">
        <v>0.41666666666666669</v>
      </c>
      <c r="L275" s="6">
        <v>0.41666666666666669</v>
      </c>
      <c r="M275" s="3111">
        <v>100</v>
      </c>
      <c r="N275" s="3016" t="s">
        <v>11285</v>
      </c>
      <c r="O275" s="3037" t="s">
        <v>15</v>
      </c>
      <c r="P275" s="3016" t="s">
        <v>12323</v>
      </c>
      <c r="Q275" s="3016" t="s">
        <v>13373</v>
      </c>
      <c r="R275" s="3028"/>
      <c r="S275" s="3109"/>
      <c r="T275" s="3110"/>
      <c r="U275" s="2992"/>
      <c r="W275" s="2901"/>
      <c r="X275" s="2862"/>
    </row>
    <row r="276" spans="1:24" s="1592" customFormat="1" ht="362.5" hidden="1" x14ac:dyDescent="0.35">
      <c r="A276" s="2486">
        <v>44331</v>
      </c>
      <c r="B276" s="3036">
        <v>5</v>
      </c>
      <c r="C276" s="5" t="s">
        <v>13042</v>
      </c>
      <c r="D276" s="3032"/>
      <c r="E276" s="3016" t="s">
        <v>14057</v>
      </c>
      <c r="F276" s="3029"/>
      <c r="G276" s="3040" t="s">
        <v>14369</v>
      </c>
      <c r="H276" s="3041"/>
      <c r="I276" s="2486">
        <v>44332</v>
      </c>
      <c r="J276" s="3046" t="s">
        <v>12945</v>
      </c>
      <c r="K276" s="3122">
        <v>0.29166666666666669</v>
      </c>
      <c r="L276" s="3157">
        <v>0.40763888888888888</v>
      </c>
      <c r="M276" s="3039">
        <v>0</v>
      </c>
      <c r="N276" s="3016" t="s">
        <v>14049</v>
      </c>
      <c r="O276" s="3037" t="s">
        <v>4894</v>
      </c>
      <c r="P276" s="3016" t="s">
        <v>821</v>
      </c>
      <c r="Q276" s="3016" t="s">
        <v>14050</v>
      </c>
      <c r="R276" s="3028"/>
      <c r="S276" s="3031"/>
      <c r="T276" s="3057"/>
      <c r="U276" s="2992"/>
      <c r="W276" s="2901"/>
      <c r="X276" s="2862"/>
    </row>
    <row r="277" spans="1:24" s="1592" customFormat="1" ht="101.5" hidden="1" x14ac:dyDescent="0.35">
      <c r="A277" s="2486">
        <v>44323</v>
      </c>
      <c r="B277" s="3107">
        <v>6</v>
      </c>
      <c r="C277" s="5" t="s">
        <v>13136</v>
      </c>
      <c r="D277" s="3032" t="s">
        <v>13137</v>
      </c>
      <c r="E277" s="2725" t="s">
        <v>13178</v>
      </c>
      <c r="F277" s="3029"/>
      <c r="G277" s="3040" t="s">
        <v>14311</v>
      </c>
      <c r="H277" s="3041"/>
      <c r="I277" s="2486">
        <v>44332</v>
      </c>
      <c r="J277" s="3046" t="s">
        <v>13138</v>
      </c>
      <c r="K277" s="6">
        <v>0.29166666666666669</v>
      </c>
      <c r="L277" s="3124">
        <v>0.42499999999999999</v>
      </c>
      <c r="M277" s="3108">
        <v>365</v>
      </c>
      <c r="N277" s="3016" t="s">
        <v>257</v>
      </c>
      <c r="O277" s="3037" t="s">
        <v>4894</v>
      </c>
      <c r="P277" s="3016" t="s">
        <v>974</v>
      </c>
      <c r="Q277" s="3016" t="s">
        <v>12423</v>
      </c>
      <c r="R277" s="3028"/>
      <c r="S277" s="3109"/>
      <c r="T277" s="3110"/>
      <c r="U277" s="2992"/>
      <c r="W277" s="2901"/>
      <c r="X277" s="2862"/>
    </row>
    <row r="278" spans="1:24" s="1592" customFormat="1" ht="29" hidden="1" x14ac:dyDescent="0.35">
      <c r="A278" s="3021">
        <v>44331</v>
      </c>
      <c r="B278" s="3121">
        <v>2</v>
      </c>
      <c r="C278" s="3015" t="s">
        <v>13985</v>
      </c>
      <c r="D278" s="3033" t="s">
        <v>13986</v>
      </c>
      <c r="E278" s="3015" t="s">
        <v>14026</v>
      </c>
      <c r="F278" s="3015"/>
      <c r="G278" s="3041" t="s">
        <v>12096</v>
      </c>
      <c r="H278" s="3041"/>
      <c r="I278" s="3021">
        <v>44332</v>
      </c>
      <c r="J278" s="3034" t="s">
        <v>13987</v>
      </c>
      <c r="K278" s="3122">
        <v>0.29166666666666669</v>
      </c>
      <c r="L278" s="3148">
        <v>0.32847222222222222</v>
      </c>
      <c r="M278" s="3123">
        <v>231</v>
      </c>
      <c r="N278" s="3242" t="s">
        <v>13955</v>
      </c>
      <c r="O278" s="3243" t="s">
        <v>4894</v>
      </c>
      <c r="P278" s="3242" t="s">
        <v>821</v>
      </c>
      <c r="Q278" s="3015" t="s">
        <v>13988</v>
      </c>
      <c r="R278" s="3028"/>
      <c r="S278" s="3109"/>
      <c r="T278" s="3110"/>
      <c r="U278" s="2992"/>
      <c r="W278" s="2901"/>
      <c r="X278" s="2862"/>
    </row>
    <row r="279" spans="1:24" s="1592" customFormat="1" ht="58" hidden="1" x14ac:dyDescent="0.35">
      <c r="A279" s="2486">
        <v>44330</v>
      </c>
      <c r="B279" s="3036">
        <v>18</v>
      </c>
      <c r="C279" s="5" t="s">
        <v>13845</v>
      </c>
      <c r="D279" s="3032" t="s">
        <v>13846</v>
      </c>
      <c r="E279" s="2725" t="s">
        <v>13844</v>
      </c>
      <c r="F279" s="3029"/>
      <c r="G279" s="3040" t="s">
        <v>11951</v>
      </c>
      <c r="H279" s="3041"/>
      <c r="I279" s="2486">
        <v>44332</v>
      </c>
      <c r="J279" s="2722" t="s">
        <v>13847</v>
      </c>
      <c r="K279" s="6">
        <v>0.29236111111111113</v>
      </c>
      <c r="L279" s="3157">
        <v>0.47291666666666665</v>
      </c>
      <c r="M279" s="3020">
        <v>165</v>
      </c>
      <c r="N279" s="3016" t="s">
        <v>257</v>
      </c>
      <c r="O279" s="3037" t="s">
        <v>7067</v>
      </c>
      <c r="P279" s="3016" t="s">
        <v>12323</v>
      </c>
      <c r="Q279" s="3016" t="s">
        <v>13848</v>
      </c>
      <c r="R279" s="3028"/>
      <c r="S279" s="3031"/>
      <c r="T279" s="3057"/>
      <c r="U279" s="2992"/>
      <c r="W279" s="2901"/>
      <c r="X279" s="2862"/>
    </row>
    <row r="280" spans="1:24" s="1592" customFormat="1" ht="29" hidden="1" x14ac:dyDescent="0.35">
      <c r="A280" s="3047">
        <v>44330</v>
      </c>
      <c r="B280" s="3042">
        <v>17</v>
      </c>
      <c r="C280" s="3026" t="s">
        <v>13900</v>
      </c>
      <c r="D280" s="3044" t="s">
        <v>13901</v>
      </c>
      <c r="E280" s="3048" t="s">
        <v>13899</v>
      </c>
      <c r="F280" s="3025"/>
      <c r="G280" s="3050" t="s">
        <v>11432</v>
      </c>
      <c r="H280" s="3049"/>
      <c r="I280" s="3047">
        <v>44332</v>
      </c>
      <c r="J280" s="3046" t="s">
        <v>13902</v>
      </c>
      <c r="K280" s="3128">
        <v>0.29236111111111113</v>
      </c>
      <c r="L280" s="3157">
        <v>0.4465277777777778</v>
      </c>
      <c r="M280" s="3038">
        <v>540</v>
      </c>
      <c r="N280" s="3025" t="s">
        <v>257</v>
      </c>
      <c r="O280" s="3045" t="s">
        <v>7067</v>
      </c>
      <c r="P280" s="3025" t="s">
        <v>821</v>
      </c>
      <c r="Q280" s="3026" t="s">
        <v>12412</v>
      </c>
      <c r="R280" s="3028"/>
      <c r="S280" s="3031"/>
      <c r="T280" s="3057"/>
      <c r="U280" s="2992"/>
      <c r="W280" s="2901"/>
      <c r="X280" s="2862"/>
    </row>
    <row r="281" spans="1:24" s="1592" customFormat="1" ht="130.5" hidden="1" x14ac:dyDescent="0.35">
      <c r="A281" s="3047">
        <v>44227</v>
      </c>
      <c r="B281" s="2953">
        <v>7</v>
      </c>
      <c r="C281" s="3026" t="s">
        <v>13315</v>
      </c>
      <c r="D281" s="3044" t="s">
        <v>11993</v>
      </c>
      <c r="E281" s="3026" t="s">
        <v>13326</v>
      </c>
      <c r="F281" s="3025"/>
      <c r="G281" s="3050" t="s">
        <v>11432</v>
      </c>
      <c r="H281" s="3049"/>
      <c r="I281" s="3047">
        <v>44332</v>
      </c>
      <c r="J281" s="3046" t="s">
        <v>11994</v>
      </c>
      <c r="K281" s="3128">
        <v>0.29166666666666669</v>
      </c>
      <c r="L281" s="3118">
        <v>0.45694444444444443</v>
      </c>
      <c r="M281" s="3038">
        <v>420</v>
      </c>
      <c r="N281" s="3025" t="s">
        <v>392</v>
      </c>
      <c r="O281" s="3025" t="s">
        <v>4894</v>
      </c>
      <c r="P281" s="3025" t="s">
        <v>12323</v>
      </c>
      <c r="Q281" s="3025" t="s">
        <v>11183</v>
      </c>
      <c r="R281" s="3159"/>
      <c r="S281" s="3031"/>
      <c r="T281" s="3057"/>
      <c r="U281" s="2992"/>
      <c r="W281" s="2901"/>
      <c r="X281" s="2862"/>
    </row>
    <row r="282" spans="1:24" s="1592" customFormat="1" ht="29" hidden="1" x14ac:dyDescent="0.35">
      <c r="A282" s="3021">
        <v>44330</v>
      </c>
      <c r="B282" s="3107">
        <v>3</v>
      </c>
      <c r="C282" s="3015" t="s">
        <v>13994</v>
      </c>
      <c r="D282" s="3032" t="s">
        <v>13995</v>
      </c>
      <c r="E282" s="3015" t="s">
        <v>13996</v>
      </c>
      <c r="F282" s="3029"/>
      <c r="G282" s="2933"/>
      <c r="H282" s="3041"/>
      <c r="I282" s="3021">
        <v>44332</v>
      </c>
      <c r="J282" s="3034" t="s">
        <v>13997</v>
      </c>
      <c r="K282" s="3122">
        <v>0.29166666666666669</v>
      </c>
      <c r="L282" s="3157">
        <v>0.34652777777777777</v>
      </c>
      <c r="M282" s="3108">
        <f>2.5*120+15</f>
        <v>315</v>
      </c>
      <c r="N282" s="3227" t="s">
        <v>13955</v>
      </c>
      <c r="O282" s="3241" t="s">
        <v>4894</v>
      </c>
      <c r="P282" s="3016" t="s">
        <v>10475</v>
      </c>
      <c r="Q282" s="3016" t="s">
        <v>13998</v>
      </c>
      <c r="R282" s="3028"/>
      <c r="S282" s="3109"/>
      <c r="T282" s="3110"/>
      <c r="U282" s="2992"/>
      <c r="W282" s="2901"/>
      <c r="X282" s="2862"/>
    </row>
    <row r="283" spans="1:24" s="1592" customFormat="1" ht="29" hidden="1" x14ac:dyDescent="0.35">
      <c r="A283" s="3021">
        <v>44331</v>
      </c>
      <c r="B283" s="3036">
        <v>12</v>
      </c>
      <c r="C283" s="3015" t="s">
        <v>14027</v>
      </c>
      <c r="D283" s="3032" t="s">
        <v>14028</v>
      </c>
      <c r="E283" s="3015" t="s">
        <v>14029</v>
      </c>
      <c r="F283" s="3029"/>
      <c r="G283" s="3040" t="s">
        <v>11441</v>
      </c>
      <c r="H283" s="3041"/>
      <c r="I283" s="3021">
        <v>44332</v>
      </c>
      <c r="J283" s="3046" t="s">
        <v>11282</v>
      </c>
      <c r="K283" s="3122">
        <v>0.29236111111111113</v>
      </c>
      <c r="L283" s="3149">
        <v>0.33888888888888885</v>
      </c>
      <c r="M283" s="3020">
        <v>216</v>
      </c>
      <c r="N283" s="3016" t="s">
        <v>14030</v>
      </c>
      <c r="O283" s="3037" t="s">
        <v>7067</v>
      </c>
      <c r="P283" s="3016" t="s">
        <v>821</v>
      </c>
      <c r="Q283" s="3016" t="s">
        <v>5560</v>
      </c>
      <c r="R283" s="3028"/>
      <c r="S283" s="3031"/>
      <c r="T283" s="3057"/>
      <c r="U283" s="2992"/>
      <c r="W283" s="2901"/>
      <c r="X283" s="2862"/>
    </row>
    <row r="284" spans="1:24" s="1592" customFormat="1" ht="58" hidden="1" x14ac:dyDescent="0.35">
      <c r="A284" s="3021">
        <v>44330</v>
      </c>
      <c r="B284" s="3035">
        <v>16</v>
      </c>
      <c r="C284" s="3015" t="s">
        <v>13926</v>
      </c>
      <c r="D284" s="3033" t="s">
        <v>13927</v>
      </c>
      <c r="E284" s="3024" t="s">
        <v>13929</v>
      </c>
      <c r="F284" s="3029"/>
      <c r="G284" s="3041" t="s">
        <v>11872</v>
      </c>
      <c r="H284" s="3041"/>
      <c r="I284" s="3021">
        <v>44332</v>
      </c>
      <c r="J284" s="3034" t="s">
        <v>13928</v>
      </c>
      <c r="K284" s="3122">
        <v>0.29236111111111113</v>
      </c>
      <c r="L284" s="3148">
        <v>0.41944444444444445</v>
      </c>
      <c r="M284" s="3018">
        <v>231</v>
      </c>
      <c r="N284" s="3015" t="s">
        <v>257</v>
      </c>
      <c r="O284" s="3030" t="s">
        <v>7067</v>
      </c>
      <c r="P284" s="3015" t="s">
        <v>821</v>
      </c>
      <c r="Q284" s="3015" t="s">
        <v>12416</v>
      </c>
      <c r="R284" s="3028"/>
      <c r="S284" s="3031"/>
      <c r="T284" s="3057"/>
      <c r="U284" s="2992"/>
      <c r="W284" s="2901"/>
      <c r="X284" s="2862"/>
    </row>
    <row r="285" spans="1:24" s="1592" customFormat="1" ht="58" hidden="1" x14ac:dyDescent="0.35">
      <c r="A285" s="3021">
        <v>44331</v>
      </c>
      <c r="B285" s="3107">
        <v>14</v>
      </c>
      <c r="C285" s="3015" t="s">
        <v>13990</v>
      </c>
      <c r="D285" s="3032" t="s">
        <v>13991</v>
      </c>
      <c r="E285" s="3015" t="s">
        <v>14068</v>
      </c>
      <c r="F285" s="3029"/>
      <c r="G285" s="3040" t="s">
        <v>14069</v>
      </c>
      <c r="H285" s="3041"/>
      <c r="I285" s="3021">
        <v>44332</v>
      </c>
      <c r="J285" s="3034" t="s">
        <v>13992</v>
      </c>
      <c r="K285" s="3122">
        <v>0.29236111111111113</v>
      </c>
      <c r="L285" s="3149">
        <v>0.38125000000000003</v>
      </c>
      <c r="M285" s="3108">
        <f>1.4*120+15</f>
        <v>183</v>
      </c>
      <c r="N285" s="3227" t="s">
        <v>13955</v>
      </c>
      <c r="O285" s="3241" t="s">
        <v>7067</v>
      </c>
      <c r="P285" s="3016" t="s">
        <v>216</v>
      </c>
      <c r="Q285" s="3016" t="s">
        <v>13993</v>
      </c>
      <c r="R285" s="3028"/>
      <c r="S285" s="3109"/>
      <c r="T285" s="3110"/>
      <c r="U285" s="2992"/>
      <c r="W285" s="2901"/>
      <c r="X285" s="2862"/>
    </row>
    <row r="286" spans="1:24" s="1592" customFormat="1" ht="43.5" hidden="1" x14ac:dyDescent="0.35">
      <c r="A286" s="2486">
        <v>44329</v>
      </c>
      <c r="B286" s="3107">
        <v>19</v>
      </c>
      <c r="C286" s="5" t="s">
        <v>12273</v>
      </c>
      <c r="D286" s="3032" t="s">
        <v>13795</v>
      </c>
      <c r="E286" s="2725" t="s">
        <v>13792</v>
      </c>
      <c r="F286" s="3022"/>
      <c r="G286" s="2933"/>
      <c r="H286" s="3041"/>
      <c r="I286" s="2486">
        <v>44332</v>
      </c>
      <c r="J286" s="2722" t="s">
        <v>13793</v>
      </c>
      <c r="K286" s="6">
        <v>0.29236111111111113</v>
      </c>
      <c r="L286" s="3157">
        <v>0.49722222222222223</v>
      </c>
      <c r="M286" s="3108">
        <v>315</v>
      </c>
      <c r="N286" s="3016" t="s">
        <v>257</v>
      </c>
      <c r="O286" s="3037" t="s">
        <v>7067</v>
      </c>
      <c r="P286" s="3016" t="s">
        <v>1031</v>
      </c>
      <c r="Q286" s="3016">
        <v>10</v>
      </c>
      <c r="R286" s="3028"/>
      <c r="S286" s="3109"/>
      <c r="T286" s="3110"/>
      <c r="U286" s="2992"/>
      <c r="W286" s="2901"/>
      <c r="X286" s="2862"/>
    </row>
    <row r="287" spans="1:24" s="1592" customFormat="1" ht="406" hidden="1" x14ac:dyDescent="0.35">
      <c r="A287" s="3047">
        <v>44328</v>
      </c>
      <c r="B287" s="3112">
        <v>10</v>
      </c>
      <c r="C287" s="3026" t="s">
        <v>13548</v>
      </c>
      <c r="D287" s="3044" t="s">
        <v>13549</v>
      </c>
      <c r="E287" s="3025" t="s">
        <v>13779</v>
      </c>
      <c r="F287" s="3025"/>
      <c r="G287" s="3050"/>
      <c r="H287" s="3049"/>
      <c r="I287" s="3047">
        <v>44332</v>
      </c>
      <c r="J287" s="2948" t="s">
        <v>14067</v>
      </c>
      <c r="K287" s="3128">
        <v>0.29166666666666669</v>
      </c>
      <c r="L287" s="3157">
        <v>0.53680555555555554</v>
      </c>
      <c r="M287" s="3111">
        <f>2780+300</f>
        <v>3080</v>
      </c>
      <c r="N287" s="3025" t="s">
        <v>13910</v>
      </c>
      <c r="O287" s="3045" t="s">
        <v>4894</v>
      </c>
      <c r="P287" s="3025" t="s">
        <v>216</v>
      </c>
      <c r="Q287" s="3025" t="s">
        <v>12425</v>
      </c>
      <c r="R287" s="3028"/>
      <c r="S287" s="3109"/>
      <c r="T287" s="3110"/>
      <c r="U287" s="2992"/>
      <c r="W287" s="2901"/>
      <c r="X287" s="2862"/>
    </row>
    <row r="288" spans="1:24" s="1592" customFormat="1" ht="58" hidden="1" x14ac:dyDescent="0.35">
      <c r="A288" s="2486">
        <v>44331</v>
      </c>
      <c r="B288" s="3036">
        <v>8</v>
      </c>
      <c r="C288" s="5" t="s">
        <v>14058</v>
      </c>
      <c r="D288" s="3032" t="s">
        <v>14059</v>
      </c>
      <c r="E288" s="2725" t="s">
        <v>14063</v>
      </c>
      <c r="F288" s="3029"/>
      <c r="G288" s="3040" t="s">
        <v>14062</v>
      </c>
      <c r="H288" s="3041"/>
      <c r="I288" s="2486">
        <v>44332</v>
      </c>
      <c r="J288" s="3046" t="s">
        <v>14060</v>
      </c>
      <c r="K288" s="3122">
        <v>0.29166666666666669</v>
      </c>
      <c r="L288" s="3149">
        <v>0.4826388888888889</v>
      </c>
      <c r="M288" s="3020">
        <v>72</v>
      </c>
      <c r="N288" s="3016" t="s">
        <v>257</v>
      </c>
      <c r="O288" s="3037" t="s">
        <v>4894</v>
      </c>
      <c r="P288" s="3016" t="s">
        <v>821</v>
      </c>
      <c r="Q288" s="3016" t="s">
        <v>14061</v>
      </c>
      <c r="R288" s="3028"/>
      <c r="S288" s="3031"/>
      <c r="T288" s="3057"/>
      <c r="U288" s="2992"/>
      <c r="W288" s="2901"/>
      <c r="X288" s="2862"/>
    </row>
    <row r="289" spans="1:24" s="1592" customFormat="1" ht="159.5" hidden="1" x14ac:dyDescent="0.35">
      <c r="A289" s="3047">
        <v>44330</v>
      </c>
      <c r="B289" s="3042">
        <v>11</v>
      </c>
      <c r="C289" s="3026" t="s">
        <v>216</v>
      </c>
      <c r="D289" s="3044" t="s">
        <v>13891</v>
      </c>
      <c r="E289" s="3048" t="s">
        <v>13892</v>
      </c>
      <c r="F289" s="3025"/>
      <c r="G289" s="3050" t="s">
        <v>11432</v>
      </c>
      <c r="H289" s="3049"/>
      <c r="I289" s="3047">
        <v>44332</v>
      </c>
      <c r="J289" s="3046" t="s">
        <v>13893</v>
      </c>
      <c r="K289" s="3128">
        <v>0.29236111111111113</v>
      </c>
      <c r="L289" s="3157">
        <v>0.31041666666666667</v>
      </c>
      <c r="M289" s="3038">
        <v>375</v>
      </c>
      <c r="N289" s="3025" t="s">
        <v>257</v>
      </c>
      <c r="O289" s="3045" t="s">
        <v>7067</v>
      </c>
      <c r="P289" s="3025" t="s">
        <v>22</v>
      </c>
      <c r="Q289" s="3026" t="s">
        <v>12406</v>
      </c>
      <c r="R289" s="3028"/>
      <c r="S289" s="3031"/>
      <c r="T289" s="3057"/>
      <c r="U289" s="2992"/>
      <c r="W289" s="2901"/>
      <c r="X289" s="2862"/>
    </row>
    <row r="290" spans="1:24" s="1592" customFormat="1" ht="87" hidden="1" x14ac:dyDescent="0.35">
      <c r="A290" s="2486">
        <v>44330</v>
      </c>
      <c r="B290" s="3036">
        <v>1</v>
      </c>
      <c r="C290" s="5" t="s">
        <v>13849</v>
      </c>
      <c r="D290" s="3032" t="s">
        <v>13850</v>
      </c>
      <c r="E290" s="2725" t="s">
        <v>13851</v>
      </c>
      <c r="F290" s="3029"/>
      <c r="G290" s="3040" t="s">
        <v>14370</v>
      </c>
      <c r="H290" s="3041"/>
      <c r="I290" s="2486">
        <v>44332</v>
      </c>
      <c r="J290" s="2722" t="s">
        <v>13852</v>
      </c>
      <c r="K290" s="6">
        <v>0.29166666666666669</v>
      </c>
      <c r="L290" s="3149">
        <v>0.30138888888888887</v>
      </c>
      <c r="M290" s="3039">
        <v>84</v>
      </c>
      <c r="N290" s="3016" t="s">
        <v>8625</v>
      </c>
      <c r="O290" s="3037" t="s">
        <v>4894</v>
      </c>
      <c r="P290" s="3016" t="s">
        <v>12323</v>
      </c>
      <c r="Q290" s="3016" t="s">
        <v>13853</v>
      </c>
      <c r="R290" s="3028"/>
      <c r="S290" s="3031"/>
      <c r="T290" s="3057"/>
      <c r="U290" s="2992"/>
      <c r="W290" s="2901"/>
      <c r="X290" s="2862"/>
    </row>
    <row r="291" spans="1:24" s="1592" customFormat="1" ht="72.5" hidden="1" x14ac:dyDescent="0.35">
      <c r="A291" s="3021">
        <v>44331</v>
      </c>
      <c r="B291" s="3107">
        <v>9</v>
      </c>
      <c r="C291" s="3015" t="s">
        <v>13966</v>
      </c>
      <c r="D291" s="3032" t="s">
        <v>13967</v>
      </c>
      <c r="E291" s="3015" t="s">
        <v>13968</v>
      </c>
      <c r="F291" s="3029"/>
      <c r="G291" s="3040" t="s">
        <v>13969</v>
      </c>
      <c r="H291" s="3041"/>
      <c r="I291" s="3021">
        <v>44332</v>
      </c>
      <c r="J291" s="3034" t="s">
        <v>13970</v>
      </c>
      <c r="K291" s="3122">
        <v>0.29166666666666669</v>
      </c>
      <c r="L291" s="3149">
        <v>0.50208333333333333</v>
      </c>
      <c r="M291" s="3108">
        <v>323</v>
      </c>
      <c r="N291" s="3015" t="s">
        <v>13955</v>
      </c>
      <c r="O291" s="3030" t="s">
        <v>4894</v>
      </c>
      <c r="P291" s="3015" t="s">
        <v>821</v>
      </c>
      <c r="Q291" s="3015" t="s">
        <v>13971</v>
      </c>
      <c r="R291" s="3028"/>
      <c r="S291" s="3109"/>
      <c r="T291" s="3110"/>
      <c r="U291" s="2992"/>
      <c r="W291" s="2901"/>
      <c r="X291" s="2862"/>
    </row>
    <row r="292" spans="1:24" s="1592" customFormat="1" ht="87" hidden="1" x14ac:dyDescent="0.35">
      <c r="A292" s="2486">
        <v>44330</v>
      </c>
      <c r="B292" s="3036">
        <v>4</v>
      </c>
      <c r="C292" s="5" t="s">
        <v>13911</v>
      </c>
      <c r="D292" s="3032" t="s">
        <v>13912</v>
      </c>
      <c r="E292" s="2725" t="s">
        <v>14042</v>
      </c>
      <c r="F292" s="3022"/>
      <c r="G292" s="2933" t="s">
        <v>13799</v>
      </c>
      <c r="H292" s="3041"/>
      <c r="I292" s="2486">
        <v>44332</v>
      </c>
      <c r="J292" s="2722" t="s">
        <v>13913</v>
      </c>
      <c r="K292" s="3122">
        <v>0.29166666666666669</v>
      </c>
      <c r="L292" s="3231">
        <v>0.37916666666666665</v>
      </c>
      <c r="M292" s="3039">
        <v>265</v>
      </c>
      <c r="N292" s="3016" t="s">
        <v>13919</v>
      </c>
      <c r="O292" s="3037" t="s">
        <v>4894</v>
      </c>
      <c r="P292" s="3016" t="s">
        <v>821</v>
      </c>
      <c r="Q292" s="3015" t="s">
        <v>12426</v>
      </c>
      <c r="R292" s="3028"/>
      <c r="S292" s="3031"/>
      <c r="T292" s="3057"/>
      <c r="U292" s="2992"/>
      <c r="W292" s="2901"/>
      <c r="X292" s="2862"/>
    </row>
    <row r="293" spans="1:24" s="1592" customFormat="1" ht="29" hidden="1" x14ac:dyDescent="0.35">
      <c r="A293" s="2486">
        <v>44330</v>
      </c>
      <c r="B293" s="3036">
        <v>13</v>
      </c>
      <c r="C293" s="5" t="s">
        <v>13859</v>
      </c>
      <c r="D293" s="3032" t="s">
        <v>13860</v>
      </c>
      <c r="E293" s="2725" t="s">
        <v>13843</v>
      </c>
      <c r="F293" s="3029"/>
      <c r="G293" s="3040" t="s">
        <v>11951</v>
      </c>
      <c r="H293" s="3041"/>
      <c r="I293" s="2486">
        <v>44332</v>
      </c>
      <c r="J293" s="2722" t="s">
        <v>13861</v>
      </c>
      <c r="K293" s="6">
        <v>0.29236111111111113</v>
      </c>
      <c r="L293" s="3149">
        <v>0.3611111111111111</v>
      </c>
      <c r="M293" s="3020">
        <v>165</v>
      </c>
      <c r="N293" s="3016" t="s">
        <v>257</v>
      </c>
      <c r="O293" s="3037" t="s">
        <v>7067</v>
      </c>
      <c r="P293" s="3016" t="s">
        <v>12323</v>
      </c>
      <c r="Q293" s="3016" t="s">
        <v>13862</v>
      </c>
      <c r="R293" s="3028"/>
      <c r="S293" s="3031"/>
      <c r="T293" s="3057"/>
      <c r="U293" s="2992"/>
      <c r="W293" s="2901"/>
      <c r="X293" s="2862"/>
    </row>
    <row r="294" spans="1:24" s="1592" customFormat="1" ht="43.5" hidden="1" x14ac:dyDescent="0.35">
      <c r="A294" s="3047">
        <v>44329</v>
      </c>
      <c r="B294" s="3042">
        <v>15</v>
      </c>
      <c r="C294" s="3026" t="s">
        <v>13775</v>
      </c>
      <c r="D294" s="3044" t="s">
        <v>13776</v>
      </c>
      <c r="E294" s="3048" t="s">
        <v>13777</v>
      </c>
      <c r="F294" s="3025"/>
      <c r="G294" s="3050" t="s">
        <v>11432</v>
      </c>
      <c r="H294" s="3049"/>
      <c r="I294" s="3047">
        <v>44332</v>
      </c>
      <c r="J294" s="3046" t="s">
        <v>13778</v>
      </c>
      <c r="K294" s="3128">
        <v>0.29236111111111113</v>
      </c>
      <c r="L294" s="3152">
        <v>0.40069444444444446</v>
      </c>
      <c r="M294" s="3038">
        <v>465</v>
      </c>
      <c r="N294" s="3025" t="s">
        <v>257</v>
      </c>
      <c r="O294" s="3045" t="s">
        <v>7067</v>
      </c>
      <c r="P294" s="3025" t="s">
        <v>821</v>
      </c>
      <c r="Q294" s="3025" t="s">
        <v>13780</v>
      </c>
      <c r="R294" s="3028"/>
      <c r="S294" s="3031"/>
      <c r="T294" s="3057"/>
      <c r="U294" s="2992"/>
      <c r="W294" s="2901"/>
      <c r="X294" s="2862"/>
    </row>
    <row r="295" spans="1:24" s="1592" customFormat="1" ht="58" hidden="1" x14ac:dyDescent="0.35">
      <c r="A295" s="3021">
        <v>44332</v>
      </c>
      <c r="B295" s="3107"/>
      <c r="C295" s="3015" t="s">
        <v>14088</v>
      </c>
      <c r="D295" s="3032" t="s">
        <v>14089</v>
      </c>
      <c r="E295" s="3015" t="s">
        <v>14090</v>
      </c>
      <c r="F295" s="3029"/>
      <c r="G295" s="3040" t="s">
        <v>12203</v>
      </c>
      <c r="H295" s="3041"/>
      <c r="I295" s="3021">
        <v>44332</v>
      </c>
      <c r="J295" s="3034" t="s">
        <v>14091</v>
      </c>
      <c r="K295" s="3122" t="s">
        <v>15</v>
      </c>
      <c r="L295" s="3149" t="s">
        <v>972</v>
      </c>
      <c r="M295" s="3111">
        <v>155</v>
      </c>
      <c r="N295" s="3016" t="s">
        <v>8625</v>
      </c>
      <c r="O295" s="3037" t="s">
        <v>15</v>
      </c>
      <c r="P295" s="3016" t="s">
        <v>821</v>
      </c>
      <c r="Q295" s="3016" t="s">
        <v>14092</v>
      </c>
      <c r="R295" s="3028"/>
      <c r="S295" s="3109"/>
      <c r="T295" s="3110"/>
      <c r="U295" s="2992"/>
      <c r="W295" s="2901"/>
      <c r="X295" s="2862"/>
    </row>
    <row r="296" spans="1:24" s="1592" customFormat="1" ht="87" hidden="1" x14ac:dyDescent="0.35">
      <c r="A296" s="2486">
        <v>44328</v>
      </c>
      <c r="B296" s="3107">
        <v>20</v>
      </c>
      <c r="C296" s="5" t="s">
        <v>13684</v>
      </c>
      <c r="D296" s="3032" t="s">
        <v>13683</v>
      </c>
      <c r="E296" s="3016" t="s">
        <v>13685</v>
      </c>
      <c r="F296" s="3029"/>
      <c r="G296" s="3040" t="s">
        <v>14346</v>
      </c>
      <c r="H296" s="3041"/>
      <c r="I296" s="2486">
        <v>44332</v>
      </c>
      <c r="J296" s="3046" t="s">
        <v>6032</v>
      </c>
      <c r="K296" s="6">
        <v>0.41666666666666669</v>
      </c>
      <c r="L296" s="3149">
        <v>0.41666666666666669</v>
      </c>
      <c r="M296" s="3108">
        <f>216+19+19+15</f>
        <v>269</v>
      </c>
      <c r="N296" s="3016" t="s">
        <v>257</v>
      </c>
      <c r="O296" s="3037" t="s">
        <v>15</v>
      </c>
      <c r="P296" s="3016" t="s">
        <v>10475</v>
      </c>
      <c r="Q296" s="3015" t="s">
        <v>11183</v>
      </c>
      <c r="R296" s="3028"/>
      <c r="S296" s="3109"/>
      <c r="T296" s="3110"/>
      <c r="U296" s="2992"/>
      <c r="W296" s="2901"/>
      <c r="X296" s="2862"/>
    </row>
    <row r="297" spans="1:24" s="1592" customFormat="1" ht="72.5" hidden="1" x14ac:dyDescent="0.35">
      <c r="A297" s="3021">
        <v>44327</v>
      </c>
      <c r="B297" s="3036">
        <v>21</v>
      </c>
      <c r="C297" s="3015" t="s">
        <v>13822</v>
      </c>
      <c r="D297" s="3032" t="s">
        <v>13491</v>
      </c>
      <c r="E297" s="3024" t="s">
        <v>13490</v>
      </c>
      <c r="F297" s="3029"/>
      <c r="G297" s="3040" t="s">
        <v>14316</v>
      </c>
      <c r="H297" s="3041"/>
      <c r="I297" s="3021">
        <v>44332</v>
      </c>
      <c r="J297" s="3046" t="s">
        <v>6032</v>
      </c>
      <c r="K297" s="3122">
        <v>0.41666666666666669</v>
      </c>
      <c r="L297" s="3149">
        <v>0.41666666666666669</v>
      </c>
      <c r="M297" s="3020">
        <v>159</v>
      </c>
      <c r="N297" s="3016" t="s">
        <v>257</v>
      </c>
      <c r="O297" s="3037" t="s">
        <v>15</v>
      </c>
      <c r="P297" s="3016" t="s">
        <v>12323</v>
      </c>
      <c r="Q297" s="3016" t="s">
        <v>13492</v>
      </c>
      <c r="R297" s="3028"/>
      <c r="S297" s="3031"/>
      <c r="T297" s="3057"/>
      <c r="U297" s="2992"/>
      <c r="W297" s="2901"/>
      <c r="X297" s="2862"/>
    </row>
    <row r="298" spans="1:24" s="1592" customFormat="1" ht="72.5" hidden="1" x14ac:dyDescent="0.35">
      <c r="A298" s="2486">
        <v>44330</v>
      </c>
      <c r="B298" s="3107">
        <v>22</v>
      </c>
      <c r="C298" s="5" t="s">
        <v>14025</v>
      </c>
      <c r="D298" s="3032" t="s">
        <v>13865</v>
      </c>
      <c r="E298" s="2725" t="s">
        <v>13874</v>
      </c>
      <c r="F298" s="3029"/>
      <c r="G298" s="3041" t="s">
        <v>13875</v>
      </c>
      <c r="H298" s="3041"/>
      <c r="I298" s="2486">
        <v>44332</v>
      </c>
      <c r="J298" s="3046" t="s">
        <v>14024</v>
      </c>
      <c r="K298" s="6">
        <v>0.41666666666666669</v>
      </c>
      <c r="L298" s="3157">
        <v>0.41666666666666669</v>
      </c>
      <c r="M298" s="3123">
        <v>455</v>
      </c>
      <c r="N298" s="3016" t="s">
        <v>257</v>
      </c>
      <c r="O298" s="3037" t="s">
        <v>15</v>
      </c>
      <c r="P298" s="3016" t="s">
        <v>22</v>
      </c>
      <c r="Q298" s="3016" t="s">
        <v>12411</v>
      </c>
      <c r="R298" s="3028"/>
      <c r="S298" s="3109"/>
      <c r="T298" s="3110"/>
      <c r="U298" s="2992"/>
      <c r="W298" s="2901"/>
      <c r="X298" s="2862"/>
    </row>
    <row r="299" spans="1:24" s="1592" customFormat="1" ht="101.5" hidden="1" x14ac:dyDescent="0.35">
      <c r="A299" s="2486">
        <v>44329</v>
      </c>
      <c r="B299" s="3107">
        <v>23</v>
      </c>
      <c r="C299" s="5" t="s">
        <v>13876</v>
      </c>
      <c r="D299" s="3032" t="s">
        <v>13812</v>
      </c>
      <c r="E299" s="2725" t="s">
        <v>13811</v>
      </c>
      <c r="F299" s="3029"/>
      <c r="G299" s="3040" t="s">
        <v>14371</v>
      </c>
      <c r="H299" s="3041"/>
      <c r="I299" s="2486">
        <v>44332</v>
      </c>
      <c r="J299" s="3046" t="s">
        <v>5494</v>
      </c>
      <c r="K299" s="6">
        <v>0.41666666666666669</v>
      </c>
      <c r="L299" s="3157">
        <v>0.41666666666666669</v>
      </c>
      <c r="M299" s="3108">
        <f>440-15</f>
        <v>425</v>
      </c>
      <c r="N299" s="3016" t="s">
        <v>257</v>
      </c>
      <c r="O299" s="3037" t="s">
        <v>15</v>
      </c>
      <c r="P299" s="3016" t="s">
        <v>12323</v>
      </c>
      <c r="Q299" s="3016" t="s">
        <v>13813</v>
      </c>
      <c r="R299" s="3028"/>
      <c r="S299" s="3109"/>
      <c r="T299" s="3110"/>
      <c r="U299" s="2992"/>
      <c r="W299" s="2901"/>
      <c r="X299" s="2862"/>
    </row>
    <row r="300" spans="1:24" s="1592" customFormat="1" ht="116" hidden="1" x14ac:dyDescent="0.35">
      <c r="A300" s="3021">
        <v>44330</v>
      </c>
      <c r="B300" s="3036">
        <v>2</v>
      </c>
      <c r="C300" s="5" t="s">
        <v>13932</v>
      </c>
      <c r="D300" s="3032" t="s">
        <v>13930</v>
      </c>
      <c r="E300" s="2725" t="s">
        <v>14081</v>
      </c>
      <c r="F300" s="3029"/>
      <c r="G300" s="3040" t="s">
        <v>14099</v>
      </c>
      <c r="H300" s="3041"/>
      <c r="I300" s="2486">
        <v>44333</v>
      </c>
      <c r="J300" s="2722" t="s">
        <v>13931</v>
      </c>
      <c r="K300" s="3122">
        <v>0.375</v>
      </c>
      <c r="L300" s="3157">
        <v>0.40833333333333338</v>
      </c>
      <c r="M300" s="3020">
        <v>375</v>
      </c>
      <c r="N300" s="3016" t="s">
        <v>257</v>
      </c>
      <c r="O300" s="3037" t="s">
        <v>140</v>
      </c>
      <c r="P300" s="3016" t="s">
        <v>10475</v>
      </c>
      <c r="Q300" s="3015" t="s">
        <v>12417</v>
      </c>
      <c r="R300" s="3028"/>
      <c r="S300" s="3031"/>
      <c r="T300" s="3057"/>
      <c r="U300" s="2992"/>
      <c r="W300" s="2901"/>
      <c r="X300" s="2862"/>
    </row>
    <row r="301" spans="1:24" s="1592" customFormat="1" ht="348" hidden="1" x14ac:dyDescent="0.35">
      <c r="A301" s="2486">
        <v>44332</v>
      </c>
      <c r="B301" s="3036">
        <v>1</v>
      </c>
      <c r="C301" s="5" t="s">
        <v>14113</v>
      </c>
      <c r="D301" s="3032"/>
      <c r="E301" s="2725" t="s">
        <v>14116</v>
      </c>
      <c r="F301" s="3029"/>
      <c r="G301" s="3040" t="s">
        <v>14372</v>
      </c>
      <c r="H301" s="3041"/>
      <c r="I301" s="2486">
        <v>44333</v>
      </c>
      <c r="J301" s="2722" t="s">
        <v>14114</v>
      </c>
      <c r="K301" s="6">
        <v>0.375</v>
      </c>
      <c r="L301" s="3157">
        <v>0.39027777777777778</v>
      </c>
      <c r="M301" s="3020">
        <v>0</v>
      </c>
      <c r="N301" s="3016" t="s">
        <v>14115</v>
      </c>
      <c r="O301" s="3037" t="s">
        <v>140</v>
      </c>
      <c r="P301" s="3016" t="s">
        <v>821</v>
      </c>
      <c r="Q301" s="3016" t="s">
        <v>11183</v>
      </c>
      <c r="R301" s="3028"/>
      <c r="S301" s="3031"/>
      <c r="T301" s="3057"/>
      <c r="U301" s="2992"/>
      <c r="W301" s="2901"/>
      <c r="X301" s="2862"/>
    </row>
    <row r="302" spans="1:24" s="1592" customFormat="1" ht="58" hidden="1" x14ac:dyDescent="0.35">
      <c r="A302" s="3047">
        <v>44330</v>
      </c>
      <c r="B302" s="3042">
        <v>13</v>
      </c>
      <c r="C302" s="3026" t="s">
        <v>13900</v>
      </c>
      <c r="D302" s="3044" t="s">
        <v>13901</v>
      </c>
      <c r="E302" s="3048" t="s">
        <v>13903</v>
      </c>
      <c r="F302" s="3025"/>
      <c r="G302" s="3050" t="s">
        <v>11432</v>
      </c>
      <c r="H302" s="3049"/>
      <c r="I302" s="3047">
        <v>44333</v>
      </c>
      <c r="J302" s="3046" t="s">
        <v>13904</v>
      </c>
      <c r="K302" s="3128">
        <v>0.375</v>
      </c>
      <c r="L302" s="3157">
        <v>0.6777777777777777</v>
      </c>
      <c r="M302" s="3038">
        <v>915</v>
      </c>
      <c r="N302" s="3025" t="s">
        <v>257</v>
      </c>
      <c r="O302" s="3045" t="s">
        <v>140</v>
      </c>
      <c r="P302" s="3025" t="s">
        <v>821</v>
      </c>
      <c r="Q302" s="3026" t="s">
        <v>12413</v>
      </c>
      <c r="R302" s="3028"/>
      <c r="S302" s="3031"/>
      <c r="T302" s="3057"/>
      <c r="U302" s="2992"/>
      <c r="W302" s="2901"/>
      <c r="X302" s="2862"/>
    </row>
    <row r="303" spans="1:24" s="1592" customFormat="1" ht="29" hidden="1" x14ac:dyDescent="0.35">
      <c r="A303" s="3021">
        <v>44332</v>
      </c>
      <c r="B303" s="3036">
        <v>15</v>
      </c>
      <c r="C303" s="3015" t="s">
        <v>14118</v>
      </c>
      <c r="D303" s="3032" t="s">
        <v>14117</v>
      </c>
      <c r="E303" s="3015" t="s">
        <v>14119</v>
      </c>
      <c r="F303" s="3029"/>
      <c r="G303" s="3040" t="s">
        <v>11951</v>
      </c>
      <c r="H303" s="3041"/>
      <c r="I303" s="3021">
        <v>44333</v>
      </c>
      <c r="J303" s="3034" t="s">
        <v>14120</v>
      </c>
      <c r="K303" s="3122">
        <v>0.375</v>
      </c>
      <c r="L303" s="3148">
        <v>0.72499999999999998</v>
      </c>
      <c r="M303" s="3020">
        <v>0</v>
      </c>
      <c r="N303" s="3016" t="s">
        <v>14121</v>
      </c>
      <c r="O303" s="3037" t="s">
        <v>140</v>
      </c>
      <c r="P303" s="3016" t="s">
        <v>10475</v>
      </c>
      <c r="Q303" s="3016" t="s">
        <v>14112</v>
      </c>
      <c r="R303" s="3028"/>
      <c r="S303" s="3031"/>
      <c r="T303" s="3057"/>
      <c r="U303" s="2992"/>
      <c r="W303" s="2901"/>
      <c r="X303" s="2862"/>
    </row>
    <row r="304" spans="1:24" s="1592" customFormat="1" ht="43.5" hidden="1" x14ac:dyDescent="0.35">
      <c r="A304" s="3047">
        <v>44330</v>
      </c>
      <c r="B304" s="2880">
        <v>11</v>
      </c>
      <c r="C304" s="3026" t="s">
        <v>13905</v>
      </c>
      <c r="D304" s="3237" t="s">
        <v>13906</v>
      </c>
      <c r="E304" s="3048" t="s">
        <v>13908</v>
      </c>
      <c r="F304" s="3026"/>
      <c r="G304" s="3049" t="s">
        <v>13909</v>
      </c>
      <c r="H304" s="3049"/>
      <c r="I304" s="3047">
        <v>44333</v>
      </c>
      <c r="J304" s="3046" t="s">
        <v>13907</v>
      </c>
      <c r="K304" s="3128">
        <v>0.375</v>
      </c>
      <c r="L304" s="3238">
        <v>0.6381944444444444</v>
      </c>
      <c r="M304" s="3135">
        <v>195</v>
      </c>
      <c r="N304" s="3026" t="s">
        <v>257</v>
      </c>
      <c r="O304" s="2878" t="s">
        <v>140</v>
      </c>
      <c r="P304" s="3025" t="s">
        <v>821</v>
      </c>
      <c r="Q304" s="3026" t="s">
        <v>12414</v>
      </c>
      <c r="R304" s="3159"/>
      <c r="S304" s="2998"/>
      <c r="T304" s="3120"/>
      <c r="U304" s="2992"/>
      <c r="W304" s="2901"/>
      <c r="X304" s="2862"/>
    </row>
    <row r="305" spans="1:24" s="1592" customFormat="1" ht="58" hidden="1" x14ac:dyDescent="0.35">
      <c r="A305" s="2486">
        <v>44329</v>
      </c>
      <c r="B305" s="3107">
        <v>12</v>
      </c>
      <c r="C305" s="5" t="s">
        <v>13815</v>
      </c>
      <c r="D305" s="3032" t="s">
        <v>13817</v>
      </c>
      <c r="E305" s="2725" t="s">
        <v>13814</v>
      </c>
      <c r="F305" s="3029"/>
      <c r="G305" s="3040" t="s">
        <v>11849</v>
      </c>
      <c r="H305" s="3041"/>
      <c r="I305" s="2486">
        <v>44333</v>
      </c>
      <c r="J305" s="2722" t="s">
        <v>13816</v>
      </c>
      <c r="K305" s="6">
        <v>0.375</v>
      </c>
      <c r="L305" s="3149">
        <v>0.65694444444444444</v>
      </c>
      <c r="M305" s="3108">
        <v>155</v>
      </c>
      <c r="N305" s="3016" t="s">
        <v>257</v>
      </c>
      <c r="O305" s="3037" t="s">
        <v>140</v>
      </c>
      <c r="P305" s="3016" t="s">
        <v>12323</v>
      </c>
      <c r="Q305" s="3016" t="s">
        <v>13818</v>
      </c>
      <c r="R305" s="3028"/>
      <c r="S305" s="3109"/>
      <c r="T305" s="3110"/>
      <c r="U305" s="2992"/>
      <c r="W305" s="2901"/>
      <c r="X305" s="2862"/>
    </row>
    <row r="306" spans="1:24" s="1592" customFormat="1" ht="43.5" hidden="1" x14ac:dyDescent="0.35">
      <c r="A306" s="2486">
        <v>44330</v>
      </c>
      <c r="B306" s="3036">
        <v>5</v>
      </c>
      <c r="C306" s="5" t="s">
        <v>13839</v>
      </c>
      <c r="D306" s="3032" t="s">
        <v>13840</v>
      </c>
      <c r="E306" s="2725" t="s">
        <v>13234</v>
      </c>
      <c r="F306" s="3029"/>
      <c r="G306" s="3040" t="s">
        <v>11423</v>
      </c>
      <c r="H306" s="3041"/>
      <c r="I306" s="2486">
        <v>44333</v>
      </c>
      <c r="J306" s="2722" t="s">
        <v>13841</v>
      </c>
      <c r="K306" s="6">
        <v>0.375</v>
      </c>
      <c r="L306" s="3149">
        <v>0.49722222222222223</v>
      </c>
      <c r="M306" s="3039">
        <v>114</v>
      </c>
      <c r="N306" s="3016" t="s">
        <v>8625</v>
      </c>
      <c r="O306" s="3037" t="s">
        <v>140</v>
      </c>
      <c r="P306" s="3016" t="s">
        <v>12323</v>
      </c>
      <c r="Q306" s="3016" t="s">
        <v>13842</v>
      </c>
      <c r="R306" s="3028"/>
      <c r="S306" s="3031"/>
      <c r="T306" s="3057"/>
      <c r="U306" s="2992"/>
      <c r="W306" s="2901"/>
      <c r="X306" s="2862"/>
    </row>
    <row r="307" spans="1:24" s="1592" customFormat="1" ht="72.5" hidden="1" x14ac:dyDescent="0.35">
      <c r="A307" s="3021">
        <v>44331</v>
      </c>
      <c r="B307" s="3107">
        <v>8</v>
      </c>
      <c r="C307" s="3015" t="s">
        <v>13957</v>
      </c>
      <c r="D307" s="3032" t="s">
        <v>13958</v>
      </c>
      <c r="E307" s="3015" t="s">
        <v>13959</v>
      </c>
      <c r="F307" s="3029"/>
      <c r="G307" s="3040" t="s">
        <v>14373</v>
      </c>
      <c r="H307" s="3041"/>
      <c r="I307" s="3021">
        <v>44333</v>
      </c>
      <c r="J307" s="3034" t="s">
        <v>13960</v>
      </c>
      <c r="K307" s="3122">
        <v>0.375</v>
      </c>
      <c r="L307" s="3148">
        <v>0.55763888888888891</v>
      </c>
      <c r="M307" s="3111">
        <v>98</v>
      </c>
      <c r="N307" s="3016" t="s">
        <v>11311</v>
      </c>
      <c r="O307" s="3037" t="s">
        <v>140</v>
      </c>
      <c r="P307" s="3016" t="s">
        <v>821</v>
      </c>
      <c r="Q307" s="3016" t="s">
        <v>13961</v>
      </c>
      <c r="R307" s="3028"/>
      <c r="S307" s="3109"/>
      <c r="T307" s="3110"/>
      <c r="U307" s="2992"/>
      <c r="W307" s="2901"/>
      <c r="X307" s="2862"/>
    </row>
    <row r="308" spans="1:24" s="1592" customFormat="1" ht="87" hidden="1" x14ac:dyDescent="0.35">
      <c r="A308" s="2486">
        <v>44330</v>
      </c>
      <c r="B308" s="3107">
        <v>10</v>
      </c>
      <c r="C308" s="5" t="s">
        <v>13830</v>
      </c>
      <c r="D308" s="3032" t="s">
        <v>13831</v>
      </c>
      <c r="E308" s="2725" t="s">
        <v>13832</v>
      </c>
      <c r="F308" s="3029"/>
      <c r="G308" s="3040" t="s">
        <v>14347</v>
      </c>
      <c r="H308" s="3041"/>
      <c r="I308" s="2486">
        <v>44333</v>
      </c>
      <c r="J308" s="2722" t="s">
        <v>13833</v>
      </c>
      <c r="K308" s="6">
        <v>0.375</v>
      </c>
      <c r="L308" s="3230">
        <v>0.60416666666666663</v>
      </c>
      <c r="M308" s="3108">
        <v>235</v>
      </c>
      <c r="N308" s="3016" t="s">
        <v>257</v>
      </c>
      <c r="O308" s="3037" t="s">
        <v>140</v>
      </c>
      <c r="P308" s="3016" t="s">
        <v>12323</v>
      </c>
      <c r="Q308" s="3016" t="s">
        <v>13834</v>
      </c>
      <c r="R308" s="3028"/>
      <c r="S308" s="3109"/>
      <c r="T308" s="3110"/>
      <c r="U308" s="2992"/>
      <c r="W308" s="2901"/>
      <c r="X308" s="2862"/>
    </row>
    <row r="309" spans="1:24" s="1592" customFormat="1" ht="58" hidden="1" x14ac:dyDescent="0.35">
      <c r="A309" s="2486">
        <v>44331</v>
      </c>
      <c r="B309" s="3036">
        <v>6</v>
      </c>
      <c r="C309" s="5" t="s">
        <v>14043</v>
      </c>
      <c r="D309" s="3032" t="s">
        <v>14044</v>
      </c>
      <c r="E309" s="2725" t="s">
        <v>14045</v>
      </c>
      <c r="F309" s="3029"/>
      <c r="G309" s="3040" t="s">
        <v>14046</v>
      </c>
      <c r="H309" s="3041"/>
      <c r="I309" s="2486">
        <v>44333</v>
      </c>
      <c r="J309" s="2722" t="s">
        <v>14047</v>
      </c>
      <c r="K309" s="6">
        <v>0.375</v>
      </c>
      <c r="L309" s="3122">
        <v>0.51736111111111105</v>
      </c>
      <c r="M309" s="3020">
        <v>195</v>
      </c>
      <c r="N309" s="3015" t="s">
        <v>13955</v>
      </c>
      <c r="O309" s="3030" t="s">
        <v>140</v>
      </c>
      <c r="P309" s="3015" t="s">
        <v>22</v>
      </c>
      <c r="Q309" s="3016" t="s">
        <v>14048</v>
      </c>
      <c r="R309" s="3028"/>
      <c r="S309" s="3031"/>
      <c r="T309" s="3057"/>
      <c r="U309" s="2992"/>
      <c r="W309" s="2901"/>
      <c r="X309" s="2862"/>
    </row>
    <row r="310" spans="1:24" s="1592" customFormat="1" ht="33" hidden="1" x14ac:dyDescent="0.35">
      <c r="A310" s="2486">
        <v>44331</v>
      </c>
      <c r="B310" s="3036">
        <v>14</v>
      </c>
      <c r="C310" s="5" t="s">
        <v>14051</v>
      </c>
      <c r="D310" s="3032" t="s">
        <v>14052</v>
      </c>
      <c r="E310" s="2725" t="s">
        <v>14053</v>
      </c>
      <c r="F310" s="3029"/>
      <c r="G310" s="3040" t="s">
        <v>14054</v>
      </c>
      <c r="H310" s="3041"/>
      <c r="I310" s="2486">
        <v>44333</v>
      </c>
      <c r="J310" s="2722" t="s">
        <v>14055</v>
      </c>
      <c r="K310" s="6">
        <v>0.375</v>
      </c>
      <c r="L310" s="3149">
        <v>0.69791666666666663</v>
      </c>
      <c r="M310" s="3039">
        <v>315</v>
      </c>
      <c r="N310" s="3016" t="s">
        <v>11311</v>
      </c>
      <c r="O310" s="3037" t="s">
        <v>140</v>
      </c>
      <c r="P310" s="3016" t="s">
        <v>821</v>
      </c>
      <c r="Q310" s="3016" t="s">
        <v>14056</v>
      </c>
      <c r="R310" s="3028"/>
      <c r="S310" s="3031"/>
      <c r="T310" s="3057"/>
      <c r="U310" s="2992"/>
      <c r="W310" s="2901"/>
      <c r="X310" s="2862"/>
    </row>
    <row r="311" spans="1:24" s="1592" customFormat="1" ht="43.5" hidden="1" x14ac:dyDescent="0.35">
      <c r="A311" s="2486">
        <v>44331</v>
      </c>
      <c r="B311" s="3036">
        <v>7</v>
      </c>
      <c r="C311" s="2725" t="s">
        <v>12151</v>
      </c>
      <c r="D311" s="3032" t="s">
        <v>12293</v>
      </c>
      <c r="E311" s="3016" t="s">
        <v>13049</v>
      </c>
      <c r="F311" s="3029"/>
      <c r="G311" s="3040" t="s">
        <v>12328</v>
      </c>
      <c r="H311" s="3041"/>
      <c r="I311" s="2486">
        <v>44333</v>
      </c>
      <c r="J311" s="3034" t="s">
        <v>13050</v>
      </c>
      <c r="K311" s="3122">
        <v>0.375</v>
      </c>
      <c r="L311" s="3122">
        <v>0.5395833333333333</v>
      </c>
      <c r="M311" s="3039">
        <v>0</v>
      </c>
      <c r="N311" s="3016" t="s">
        <v>13947</v>
      </c>
      <c r="O311" s="3030" t="s">
        <v>140</v>
      </c>
      <c r="P311" s="3015" t="s">
        <v>821</v>
      </c>
      <c r="Q311" s="3015" t="s">
        <v>11244</v>
      </c>
      <c r="R311" s="3028"/>
      <c r="S311" s="3109"/>
      <c r="T311" s="3110"/>
      <c r="U311" s="2992"/>
      <c r="W311" s="2901"/>
      <c r="X311" s="2862"/>
    </row>
    <row r="312" spans="1:24" s="1592" customFormat="1" ht="29" hidden="1" x14ac:dyDescent="0.35">
      <c r="A312" s="2486">
        <v>44328</v>
      </c>
      <c r="B312" s="3107">
        <v>9</v>
      </c>
      <c r="C312" s="5" t="s">
        <v>13678</v>
      </c>
      <c r="D312" s="3032" t="s">
        <v>13679</v>
      </c>
      <c r="E312" s="3016" t="s">
        <v>13680</v>
      </c>
      <c r="F312" s="3029"/>
      <c r="G312" s="3040" t="s">
        <v>11423</v>
      </c>
      <c r="H312" s="3041"/>
      <c r="I312" s="2486">
        <v>44333</v>
      </c>
      <c r="J312" s="2722" t="s">
        <v>13681</v>
      </c>
      <c r="K312" s="6">
        <v>0.375</v>
      </c>
      <c r="L312" s="3157">
        <v>0.57361111111111118</v>
      </c>
      <c r="M312" s="3123">
        <v>99</v>
      </c>
      <c r="N312" s="3016" t="s">
        <v>257</v>
      </c>
      <c r="O312" s="3037" t="s">
        <v>140</v>
      </c>
      <c r="P312" s="3016" t="s">
        <v>10475</v>
      </c>
      <c r="Q312" s="3015" t="s">
        <v>11183</v>
      </c>
      <c r="R312" s="3028"/>
      <c r="S312" s="3109"/>
      <c r="T312" s="3110"/>
      <c r="U312" s="2992"/>
      <c r="W312" s="2901"/>
      <c r="X312" s="2862"/>
    </row>
    <row r="313" spans="1:24" s="1592" customFormat="1" ht="130.5" hidden="1" x14ac:dyDescent="0.35">
      <c r="A313" s="2486">
        <v>44330</v>
      </c>
      <c r="B313" s="3036">
        <v>3</v>
      </c>
      <c r="C313" s="5" t="s">
        <v>13894</v>
      </c>
      <c r="D313" s="3032" t="s">
        <v>13895</v>
      </c>
      <c r="E313" s="2725" t="s">
        <v>13898</v>
      </c>
      <c r="F313" s="3029"/>
      <c r="G313" s="3040" t="s">
        <v>11441</v>
      </c>
      <c r="H313" s="3041"/>
      <c r="I313" s="2486">
        <v>44333</v>
      </c>
      <c r="J313" s="2722" t="s">
        <v>13896</v>
      </c>
      <c r="K313" s="6">
        <v>0.375</v>
      </c>
      <c r="L313" s="3157">
        <v>0.44930555555555557</v>
      </c>
      <c r="M313" s="3020">
        <v>231</v>
      </c>
      <c r="N313" s="3016" t="s">
        <v>13897</v>
      </c>
      <c r="O313" s="3037" t="s">
        <v>140</v>
      </c>
      <c r="P313" s="3016" t="s">
        <v>22</v>
      </c>
      <c r="Q313" s="3015" t="s">
        <v>12410</v>
      </c>
      <c r="R313" s="3028"/>
      <c r="S313" s="3031"/>
      <c r="T313" s="3057"/>
      <c r="U313" s="2992"/>
      <c r="W313" s="2901"/>
      <c r="X313" s="2862"/>
    </row>
    <row r="314" spans="1:24" s="1592" customFormat="1" ht="58" hidden="1" x14ac:dyDescent="0.35">
      <c r="A314" s="3021">
        <v>44332</v>
      </c>
      <c r="B314" s="3107">
        <v>4</v>
      </c>
      <c r="C314" s="3015" t="s">
        <v>14083</v>
      </c>
      <c r="D314" s="3032" t="s">
        <v>14084</v>
      </c>
      <c r="E314" s="3015" t="s">
        <v>14085</v>
      </c>
      <c r="F314" s="3029"/>
      <c r="G314" s="3040" t="s">
        <v>14316</v>
      </c>
      <c r="H314" s="3041"/>
      <c r="I314" s="3021">
        <v>44333</v>
      </c>
      <c r="J314" s="3034" t="s">
        <v>14086</v>
      </c>
      <c r="K314" s="3122">
        <v>0.375</v>
      </c>
      <c r="L314" s="3149">
        <v>0.47361111111111115</v>
      </c>
      <c r="M314" s="3108">
        <v>159</v>
      </c>
      <c r="N314" s="3016" t="s">
        <v>392</v>
      </c>
      <c r="O314" s="3037" t="s">
        <v>140</v>
      </c>
      <c r="P314" s="3016" t="s">
        <v>821</v>
      </c>
      <c r="Q314" s="3016" t="s">
        <v>14087</v>
      </c>
      <c r="R314" s="3028"/>
      <c r="S314" s="3109"/>
      <c r="T314" s="3110"/>
      <c r="U314" s="2992"/>
      <c r="W314" s="2901"/>
      <c r="X314" s="2862"/>
    </row>
    <row r="315" spans="1:24" s="1592" customFormat="1" ht="130.5" hidden="1" x14ac:dyDescent="0.35">
      <c r="A315" s="3021">
        <v>44331</v>
      </c>
      <c r="B315" s="3107">
        <v>16</v>
      </c>
      <c r="C315" s="3015" t="s">
        <v>13981</v>
      </c>
      <c r="D315" s="3032" t="s">
        <v>13977</v>
      </c>
      <c r="E315" s="3015" t="s">
        <v>13979</v>
      </c>
      <c r="F315" s="3029"/>
      <c r="G315" s="2933" t="s">
        <v>13978</v>
      </c>
      <c r="H315" s="3041"/>
      <c r="I315" s="3021">
        <v>44333</v>
      </c>
      <c r="J315" s="3046" t="s">
        <v>11282</v>
      </c>
      <c r="K315" s="3122">
        <v>0.41666666666666669</v>
      </c>
      <c r="L315" s="3149">
        <v>0.41666666666666669</v>
      </c>
      <c r="M315" s="3108">
        <v>658</v>
      </c>
      <c r="N315" s="3015" t="s">
        <v>13955</v>
      </c>
      <c r="O315" s="3030" t="s">
        <v>15</v>
      </c>
      <c r="P315" s="3015" t="s">
        <v>821</v>
      </c>
      <c r="Q315" s="3015" t="s">
        <v>13980</v>
      </c>
      <c r="R315" s="3028"/>
      <c r="S315" s="3109"/>
      <c r="T315" s="3110"/>
      <c r="U315" s="2992"/>
      <c r="W315" s="2901"/>
      <c r="X315" s="2862"/>
    </row>
    <row r="316" spans="1:24" s="1592" customFormat="1" ht="43.5" hidden="1" x14ac:dyDescent="0.35">
      <c r="A316" s="2486">
        <v>44328</v>
      </c>
      <c r="B316" s="3107">
        <v>17</v>
      </c>
      <c r="C316" s="5" t="s">
        <v>13627</v>
      </c>
      <c r="D316" s="3032" t="s">
        <v>13626</v>
      </c>
      <c r="E316" s="3016" t="s">
        <v>13625</v>
      </c>
      <c r="F316" s="3029"/>
      <c r="G316" s="3040" t="s">
        <v>11517</v>
      </c>
      <c r="H316" s="3041"/>
      <c r="I316" s="2486">
        <v>44333</v>
      </c>
      <c r="J316" s="3046" t="s">
        <v>5494</v>
      </c>
      <c r="K316" s="6">
        <v>0.41666666666666669</v>
      </c>
      <c r="L316" s="3149">
        <v>0.41666666666666669</v>
      </c>
      <c r="M316" s="3111">
        <v>180</v>
      </c>
      <c r="N316" s="3016" t="s">
        <v>8625</v>
      </c>
      <c r="O316" s="3037" t="s">
        <v>15</v>
      </c>
      <c r="P316" s="3016" t="s">
        <v>12323</v>
      </c>
      <c r="Q316" s="3016" t="s">
        <v>13628</v>
      </c>
      <c r="R316" s="3028"/>
      <c r="S316" s="3109"/>
      <c r="T316" s="3110"/>
      <c r="U316" s="2992"/>
      <c r="W316" s="2901"/>
      <c r="X316" s="2862"/>
    </row>
    <row r="317" spans="1:24" s="1592" customFormat="1" ht="116" x14ac:dyDescent="0.35">
      <c r="A317" s="3021">
        <v>44327</v>
      </c>
      <c r="B317" s="3036">
        <v>1</v>
      </c>
      <c r="C317" s="3015" t="s">
        <v>13378</v>
      </c>
      <c r="D317" s="3032" t="s">
        <v>13379</v>
      </c>
      <c r="E317" s="3024" t="s">
        <v>13381</v>
      </c>
      <c r="F317" s="3029"/>
      <c r="G317" s="3040" t="s">
        <v>14318</v>
      </c>
      <c r="H317" s="3041"/>
      <c r="I317" s="3021">
        <v>44334</v>
      </c>
      <c r="J317" s="3034" t="s">
        <v>13380</v>
      </c>
      <c r="K317" s="3122">
        <v>0.33333333333333331</v>
      </c>
      <c r="L317" s="3149">
        <v>0.33958333333333335</v>
      </c>
      <c r="M317" s="3039">
        <v>159</v>
      </c>
      <c r="N317" s="3016" t="s">
        <v>8625</v>
      </c>
      <c r="O317" s="3037" t="s">
        <v>7067</v>
      </c>
      <c r="P317" s="3016" t="s">
        <v>12323</v>
      </c>
      <c r="Q317" s="3016" t="s">
        <v>13382</v>
      </c>
      <c r="R317" s="3028"/>
      <c r="S317" s="3031"/>
      <c r="T317" s="3057"/>
      <c r="U317" s="2992"/>
      <c r="W317" s="2901"/>
      <c r="X317" s="2862"/>
    </row>
    <row r="318" spans="1:24" s="1592" customFormat="1" ht="72.5" x14ac:dyDescent="0.35">
      <c r="A318" s="3021">
        <v>44331</v>
      </c>
      <c r="B318" s="3107">
        <v>2</v>
      </c>
      <c r="C318" s="3015" t="s">
        <v>14019</v>
      </c>
      <c r="D318" s="3032" t="s">
        <v>14020</v>
      </c>
      <c r="E318" s="3015" t="s">
        <v>14294</v>
      </c>
      <c r="F318" s="3029"/>
      <c r="G318" s="3040" t="s">
        <v>14098</v>
      </c>
      <c r="H318" s="3041"/>
      <c r="I318" s="3021">
        <v>44334</v>
      </c>
      <c r="J318" s="3034" t="s">
        <v>14021</v>
      </c>
      <c r="K318" s="3122">
        <v>0.33333333333333331</v>
      </c>
      <c r="L318" s="3231">
        <v>0.36249999999999999</v>
      </c>
      <c r="M318" s="3111">
        <v>165</v>
      </c>
      <c r="N318" s="3016" t="s">
        <v>11311</v>
      </c>
      <c r="O318" s="3037" t="s">
        <v>7067</v>
      </c>
      <c r="P318" s="3016" t="s">
        <v>821</v>
      </c>
      <c r="Q318" s="3016" t="s">
        <v>14022</v>
      </c>
      <c r="R318" s="3028"/>
      <c r="S318" s="3109"/>
      <c r="T318" s="3110"/>
      <c r="U318" s="2992"/>
      <c r="W318" s="2901"/>
      <c r="X318" s="2862"/>
    </row>
    <row r="319" spans="1:24" s="1592" customFormat="1" ht="377" x14ac:dyDescent="0.35">
      <c r="A319" s="3021">
        <v>44333</v>
      </c>
      <c r="B319" s="3107">
        <v>3</v>
      </c>
      <c r="C319" s="5" t="s">
        <v>13042</v>
      </c>
      <c r="D319" s="3131"/>
      <c r="E319" s="2725" t="s">
        <v>14239</v>
      </c>
      <c r="F319" s="3022"/>
      <c r="G319" s="2933" t="s">
        <v>14374</v>
      </c>
      <c r="H319" s="3041"/>
      <c r="I319" s="2486">
        <v>44334</v>
      </c>
      <c r="J319" s="2722" t="s">
        <v>12945</v>
      </c>
      <c r="K319" s="6">
        <v>0.33333333333333331</v>
      </c>
      <c r="L319" s="3157">
        <v>0.39374999999999999</v>
      </c>
      <c r="M319" s="3108">
        <v>0</v>
      </c>
      <c r="N319" s="3016" t="s">
        <v>5716</v>
      </c>
      <c r="O319" s="3030" t="s">
        <v>7067</v>
      </c>
      <c r="P319" s="3015" t="s">
        <v>821</v>
      </c>
      <c r="Q319" s="3015" t="s">
        <v>8499</v>
      </c>
      <c r="R319" s="3028"/>
      <c r="S319" s="3109"/>
      <c r="T319" s="3110"/>
      <c r="U319" s="2992"/>
      <c r="W319" s="2901"/>
      <c r="X319" s="2862"/>
    </row>
    <row r="320" spans="1:24" s="1592" customFormat="1" ht="72.5" x14ac:dyDescent="0.35">
      <c r="A320" s="3047">
        <v>44328</v>
      </c>
      <c r="B320" s="3112">
        <v>4</v>
      </c>
      <c r="C320" s="3026" t="s">
        <v>13527</v>
      </c>
      <c r="D320" s="3044" t="s">
        <v>13528</v>
      </c>
      <c r="E320" s="3025" t="s">
        <v>13529</v>
      </c>
      <c r="F320" s="3025"/>
      <c r="G320" s="3050" t="s">
        <v>11432</v>
      </c>
      <c r="H320" s="3049"/>
      <c r="I320" s="3047">
        <v>44334</v>
      </c>
      <c r="J320" s="3046" t="s">
        <v>14273</v>
      </c>
      <c r="K320" s="3128">
        <v>0.33333333333333331</v>
      </c>
      <c r="L320" s="3157">
        <v>0.41875000000000001</v>
      </c>
      <c r="M320" s="3111">
        <v>765</v>
      </c>
      <c r="N320" s="3025" t="s">
        <v>8625</v>
      </c>
      <c r="O320" s="3045" t="s">
        <v>7067</v>
      </c>
      <c r="P320" s="3025" t="s">
        <v>12323</v>
      </c>
      <c r="Q320" s="3025" t="s">
        <v>13530</v>
      </c>
      <c r="R320" s="3028"/>
      <c r="S320" s="3109"/>
      <c r="T320" s="3110"/>
      <c r="U320" s="2992"/>
      <c r="W320" s="2901"/>
      <c r="X320" s="2862"/>
    </row>
    <row r="321" spans="1:24" s="1592" customFormat="1" ht="72.5" x14ac:dyDescent="0.35">
      <c r="A321" s="3021">
        <v>44330</v>
      </c>
      <c r="B321" s="3036">
        <v>5</v>
      </c>
      <c r="C321" s="5" t="s">
        <v>13938</v>
      </c>
      <c r="D321" s="3032" t="s">
        <v>13939</v>
      </c>
      <c r="E321" s="2725" t="s">
        <v>14237</v>
      </c>
      <c r="F321" s="3029"/>
      <c r="G321" s="3040" t="s">
        <v>13937</v>
      </c>
      <c r="H321" s="3041"/>
      <c r="I321" s="2486">
        <v>44334</v>
      </c>
      <c r="J321" s="2722" t="s">
        <v>14236</v>
      </c>
      <c r="K321" s="6">
        <v>0.33333333333333331</v>
      </c>
      <c r="L321" s="3157">
        <v>0.44236111111111115</v>
      </c>
      <c r="M321" s="3020">
        <v>215</v>
      </c>
      <c r="N321" s="3016" t="s">
        <v>257</v>
      </c>
      <c r="O321" s="3037" t="s">
        <v>7067</v>
      </c>
      <c r="P321" s="3016" t="s">
        <v>12323</v>
      </c>
      <c r="Q321" s="3016" t="s">
        <v>12581</v>
      </c>
      <c r="R321" s="3028"/>
      <c r="S321" s="3031"/>
      <c r="T321" s="3057"/>
      <c r="U321" s="2992"/>
      <c r="W321" s="2901"/>
      <c r="X321" s="2862"/>
    </row>
    <row r="322" spans="1:24" s="1592" customFormat="1" ht="29" x14ac:dyDescent="0.35">
      <c r="A322" s="2486">
        <v>44332</v>
      </c>
      <c r="B322" s="3107">
        <v>6</v>
      </c>
      <c r="C322" s="5" t="s">
        <v>14129</v>
      </c>
      <c r="D322" s="3032" t="s">
        <v>14130</v>
      </c>
      <c r="E322" s="2725" t="s">
        <v>14205</v>
      </c>
      <c r="F322" s="3029"/>
      <c r="G322" s="3040" t="s">
        <v>11849</v>
      </c>
      <c r="H322" s="3041"/>
      <c r="I322" s="2486">
        <v>44334</v>
      </c>
      <c r="J322" s="2722" t="s">
        <v>14131</v>
      </c>
      <c r="K322" s="6">
        <v>0.33333333333333331</v>
      </c>
      <c r="L322" s="3149">
        <v>0.47222222222222227</v>
      </c>
      <c r="M322" s="3108">
        <v>155</v>
      </c>
      <c r="N322" s="3016" t="s">
        <v>392</v>
      </c>
      <c r="O322" s="3037" t="s">
        <v>7067</v>
      </c>
      <c r="P322" s="3016" t="s">
        <v>821</v>
      </c>
      <c r="Q322" s="3016" t="s">
        <v>14132</v>
      </c>
      <c r="R322" s="3028"/>
      <c r="S322" s="3109"/>
      <c r="T322" s="3110"/>
      <c r="U322" s="2992"/>
      <c r="W322" s="2901"/>
      <c r="X322" s="2862"/>
    </row>
    <row r="323" spans="1:24" s="1592" customFormat="1" ht="72.5" x14ac:dyDescent="0.35">
      <c r="A323" s="3047">
        <v>44333</v>
      </c>
      <c r="B323" s="3042">
        <v>7</v>
      </c>
      <c r="C323" s="3026" t="s">
        <v>14194</v>
      </c>
      <c r="D323" s="3044" t="s">
        <v>14193</v>
      </c>
      <c r="E323" s="3048" t="s">
        <v>14196</v>
      </c>
      <c r="F323" s="3025"/>
      <c r="G323" s="3050" t="s">
        <v>11432</v>
      </c>
      <c r="H323" s="3049"/>
      <c r="I323" s="3047">
        <v>44334</v>
      </c>
      <c r="J323" s="3046" t="s">
        <v>14195</v>
      </c>
      <c r="K323" s="3128">
        <v>0.33333333333333331</v>
      </c>
      <c r="L323" s="3157">
        <v>0.53819444444444442</v>
      </c>
      <c r="M323" s="3038">
        <v>465</v>
      </c>
      <c r="N323" s="3025" t="s">
        <v>257</v>
      </c>
      <c r="O323" s="3045" t="s">
        <v>7067</v>
      </c>
      <c r="P323" s="3025" t="s">
        <v>216</v>
      </c>
      <c r="Q323" s="3025" t="s">
        <v>12452</v>
      </c>
      <c r="R323" s="3028"/>
      <c r="S323" s="3031"/>
      <c r="T323" s="3057"/>
      <c r="U323" s="2992"/>
      <c r="W323" s="2901"/>
      <c r="X323" s="2862"/>
    </row>
    <row r="324" spans="1:24" s="1592" customFormat="1" ht="29" x14ac:dyDescent="0.35">
      <c r="A324" s="2884">
        <v>43869</v>
      </c>
      <c r="B324" s="2596">
        <v>8</v>
      </c>
      <c r="C324" s="3016" t="s">
        <v>20</v>
      </c>
      <c r="D324" s="3031"/>
      <c r="E324" s="3016" t="s">
        <v>11264</v>
      </c>
      <c r="F324" s="3029"/>
      <c r="G324" s="3040"/>
      <c r="H324" s="2892"/>
      <c r="I324" s="2884">
        <v>44334</v>
      </c>
      <c r="J324" s="2885" t="s">
        <v>20</v>
      </c>
      <c r="K324" s="3117">
        <v>0.33333333333333331</v>
      </c>
      <c r="L324" s="3117" t="s">
        <v>15</v>
      </c>
      <c r="M324" s="3020">
        <v>0</v>
      </c>
      <c r="N324" s="3016" t="s">
        <v>20</v>
      </c>
      <c r="O324" s="3016" t="s">
        <v>7067</v>
      </c>
      <c r="P324" s="3016" t="s">
        <v>17</v>
      </c>
      <c r="Q324" s="3016" t="s">
        <v>20</v>
      </c>
      <c r="R324" s="3017"/>
      <c r="S324" s="3031"/>
      <c r="T324" s="3057"/>
      <c r="U324" s="2992"/>
      <c r="W324" s="2901"/>
      <c r="X324" s="2862"/>
    </row>
    <row r="325" spans="1:24" s="1592" customFormat="1" ht="58" x14ac:dyDescent="0.35">
      <c r="A325" s="2486">
        <v>44333</v>
      </c>
      <c r="B325" s="3036">
        <v>9</v>
      </c>
      <c r="C325" s="5" t="s">
        <v>14170</v>
      </c>
      <c r="D325" s="3032" t="s">
        <v>14171</v>
      </c>
      <c r="E325" s="2725" t="s">
        <v>14169</v>
      </c>
      <c r="F325" s="3029"/>
      <c r="G325" s="3040" t="s">
        <v>12062</v>
      </c>
      <c r="H325" s="3041"/>
      <c r="I325" s="2486">
        <v>44334</v>
      </c>
      <c r="J325" s="2722" t="s">
        <v>14173</v>
      </c>
      <c r="K325" s="6">
        <v>0.33333333333333331</v>
      </c>
      <c r="L325" s="3157">
        <v>0.56805555555555554</v>
      </c>
      <c r="M325" s="3020">
        <v>100</v>
      </c>
      <c r="N325" s="3016" t="s">
        <v>257</v>
      </c>
      <c r="O325" s="3037" t="s">
        <v>7067</v>
      </c>
      <c r="P325" s="3016" t="s">
        <v>12323</v>
      </c>
      <c r="Q325" s="3016" t="s">
        <v>14172</v>
      </c>
      <c r="R325" s="3028"/>
      <c r="S325" s="3031"/>
      <c r="T325" s="3057"/>
      <c r="U325" s="2992"/>
      <c r="W325" s="2901"/>
      <c r="X325" s="2862"/>
    </row>
    <row r="326" spans="1:24" s="1592" customFormat="1" ht="29" x14ac:dyDescent="0.35">
      <c r="A326" s="2486">
        <v>44328</v>
      </c>
      <c r="B326" s="3107">
        <v>10</v>
      </c>
      <c r="C326" s="5" t="s">
        <v>13640</v>
      </c>
      <c r="D326" s="3032" t="s">
        <v>13641</v>
      </c>
      <c r="E326" s="3016" t="s">
        <v>11870</v>
      </c>
      <c r="F326" s="3029"/>
      <c r="G326" s="3040" t="s">
        <v>14316</v>
      </c>
      <c r="H326" s="3041"/>
      <c r="I326" s="2486">
        <v>44334</v>
      </c>
      <c r="J326" s="2722" t="s">
        <v>13642</v>
      </c>
      <c r="K326" s="6">
        <v>0.33333333333333331</v>
      </c>
      <c r="L326" s="3149">
        <v>0.59097222222222223</v>
      </c>
      <c r="M326" s="3111">
        <v>159</v>
      </c>
      <c r="N326" s="3016" t="s">
        <v>8625</v>
      </c>
      <c r="O326" s="3037" t="s">
        <v>7067</v>
      </c>
      <c r="P326" s="3016" t="s">
        <v>12323</v>
      </c>
      <c r="Q326" s="3016" t="s">
        <v>13643</v>
      </c>
      <c r="R326" s="3028"/>
      <c r="S326" s="3109"/>
      <c r="T326" s="3110"/>
      <c r="U326" s="2992"/>
      <c r="W326" s="2901"/>
      <c r="X326" s="2862"/>
    </row>
    <row r="327" spans="1:24" s="1592" customFormat="1" ht="58" x14ac:dyDescent="0.35">
      <c r="A327" s="3021">
        <v>44331</v>
      </c>
      <c r="B327" s="3121">
        <v>11</v>
      </c>
      <c r="C327" s="3015" t="s">
        <v>13952</v>
      </c>
      <c r="D327" s="3033" t="s">
        <v>13951</v>
      </c>
      <c r="E327" s="3015" t="s">
        <v>13953</v>
      </c>
      <c r="F327" s="3029"/>
      <c r="G327" s="3041" t="s">
        <v>12203</v>
      </c>
      <c r="H327" s="3041"/>
      <c r="I327" s="3021">
        <v>44334</v>
      </c>
      <c r="J327" s="3034" t="s">
        <v>13954</v>
      </c>
      <c r="K327" s="3122">
        <v>0.33333333333333331</v>
      </c>
      <c r="L327" s="3231">
        <v>0.62291666666666667</v>
      </c>
      <c r="M327" s="3123">
        <v>155</v>
      </c>
      <c r="N327" s="3015" t="s">
        <v>13955</v>
      </c>
      <c r="O327" s="3030" t="s">
        <v>7067</v>
      </c>
      <c r="P327" s="3015" t="s">
        <v>821</v>
      </c>
      <c r="Q327" s="3015" t="s">
        <v>13956</v>
      </c>
      <c r="R327" s="3028"/>
      <c r="S327" s="3109"/>
      <c r="T327" s="3110"/>
      <c r="U327" s="2992"/>
      <c r="W327" s="2901"/>
      <c r="X327" s="2862"/>
    </row>
    <row r="328" spans="1:24" s="1592" customFormat="1" ht="145" x14ac:dyDescent="0.35">
      <c r="A328" s="3047">
        <v>44291</v>
      </c>
      <c r="B328" s="2953">
        <v>12</v>
      </c>
      <c r="C328" s="3026" t="s">
        <v>12116</v>
      </c>
      <c r="D328" s="3044" t="s">
        <v>11917</v>
      </c>
      <c r="E328" s="3025" t="s">
        <v>13589</v>
      </c>
      <c r="F328" s="3029"/>
      <c r="G328" s="3050" t="s">
        <v>14348</v>
      </c>
      <c r="H328" s="3049"/>
      <c r="I328" s="3047">
        <v>44334</v>
      </c>
      <c r="J328" s="3046" t="s">
        <v>12563</v>
      </c>
      <c r="K328" s="3128">
        <v>0.33333333333333331</v>
      </c>
      <c r="L328" s="3119">
        <v>0.64930555555555558</v>
      </c>
      <c r="M328" s="2876">
        <v>409</v>
      </c>
      <c r="N328" s="3026" t="s">
        <v>13786</v>
      </c>
      <c r="O328" s="3025" t="s">
        <v>7067</v>
      </c>
      <c r="P328" s="3025" t="s">
        <v>821</v>
      </c>
      <c r="Q328" s="3025" t="s">
        <v>12403</v>
      </c>
      <c r="R328" s="3028"/>
      <c r="S328" s="3031"/>
      <c r="T328" s="3057"/>
      <c r="U328" s="2992"/>
      <c r="W328" s="2901"/>
      <c r="X328" s="2862"/>
    </row>
    <row r="329" spans="1:24" s="1592" customFormat="1" ht="43.5" x14ac:dyDescent="0.35">
      <c r="A329" s="3021">
        <v>44333</v>
      </c>
      <c r="B329" s="3107">
        <v>13</v>
      </c>
      <c r="C329" s="5" t="s">
        <v>14223</v>
      </c>
      <c r="D329" s="3032" t="s">
        <v>9758</v>
      </c>
      <c r="E329" s="2725" t="s">
        <v>14220</v>
      </c>
      <c r="F329" s="3029"/>
      <c r="G329" s="3040" t="s">
        <v>14221</v>
      </c>
      <c r="H329" s="3041"/>
      <c r="I329" s="2486">
        <v>44334</v>
      </c>
      <c r="J329" s="2722" t="s">
        <v>14222</v>
      </c>
      <c r="K329" s="6">
        <v>0.33333333333333331</v>
      </c>
      <c r="L329" s="3149">
        <v>0.67569444444444438</v>
      </c>
      <c r="M329" s="3108">
        <f>10*2+99+15</f>
        <v>134</v>
      </c>
      <c r="N329" s="3015" t="s">
        <v>257</v>
      </c>
      <c r="O329" s="3030" t="s">
        <v>7067</v>
      </c>
      <c r="P329" s="3015" t="s">
        <v>216</v>
      </c>
      <c r="Q329" s="3015" t="s">
        <v>12460</v>
      </c>
      <c r="R329" s="3028"/>
      <c r="S329" s="3109"/>
      <c r="T329" s="3110"/>
      <c r="U329" s="2992"/>
      <c r="W329" s="2901"/>
      <c r="X329" s="2862"/>
    </row>
    <row r="330" spans="1:24" s="1592" customFormat="1" ht="58" x14ac:dyDescent="0.35">
      <c r="A330" s="2486">
        <v>44329</v>
      </c>
      <c r="B330" s="3107">
        <v>14</v>
      </c>
      <c r="C330" s="5" t="s">
        <v>13803</v>
      </c>
      <c r="D330" s="3032" t="s">
        <v>13804</v>
      </c>
      <c r="E330" s="2725" t="s">
        <v>13802</v>
      </c>
      <c r="F330" s="3029"/>
      <c r="G330" s="3040" t="s">
        <v>14326</v>
      </c>
      <c r="H330" s="3041"/>
      <c r="I330" s="2486">
        <v>44334</v>
      </c>
      <c r="J330" s="2722" t="s">
        <v>13805</v>
      </c>
      <c r="K330" s="6">
        <v>0.33333333333333331</v>
      </c>
      <c r="L330" s="3157">
        <v>0.69861111111111107</v>
      </c>
      <c r="M330" s="3111">
        <v>195</v>
      </c>
      <c r="N330" s="3016" t="s">
        <v>8625</v>
      </c>
      <c r="O330" s="3037" t="s">
        <v>7067</v>
      </c>
      <c r="P330" s="3016" t="s">
        <v>12323</v>
      </c>
      <c r="Q330" s="3016" t="s">
        <v>13806</v>
      </c>
      <c r="R330" s="3028"/>
      <c r="S330" s="3109"/>
      <c r="T330" s="3110"/>
      <c r="U330" s="2992"/>
      <c r="W330" s="2901"/>
      <c r="X330" s="2862"/>
    </row>
    <row r="331" spans="1:24" s="1592" customFormat="1" ht="87" x14ac:dyDescent="0.35">
      <c r="A331" s="2486">
        <v>44333</v>
      </c>
      <c r="B331" s="3107">
        <v>15</v>
      </c>
      <c r="C331" s="5" t="s">
        <v>14262</v>
      </c>
      <c r="D331" s="3032" t="s">
        <v>14263</v>
      </c>
      <c r="E331" s="2725" t="s">
        <v>14261</v>
      </c>
      <c r="F331" s="3029"/>
      <c r="G331" s="3040" t="s">
        <v>11745</v>
      </c>
      <c r="H331" s="3041"/>
      <c r="I331" s="2486">
        <v>44334</v>
      </c>
      <c r="J331" s="2722" t="s">
        <v>14264</v>
      </c>
      <c r="K331" s="3122">
        <v>0.33333333333333331</v>
      </c>
      <c r="L331" s="3149">
        <v>0.72916666666666663</v>
      </c>
      <c r="M331" s="3111">
        <v>115</v>
      </c>
      <c r="N331" s="3016" t="s">
        <v>8625</v>
      </c>
      <c r="O331" s="3037" t="s">
        <v>7067</v>
      </c>
      <c r="P331" s="3016" t="s">
        <v>12323</v>
      </c>
      <c r="Q331" s="3015" t="s">
        <v>14265</v>
      </c>
      <c r="R331" s="3028"/>
      <c r="S331" s="3109"/>
      <c r="T331" s="3110"/>
      <c r="U331" s="2992"/>
      <c r="W331" s="2901"/>
      <c r="X331" s="2862"/>
    </row>
    <row r="332" spans="1:24" s="1592" customFormat="1" ht="217.5" x14ac:dyDescent="0.35">
      <c r="A332" s="3047">
        <v>44331</v>
      </c>
      <c r="B332" s="3042">
        <v>16</v>
      </c>
      <c r="C332" s="3026" t="s">
        <v>14064</v>
      </c>
      <c r="D332" s="3044" t="s">
        <v>14065</v>
      </c>
      <c r="E332" s="3048" t="s">
        <v>14066</v>
      </c>
      <c r="F332" s="3022"/>
      <c r="G332" s="2933" t="s">
        <v>12167</v>
      </c>
      <c r="H332" s="3049"/>
      <c r="I332" s="3047">
        <v>44334</v>
      </c>
      <c r="J332" s="3046" t="s">
        <v>14293</v>
      </c>
      <c r="K332" s="3128">
        <v>0.33333333333333331</v>
      </c>
      <c r="L332" s="3157" t="s">
        <v>14292</v>
      </c>
      <c r="M332" s="3038">
        <v>1188</v>
      </c>
      <c r="N332" s="3026" t="s">
        <v>257</v>
      </c>
      <c r="O332" s="2878" t="s">
        <v>7067</v>
      </c>
      <c r="P332" s="3026" t="s">
        <v>821</v>
      </c>
      <c r="Q332" s="3026" t="s">
        <v>11183</v>
      </c>
      <c r="R332" s="3028"/>
      <c r="S332" s="3031"/>
      <c r="T332" s="3057"/>
      <c r="U332" s="2992"/>
      <c r="W332" s="2901"/>
      <c r="X332" s="2862"/>
    </row>
    <row r="333" spans="1:24" s="1592" customFormat="1" ht="38.5" x14ac:dyDescent="0.35">
      <c r="A333" s="2486">
        <v>44333</v>
      </c>
      <c r="B333" s="3107">
        <v>17</v>
      </c>
      <c r="C333" s="5" t="s">
        <v>14290</v>
      </c>
      <c r="D333" s="3032" t="s">
        <v>14288</v>
      </c>
      <c r="E333" s="2725" t="s">
        <v>14291</v>
      </c>
      <c r="F333" s="3029"/>
      <c r="G333" s="3040" t="s">
        <v>12270</v>
      </c>
      <c r="H333" s="3041"/>
      <c r="I333" s="2486">
        <v>44334</v>
      </c>
      <c r="J333" s="3046" t="s">
        <v>14289</v>
      </c>
      <c r="K333" s="3122">
        <v>0.41666666666666669</v>
      </c>
      <c r="L333" s="3157">
        <v>0.38541666666666669</v>
      </c>
      <c r="M333" s="3108">
        <v>270</v>
      </c>
      <c r="N333" s="3016" t="s">
        <v>257</v>
      </c>
      <c r="O333" s="3037" t="s">
        <v>15</v>
      </c>
      <c r="P333" s="3016" t="s">
        <v>22</v>
      </c>
      <c r="Q333" s="3016" t="s">
        <v>12414</v>
      </c>
      <c r="R333" s="3028"/>
      <c r="S333" s="3109"/>
      <c r="T333" s="3110"/>
      <c r="U333" s="2992"/>
      <c r="W333" s="2901"/>
      <c r="X333" s="2862"/>
    </row>
    <row r="334" spans="1:24" s="1592" customFormat="1" ht="29" x14ac:dyDescent="0.35">
      <c r="A334" s="3047">
        <v>44332</v>
      </c>
      <c r="B334" s="3042">
        <v>18</v>
      </c>
      <c r="C334" s="3026" t="s">
        <v>14109</v>
      </c>
      <c r="D334" s="3044" t="s">
        <v>14110</v>
      </c>
      <c r="E334" s="3026" t="s">
        <v>14111</v>
      </c>
      <c r="F334" s="3025"/>
      <c r="G334" s="3050" t="s">
        <v>11432</v>
      </c>
      <c r="H334" s="3049"/>
      <c r="I334" s="3047">
        <v>44334</v>
      </c>
      <c r="J334" s="3046" t="s">
        <v>5502</v>
      </c>
      <c r="K334" s="3128">
        <v>0.41666666666666669</v>
      </c>
      <c r="L334" s="3128">
        <v>0.41666666666666669</v>
      </c>
      <c r="M334" s="3038">
        <v>450</v>
      </c>
      <c r="N334" s="3025" t="s">
        <v>257</v>
      </c>
      <c r="O334" s="3045" t="s">
        <v>15</v>
      </c>
      <c r="P334" s="3025" t="s">
        <v>821</v>
      </c>
      <c r="Q334" s="3025" t="s">
        <v>14112</v>
      </c>
      <c r="R334" s="3028"/>
      <c r="S334" s="3031"/>
      <c r="T334" s="3057"/>
      <c r="U334" s="2992"/>
      <c r="W334" s="2901"/>
      <c r="X334" s="2862"/>
    </row>
    <row r="335" spans="1:24" s="1592" customFormat="1" ht="130.5" hidden="1" x14ac:dyDescent="0.35">
      <c r="A335" s="2486">
        <v>44329</v>
      </c>
      <c r="B335" s="3107"/>
      <c r="C335" s="5" t="s">
        <v>13796</v>
      </c>
      <c r="D335" s="3032" t="s">
        <v>13797</v>
      </c>
      <c r="E335" s="2725" t="s">
        <v>13824</v>
      </c>
      <c r="F335" s="3022"/>
      <c r="G335" s="2933"/>
      <c r="H335" s="3041"/>
      <c r="I335" s="2486">
        <v>44335</v>
      </c>
      <c r="J335" s="3046" t="s">
        <v>13798</v>
      </c>
      <c r="K335" s="6" t="s">
        <v>15</v>
      </c>
      <c r="L335" s="3149" t="s">
        <v>972</v>
      </c>
      <c r="M335" s="3108">
        <v>0</v>
      </c>
      <c r="N335" s="3016" t="s">
        <v>298</v>
      </c>
      <c r="O335" s="3037" t="s">
        <v>15</v>
      </c>
      <c r="P335" s="3016" t="s">
        <v>821</v>
      </c>
      <c r="Q335" s="3016" t="s">
        <v>12403</v>
      </c>
      <c r="R335" s="3028"/>
      <c r="S335" s="3109"/>
      <c r="T335" s="3110"/>
      <c r="U335" s="2992"/>
      <c r="W335" s="2901"/>
      <c r="X335" s="2862"/>
    </row>
    <row r="336" spans="1:24" s="1592" customFormat="1" ht="29" hidden="1" x14ac:dyDescent="0.35">
      <c r="A336" s="3047">
        <v>44331</v>
      </c>
      <c r="B336" s="3112"/>
      <c r="C336" s="3026" t="s">
        <v>13759</v>
      </c>
      <c r="D336" s="3044" t="s">
        <v>14005</v>
      </c>
      <c r="E336" s="3025" t="s">
        <v>14006</v>
      </c>
      <c r="F336" s="3025"/>
      <c r="G336" s="3050" t="s">
        <v>11432</v>
      </c>
      <c r="H336" s="3049"/>
      <c r="I336" s="3047">
        <v>44335</v>
      </c>
      <c r="J336" s="3046" t="s">
        <v>14007</v>
      </c>
      <c r="K336" s="3128" t="s">
        <v>15</v>
      </c>
      <c r="L336" s="3152" t="s">
        <v>972</v>
      </c>
      <c r="M336" s="3113">
        <f>465*0.7</f>
        <v>325.5</v>
      </c>
      <c r="N336" s="3025" t="s">
        <v>14008</v>
      </c>
      <c r="O336" s="3045" t="s">
        <v>15</v>
      </c>
      <c r="P336" s="3025" t="s">
        <v>821</v>
      </c>
      <c r="Q336" s="3025" t="s">
        <v>11244</v>
      </c>
      <c r="R336" s="3028"/>
      <c r="S336" s="3109"/>
      <c r="T336" s="3110"/>
      <c r="U336" s="2992"/>
      <c r="W336" s="2901"/>
      <c r="X336" s="2862"/>
    </row>
    <row r="337" spans="1:24" s="1592" customFormat="1" ht="58" hidden="1" x14ac:dyDescent="0.35">
      <c r="A337" s="2486">
        <v>44328</v>
      </c>
      <c r="B337" s="3107"/>
      <c r="C337" s="5" t="s">
        <v>13532</v>
      </c>
      <c r="D337" s="3032" t="s">
        <v>13533</v>
      </c>
      <c r="E337" s="3016" t="s">
        <v>13531</v>
      </c>
      <c r="F337" s="3029"/>
      <c r="G337" s="3040" t="s">
        <v>12005</v>
      </c>
      <c r="H337" s="3041"/>
      <c r="I337" s="2486">
        <v>44335</v>
      </c>
      <c r="J337" s="2722" t="s">
        <v>13534</v>
      </c>
      <c r="K337" s="6" t="s">
        <v>15</v>
      </c>
      <c r="L337" s="3149" t="s">
        <v>972</v>
      </c>
      <c r="M337" s="3108">
        <v>155</v>
      </c>
      <c r="N337" s="3016" t="s">
        <v>257</v>
      </c>
      <c r="O337" s="3037" t="s">
        <v>15</v>
      </c>
      <c r="P337" s="3016" t="s">
        <v>12323</v>
      </c>
      <c r="Q337" s="3016" t="s">
        <v>13535</v>
      </c>
      <c r="R337" s="3028"/>
      <c r="S337" s="3109"/>
      <c r="T337" s="3110"/>
      <c r="U337" s="2992"/>
      <c r="W337" s="2901"/>
      <c r="X337" s="2862"/>
    </row>
    <row r="338" spans="1:24" s="1592" customFormat="1" ht="58" hidden="1" x14ac:dyDescent="0.35">
      <c r="A338" s="2486">
        <v>44330</v>
      </c>
      <c r="B338" s="3036"/>
      <c r="C338" s="5" t="s">
        <v>13855</v>
      </c>
      <c r="D338" s="3032" t="s">
        <v>13856</v>
      </c>
      <c r="E338" s="2725" t="s">
        <v>13854</v>
      </c>
      <c r="F338" s="3029"/>
      <c r="G338" s="3040" t="s">
        <v>11440</v>
      </c>
      <c r="H338" s="3041"/>
      <c r="I338" s="2486">
        <v>44335</v>
      </c>
      <c r="J338" s="2722" t="s">
        <v>13857</v>
      </c>
      <c r="K338" s="6" t="s">
        <v>15</v>
      </c>
      <c r="L338" s="3149" t="s">
        <v>972</v>
      </c>
      <c r="M338" s="3039">
        <v>183</v>
      </c>
      <c r="N338" s="3016" t="s">
        <v>8625</v>
      </c>
      <c r="O338" s="3037" t="s">
        <v>15</v>
      </c>
      <c r="P338" s="3016" t="s">
        <v>12323</v>
      </c>
      <c r="Q338" s="3016" t="s">
        <v>13858</v>
      </c>
      <c r="R338" s="3028"/>
      <c r="S338" s="3031"/>
      <c r="T338" s="3057"/>
      <c r="U338" s="2992"/>
      <c r="W338" s="2901"/>
      <c r="X338" s="2862"/>
    </row>
    <row r="339" spans="1:24" s="1592" customFormat="1" ht="29" hidden="1" x14ac:dyDescent="0.35">
      <c r="A339" s="2486">
        <v>44333</v>
      </c>
      <c r="B339" s="3107"/>
      <c r="C339" s="5" t="s">
        <v>14144</v>
      </c>
      <c r="D339" s="3032" t="s">
        <v>14145</v>
      </c>
      <c r="E339" s="2725" t="s">
        <v>14143</v>
      </c>
      <c r="F339" s="3029"/>
      <c r="G339" s="3040" t="s">
        <v>11951</v>
      </c>
      <c r="H339" s="3041"/>
      <c r="I339" s="2486">
        <v>44335</v>
      </c>
      <c r="J339" s="2722" t="s">
        <v>14146</v>
      </c>
      <c r="K339" s="6" t="s">
        <v>15</v>
      </c>
      <c r="L339" s="3149" t="s">
        <v>972</v>
      </c>
      <c r="M339" s="3108">
        <v>165</v>
      </c>
      <c r="N339" s="3016" t="s">
        <v>257</v>
      </c>
      <c r="O339" s="3037" t="s">
        <v>15</v>
      </c>
      <c r="P339" s="3016" t="s">
        <v>12323</v>
      </c>
      <c r="Q339" s="3016" t="s">
        <v>14147</v>
      </c>
      <c r="R339" s="3028"/>
      <c r="S339" s="3109"/>
      <c r="T339" s="3110"/>
      <c r="U339" s="2992"/>
      <c r="W339" s="2901"/>
      <c r="X339" s="2862"/>
    </row>
    <row r="340" spans="1:24" s="1592" customFormat="1" ht="43.5" hidden="1" x14ac:dyDescent="0.35">
      <c r="A340" s="3021">
        <v>44332</v>
      </c>
      <c r="B340" s="3036"/>
      <c r="C340" s="3015" t="s">
        <v>14100</v>
      </c>
      <c r="D340" s="3032" t="s">
        <v>14101</v>
      </c>
      <c r="E340" s="3015" t="s">
        <v>14102</v>
      </c>
      <c r="F340" s="3029"/>
      <c r="G340" s="3040" t="s">
        <v>13511</v>
      </c>
      <c r="H340" s="3041"/>
      <c r="I340" s="3021">
        <v>44335</v>
      </c>
      <c r="J340" s="3034" t="s">
        <v>14103</v>
      </c>
      <c r="K340" s="3122" t="s">
        <v>15</v>
      </c>
      <c r="L340" s="3148" t="s">
        <v>972</v>
      </c>
      <c r="M340" s="3020">
        <v>155</v>
      </c>
      <c r="N340" s="3016" t="s">
        <v>392</v>
      </c>
      <c r="O340" s="3037" t="s">
        <v>15</v>
      </c>
      <c r="P340" s="3016" t="s">
        <v>821</v>
      </c>
      <c r="Q340" s="3016" t="s">
        <v>14104</v>
      </c>
      <c r="R340" s="3028"/>
      <c r="S340" s="3031"/>
      <c r="T340" s="3057"/>
      <c r="U340" s="2992"/>
      <c r="W340" s="2901"/>
      <c r="X340" s="2862"/>
    </row>
    <row r="341" spans="1:24" s="1592" customFormat="1" ht="72.5" hidden="1" x14ac:dyDescent="0.35">
      <c r="A341" s="3047">
        <v>44332</v>
      </c>
      <c r="B341" s="3112"/>
      <c r="C341" s="3026" t="s">
        <v>14224</v>
      </c>
      <c r="D341" s="3044" t="s">
        <v>14133</v>
      </c>
      <c r="E341" s="3048" t="s">
        <v>14134</v>
      </c>
      <c r="F341" s="3025"/>
      <c r="G341" s="3050" t="s">
        <v>11432</v>
      </c>
      <c r="H341" s="3049"/>
      <c r="I341" s="3047">
        <v>44335</v>
      </c>
      <c r="J341" s="3046" t="s">
        <v>6032</v>
      </c>
      <c r="K341" s="3128" t="s">
        <v>15</v>
      </c>
      <c r="L341" s="3152" t="s">
        <v>972</v>
      </c>
      <c r="M341" s="3113">
        <v>450</v>
      </c>
      <c r="N341" s="3025" t="s">
        <v>392</v>
      </c>
      <c r="O341" s="3045" t="s">
        <v>15</v>
      </c>
      <c r="P341" s="3025" t="s">
        <v>821</v>
      </c>
      <c r="Q341" s="3025" t="s">
        <v>14135</v>
      </c>
      <c r="R341" s="3028"/>
      <c r="S341" s="3109"/>
      <c r="T341" s="3110"/>
      <c r="U341" s="2992"/>
      <c r="W341" s="2901"/>
      <c r="X341" s="2862"/>
    </row>
    <row r="342" spans="1:24" s="1592" customFormat="1" ht="43.5" hidden="1" x14ac:dyDescent="0.35">
      <c r="A342" s="3021">
        <v>44332</v>
      </c>
      <c r="B342" s="3107"/>
      <c r="C342" s="3015" t="s">
        <v>14093</v>
      </c>
      <c r="D342" s="3032" t="s">
        <v>14094</v>
      </c>
      <c r="E342" s="3015" t="s">
        <v>14095</v>
      </c>
      <c r="F342" s="3029"/>
      <c r="G342" s="3040" t="s">
        <v>11422</v>
      </c>
      <c r="H342" s="3041"/>
      <c r="I342" s="3021">
        <v>44336</v>
      </c>
      <c r="J342" s="3034" t="s">
        <v>14097</v>
      </c>
      <c r="K342" s="3122" t="s">
        <v>15</v>
      </c>
      <c r="L342" s="3148" t="s">
        <v>972</v>
      </c>
      <c r="M342" s="3108">
        <v>170</v>
      </c>
      <c r="N342" s="3016" t="s">
        <v>8625</v>
      </c>
      <c r="O342" s="3037" t="s">
        <v>15</v>
      </c>
      <c r="P342" s="3016" t="s">
        <v>821</v>
      </c>
      <c r="Q342" s="3016" t="s">
        <v>14096</v>
      </c>
      <c r="R342" s="3028"/>
      <c r="S342" s="3109"/>
      <c r="T342" s="3110"/>
      <c r="U342" s="2992"/>
      <c r="W342" s="2901"/>
      <c r="X342" s="2862"/>
    </row>
    <row r="343" spans="1:24" s="1592" customFormat="1" ht="43.5" hidden="1" x14ac:dyDescent="0.35">
      <c r="A343" s="2486">
        <v>44333</v>
      </c>
      <c r="B343" s="3036"/>
      <c r="C343" s="5" t="s">
        <v>14176</v>
      </c>
      <c r="D343" s="3032" t="s">
        <v>14177</v>
      </c>
      <c r="E343" s="2725" t="s">
        <v>14174</v>
      </c>
      <c r="F343" s="3029"/>
      <c r="G343" s="3040" t="s">
        <v>14175</v>
      </c>
      <c r="H343" s="3041"/>
      <c r="I343" s="2486">
        <v>44336</v>
      </c>
      <c r="J343" s="2722" t="s">
        <v>14178</v>
      </c>
      <c r="K343" s="6" t="s">
        <v>15</v>
      </c>
      <c r="L343" s="3149" t="s">
        <v>972</v>
      </c>
      <c r="M343" s="3020">
        <v>254</v>
      </c>
      <c r="N343" s="3016" t="s">
        <v>257</v>
      </c>
      <c r="O343" s="3037" t="s">
        <v>15</v>
      </c>
      <c r="P343" s="3016" t="s">
        <v>12323</v>
      </c>
      <c r="Q343" s="3016" t="s">
        <v>14179</v>
      </c>
      <c r="R343" s="3028"/>
      <c r="S343" s="3031"/>
      <c r="T343" s="3057"/>
      <c r="U343" s="2992"/>
      <c r="W343" s="2901"/>
      <c r="X343" s="2862"/>
    </row>
    <row r="344" spans="1:24" s="1592" customFormat="1" ht="72.5" hidden="1" x14ac:dyDescent="0.35">
      <c r="A344" s="2486">
        <v>44333</v>
      </c>
      <c r="B344" s="3036"/>
      <c r="C344" s="5" t="s">
        <v>14164</v>
      </c>
      <c r="D344" s="3032" t="s">
        <v>14165</v>
      </c>
      <c r="E344" s="2725" t="s">
        <v>14162</v>
      </c>
      <c r="F344" s="3029"/>
      <c r="G344" s="3040" t="s">
        <v>11865</v>
      </c>
      <c r="H344" s="3041"/>
      <c r="I344" s="2486">
        <v>44336</v>
      </c>
      <c r="J344" s="2722" t="s">
        <v>14201</v>
      </c>
      <c r="K344" s="6" t="s">
        <v>15</v>
      </c>
      <c r="L344" s="3157" t="s">
        <v>8278</v>
      </c>
      <c r="M344" s="3020">
        <v>265</v>
      </c>
      <c r="N344" s="3016" t="s">
        <v>257</v>
      </c>
      <c r="O344" s="3037" t="s">
        <v>15</v>
      </c>
      <c r="P344" s="3016" t="s">
        <v>12323</v>
      </c>
      <c r="Q344" s="3016" t="s">
        <v>14163</v>
      </c>
      <c r="R344" s="3028"/>
      <c r="S344" s="3031"/>
      <c r="T344" s="3057"/>
      <c r="U344" s="2992"/>
      <c r="W344" s="2901"/>
      <c r="X344" s="2862"/>
    </row>
    <row r="345" spans="1:24" s="1592" customFormat="1" ht="58" hidden="1" x14ac:dyDescent="0.35">
      <c r="A345" s="2486">
        <v>44333</v>
      </c>
      <c r="B345" s="3107"/>
      <c r="C345" s="5" t="s">
        <v>14267</v>
      </c>
      <c r="D345" s="3032" t="s">
        <v>14268</v>
      </c>
      <c r="E345" s="2725" t="s">
        <v>14266</v>
      </c>
      <c r="F345" s="3029"/>
      <c r="G345" s="3040" t="s">
        <v>11860</v>
      </c>
      <c r="H345" s="3041"/>
      <c r="I345" s="2486">
        <v>44336</v>
      </c>
      <c r="J345" s="2722" t="s">
        <v>14269</v>
      </c>
      <c r="K345" s="3122" t="s">
        <v>15</v>
      </c>
      <c r="L345" s="3149" t="s">
        <v>972</v>
      </c>
      <c r="M345" s="3111">
        <v>265</v>
      </c>
      <c r="N345" s="3016" t="s">
        <v>8625</v>
      </c>
      <c r="O345" s="3037" t="s">
        <v>15</v>
      </c>
      <c r="P345" s="3016" t="s">
        <v>12323</v>
      </c>
      <c r="Q345" s="3015" t="s">
        <v>14270</v>
      </c>
      <c r="R345" s="3028"/>
      <c r="S345" s="3109"/>
      <c r="T345" s="3110"/>
      <c r="U345" s="2992"/>
      <c r="W345" s="2901"/>
      <c r="X345" s="2862"/>
    </row>
    <row r="346" spans="1:24" s="1592" customFormat="1" ht="58" hidden="1" x14ac:dyDescent="0.35">
      <c r="A346" s="3021">
        <v>44332</v>
      </c>
      <c r="B346" s="3036"/>
      <c r="C346" s="3015" t="s">
        <v>14124</v>
      </c>
      <c r="D346" s="3032" t="s">
        <v>14125</v>
      </c>
      <c r="E346" s="3015" t="s">
        <v>14126</v>
      </c>
      <c r="F346" s="3029"/>
      <c r="G346" s="3040" t="s">
        <v>11432</v>
      </c>
      <c r="H346" s="3041"/>
      <c r="I346" s="3021">
        <v>44336</v>
      </c>
      <c r="J346" s="3034" t="s">
        <v>14127</v>
      </c>
      <c r="K346" s="3122" t="s">
        <v>15</v>
      </c>
      <c r="L346" s="3148" t="s">
        <v>972</v>
      </c>
      <c r="M346" s="3020">
        <v>465</v>
      </c>
      <c r="N346" s="3016" t="s">
        <v>257</v>
      </c>
      <c r="O346" s="3037" t="s">
        <v>15</v>
      </c>
      <c r="P346" s="3016" t="s">
        <v>821</v>
      </c>
      <c r="Q346" s="3016" t="s">
        <v>14128</v>
      </c>
      <c r="R346" s="3028"/>
      <c r="S346" s="3031"/>
      <c r="T346" s="3057"/>
      <c r="U346" s="2992"/>
      <c r="W346" s="2901"/>
      <c r="X346" s="2862"/>
    </row>
    <row r="347" spans="1:24" s="1592" customFormat="1" ht="145" hidden="1" x14ac:dyDescent="0.35">
      <c r="A347" s="3021">
        <v>44327</v>
      </c>
      <c r="B347" s="3036"/>
      <c r="C347" s="3015" t="s">
        <v>9569</v>
      </c>
      <c r="D347" s="3032" t="s">
        <v>13486</v>
      </c>
      <c r="E347" s="3024" t="s">
        <v>13489</v>
      </c>
      <c r="F347" s="3029"/>
      <c r="G347" s="3040" t="s">
        <v>14349</v>
      </c>
      <c r="H347" s="3041"/>
      <c r="I347" s="3021">
        <v>44336</v>
      </c>
      <c r="J347" s="3034" t="s">
        <v>13487</v>
      </c>
      <c r="K347" s="3122" t="s">
        <v>15</v>
      </c>
      <c r="L347" s="3149" t="s">
        <v>972</v>
      </c>
      <c r="M347" s="3020">
        <v>308</v>
      </c>
      <c r="N347" s="3016" t="s">
        <v>257</v>
      </c>
      <c r="O347" s="3037" t="s">
        <v>15</v>
      </c>
      <c r="P347" s="3016" t="s">
        <v>12323</v>
      </c>
      <c r="Q347" s="3016" t="s">
        <v>13488</v>
      </c>
      <c r="R347" s="3028"/>
      <c r="S347" s="3031"/>
      <c r="T347" s="3057"/>
      <c r="U347" s="2992"/>
      <c r="W347" s="2901"/>
      <c r="X347" s="2862"/>
    </row>
    <row r="348" spans="1:24" s="1592" customFormat="1" ht="58" hidden="1" x14ac:dyDescent="0.35">
      <c r="A348" s="3021">
        <v>44331</v>
      </c>
      <c r="B348" s="3107"/>
      <c r="C348" s="3015" t="s">
        <v>14014</v>
      </c>
      <c r="D348" s="3032" t="s">
        <v>14015</v>
      </c>
      <c r="E348" s="3015" t="s">
        <v>14016</v>
      </c>
      <c r="F348" s="3029"/>
      <c r="G348" s="3040" t="s">
        <v>11539</v>
      </c>
      <c r="H348" s="3041"/>
      <c r="I348" s="3021">
        <v>44336</v>
      </c>
      <c r="J348" s="3034" t="s">
        <v>14017</v>
      </c>
      <c r="K348" s="3122" t="s">
        <v>15</v>
      </c>
      <c r="L348" s="3148" t="s">
        <v>972</v>
      </c>
      <c r="M348" s="3111">
        <v>183</v>
      </c>
      <c r="N348" s="3016" t="s">
        <v>11311</v>
      </c>
      <c r="O348" s="3037" t="s">
        <v>15</v>
      </c>
      <c r="P348" s="3016" t="s">
        <v>821</v>
      </c>
      <c r="Q348" s="3016" t="s">
        <v>14018</v>
      </c>
      <c r="R348" s="3028"/>
      <c r="S348" s="3109"/>
      <c r="T348" s="3110"/>
      <c r="U348" s="2992"/>
      <c r="W348" s="2901"/>
      <c r="X348" s="2862"/>
    </row>
    <row r="349" spans="1:24" s="1592" customFormat="1" ht="43.5" hidden="1" x14ac:dyDescent="0.35">
      <c r="A349" s="2486">
        <v>44333</v>
      </c>
      <c r="B349" s="3036"/>
      <c r="C349" s="5" t="s">
        <v>14186</v>
      </c>
      <c r="D349" s="3032" t="s">
        <v>14189</v>
      </c>
      <c r="E349" s="2725" t="s">
        <v>14188</v>
      </c>
      <c r="F349" s="3029"/>
      <c r="G349" s="3040" t="s">
        <v>11441</v>
      </c>
      <c r="H349" s="3041"/>
      <c r="I349" s="2486">
        <v>44337</v>
      </c>
      <c r="J349" s="2722" t="s">
        <v>14187</v>
      </c>
      <c r="K349" s="6" t="s">
        <v>15</v>
      </c>
      <c r="L349" s="3149" t="s">
        <v>972</v>
      </c>
      <c r="M349" s="3020">
        <v>231</v>
      </c>
      <c r="N349" s="3016" t="s">
        <v>257</v>
      </c>
      <c r="O349" s="3037" t="s">
        <v>15</v>
      </c>
      <c r="P349" s="3016" t="s">
        <v>12323</v>
      </c>
      <c r="Q349" s="3016" t="s">
        <v>14190</v>
      </c>
      <c r="R349" s="3028"/>
      <c r="S349" s="3031"/>
      <c r="T349" s="3057"/>
      <c r="U349" s="2992"/>
      <c r="W349" s="2901"/>
      <c r="X349" s="2862"/>
    </row>
    <row r="350" spans="1:24" s="1592" customFormat="1" ht="116" hidden="1" x14ac:dyDescent="0.35">
      <c r="A350" s="3021">
        <v>44332</v>
      </c>
      <c r="B350" s="3121"/>
      <c r="C350" s="3015" t="s">
        <v>14075</v>
      </c>
      <c r="D350" s="3033" t="s">
        <v>14076</v>
      </c>
      <c r="E350" s="3015" t="s">
        <v>14077</v>
      </c>
      <c r="F350" s="3015"/>
      <c r="G350" s="3041" t="s">
        <v>14350</v>
      </c>
      <c r="H350" s="3041"/>
      <c r="I350" s="3021">
        <v>44337</v>
      </c>
      <c r="J350" s="3034" t="s">
        <v>14078</v>
      </c>
      <c r="K350" s="3122" t="s">
        <v>15</v>
      </c>
      <c r="L350" s="3148" t="s">
        <v>972</v>
      </c>
      <c r="M350" s="3123">
        <v>325</v>
      </c>
      <c r="N350" s="3015" t="s">
        <v>14079</v>
      </c>
      <c r="O350" s="3030" t="s">
        <v>15</v>
      </c>
      <c r="P350" s="3015" t="s">
        <v>974</v>
      </c>
      <c r="Q350" s="3016" t="s">
        <v>14080</v>
      </c>
      <c r="R350" s="3028"/>
      <c r="S350" s="3109"/>
      <c r="T350" s="3110"/>
      <c r="U350" s="2992"/>
      <c r="W350" s="2901"/>
      <c r="X350" s="2862"/>
    </row>
    <row r="351" spans="1:24" s="1592" customFormat="1" ht="43.5" hidden="1" x14ac:dyDescent="0.35">
      <c r="A351" s="2486">
        <v>44325</v>
      </c>
      <c r="B351" s="3036"/>
      <c r="C351" s="5" t="s">
        <v>13284</v>
      </c>
      <c r="D351" s="3032" t="s">
        <v>13285</v>
      </c>
      <c r="E351" s="2725" t="s">
        <v>13286</v>
      </c>
      <c r="F351" s="3029"/>
      <c r="G351" s="3040" t="s">
        <v>13287</v>
      </c>
      <c r="H351" s="3041"/>
      <c r="I351" s="2486">
        <v>44337</v>
      </c>
      <c r="J351" s="2722" t="s">
        <v>13288</v>
      </c>
      <c r="K351" s="3122" t="s">
        <v>15</v>
      </c>
      <c r="L351" s="3149" t="s">
        <v>972</v>
      </c>
      <c r="M351" s="3020">
        <v>315</v>
      </c>
      <c r="N351" s="3016" t="s">
        <v>257</v>
      </c>
      <c r="O351" s="3037" t="s">
        <v>15</v>
      </c>
      <c r="P351" s="3016" t="s">
        <v>821</v>
      </c>
      <c r="Q351" s="3016" t="s">
        <v>13289</v>
      </c>
      <c r="R351" s="3028"/>
      <c r="S351" s="3031"/>
      <c r="T351" s="3057"/>
      <c r="U351" s="2992"/>
      <c r="W351" s="2901"/>
      <c r="X351" s="2862"/>
    </row>
    <row r="352" spans="1:24" s="1592" customFormat="1" ht="58" hidden="1" x14ac:dyDescent="0.35">
      <c r="A352" s="2486">
        <v>44333</v>
      </c>
      <c r="B352" s="3036"/>
      <c r="C352" s="5" t="s">
        <v>14159</v>
      </c>
      <c r="D352" s="3032" t="s">
        <v>14160</v>
      </c>
      <c r="E352" s="2725" t="s">
        <v>14158</v>
      </c>
      <c r="F352" s="3029"/>
      <c r="G352" s="3040" t="s">
        <v>12062</v>
      </c>
      <c r="H352" s="3041"/>
      <c r="I352" s="2486">
        <v>44337</v>
      </c>
      <c r="J352" s="2722" t="s">
        <v>14192</v>
      </c>
      <c r="K352" s="6" t="s">
        <v>15</v>
      </c>
      <c r="L352" s="3157" t="s">
        <v>14191</v>
      </c>
      <c r="M352" s="3039">
        <v>100</v>
      </c>
      <c r="N352" s="3016" t="s">
        <v>8625</v>
      </c>
      <c r="O352" s="3037" t="s">
        <v>15</v>
      </c>
      <c r="P352" s="3016" t="s">
        <v>12323</v>
      </c>
      <c r="Q352" s="3016" t="s">
        <v>14161</v>
      </c>
      <c r="R352" s="3028"/>
      <c r="S352" s="3031"/>
      <c r="T352" s="3057"/>
      <c r="U352" s="2992"/>
      <c r="W352" s="2901"/>
      <c r="X352" s="2862"/>
    </row>
    <row r="353" spans="1:24" s="1592" customFormat="1" ht="43.5" hidden="1" x14ac:dyDescent="0.35">
      <c r="A353" s="3047">
        <v>44333</v>
      </c>
      <c r="B353" s="3112"/>
      <c r="C353" s="3026" t="s">
        <v>14280</v>
      </c>
      <c r="D353" s="3044" t="s">
        <v>14281</v>
      </c>
      <c r="E353" s="3048" t="s">
        <v>14279</v>
      </c>
      <c r="F353" s="3025"/>
      <c r="G353" s="3050" t="s">
        <v>11432</v>
      </c>
      <c r="H353" s="3049"/>
      <c r="I353" s="3047">
        <v>44337</v>
      </c>
      <c r="J353" s="3046" t="s">
        <v>14282</v>
      </c>
      <c r="K353" s="3128" t="s">
        <v>15</v>
      </c>
      <c r="L353" s="3157" t="s">
        <v>14283</v>
      </c>
      <c r="M353" s="3113">
        <v>165</v>
      </c>
      <c r="N353" s="3025" t="s">
        <v>257</v>
      </c>
      <c r="O353" s="3045" t="s">
        <v>15</v>
      </c>
      <c r="P353" s="3025" t="s">
        <v>12323</v>
      </c>
      <c r="Q353" s="3025" t="s">
        <v>14284</v>
      </c>
      <c r="R353" s="3159"/>
      <c r="S353" s="3246"/>
      <c r="T353" s="3247"/>
      <c r="U353" s="2992"/>
      <c r="W353" s="2901"/>
      <c r="X353" s="2862"/>
    </row>
    <row r="354" spans="1:24" s="1592" customFormat="1" ht="43.5" hidden="1" x14ac:dyDescent="0.35">
      <c r="A354" s="2486">
        <v>44328</v>
      </c>
      <c r="B354" s="3107"/>
      <c r="C354" s="5" t="s">
        <v>13504</v>
      </c>
      <c r="D354" s="3032" t="s">
        <v>13505</v>
      </c>
      <c r="E354" s="3016" t="s">
        <v>13503</v>
      </c>
      <c r="F354" s="3029"/>
      <c r="G354" s="3040" t="s">
        <v>12071</v>
      </c>
      <c r="H354" s="3041"/>
      <c r="I354" s="2486">
        <v>44337</v>
      </c>
      <c r="J354" s="2722" t="s">
        <v>13506</v>
      </c>
      <c r="K354" s="6" t="s">
        <v>15</v>
      </c>
      <c r="L354" s="3149" t="s">
        <v>972</v>
      </c>
      <c r="M354" s="3108">
        <v>115</v>
      </c>
      <c r="N354" s="3016" t="s">
        <v>257</v>
      </c>
      <c r="O354" s="3037" t="s">
        <v>15</v>
      </c>
      <c r="P354" s="3016" t="s">
        <v>12323</v>
      </c>
      <c r="Q354" s="3016" t="s">
        <v>13507</v>
      </c>
      <c r="R354" s="3028"/>
      <c r="S354" s="3109"/>
      <c r="T354" s="3110"/>
      <c r="U354" s="2992"/>
      <c r="W354" s="2901"/>
      <c r="X354" s="2862"/>
    </row>
    <row r="355" spans="1:24" s="1592" customFormat="1" ht="43.5" hidden="1" x14ac:dyDescent="0.35">
      <c r="A355" s="2486">
        <v>44333</v>
      </c>
      <c r="B355" s="3107"/>
      <c r="C355" s="5" t="s">
        <v>14138</v>
      </c>
      <c r="D355" s="3032" t="s">
        <v>14139</v>
      </c>
      <c r="E355" s="2725" t="s">
        <v>14137</v>
      </c>
      <c r="F355" s="3029"/>
      <c r="G355" s="3040" t="s">
        <v>14140</v>
      </c>
      <c r="H355" s="3041"/>
      <c r="I355" s="2486">
        <v>44337</v>
      </c>
      <c r="J355" s="2722" t="s">
        <v>14141</v>
      </c>
      <c r="K355" s="6" t="s">
        <v>15</v>
      </c>
      <c r="L355" s="3149" t="s">
        <v>972</v>
      </c>
      <c r="M355" s="3111">
        <v>240</v>
      </c>
      <c r="N355" s="3016" t="s">
        <v>8625</v>
      </c>
      <c r="O355" s="3037" t="s">
        <v>15</v>
      </c>
      <c r="P355" s="3016" t="s">
        <v>12323</v>
      </c>
      <c r="Q355" s="3016" t="s">
        <v>14142</v>
      </c>
      <c r="R355" s="3028"/>
      <c r="S355" s="3109"/>
      <c r="T355" s="3110"/>
      <c r="U355" s="2992"/>
      <c r="W355" s="2901"/>
      <c r="X355" s="2862"/>
    </row>
    <row r="356" spans="1:24" s="1592" customFormat="1" ht="43.5" hidden="1" x14ac:dyDescent="0.35">
      <c r="A356" s="3047">
        <v>44330</v>
      </c>
      <c r="B356" s="3042"/>
      <c r="C356" s="3026" t="s">
        <v>13880</v>
      </c>
      <c r="D356" s="3044" t="s">
        <v>13881</v>
      </c>
      <c r="E356" s="3048" t="s">
        <v>13882</v>
      </c>
      <c r="F356" s="3025"/>
      <c r="G356" s="3050" t="s">
        <v>11432</v>
      </c>
      <c r="H356" s="3049"/>
      <c r="I356" s="3047">
        <v>44337</v>
      </c>
      <c r="J356" s="3046" t="s">
        <v>13883</v>
      </c>
      <c r="K356" s="3128" t="s">
        <v>15</v>
      </c>
      <c r="L356" s="3152" t="s">
        <v>972</v>
      </c>
      <c r="M356" s="3038">
        <v>165</v>
      </c>
      <c r="N356" s="3025" t="s">
        <v>257</v>
      </c>
      <c r="O356" s="3045" t="s">
        <v>15</v>
      </c>
      <c r="P356" s="3025" t="s">
        <v>821</v>
      </c>
      <c r="Q356" s="3025" t="s">
        <v>12403</v>
      </c>
      <c r="R356" s="3028"/>
      <c r="S356" s="3031"/>
      <c r="T356" s="3057"/>
      <c r="U356" s="2992"/>
      <c r="W356" s="2901"/>
      <c r="X356" s="2862"/>
    </row>
    <row r="357" spans="1:24" s="1592" customFormat="1" ht="72.5" hidden="1" x14ac:dyDescent="0.35">
      <c r="A357" s="2486">
        <v>44331</v>
      </c>
      <c r="B357" s="3107"/>
      <c r="C357" s="5" t="s">
        <v>13999</v>
      </c>
      <c r="D357" s="3032" t="s">
        <v>14000</v>
      </c>
      <c r="E357" s="3016" t="s">
        <v>14023</v>
      </c>
      <c r="F357" s="3029"/>
      <c r="G357" s="2933"/>
      <c r="H357" s="3041"/>
      <c r="I357" s="2486">
        <v>44337</v>
      </c>
      <c r="J357" s="3046" t="s">
        <v>14001</v>
      </c>
      <c r="K357" s="6" t="s">
        <v>15</v>
      </c>
      <c r="L357" s="3157" t="s">
        <v>14002</v>
      </c>
      <c r="M357" s="3108">
        <v>480</v>
      </c>
      <c r="N357" s="3016" t="s">
        <v>14003</v>
      </c>
      <c r="O357" s="3037" t="s">
        <v>15</v>
      </c>
      <c r="P357" s="3016" t="s">
        <v>821</v>
      </c>
      <c r="Q357" s="3016" t="s">
        <v>14004</v>
      </c>
      <c r="R357" s="3028"/>
      <c r="S357" s="3109"/>
      <c r="T357" s="3110"/>
      <c r="U357" s="2992"/>
      <c r="W357" s="2901"/>
      <c r="X357" s="2862"/>
    </row>
    <row r="358" spans="1:24" s="1592" customFormat="1" ht="43.5" hidden="1" x14ac:dyDescent="0.35">
      <c r="A358" s="3047">
        <v>44333</v>
      </c>
      <c r="B358" s="3112"/>
      <c r="C358" s="3026" t="s">
        <v>14257</v>
      </c>
      <c r="D358" s="3044" t="s">
        <v>14258</v>
      </c>
      <c r="E358" s="3048" t="s">
        <v>14256</v>
      </c>
      <c r="F358" s="3025"/>
      <c r="G358" s="3050" t="s">
        <v>11432</v>
      </c>
      <c r="H358" s="3049"/>
      <c r="I358" s="3047">
        <v>44337</v>
      </c>
      <c r="J358" s="3046" t="s">
        <v>14259</v>
      </c>
      <c r="K358" s="3128" t="s">
        <v>15</v>
      </c>
      <c r="L358" s="3157" t="s">
        <v>2530</v>
      </c>
      <c r="M358" s="3113">
        <v>165</v>
      </c>
      <c r="N358" s="3025" t="s">
        <v>257</v>
      </c>
      <c r="O358" s="3045" t="s">
        <v>15</v>
      </c>
      <c r="P358" s="3025" t="s">
        <v>12323</v>
      </c>
      <c r="Q358" s="3025" t="s">
        <v>14260</v>
      </c>
      <c r="R358" s="3028"/>
      <c r="S358" s="3109"/>
      <c r="T358" s="3110"/>
      <c r="U358" s="2992"/>
      <c r="W358" s="2901"/>
      <c r="X358" s="2862"/>
    </row>
    <row r="359" spans="1:24" s="1592" customFormat="1" ht="58" hidden="1" x14ac:dyDescent="0.35">
      <c r="A359" s="2486">
        <v>44333</v>
      </c>
      <c r="B359" s="3036"/>
      <c r="C359" s="5" t="s">
        <v>14197</v>
      </c>
      <c r="D359" s="3032" t="s">
        <v>9822</v>
      </c>
      <c r="E359" s="2725" t="s">
        <v>14198</v>
      </c>
      <c r="F359" s="3029"/>
      <c r="G359" s="3040" t="s">
        <v>11517</v>
      </c>
      <c r="H359" s="3041"/>
      <c r="I359" s="2486">
        <v>44337</v>
      </c>
      <c r="J359" s="2722" t="s">
        <v>14199</v>
      </c>
      <c r="K359" s="6" t="s">
        <v>15</v>
      </c>
      <c r="L359" s="3157" t="s">
        <v>14200</v>
      </c>
      <c r="M359" s="3020">
        <v>195</v>
      </c>
      <c r="N359" s="3016" t="s">
        <v>257</v>
      </c>
      <c r="O359" s="3037" t="s">
        <v>15</v>
      </c>
      <c r="P359" s="3016" t="s">
        <v>22</v>
      </c>
      <c r="Q359" s="3016" t="s">
        <v>12456</v>
      </c>
      <c r="R359" s="3028"/>
      <c r="S359" s="3031"/>
      <c r="T359" s="3057"/>
      <c r="U359" s="2992"/>
      <c r="W359" s="2901"/>
      <c r="X359" s="2862"/>
    </row>
    <row r="360" spans="1:24" s="1592" customFormat="1" ht="29" hidden="1" x14ac:dyDescent="0.35">
      <c r="A360" s="3021">
        <v>44333</v>
      </c>
      <c r="B360" s="3107"/>
      <c r="C360" s="5" t="s">
        <v>14226</v>
      </c>
      <c r="D360" s="3032" t="s">
        <v>14225</v>
      </c>
      <c r="E360" s="2725" t="s">
        <v>14227</v>
      </c>
      <c r="F360" s="3029"/>
      <c r="G360" s="3040" t="s">
        <v>11432</v>
      </c>
      <c r="H360" s="3041"/>
      <c r="I360" s="2486">
        <v>44337</v>
      </c>
      <c r="J360" s="3046" t="s">
        <v>6032</v>
      </c>
      <c r="K360" s="6" t="s">
        <v>15</v>
      </c>
      <c r="L360" s="3228">
        <v>0.39583333333333331</v>
      </c>
      <c r="M360" s="3108">
        <v>150</v>
      </c>
      <c r="N360" s="3016" t="s">
        <v>257</v>
      </c>
      <c r="O360" s="3030" t="s">
        <v>15</v>
      </c>
      <c r="P360" s="3015" t="s">
        <v>821</v>
      </c>
      <c r="Q360" s="3015" t="s">
        <v>12462</v>
      </c>
      <c r="R360" s="3028"/>
      <c r="S360" s="3109"/>
      <c r="T360" s="3110"/>
      <c r="U360" s="2992"/>
      <c r="W360" s="2901"/>
      <c r="X360" s="2862"/>
    </row>
    <row r="361" spans="1:24" s="1592" customFormat="1" ht="87" hidden="1" x14ac:dyDescent="0.35">
      <c r="A361" s="3047">
        <v>44333</v>
      </c>
      <c r="B361" s="3112"/>
      <c r="C361" s="3026" t="s">
        <v>14287</v>
      </c>
      <c r="D361" s="3044" t="s">
        <v>14285</v>
      </c>
      <c r="E361" s="3048" t="s">
        <v>14286</v>
      </c>
      <c r="F361" s="3025"/>
      <c r="G361" s="3050" t="s">
        <v>11432</v>
      </c>
      <c r="H361" s="3049"/>
      <c r="I361" s="3047">
        <v>44338</v>
      </c>
      <c r="J361" s="3046" t="s">
        <v>13429</v>
      </c>
      <c r="K361" s="3128" t="s">
        <v>15</v>
      </c>
      <c r="L361" s="3152" t="s">
        <v>972</v>
      </c>
      <c r="M361" s="3113">
        <v>450</v>
      </c>
      <c r="N361" s="3025" t="s">
        <v>257</v>
      </c>
      <c r="O361" s="3045" t="s">
        <v>15</v>
      </c>
      <c r="P361" s="3025" t="s">
        <v>216</v>
      </c>
      <c r="Q361" s="3025" t="s">
        <v>12413</v>
      </c>
      <c r="R361" s="3028"/>
      <c r="S361" s="3109"/>
      <c r="T361" s="3110"/>
      <c r="U361" s="2992"/>
      <c r="W361" s="2901"/>
      <c r="X361" s="2862"/>
    </row>
    <row r="362" spans="1:24" s="1592" customFormat="1" ht="49.5" hidden="1" x14ac:dyDescent="0.35">
      <c r="A362" s="2486">
        <v>44332</v>
      </c>
      <c r="B362" s="3107"/>
      <c r="C362" s="5" t="s">
        <v>14070</v>
      </c>
      <c r="D362" s="3032" t="s">
        <v>14071</v>
      </c>
      <c r="E362" s="3016" t="s">
        <v>14072</v>
      </c>
      <c r="F362" s="3029"/>
      <c r="G362" s="3040" t="s">
        <v>14332</v>
      </c>
      <c r="H362" s="3041"/>
      <c r="I362" s="2486">
        <v>44338</v>
      </c>
      <c r="J362" s="3034" t="s">
        <v>14073</v>
      </c>
      <c r="K362" s="6" t="s">
        <v>15</v>
      </c>
      <c r="L362" s="3149" t="s">
        <v>972</v>
      </c>
      <c r="M362" s="3108">
        <v>437</v>
      </c>
      <c r="N362" s="3016" t="s">
        <v>14082</v>
      </c>
      <c r="O362" s="3037" t="s">
        <v>15</v>
      </c>
      <c r="P362" s="3016" t="s">
        <v>22</v>
      </c>
      <c r="Q362" s="3016" t="s">
        <v>14074</v>
      </c>
      <c r="R362" s="3028"/>
      <c r="S362" s="3109"/>
      <c r="T362" s="3110"/>
      <c r="U362" s="2992"/>
      <c r="W362" s="2901"/>
      <c r="X362" s="2862"/>
    </row>
    <row r="363" spans="1:24" s="1592" customFormat="1" ht="232" hidden="1" x14ac:dyDescent="0.35">
      <c r="A363" s="3047">
        <v>44328</v>
      </c>
      <c r="B363" s="3112"/>
      <c r="C363" s="3026" t="s">
        <v>13604</v>
      </c>
      <c r="D363" s="3044" t="s">
        <v>13605</v>
      </c>
      <c r="E363" s="3025" t="s">
        <v>13608</v>
      </c>
      <c r="F363" s="3022"/>
      <c r="G363" s="2933" t="s">
        <v>11478</v>
      </c>
      <c r="H363" s="3049"/>
      <c r="I363" s="3047">
        <v>44338</v>
      </c>
      <c r="J363" s="2948" t="s">
        <v>13606</v>
      </c>
      <c r="K363" s="3128">
        <v>0.47916666666666669</v>
      </c>
      <c r="L363" s="3228" t="s">
        <v>13607</v>
      </c>
      <c r="M363" s="3113">
        <v>1000</v>
      </c>
      <c r="N363" s="3025" t="s">
        <v>257</v>
      </c>
      <c r="O363" s="3045" t="s">
        <v>15</v>
      </c>
      <c r="P363" s="3025" t="s">
        <v>821</v>
      </c>
      <c r="Q363" s="3026" t="s">
        <v>12406</v>
      </c>
      <c r="R363" s="3028"/>
      <c r="S363" s="3109"/>
      <c r="T363" s="3110"/>
      <c r="U363" s="2992"/>
      <c r="W363" s="2901"/>
      <c r="X363" s="2862"/>
    </row>
    <row r="364" spans="1:24" s="1592" customFormat="1" ht="72.5" hidden="1" x14ac:dyDescent="0.35">
      <c r="A364" s="3047">
        <v>44327</v>
      </c>
      <c r="B364" s="3042"/>
      <c r="C364" s="3026" t="s">
        <v>13403</v>
      </c>
      <c r="D364" s="3044" t="s">
        <v>13404</v>
      </c>
      <c r="E364" s="3048" t="s">
        <v>13406</v>
      </c>
      <c r="F364" s="3025"/>
      <c r="G364" s="3050" t="s">
        <v>13405</v>
      </c>
      <c r="H364" s="3049"/>
      <c r="I364" s="3047">
        <v>44338</v>
      </c>
      <c r="J364" s="3046" t="s">
        <v>13407</v>
      </c>
      <c r="K364" s="3128" t="s">
        <v>15</v>
      </c>
      <c r="L364" s="3152" t="s">
        <v>972</v>
      </c>
      <c r="M364" s="3039">
        <v>1015</v>
      </c>
      <c r="N364" s="3025" t="s">
        <v>8625</v>
      </c>
      <c r="O364" s="3045" t="s">
        <v>15</v>
      </c>
      <c r="P364" s="3025" t="s">
        <v>12323</v>
      </c>
      <c r="Q364" s="3025" t="s">
        <v>13408</v>
      </c>
      <c r="R364" s="3027"/>
      <c r="S364" s="3031"/>
      <c r="T364" s="3057"/>
      <c r="U364" s="2991"/>
      <c r="W364" s="2901"/>
      <c r="X364" s="2862"/>
    </row>
    <row r="365" spans="1:24" s="1592" customFormat="1" ht="72.5" hidden="1" x14ac:dyDescent="0.35">
      <c r="A365" s="3047">
        <v>44327</v>
      </c>
      <c r="B365" s="3042"/>
      <c r="C365" s="3026" t="s">
        <v>12873</v>
      </c>
      <c r="D365" s="3044" t="s">
        <v>13445</v>
      </c>
      <c r="E365" s="3048" t="s">
        <v>13868</v>
      </c>
      <c r="F365" s="3025"/>
      <c r="G365" s="3050" t="s">
        <v>13565</v>
      </c>
      <c r="H365" s="3049"/>
      <c r="I365" s="3047">
        <v>44338</v>
      </c>
      <c r="J365" s="3046" t="s">
        <v>13446</v>
      </c>
      <c r="K365" s="3128" t="s">
        <v>15</v>
      </c>
      <c r="L365" s="3157" t="s">
        <v>13447</v>
      </c>
      <c r="M365" s="3038">
        <f>150*3+15</f>
        <v>465</v>
      </c>
      <c r="N365" s="3025" t="s">
        <v>257</v>
      </c>
      <c r="O365" s="2878" t="s">
        <v>15</v>
      </c>
      <c r="P365" s="3026" t="s">
        <v>216</v>
      </c>
      <c r="Q365" s="3026" t="s">
        <v>12457</v>
      </c>
      <c r="R365" s="3027"/>
      <c r="S365" s="3031"/>
      <c r="T365" s="3057"/>
      <c r="U365" s="2991"/>
      <c r="W365" s="2901"/>
      <c r="X365" s="2862"/>
    </row>
    <row r="366" spans="1:24" s="1592" customFormat="1" ht="43.5" hidden="1" x14ac:dyDescent="0.35">
      <c r="A366" s="2486">
        <v>44333</v>
      </c>
      <c r="B366" s="3107"/>
      <c r="C366" s="5" t="s">
        <v>14148</v>
      </c>
      <c r="D366" s="3032" t="s">
        <v>14149</v>
      </c>
      <c r="E366" s="2725" t="s">
        <v>14151</v>
      </c>
      <c r="F366" s="3022"/>
      <c r="G366" s="2933"/>
      <c r="H366" s="3041"/>
      <c r="I366" s="2486">
        <v>44338</v>
      </c>
      <c r="J366" s="2722" t="s">
        <v>14150</v>
      </c>
      <c r="K366" s="6" t="s">
        <v>15</v>
      </c>
      <c r="L366" s="3149" t="s">
        <v>972</v>
      </c>
      <c r="M366" s="3108">
        <v>315</v>
      </c>
      <c r="N366" s="3016" t="s">
        <v>257</v>
      </c>
      <c r="O366" s="3037" t="s">
        <v>15</v>
      </c>
      <c r="P366" s="3016" t="s">
        <v>12323</v>
      </c>
      <c r="Q366" s="3016" t="s">
        <v>14152</v>
      </c>
      <c r="R366" s="3027"/>
      <c r="S366" s="3109"/>
      <c r="T366" s="3110"/>
      <c r="U366" s="2991"/>
      <c r="W366" s="2901"/>
      <c r="X366" s="2862"/>
    </row>
    <row r="367" spans="1:24" s="1592" customFormat="1" ht="377" hidden="1" x14ac:dyDescent="0.35">
      <c r="A367" s="3047">
        <v>44258</v>
      </c>
      <c r="B367" s="2953"/>
      <c r="C367" s="3026" t="s">
        <v>12181</v>
      </c>
      <c r="D367" s="3044" t="s">
        <v>12180</v>
      </c>
      <c r="E367" s="3048" t="s">
        <v>14206</v>
      </c>
      <c r="F367" s="3022"/>
      <c r="G367" s="2933" t="s">
        <v>11478</v>
      </c>
      <c r="H367" s="2892"/>
      <c r="I367" s="3047">
        <v>44338</v>
      </c>
      <c r="J367" s="2948" t="s">
        <v>14207</v>
      </c>
      <c r="K367" s="3128" t="s">
        <v>15</v>
      </c>
      <c r="L367" s="3119" t="s">
        <v>14208</v>
      </c>
      <c r="M367" s="3038">
        <v>2431</v>
      </c>
      <c r="N367" s="3025" t="s">
        <v>12268</v>
      </c>
      <c r="O367" s="3025" t="s">
        <v>15</v>
      </c>
      <c r="P367" s="3025" t="s">
        <v>6046</v>
      </c>
      <c r="Q367" s="3025" t="s">
        <v>11183</v>
      </c>
      <c r="R367" s="3025"/>
      <c r="S367" s="3031"/>
      <c r="T367" s="3057"/>
      <c r="U367" s="2989"/>
      <c r="W367" s="2901"/>
      <c r="X367" s="2862"/>
    </row>
    <row r="368" spans="1:24" s="1592" customFormat="1" ht="58" hidden="1" x14ac:dyDescent="0.35">
      <c r="A368" s="3047">
        <v>44331</v>
      </c>
      <c r="B368" s="3042"/>
      <c r="C368" s="3026" t="s">
        <v>14031</v>
      </c>
      <c r="D368" s="3044" t="s">
        <v>14032</v>
      </c>
      <c r="E368" s="3026" t="s">
        <v>14033</v>
      </c>
      <c r="F368" s="3025"/>
      <c r="G368" s="3050" t="s">
        <v>11432</v>
      </c>
      <c r="H368" s="3049"/>
      <c r="I368" s="3047">
        <v>44338</v>
      </c>
      <c r="J368" s="3046" t="s">
        <v>14034</v>
      </c>
      <c r="K368" s="3128" t="s">
        <v>15</v>
      </c>
      <c r="L368" s="3157">
        <v>0.58333333333333337</v>
      </c>
      <c r="M368" s="3038">
        <v>915</v>
      </c>
      <c r="N368" s="3025" t="s">
        <v>392</v>
      </c>
      <c r="O368" s="3045" t="s">
        <v>15</v>
      </c>
      <c r="P368" s="3025" t="s">
        <v>821</v>
      </c>
      <c r="Q368" s="3025" t="s">
        <v>14035</v>
      </c>
      <c r="R368" s="3028"/>
      <c r="S368" s="3031"/>
      <c r="T368" s="3057"/>
      <c r="U368" s="2989"/>
      <c r="W368" s="2901"/>
      <c r="X368" s="2862"/>
    </row>
    <row r="369" spans="1:24" s="1592" customFormat="1" ht="43.5" hidden="1" x14ac:dyDescent="0.35">
      <c r="A369" s="3021">
        <v>44331</v>
      </c>
      <c r="B369" s="3107"/>
      <c r="C369" s="3015" t="s">
        <v>14009</v>
      </c>
      <c r="D369" s="3032" t="s">
        <v>14010</v>
      </c>
      <c r="E369" s="3015" t="s">
        <v>14011</v>
      </c>
      <c r="F369" s="3029"/>
      <c r="G369" s="2933"/>
      <c r="H369" s="3041"/>
      <c r="I369" s="3021">
        <v>44338</v>
      </c>
      <c r="J369" s="3034" t="s">
        <v>14012</v>
      </c>
      <c r="K369" s="3122" t="s">
        <v>15</v>
      </c>
      <c r="L369" s="3148" t="s">
        <v>972</v>
      </c>
      <c r="M369" s="3111">
        <v>390</v>
      </c>
      <c r="N369" s="3016" t="s">
        <v>11311</v>
      </c>
      <c r="O369" s="3037" t="s">
        <v>15</v>
      </c>
      <c r="P369" s="3016" t="s">
        <v>821</v>
      </c>
      <c r="Q369" s="3016" t="s">
        <v>14013</v>
      </c>
      <c r="R369" s="3027"/>
      <c r="S369" s="3109"/>
      <c r="T369" s="3110"/>
      <c r="U369" s="2993"/>
      <c r="W369" s="2901"/>
      <c r="X369" s="2862"/>
    </row>
    <row r="370" spans="1:24" s="1592" customFormat="1" ht="43.5" hidden="1" x14ac:dyDescent="0.35">
      <c r="A370" s="3047">
        <v>44333</v>
      </c>
      <c r="B370" s="3112"/>
      <c r="C370" s="3026" t="s">
        <v>14252</v>
      </c>
      <c r="D370" s="3044" t="s">
        <v>14253</v>
      </c>
      <c r="E370" s="3048" t="s">
        <v>14251</v>
      </c>
      <c r="F370" s="3025"/>
      <c r="G370" s="3050" t="s">
        <v>11432</v>
      </c>
      <c r="H370" s="3049"/>
      <c r="I370" s="3047">
        <v>44338</v>
      </c>
      <c r="J370" s="3046" t="s">
        <v>14254</v>
      </c>
      <c r="K370" s="3128" t="s">
        <v>15</v>
      </c>
      <c r="L370" s="3152" t="s">
        <v>972</v>
      </c>
      <c r="M370" s="3113">
        <v>165</v>
      </c>
      <c r="N370" s="3025" t="s">
        <v>257</v>
      </c>
      <c r="O370" s="3045" t="s">
        <v>15</v>
      </c>
      <c r="P370" s="3025" t="s">
        <v>12323</v>
      </c>
      <c r="Q370" s="3025" t="s">
        <v>14255</v>
      </c>
      <c r="R370" s="3027"/>
      <c r="S370" s="3109"/>
      <c r="T370" s="3110"/>
      <c r="U370" s="2991"/>
      <c r="W370" s="2901"/>
      <c r="X370" s="2862"/>
    </row>
    <row r="371" spans="1:24" s="1592" customFormat="1" ht="43.5" hidden="1" x14ac:dyDescent="0.35">
      <c r="A371" s="2486">
        <v>44333</v>
      </c>
      <c r="B371" s="3036"/>
      <c r="C371" s="5" t="s">
        <v>14154</v>
      </c>
      <c r="D371" s="3032" t="s">
        <v>14155</v>
      </c>
      <c r="E371" s="2725" t="s">
        <v>14153</v>
      </c>
      <c r="F371" s="3029"/>
      <c r="G371" s="3040" t="s">
        <v>11517</v>
      </c>
      <c r="H371" s="3041"/>
      <c r="I371" s="2486">
        <v>44338</v>
      </c>
      <c r="J371" s="2722" t="s">
        <v>14156</v>
      </c>
      <c r="K371" s="6" t="s">
        <v>15</v>
      </c>
      <c r="L371" s="3149" t="s">
        <v>972</v>
      </c>
      <c r="M371" s="3020">
        <v>195</v>
      </c>
      <c r="N371" s="3016" t="s">
        <v>257</v>
      </c>
      <c r="O371" s="3037" t="s">
        <v>15</v>
      </c>
      <c r="P371" s="3016" t="s">
        <v>12323</v>
      </c>
      <c r="Q371" s="3016" t="s">
        <v>14157</v>
      </c>
      <c r="R371" s="3027"/>
      <c r="S371" s="3031"/>
      <c r="T371" s="3057"/>
      <c r="U371" s="2991"/>
      <c r="W371" s="2901"/>
      <c r="X371" s="2862"/>
    </row>
    <row r="372" spans="1:24" s="1592" customFormat="1" ht="72.5" hidden="1" x14ac:dyDescent="0.35">
      <c r="A372" s="2486">
        <v>44328</v>
      </c>
      <c r="B372" s="3107"/>
      <c r="C372" s="5" t="s">
        <v>13637</v>
      </c>
      <c r="D372" s="3032" t="s">
        <v>13638</v>
      </c>
      <c r="E372" s="3016" t="s">
        <v>13634</v>
      </c>
      <c r="F372" s="3029"/>
      <c r="G372" s="3040" t="s">
        <v>13635</v>
      </c>
      <c r="H372" s="3041"/>
      <c r="I372" s="2486">
        <v>44338</v>
      </c>
      <c r="J372" s="2722" t="s">
        <v>13636</v>
      </c>
      <c r="K372" s="6" t="s">
        <v>15</v>
      </c>
      <c r="L372" s="3149" t="s">
        <v>972</v>
      </c>
      <c r="M372" s="3111">
        <v>290</v>
      </c>
      <c r="N372" s="3016" t="s">
        <v>8625</v>
      </c>
      <c r="O372" s="3037" t="s">
        <v>15</v>
      </c>
      <c r="P372" s="3016" t="s">
        <v>12323</v>
      </c>
      <c r="Q372" s="3016" t="s">
        <v>13639</v>
      </c>
      <c r="R372" s="3027"/>
      <c r="S372" s="3109"/>
      <c r="T372" s="3110"/>
      <c r="U372" s="2989"/>
      <c r="W372" s="2901"/>
      <c r="X372" s="2862"/>
    </row>
    <row r="373" spans="1:24" s="1592" customFormat="1" ht="58" hidden="1" x14ac:dyDescent="0.35">
      <c r="A373" s="3047">
        <v>44333</v>
      </c>
      <c r="B373" s="3112"/>
      <c r="C373" s="3026" t="s">
        <v>14240</v>
      </c>
      <c r="D373" s="3044" t="s">
        <v>14241</v>
      </c>
      <c r="E373" s="3048" t="s">
        <v>14244</v>
      </c>
      <c r="F373" s="3025"/>
      <c r="G373" s="3050" t="s">
        <v>11432</v>
      </c>
      <c r="H373" s="3049"/>
      <c r="I373" s="3047">
        <v>44338</v>
      </c>
      <c r="J373" s="3046" t="s">
        <v>14243</v>
      </c>
      <c r="K373" s="3128" t="s">
        <v>15</v>
      </c>
      <c r="L373" s="3157" t="s">
        <v>14242</v>
      </c>
      <c r="M373" s="3113">
        <v>615</v>
      </c>
      <c r="N373" s="3025" t="s">
        <v>257</v>
      </c>
      <c r="O373" s="3045" t="s">
        <v>15</v>
      </c>
      <c r="P373" s="3025" t="s">
        <v>12323</v>
      </c>
      <c r="Q373" s="3025" t="s">
        <v>6651</v>
      </c>
      <c r="R373" s="3027"/>
      <c r="S373" s="3109"/>
      <c r="T373" s="3110"/>
      <c r="U373" s="2991"/>
      <c r="W373" s="2901"/>
      <c r="X373" s="2862"/>
    </row>
    <row r="374" spans="1:24" s="1592" customFormat="1" ht="43.5" hidden="1" x14ac:dyDescent="0.35">
      <c r="A374" s="3047">
        <v>44333</v>
      </c>
      <c r="B374" s="3042"/>
      <c r="C374" s="3026" t="s">
        <v>14203</v>
      </c>
      <c r="D374" s="3044" t="s">
        <v>14202</v>
      </c>
      <c r="E374" s="3048" t="s">
        <v>14204</v>
      </c>
      <c r="F374" s="3025"/>
      <c r="G374" s="3050" t="s">
        <v>11432</v>
      </c>
      <c r="H374" s="3049"/>
      <c r="I374" s="3047">
        <v>44338</v>
      </c>
      <c r="J374" s="3046" t="s">
        <v>6032</v>
      </c>
      <c r="K374" s="3128" t="s">
        <v>15</v>
      </c>
      <c r="L374" s="3157">
        <v>0.41666666666666669</v>
      </c>
      <c r="M374" s="3038">
        <v>300</v>
      </c>
      <c r="N374" s="3025" t="s">
        <v>257</v>
      </c>
      <c r="O374" s="3045" t="s">
        <v>15</v>
      </c>
      <c r="P374" s="3025" t="s">
        <v>2910</v>
      </c>
      <c r="Q374" s="3025" t="s">
        <v>5560</v>
      </c>
      <c r="R374" s="3027"/>
      <c r="S374" s="3031"/>
      <c r="T374" s="3057"/>
      <c r="U374" s="2991"/>
      <c r="W374" s="2901"/>
      <c r="X374" s="2862"/>
    </row>
    <row r="375" spans="1:24" s="1592" customFormat="1" ht="87" hidden="1" x14ac:dyDescent="0.35">
      <c r="A375" s="3021">
        <v>44327</v>
      </c>
      <c r="B375" s="3035"/>
      <c r="C375" s="3015" t="s">
        <v>12873</v>
      </c>
      <c r="D375" s="3033" t="s">
        <v>13445</v>
      </c>
      <c r="E375" s="3024" t="s">
        <v>13869</v>
      </c>
      <c r="F375" s="3015"/>
      <c r="G375" s="3041" t="s">
        <v>11422</v>
      </c>
      <c r="H375" s="3041"/>
      <c r="I375" s="3021">
        <v>44339</v>
      </c>
      <c r="J375" s="3034" t="s">
        <v>13564</v>
      </c>
      <c r="K375" s="3122" t="s">
        <v>15</v>
      </c>
      <c r="L375" s="3231" t="s">
        <v>13563</v>
      </c>
      <c r="M375" s="3018">
        <f>155+15</f>
        <v>170</v>
      </c>
      <c r="N375" s="3015" t="s">
        <v>257</v>
      </c>
      <c r="O375" s="3030" t="s">
        <v>15</v>
      </c>
      <c r="P375" s="3015" t="s">
        <v>216</v>
      </c>
      <c r="Q375" s="3015" t="s">
        <v>12457</v>
      </c>
      <c r="R375" s="3027"/>
      <c r="S375" s="3031"/>
      <c r="T375" s="3057"/>
      <c r="U375" s="2991"/>
      <c r="W375" s="2901"/>
      <c r="X375" s="2862"/>
    </row>
    <row r="376" spans="1:24" s="1592" customFormat="1" ht="159.5" hidden="1" x14ac:dyDescent="0.35">
      <c r="A376" s="3021">
        <v>44333</v>
      </c>
      <c r="B376" s="3121"/>
      <c r="C376" s="3015" t="s">
        <v>14217</v>
      </c>
      <c r="D376" s="3033" t="s">
        <v>14216</v>
      </c>
      <c r="E376" s="3024" t="s">
        <v>14219</v>
      </c>
      <c r="F376" s="3029"/>
      <c r="G376" s="3041" t="s">
        <v>14316</v>
      </c>
      <c r="H376" s="3041"/>
      <c r="I376" s="3021">
        <v>44339</v>
      </c>
      <c r="J376" s="3034" t="s">
        <v>14215</v>
      </c>
      <c r="K376" s="3122" t="s">
        <v>15</v>
      </c>
      <c r="L376" s="3231" t="s">
        <v>12564</v>
      </c>
      <c r="M376" s="3123">
        <v>159</v>
      </c>
      <c r="N376" s="3015" t="s">
        <v>257</v>
      </c>
      <c r="O376" s="3030" t="s">
        <v>15</v>
      </c>
      <c r="P376" s="3015" t="s">
        <v>216</v>
      </c>
      <c r="Q376" s="3015" t="s">
        <v>12459</v>
      </c>
      <c r="R376" s="3027"/>
      <c r="S376" s="3109"/>
      <c r="T376" s="3110"/>
      <c r="U376" s="2992"/>
      <c r="W376" s="2901"/>
      <c r="X376" s="2862"/>
    </row>
    <row r="377" spans="1:24" s="1592" customFormat="1" ht="87" hidden="1" x14ac:dyDescent="0.35">
      <c r="A377" s="3047">
        <v>44333</v>
      </c>
      <c r="B377" s="3042"/>
      <c r="C377" s="3026" t="s">
        <v>13738</v>
      </c>
      <c r="D377" s="3044" t="s">
        <v>13739</v>
      </c>
      <c r="E377" s="3048" t="s">
        <v>14166</v>
      </c>
      <c r="F377" s="3025"/>
      <c r="G377" s="3050" t="s">
        <v>11432</v>
      </c>
      <c r="H377" s="3049"/>
      <c r="I377" s="3047">
        <v>44339</v>
      </c>
      <c r="J377" s="3046" t="s">
        <v>14167</v>
      </c>
      <c r="K377" s="3128" t="s">
        <v>15</v>
      </c>
      <c r="L377" s="3152" t="s">
        <v>972</v>
      </c>
      <c r="M377" s="3039">
        <v>915</v>
      </c>
      <c r="N377" s="3025" t="s">
        <v>8625</v>
      </c>
      <c r="O377" s="3045" t="s">
        <v>15</v>
      </c>
      <c r="P377" s="3025" t="s">
        <v>12323</v>
      </c>
      <c r="Q377" s="3025" t="s">
        <v>14168</v>
      </c>
      <c r="R377" s="3027"/>
      <c r="S377" s="3031"/>
      <c r="T377" s="3057"/>
      <c r="U377" s="2991"/>
      <c r="W377" s="2901"/>
      <c r="X377" s="2862"/>
    </row>
    <row r="378" spans="1:24" s="1592" customFormat="1" ht="391.5" hidden="1" x14ac:dyDescent="0.35">
      <c r="A378" s="3047">
        <v>44333</v>
      </c>
      <c r="B378" s="3112"/>
      <c r="C378" s="3026" t="s">
        <v>14274</v>
      </c>
      <c r="D378" s="3044" t="s">
        <v>13261</v>
      </c>
      <c r="E378" s="3048" t="s">
        <v>14275</v>
      </c>
      <c r="F378" s="3022"/>
      <c r="G378" s="2933" t="s">
        <v>12156</v>
      </c>
      <c r="H378" s="3049"/>
      <c r="I378" s="3047">
        <v>44339</v>
      </c>
      <c r="J378" s="2948" t="s">
        <v>14278</v>
      </c>
      <c r="K378" s="3125">
        <v>0.5</v>
      </c>
      <c r="L378" s="3157" t="s">
        <v>14277</v>
      </c>
      <c r="M378" s="3113">
        <v>1727</v>
      </c>
      <c r="N378" s="3025" t="s">
        <v>14276</v>
      </c>
      <c r="O378" s="3045" t="s">
        <v>15</v>
      </c>
      <c r="P378" s="3025" t="s">
        <v>821</v>
      </c>
      <c r="Q378" s="3025" t="s">
        <v>12412</v>
      </c>
      <c r="R378" s="3028"/>
      <c r="S378" s="3109"/>
      <c r="T378" s="3110"/>
      <c r="U378" s="2991"/>
      <c r="W378" s="2901"/>
      <c r="X378" s="2862"/>
    </row>
    <row r="379" spans="1:24" s="1592" customFormat="1" ht="58" hidden="1" x14ac:dyDescent="0.35">
      <c r="A379" s="2486">
        <v>44328</v>
      </c>
      <c r="B379" s="3036"/>
      <c r="C379" s="5" t="s">
        <v>13571</v>
      </c>
      <c r="D379" s="3032" t="s">
        <v>9805</v>
      </c>
      <c r="E379" s="3016" t="s">
        <v>13570</v>
      </c>
      <c r="F379" s="3029"/>
      <c r="G379" s="3040" t="s">
        <v>13569</v>
      </c>
      <c r="H379" s="3041"/>
      <c r="I379" s="2486">
        <v>44339</v>
      </c>
      <c r="J379" s="2722" t="s">
        <v>13567</v>
      </c>
      <c r="K379" s="6" t="s">
        <v>15</v>
      </c>
      <c r="L379" s="3157" t="s">
        <v>13568</v>
      </c>
      <c r="M379" s="3020">
        <v>325</v>
      </c>
      <c r="N379" s="3016" t="s">
        <v>257</v>
      </c>
      <c r="O379" s="3037" t="s">
        <v>15</v>
      </c>
      <c r="P379" s="3016" t="s">
        <v>821</v>
      </c>
      <c r="Q379" s="3016" t="s">
        <v>12459</v>
      </c>
      <c r="R379" s="3027"/>
      <c r="S379" s="3031"/>
      <c r="T379" s="3057"/>
      <c r="U379" s="2991"/>
      <c r="W379" s="2901"/>
      <c r="X379" s="2862"/>
    </row>
    <row r="380" spans="1:24" s="1592" customFormat="1" ht="43.5" hidden="1" x14ac:dyDescent="0.35">
      <c r="A380" s="2486">
        <v>44326</v>
      </c>
      <c r="B380" s="3107"/>
      <c r="C380" s="5" t="s">
        <v>13311</v>
      </c>
      <c r="D380" s="3032" t="s">
        <v>13312</v>
      </c>
      <c r="E380" s="2725" t="s">
        <v>13310</v>
      </c>
      <c r="F380" s="3029"/>
      <c r="G380" s="3040" t="s">
        <v>14316</v>
      </c>
      <c r="H380" s="3041"/>
      <c r="I380" s="2486">
        <v>44340</v>
      </c>
      <c r="J380" s="2722" t="s">
        <v>13313</v>
      </c>
      <c r="K380" s="3122" t="s">
        <v>15</v>
      </c>
      <c r="L380" s="3149" t="s">
        <v>972</v>
      </c>
      <c r="M380" s="3108">
        <v>159</v>
      </c>
      <c r="N380" s="3016" t="s">
        <v>257</v>
      </c>
      <c r="O380" s="3037" t="s">
        <v>15</v>
      </c>
      <c r="P380" s="3016" t="s">
        <v>12323</v>
      </c>
      <c r="Q380" s="3016" t="s">
        <v>13314</v>
      </c>
      <c r="R380" s="3027"/>
      <c r="S380" s="3109"/>
      <c r="T380" s="3110"/>
      <c r="U380" s="2991"/>
      <c r="W380" s="2901"/>
      <c r="X380" s="2862"/>
    </row>
    <row r="381" spans="1:24" s="1592" customFormat="1" ht="58" hidden="1" x14ac:dyDescent="0.35">
      <c r="A381" s="2486">
        <v>43876</v>
      </c>
      <c r="B381" s="2545"/>
      <c r="C381" s="5" t="s">
        <v>11284</v>
      </c>
      <c r="D381" s="3060"/>
      <c r="E381" s="5" t="s">
        <v>14136</v>
      </c>
      <c r="F381" s="3029"/>
      <c r="G381" s="2892" t="s">
        <v>11446</v>
      </c>
      <c r="H381" s="2892"/>
      <c r="I381" s="2486">
        <v>44340</v>
      </c>
      <c r="J381" s="824" t="s">
        <v>20</v>
      </c>
      <c r="K381" s="6" t="s">
        <v>15</v>
      </c>
      <c r="L381" s="6" t="s">
        <v>15</v>
      </c>
      <c r="M381" s="2864">
        <v>0</v>
      </c>
      <c r="N381" s="5" t="s">
        <v>20</v>
      </c>
      <c r="O381" s="5" t="s">
        <v>15</v>
      </c>
      <c r="P381" s="5" t="s">
        <v>17</v>
      </c>
      <c r="Q381" s="5" t="s">
        <v>20</v>
      </c>
      <c r="R381" s="5"/>
      <c r="S381" s="3060"/>
      <c r="T381" s="3057"/>
      <c r="U381" s="2991"/>
      <c r="W381" s="2901"/>
      <c r="X381" s="2862"/>
    </row>
    <row r="382" spans="1:24" s="1592" customFormat="1" ht="29" hidden="1" x14ac:dyDescent="0.35">
      <c r="A382" s="3047">
        <v>44332</v>
      </c>
      <c r="B382" s="3042"/>
      <c r="C382" s="3026" t="s">
        <v>14118</v>
      </c>
      <c r="D382" s="3044" t="s">
        <v>14117</v>
      </c>
      <c r="E382" s="3026" t="s">
        <v>14123</v>
      </c>
      <c r="F382" s="3025"/>
      <c r="G382" s="3050" t="s">
        <v>11432</v>
      </c>
      <c r="H382" s="3049"/>
      <c r="I382" s="3047">
        <v>44341</v>
      </c>
      <c r="J382" s="3046" t="s">
        <v>14120</v>
      </c>
      <c r="K382" s="3128" t="s">
        <v>15</v>
      </c>
      <c r="L382" s="3157" t="s">
        <v>1644</v>
      </c>
      <c r="M382" s="3038">
        <v>0</v>
      </c>
      <c r="N382" s="3025" t="s">
        <v>14121</v>
      </c>
      <c r="O382" s="3045" t="s">
        <v>15</v>
      </c>
      <c r="P382" s="3025" t="s">
        <v>10475</v>
      </c>
      <c r="Q382" s="3025" t="s">
        <v>14122</v>
      </c>
      <c r="R382" s="3027"/>
      <c r="S382" s="3031"/>
      <c r="T382" s="3057"/>
      <c r="U382" s="2991"/>
      <c r="W382" s="2901"/>
      <c r="X382" s="2862"/>
    </row>
    <row r="383" spans="1:24" s="1592" customFormat="1" ht="101.5" hidden="1" x14ac:dyDescent="0.35">
      <c r="A383" s="3047">
        <v>44329</v>
      </c>
      <c r="B383" s="3042"/>
      <c r="C383" s="3026" t="s">
        <v>13707</v>
      </c>
      <c r="D383" s="3044" t="s">
        <v>13708</v>
      </c>
      <c r="E383" s="3048" t="s">
        <v>13717</v>
      </c>
      <c r="F383" s="3022"/>
      <c r="G383" s="2933"/>
      <c r="H383" s="3041"/>
      <c r="I383" s="3047">
        <v>44341</v>
      </c>
      <c r="J383" s="3046" t="s">
        <v>13709</v>
      </c>
      <c r="K383" s="3128" t="s">
        <v>15</v>
      </c>
      <c r="L383" s="3152" t="s">
        <v>972</v>
      </c>
      <c r="M383" s="3038">
        <v>415</v>
      </c>
      <c r="N383" s="3025" t="s">
        <v>257</v>
      </c>
      <c r="O383" s="3045" t="s">
        <v>15</v>
      </c>
      <c r="P383" s="3025" t="s">
        <v>12323</v>
      </c>
      <c r="Q383" s="3025" t="s">
        <v>13710</v>
      </c>
      <c r="R383" s="3027"/>
      <c r="S383" s="3031"/>
      <c r="T383" s="3057"/>
      <c r="U383" s="2991"/>
      <c r="W383" s="2901"/>
      <c r="X383" s="2862"/>
    </row>
    <row r="384" spans="1:24" s="1592" customFormat="1" ht="58" hidden="1" x14ac:dyDescent="0.35">
      <c r="A384" s="2486">
        <v>44333</v>
      </c>
      <c r="B384" s="3036"/>
      <c r="C384" s="5" t="s">
        <v>14182</v>
      </c>
      <c r="D384" s="3032" t="s">
        <v>14184</v>
      </c>
      <c r="E384" s="2725" t="s">
        <v>14180</v>
      </c>
      <c r="F384" s="3029"/>
      <c r="G384" s="3040" t="s">
        <v>14181</v>
      </c>
      <c r="H384" s="3041"/>
      <c r="I384" s="2486">
        <v>44342</v>
      </c>
      <c r="J384" s="2722" t="s">
        <v>14183</v>
      </c>
      <c r="K384" s="6" t="s">
        <v>15</v>
      </c>
      <c r="L384" s="3149" t="s">
        <v>972</v>
      </c>
      <c r="M384" s="3020">
        <v>265</v>
      </c>
      <c r="N384" s="3016" t="s">
        <v>257</v>
      </c>
      <c r="O384" s="3037" t="s">
        <v>15</v>
      </c>
      <c r="P384" s="3016" t="s">
        <v>12323</v>
      </c>
      <c r="Q384" s="3016" t="s">
        <v>14185</v>
      </c>
      <c r="R384" s="3027"/>
      <c r="S384" s="3031"/>
      <c r="T384" s="3057"/>
      <c r="U384" s="2991"/>
      <c r="W384" s="2901"/>
      <c r="X384" s="2862"/>
    </row>
    <row r="385" spans="1:24" s="1592" customFormat="1" ht="93.5" hidden="1" x14ac:dyDescent="0.35">
      <c r="A385" s="2486">
        <v>44312</v>
      </c>
      <c r="B385" s="2596"/>
      <c r="C385" s="5" t="s">
        <v>12626</v>
      </c>
      <c r="D385" s="3032" t="s">
        <v>12627</v>
      </c>
      <c r="E385" s="2725" t="s">
        <v>12628</v>
      </c>
      <c r="F385" s="3029"/>
      <c r="G385" s="3040" t="s">
        <v>14324</v>
      </c>
      <c r="H385" s="2892"/>
      <c r="I385" s="2486">
        <v>44343</v>
      </c>
      <c r="J385" s="2722" t="s">
        <v>12629</v>
      </c>
      <c r="K385" s="6" t="s">
        <v>15</v>
      </c>
      <c r="L385" s="3117" t="s">
        <v>972</v>
      </c>
      <c r="M385" s="3039">
        <v>276</v>
      </c>
      <c r="N385" s="3016" t="s">
        <v>8625</v>
      </c>
      <c r="O385" s="3016" t="s">
        <v>15</v>
      </c>
      <c r="P385" s="3016" t="s">
        <v>17</v>
      </c>
      <c r="Q385" s="3016" t="s">
        <v>12630</v>
      </c>
      <c r="R385" s="3027"/>
      <c r="S385" s="3031"/>
      <c r="T385" s="3057"/>
      <c r="U385" s="2989"/>
      <c r="W385" s="2901"/>
      <c r="X385" s="2862"/>
    </row>
    <row r="386" spans="1:24" s="1592" customFormat="1" ht="130.5" hidden="1" x14ac:dyDescent="0.35">
      <c r="A386" s="3047">
        <v>44321</v>
      </c>
      <c r="B386" s="3112"/>
      <c r="C386" s="3048" t="s">
        <v>12946</v>
      </c>
      <c r="D386" s="3044" t="s">
        <v>12947</v>
      </c>
      <c r="E386" s="3025" t="s">
        <v>13056</v>
      </c>
      <c r="F386" s="3025"/>
      <c r="G386" s="3050" t="s">
        <v>11432</v>
      </c>
      <c r="H386" s="3049"/>
      <c r="I386" s="3047">
        <v>44343</v>
      </c>
      <c r="J386" s="3046" t="s">
        <v>12948</v>
      </c>
      <c r="K386" s="3128" t="s">
        <v>15</v>
      </c>
      <c r="L386" s="3118" t="s">
        <v>972</v>
      </c>
      <c r="M386" s="3113">
        <v>315</v>
      </c>
      <c r="N386" s="3025" t="s">
        <v>257</v>
      </c>
      <c r="O386" s="3045" t="s">
        <v>15</v>
      </c>
      <c r="P386" s="3025" t="s">
        <v>17</v>
      </c>
      <c r="Q386" s="3025" t="s">
        <v>12499</v>
      </c>
      <c r="R386" s="3027"/>
      <c r="S386" s="3109"/>
      <c r="T386" s="3110"/>
      <c r="U386" s="2991"/>
      <c r="W386" s="2901"/>
      <c r="X386" s="2862"/>
    </row>
    <row r="387" spans="1:24" s="1592" customFormat="1" ht="101.5" hidden="1" x14ac:dyDescent="0.35">
      <c r="A387" s="3047">
        <v>44323</v>
      </c>
      <c r="B387" s="3112"/>
      <c r="C387" s="3026" t="s">
        <v>12308</v>
      </c>
      <c r="D387" s="3044" t="s">
        <v>12309</v>
      </c>
      <c r="E387" s="3048" t="s">
        <v>13113</v>
      </c>
      <c r="F387" s="3025"/>
      <c r="G387" s="3050" t="s">
        <v>11432</v>
      </c>
      <c r="H387" s="3049"/>
      <c r="I387" s="3047">
        <v>44345</v>
      </c>
      <c r="J387" s="3046" t="s">
        <v>13111</v>
      </c>
      <c r="K387" s="3128" t="s">
        <v>15</v>
      </c>
      <c r="L387" s="3124" t="s">
        <v>13112</v>
      </c>
      <c r="M387" s="3113">
        <v>778</v>
      </c>
      <c r="N387" s="3025" t="s">
        <v>257</v>
      </c>
      <c r="O387" s="3045" t="s">
        <v>15</v>
      </c>
      <c r="P387" s="3025" t="s">
        <v>17</v>
      </c>
      <c r="Q387" s="3025" t="s">
        <v>12462</v>
      </c>
      <c r="R387" s="3027"/>
      <c r="S387" s="3109"/>
      <c r="T387" s="3110"/>
      <c r="U387" s="2989"/>
      <c r="W387" s="2901"/>
      <c r="X387" s="2862"/>
    </row>
    <row r="388" spans="1:24" s="1592" customFormat="1" ht="87" hidden="1" x14ac:dyDescent="0.35">
      <c r="A388" s="3047">
        <v>44333</v>
      </c>
      <c r="B388" s="3112"/>
      <c r="C388" s="3026" t="s">
        <v>14210</v>
      </c>
      <c r="D388" s="3044" t="s">
        <v>14209</v>
      </c>
      <c r="E388" s="3048" t="s">
        <v>14218</v>
      </c>
      <c r="F388" s="3025"/>
      <c r="G388" s="3050" t="s">
        <v>11432</v>
      </c>
      <c r="H388" s="3049"/>
      <c r="I388" s="3047">
        <v>44345</v>
      </c>
      <c r="J388" s="3046" t="s">
        <v>14211</v>
      </c>
      <c r="K388" s="3128" t="s">
        <v>15</v>
      </c>
      <c r="L388" s="3152" t="s">
        <v>972</v>
      </c>
      <c r="M388" s="3113">
        <v>615</v>
      </c>
      <c r="N388" s="3025" t="s">
        <v>257</v>
      </c>
      <c r="O388" s="3045" t="s">
        <v>15</v>
      </c>
      <c r="P388" s="3025" t="s">
        <v>216</v>
      </c>
      <c r="Q388" s="3025" t="s">
        <v>12471</v>
      </c>
      <c r="R388" s="3027"/>
      <c r="S388" s="3109"/>
      <c r="T388" s="3110"/>
      <c r="U388" s="2991"/>
      <c r="W388" s="2901"/>
      <c r="X388" s="2862"/>
    </row>
    <row r="389" spans="1:24" s="1592" customFormat="1" ht="58" hidden="1" x14ac:dyDescent="0.35">
      <c r="A389" s="3021">
        <v>44331</v>
      </c>
      <c r="B389" s="3107"/>
      <c r="C389" s="3015" t="s">
        <v>13972</v>
      </c>
      <c r="D389" s="3032" t="s">
        <v>13973</v>
      </c>
      <c r="E389" s="3015" t="s">
        <v>13974</v>
      </c>
      <c r="F389" s="3029"/>
      <c r="G389" s="3040" t="s">
        <v>11860</v>
      </c>
      <c r="H389" s="3041"/>
      <c r="I389" s="3021">
        <v>44345</v>
      </c>
      <c r="J389" s="3034" t="s">
        <v>13975</v>
      </c>
      <c r="K389" s="3122" t="s">
        <v>15</v>
      </c>
      <c r="L389" s="3149" t="s">
        <v>972</v>
      </c>
      <c r="M389" s="3111">
        <v>265</v>
      </c>
      <c r="N389" s="3016" t="s">
        <v>11311</v>
      </c>
      <c r="O389" s="3037" t="s">
        <v>15</v>
      </c>
      <c r="P389" s="3016" t="s">
        <v>821</v>
      </c>
      <c r="Q389" s="3016" t="s">
        <v>13976</v>
      </c>
      <c r="R389" s="3028"/>
      <c r="S389" s="3109"/>
      <c r="T389" s="3110"/>
      <c r="U389" s="2991"/>
      <c r="W389" s="2901"/>
      <c r="X389" s="2862"/>
    </row>
    <row r="390" spans="1:24" s="1592" customFormat="1" ht="246.5" hidden="1" x14ac:dyDescent="0.35">
      <c r="A390" s="3047">
        <v>44333</v>
      </c>
      <c r="B390" s="3112"/>
      <c r="C390" s="3026" t="s">
        <v>14228</v>
      </c>
      <c r="D390" s="3044" t="s">
        <v>14229</v>
      </c>
      <c r="E390" s="3048" t="s">
        <v>14230</v>
      </c>
      <c r="F390" s="3022"/>
      <c r="G390" s="2933" t="s">
        <v>12156</v>
      </c>
      <c r="H390" s="3049"/>
      <c r="I390" s="3047">
        <v>44346</v>
      </c>
      <c r="J390" s="2948" t="s">
        <v>14231</v>
      </c>
      <c r="K390" s="3128" t="s">
        <v>15</v>
      </c>
      <c r="L390" s="3228" t="s">
        <v>14232</v>
      </c>
      <c r="M390" s="3113">
        <v>1750</v>
      </c>
      <c r="N390" s="3025" t="s">
        <v>257</v>
      </c>
      <c r="O390" s="2878" t="s">
        <v>15</v>
      </c>
      <c r="P390" s="3026" t="s">
        <v>821</v>
      </c>
      <c r="Q390" s="3026" t="s">
        <v>12403</v>
      </c>
      <c r="R390" s="3027"/>
      <c r="S390" s="3109"/>
      <c r="T390" s="3110"/>
      <c r="U390" s="2989"/>
      <c r="W390" s="2901"/>
      <c r="X390" s="2862"/>
    </row>
    <row r="391" spans="1:24" s="1592" customFormat="1" ht="43.5" hidden="1" x14ac:dyDescent="0.35">
      <c r="A391" s="2486">
        <v>44329</v>
      </c>
      <c r="B391" s="3036"/>
      <c r="C391" s="5" t="s">
        <v>13743</v>
      </c>
      <c r="D391" s="3032" t="s">
        <v>13744</v>
      </c>
      <c r="E391" s="2725" t="s">
        <v>13742</v>
      </c>
      <c r="F391" s="3022"/>
      <c r="G391" s="2933"/>
      <c r="H391" s="3041"/>
      <c r="I391" s="2486">
        <v>44347</v>
      </c>
      <c r="J391" s="2722" t="s">
        <v>13823</v>
      </c>
      <c r="K391" s="6" t="s">
        <v>15</v>
      </c>
      <c r="L391" s="3149" t="s">
        <v>972</v>
      </c>
      <c r="M391" s="3039">
        <v>215</v>
      </c>
      <c r="N391" s="3016" t="s">
        <v>8625</v>
      </c>
      <c r="O391" s="3037" t="s">
        <v>15</v>
      </c>
      <c r="P391" s="3016" t="s">
        <v>12323</v>
      </c>
      <c r="Q391" s="3015" t="s">
        <v>13745</v>
      </c>
      <c r="R391" s="3027"/>
      <c r="S391" s="3031"/>
      <c r="T391" s="3057"/>
      <c r="U391" s="2989"/>
      <c r="W391" s="2901"/>
      <c r="X391" s="2862"/>
    </row>
    <row r="392" spans="1:24" s="1592" customFormat="1" ht="29" hidden="1" x14ac:dyDescent="0.35">
      <c r="A392" s="2486">
        <v>44329</v>
      </c>
      <c r="B392" s="3036"/>
      <c r="C392" s="5" t="s">
        <v>13736</v>
      </c>
      <c r="D392" s="3032" t="s">
        <v>13737</v>
      </c>
      <c r="E392" s="2725" t="s">
        <v>13801</v>
      </c>
      <c r="F392" s="3022"/>
      <c r="G392" s="2933" t="s">
        <v>13799</v>
      </c>
      <c r="H392" s="3041"/>
      <c r="I392" s="2486">
        <v>44347</v>
      </c>
      <c r="J392" s="2722" t="s">
        <v>13734</v>
      </c>
      <c r="K392" s="6" t="s">
        <v>15</v>
      </c>
      <c r="L392" s="3149" t="s">
        <v>972</v>
      </c>
      <c r="M392" s="1956">
        <v>314</v>
      </c>
      <c r="N392" s="3016" t="s">
        <v>8625</v>
      </c>
      <c r="O392" s="3037" t="s">
        <v>15</v>
      </c>
      <c r="P392" s="3016" t="s">
        <v>12323</v>
      </c>
      <c r="Q392" s="3015" t="s">
        <v>13735</v>
      </c>
      <c r="R392" s="3027"/>
      <c r="S392" s="3031"/>
      <c r="T392" s="3057"/>
      <c r="U392" s="2989"/>
      <c r="W392" s="2901"/>
      <c r="X392" s="2862"/>
    </row>
    <row r="393" spans="1:24" s="1592" customFormat="1" ht="87" hidden="1" x14ac:dyDescent="0.35">
      <c r="A393" s="3047">
        <v>44330</v>
      </c>
      <c r="B393" s="3042"/>
      <c r="C393" s="3026" t="s">
        <v>13335</v>
      </c>
      <c r="D393" s="3044" t="s">
        <v>13336</v>
      </c>
      <c r="E393" s="3048" t="s">
        <v>13886</v>
      </c>
      <c r="F393" s="3025"/>
      <c r="G393" s="3050" t="s">
        <v>11952</v>
      </c>
      <c r="H393" s="3049"/>
      <c r="I393" s="3047">
        <v>44348</v>
      </c>
      <c r="J393" s="3046" t="s">
        <v>13884</v>
      </c>
      <c r="K393" s="3128" t="s">
        <v>15</v>
      </c>
      <c r="L393" s="3157" t="s">
        <v>13885</v>
      </c>
      <c r="M393" s="3038">
        <v>315</v>
      </c>
      <c r="N393" s="3025" t="s">
        <v>257</v>
      </c>
      <c r="O393" s="3045" t="s">
        <v>15</v>
      </c>
      <c r="P393" s="3025" t="s">
        <v>821</v>
      </c>
      <c r="Q393" s="3025" t="s">
        <v>12404</v>
      </c>
      <c r="R393" s="3027"/>
      <c r="S393" s="3031"/>
      <c r="T393" s="3057"/>
      <c r="U393" s="2991"/>
      <c r="W393" s="2901"/>
      <c r="X393" s="2862"/>
    </row>
    <row r="394" spans="1:24" s="1592" customFormat="1" ht="29" hidden="1" x14ac:dyDescent="0.35">
      <c r="A394" s="3047">
        <v>44330</v>
      </c>
      <c r="B394" s="3112"/>
      <c r="C394" s="3026" t="s">
        <v>13867</v>
      </c>
      <c r="D394" s="3044" t="s">
        <v>13870</v>
      </c>
      <c r="E394" s="3048" t="s">
        <v>13866</v>
      </c>
      <c r="F394" s="3025"/>
      <c r="G394" s="3050" t="s">
        <v>11432</v>
      </c>
      <c r="H394" s="3049"/>
      <c r="I394" s="3047">
        <v>44348</v>
      </c>
      <c r="J394" s="3046" t="s">
        <v>5502</v>
      </c>
      <c r="K394" s="3128" t="s">
        <v>15</v>
      </c>
      <c r="L394" s="3236">
        <v>0.45833333333333331</v>
      </c>
      <c r="M394" s="3113">
        <v>150</v>
      </c>
      <c r="N394" s="3025" t="s">
        <v>257</v>
      </c>
      <c r="O394" s="3045" t="s">
        <v>15</v>
      </c>
      <c r="P394" s="3025" t="s">
        <v>10475</v>
      </c>
      <c r="Q394" s="3025" t="s">
        <v>12456</v>
      </c>
      <c r="R394" s="3027"/>
      <c r="S394" s="3109"/>
      <c r="T394" s="3110"/>
      <c r="U394" s="2991"/>
      <c r="W394" s="2901"/>
      <c r="X394" s="2862"/>
    </row>
    <row r="395" spans="1:24" s="1592" customFormat="1" ht="409.5" hidden="1" x14ac:dyDescent="0.35">
      <c r="A395" s="3047">
        <v>44098</v>
      </c>
      <c r="B395" s="2953"/>
      <c r="C395" s="3026" t="s">
        <v>11489</v>
      </c>
      <c r="D395" s="3044" t="s">
        <v>11341</v>
      </c>
      <c r="E395" s="3048" t="s">
        <v>11354</v>
      </c>
      <c r="F395" s="3029"/>
      <c r="G395" s="2972" t="s">
        <v>11456</v>
      </c>
      <c r="H395" s="3063"/>
      <c r="I395" s="3047">
        <v>44348</v>
      </c>
      <c r="J395" s="2612" t="s">
        <v>11355</v>
      </c>
      <c r="K395" s="3128" t="s">
        <v>15</v>
      </c>
      <c r="L395" s="3118">
        <v>0.54166666666666663</v>
      </c>
      <c r="M395" s="3038">
        <v>3500</v>
      </c>
      <c r="N395" s="3118" t="s">
        <v>11356</v>
      </c>
      <c r="O395" s="3025" t="s">
        <v>15</v>
      </c>
      <c r="P395" s="3118" t="s">
        <v>17</v>
      </c>
      <c r="Q395" s="3118" t="s">
        <v>11183</v>
      </c>
      <c r="R395" s="3118"/>
      <c r="S395" s="3031"/>
      <c r="T395" s="3057"/>
      <c r="U395" s="2989"/>
      <c r="W395" s="2901"/>
      <c r="X395" s="2862"/>
    </row>
    <row r="396" spans="1:24" s="1592" customFormat="1" ht="58" hidden="1" x14ac:dyDescent="0.35">
      <c r="A396" s="3047">
        <v>44331</v>
      </c>
      <c r="B396" s="3042"/>
      <c r="C396" s="3026" t="s">
        <v>14036</v>
      </c>
      <c r="D396" s="3044" t="s">
        <v>14037</v>
      </c>
      <c r="E396" s="3026" t="s">
        <v>14040</v>
      </c>
      <c r="F396" s="3025"/>
      <c r="G396" s="3050" t="s">
        <v>11432</v>
      </c>
      <c r="H396" s="3049"/>
      <c r="I396" s="3047">
        <v>44348</v>
      </c>
      <c r="J396" s="3046" t="s">
        <v>14038</v>
      </c>
      <c r="K396" s="3128" t="s">
        <v>15</v>
      </c>
      <c r="L396" s="3152" t="s">
        <v>972</v>
      </c>
      <c r="M396" s="3038">
        <v>165</v>
      </c>
      <c r="N396" s="3025" t="s">
        <v>257</v>
      </c>
      <c r="O396" s="3045" t="s">
        <v>15</v>
      </c>
      <c r="P396" s="3025" t="s">
        <v>821</v>
      </c>
      <c r="Q396" s="3025" t="s">
        <v>14039</v>
      </c>
      <c r="R396" s="3027"/>
      <c r="S396" s="3031"/>
      <c r="T396" s="3057"/>
      <c r="U396" s="2991"/>
      <c r="W396" s="2901"/>
      <c r="X396" s="2862"/>
    </row>
    <row r="397" spans="1:24" s="1592" customFormat="1" ht="43.5" hidden="1" x14ac:dyDescent="0.35">
      <c r="A397" s="3047">
        <v>44226</v>
      </c>
      <c r="B397" s="2953"/>
      <c r="C397" s="3026" t="s">
        <v>11987</v>
      </c>
      <c r="D397" s="3044" t="s">
        <v>11988</v>
      </c>
      <c r="E397" s="2956" t="s">
        <v>11989</v>
      </c>
      <c r="F397" s="3029"/>
      <c r="G397" s="3040" t="s">
        <v>11432</v>
      </c>
      <c r="H397" s="2892"/>
      <c r="I397" s="2960">
        <v>44348</v>
      </c>
      <c r="J397" s="2970" t="s">
        <v>11990</v>
      </c>
      <c r="K397" s="3128" t="s">
        <v>15</v>
      </c>
      <c r="L397" s="3118" t="s">
        <v>972</v>
      </c>
      <c r="M397" s="3038">
        <f>7*120+15</f>
        <v>855</v>
      </c>
      <c r="N397" s="3025" t="s">
        <v>392</v>
      </c>
      <c r="O397" s="3025" t="s">
        <v>15</v>
      </c>
      <c r="P397" s="3025" t="s">
        <v>216</v>
      </c>
      <c r="Q397" s="3025" t="s">
        <v>11183</v>
      </c>
      <c r="R397" s="3025"/>
      <c r="S397" s="3031"/>
      <c r="T397" s="3057"/>
      <c r="U397" s="2989"/>
      <c r="W397" s="2901"/>
      <c r="X397" s="2862"/>
    </row>
    <row r="398" spans="1:24" s="1592" customFormat="1" ht="43.5" hidden="1" x14ac:dyDescent="0.35">
      <c r="A398" s="3047">
        <v>44331</v>
      </c>
      <c r="B398" s="3112"/>
      <c r="C398" s="3026" t="s">
        <v>13962</v>
      </c>
      <c r="D398" s="3044" t="s">
        <v>13963</v>
      </c>
      <c r="E398" s="3026" t="s">
        <v>13964</v>
      </c>
      <c r="F398" s="3025"/>
      <c r="G398" s="3050" t="s">
        <v>11432</v>
      </c>
      <c r="H398" s="3049"/>
      <c r="I398" s="3047">
        <v>44348</v>
      </c>
      <c r="J398" s="3046" t="s">
        <v>11282</v>
      </c>
      <c r="K398" s="3128" t="s">
        <v>15</v>
      </c>
      <c r="L398" s="3152" t="s">
        <v>972</v>
      </c>
      <c r="M398" s="3113">
        <v>150</v>
      </c>
      <c r="N398" s="3026" t="s">
        <v>13955</v>
      </c>
      <c r="O398" s="2878" t="s">
        <v>15</v>
      </c>
      <c r="P398" s="3026" t="s">
        <v>821</v>
      </c>
      <c r="Q398" s="3026" t="s">
        <v>13965</v>
      </c>
      <c r="R398" s="3027"/>
      <c r="S398" s="3109"/>
      <c r="T398" s="3110"/>
      <c r="U398" s="2991"/>
      <c r="W398" s="2901"/>
      <c r="X398" s="2862"/>
    </row>
    <row r="399" spans="1:24" s="1592" customFormat="1" ht="58" hidden="1" x14ac:dyDescent="0.35">
      <c r="A399" s="3047">
        <v>44331</v>
      </c>
      <c r="B399" s="3112"/>
      <c r="C399" s="3026" t="s">
        <v>13983</v>
      </c>
      <c r="D399" s="3044" t="s">
        <v>13982</v>
      </c>
      <c r="E399" s="3026" t="s">
        <v>14041</v>
      </c>
      <c r="F399" s="3025"/>
      <c r="G399" s="3050" t="s">
        <v>11432</v>
      </c>
      <c r="H399" s="3049"/>
      <c r="I399" s="3047">
        <v>44348</v>
      </c>
      <c r="J399" s="3046" t="s">
        <v>11282</v>
      </c>
      <c r="K399" s="3128" t="s">
        <v>15</v>
      </c>
      <c r="L399" s="3152" t="s">
        <v>972</v>
      </c>
      <c r="M399" s="3113">
        <v>150</v>
      </c>
      <c r="N399" s="3026" t="s">
        <v>13955</v>
      </c>
      <c r="O399" s="2878" t="s">
        <v>15</v>
      </c>
      <c r="P399" s="3026" t="s">
        <v>821</v>
      </c>
      <c r="Q399" s="3026" t="s">
        <v>13984</v>
      </c>
      <c r="R399" s="3027"/>
      <c r="S399" s="3109"/>
      <c r="T399" s="3110"/>
      <c r="U399" s="2989"/>
      <c r="W399" s="2901"/>
      <c r="X399" s="2862"/>
    </row>
    <row r="400" spans="1:24" s="1592" customFormat="1" ht="101.5" hidden="1" x14ac:dyDescent="0.35">
      <c r="A400" s="3047">
        <v>44331</v>
      </c>
      <c r="B400" s="3112"/>
      <c r="C400" s="3026" t="s">
        <v>12517</v>
      </c>
      <c r="D400" s="3044" t="s">
        <v>12516</v>
      </c>
      <c r="E400" s="3026" t="s">
        <v>13949</v>
      </c>
      <c r="F400" s="3025"/>
      <c r="G400" s="3050" t="s">
        <v>11952</v>
      </c>
      <c r="H400" s="3049"/>
      <c r="I400" s="3047">
        <v>44348</v>
      </c>
      <c r="J400" s="3046" t="s">
        <v>11282</v>
      </c>
      <c r="K400" s="3128" t="s">
        <v>15</v>
      </c>
      <c r="L400" s="3152" t="s">
        <v>972</v>
      </c>
      <c r="M400" s="3113">
        <v>300</v>
      </c>
      <c r="N400" s="3025" t="s">
        <v>392</v>
      </c>
      <c r="O400" s="3045" t="s">
        <v>15</v>
      </c>
      <c r="P400" s="3025" t="s">
        <v>821</v>
      </c>
      <c r="Q400" s="3025" t="s">
        <v>13950</v>
      </c>
      <c r="R400" s="3027"/>
      <c r="S400" s="3109"/>
      <c r="T400" s="3110"/>
      <c r="U400" s="2991"/>
      <c r="W400" s="2901"/>
      <c r="X400" s="2862"/>
    </row>
    <row r="401" spans="1:24" s="1592" customFormat="1" ht="43.5" hidden="1" x14ac:dyDescent="0.35">
      <c r="A401" s="3047">
        <v>44332</v>
      </c>
      <c r="B401" s="3042"/>
      <c r="C401" s="3026" t="s">
        <v>14105</v>
      </c>
      <c r="D401" s="3044" t="s">
        <v>9925</v>
      </c>
      <c r="E401" s="3026" t="s">
        <v>14108</v>
      </c>
      <c r="F401" s="3025"/>
      <c r="G401" s="3050" t="s">
        <v>11432</v>
      </c>
      <c r="H401" s="3049"/>
      <c r="I401" s="3047">
        <v>44348</v>
      </c>
      <c r="J401" s="3046" t="s">
        <v>14106</v>
      </c>
      <c r="K401" s="3128" t="s">
        <v>15</v>
      </c>
      <c r="L401" s="3238" t="s">
        <v>972</v>
      </c>
      <c r="M401" s="3038">
        <v>165</v>
      </c>
      <c r="N401" s="3025" t="s">
        <v>392</v>
      </c>
      <c r="O401" s="3045" t="s">
        <v>15</v>
      </c>
      <c r="P401" s="3025" t="s">
        <v>821</v>
      </c>
      <c r="Q401" s="3025" t="s">
        <v>14107</v>
      </c>
      <c r="R401" s="3027"/>
      <c r="S401" s="3031"/>
      <c r="T401" s="3057"/>
      <c r="U401" s="2989"/>
      <c r="W401" s="2901"/>
      <c r="X401" s="2862"/>
    </row>
    <row r="402" spans="1:24" s="1592" customFormat="1" ht="43.5" hidden="1" x14ac:dyDescent="0.35">
      <c r="A402" s="3047">
        <v>44333</v>
      </c>
      <c r="B402" s="3112"/>
      <c r="C402" s="3026" t="s">
        <v>14213</v>
      </c>
      <c r="D402" s="3044" t="s">
        <v>14212</v>
      </c>
      <c r="E402" s="3048" t="s">
        <v>14214</v>
      </c>
      <c r="F402" s="3025"/>
      <c r="G402" s="3050" t="s">
        <v>11432</v>
      </c>
      <c r="H402" s="3049"/>
      <c r="I402" s="3047">
        <v>44348</v>
      </c>
      <c r="J402" s="3046" t="s">
        <v>6032</v>
      </c>
      <c r="K402" s="3128" t="s">
        <v>15</v>
      </c>
      <c r="L402" s="3152" t="s">
        <v>972</v>
      </c>
      <c r="M402" s="3113">
        <v>150</v>
      </c>
      <c r="N402" s="3025" t="s">
        <v>257</v>
      </c>
      <c r="O402" s="3045" t="s">
        <v>15</v>
      </c>
      <c r="P402" s="3025" t="s">
        <v>821</v>
      </c>
      <c r="Q402" s="3025" t="s">
        <v>12458</v>
      </c>
      <c r="R402" s="3027"/>
      <c r="S402" s="3109"/>
      <c r="T402" s="3110"/>
      <c r="U402" s="2991"/>
      <c r="W402" s="2901"/>
      <c r="X402" s="2862"/>
    </row>
    <row r="403" spans="1:24" s="1592" customFormat="1" ht="87" hidden="1" x14ac:dyDescent="0.35">
      <c r="A403" s="3047">
        <v>44327</v>
      </c>
      <c r="B403" s="3112"/>
      <c r="C403" s="3026" t="s">
        <v>13424</v>
      </c>
      <c r="D403" s="3044" t="s">
        <v>13425</v>
      </c>
      <c r="E403" s="3048" t="s">
        <v>13430</v>
      </c>
      <c r="F403" s="3025"/>
      <c r="G403" s="3050" t="s">
        <v>11432</v>
      </c>
      <c r="H403" s="3049"/>
      <c r="I403" s="3047">
        <v>44349</v>
      </c>
      <c r="J403" s="3046" t="s">
        <v>13426</v>
      </c>
      <c r="K403" s="3128" t="s">
        <v>15</v>
      </c>
      <c r="L403" s="3230" t="s">
        <v>3476</v>
      </c>
      <c r="M403" s="3113">
        <v>465</v>
      </c>
      <c r="N403" s="3025" t="s">
        <v>257</v>
      </c>
      <c r="O403" s="3045" t="s">
        <v>15</v>
      </c>
      <c r="P403" s="3025" t="s">
        <v>22</v>
      </c>
      <c r="Q403" s="3026" t="s">
        <v>12462</v>
      </c>
      <c r="R403" s="3028"/>
      <c r="S403" s="3109"/>
      <c r="T403" s="3110"/>
      <c r="U403" s="2991"/>
      <c r="W403" s="2901"/>
      <c r="X403" s="2862"/>
    </row>
    <row r="404" spans="1:24" s="1592" customFormat="1" ht="29" hidden="1" x14ac:dyDescent="0.35">
      <c r="A404" s="3047">
        <v>44321</v>
      </c>
      <c r="B404" s="3042"/>
      <c r="C404" s="3026" t="s">
        <v>12868</v>
      </c>
      <c r="D404" s="3044" t="s">
        <v>12869</v>
      </c>
      <c r="E404" s="3048" t="s">
        <v>12932</v>
      </c>
      <c r="F404" s="3025"/>
      <c r="G404" s="3050" t="s">
        <v>11432</v>
      </c>
      <c r="H404" s="3049"/>
      <c r="I404" s="3047">
        <v>44350</v>
      </c>
      <c r="J404" s="3046" t="s">
        <v>12870</v>
      </c>
      <c r="K404" s="3128" t="s">
        <v>15</v>
      </c>
      <c r="L404" s="3118" t="s">
        <v>972</v>
      </c>
      <c r="M404" s="3038">
        <v>396</v>
      </c>
      <c r="N404" s="3025" t="s">
        <v>257</v>
      </c>
      <c r="O404" s="3045" t="s">
        <v>15</v>
      </c>
      <c r="P404" s="3025" t="s">
        <v>1960</v>
      </c>
      <c r="Q404" s="3025" t="s">
        <v>12468</v>
      </c>
      <c r="R404" s="3025"/>
      <c r="S404" s="2998"/>
      <c r="T404" s="3120"/>
      <c r="U404" s="2989"/>
      <c r="W404" s="2901"/>
      <c r="X404" s="2862"/>
    </row>
    <row r="405" spans="1:24" s="1592" customFormat="1" ht="188.5" hidden="1" x14ac:dyDescent="0.35">
      <c r="A405" s="3047">
        <v>44266</v>
      </c>
      <c r="B405" s="2953"/>
      <c r="C405" s="3026" t="s">
        <v>12314</v>
      </c>
      <c r="D405" s="3044" t="s">
        <v>12315</v>
      </c>
      <c r="E405" s="3026" t="s">
        <v>12316</v>
      </c>
      <c r="F405" s="3025"/>
      <c r="G405" s="3050"/>
      <c r="H405" s="3049"/>
      <c r="I405" s="3047">
        <v>44351</v>
      </c>
      <c r="J405" s="2612" t="s">
        <v>13878</v>
      </c>
      <c r="K405" s="3128" t="s">
        <v>15</v>
      </c>
      <c r="L405" s="3119">
        <v>0.70833333333333337</v>
      </c>
      <c r="M405" s="3038">
        <v>3280</v>
      </c>
      <c r="N405" s="3025" t="s">
        <v>392</v>
      </c>
      <c r="O405" s="3025" t="s">
        <v>15</v>
      </c>
      <c r="P405" s="3025" t="s">
        <v>17</v>
      </c>
      <c r="Q405" s="3025" t="s">
        <v>11183</v>
      </c>
      <c r="R405" s="3025"/>
      <c r="S405" s="3031"/>
      <c r="T405" s="3057"/>
      <c r="U405" s="2992"/>
      <c r="W405" s="2901"/>
      <c r="X405" s="2862"/>
    </row>
    <row r="406" spans="1:24" s="1592" customFormat="1" ht="87" hidden="1" x14ac:dyDescent="0.35">
      <c r="A406" s="3021">
        <v>44330</v>
      </c>
      <c r="B406" s="3035"/>
      <c r="C406" s="3015" t="s">
        <v>13921</v>
      </c>
      <c r="D406" s="3033" t="s">
        <v>13922</v>
      </c>
      <c r="E406" s="3024" t="s">
        <v>13924</v>
      </c>
      <c r="F406" s="3022"/>
      <c r="G406" s="2934"/>
      <c r="H406" s="3049"/>
      <c r="I406" s="3021">
        <v>44352</v>
      </c>
      <c r="J406" s="3034" t="s">
        <v>13923</v>
      </c>
      <c r="K406" s="3122" t="s">
        <v>15</v>
      </c>
      <c r="L406" s="3148" t="s">
        <v>972</v>
      </c>
      <c r="M406" s="3018">
        <v>800</v>
      </c>
      <c r="N406" s="3015" t="s">
        <v>13925</v>
      </c>
      <c r="O406" s="3030" t="s">
        <v>15</v>
      </c>
      <c r="P406" s="3015" t="s">
        <v>821</v>
      </c>
      <c r="Q406" s="3015" t="s">
        <v>12415</v>
      </c>
      <c r="R406" s="3028"/>
      <c r="S406" s="3031"/>
      <c r="T406" s="3057"/>
      <c r="U406" s="2992"/>
      <c r="W406" s="2901"/>
      <c r="X406" s="2862"/>
    </row>
    <row r="407" spans="1:24" s="1592" customFormat="1" ht="58" hidden="1" x14ac:dyDescent="0.35">
      <c r="A407" s="3047">
        <v>44333</v>
      </c>
      <c r="B407" s="3112"/>
      <c r="C407" s="3026" t="s">
        <v>14238</v>
      </c>
      <c r="D407" s="3129"/>
      <c r="E407" s="3048" t="s">
        <v>14271</v>
      </c>
      <c r="F407" s="3025"/>
      <c r="G407" s="3050" t="s">
        <v>11432</v>
      </c>
      <c r="H407" s="3049"/>
      <c r="I407" s="3047">
        <v>44352</v>
      </c>
      <c r="J407" s="3046" t="s">
        <v>14238</v>
      </c>
      <c r="K407" s="3128" t="s">
        <v>15</v>
      </c>
      <c r="L407" s="3228">
        <v>0.58333333333333337</v>
      </c>
      <c r="M407" s="3113">
        <f>5*150+15</f>
        <v>765</v>
      </c>
      <c r="N407" s="3025" t="s">
        <v>257</v>
      </c>
      <c r="O407" s="2878" t="s">
        <v>15</v>
      </c>
      <c r="P407" s="3026" t="s">
        <v>821</v>
      </c>
      <c r="Q407" s="3026" t="s">
        <v>12405</v>
      </c>
      <c r="R407" s="3028"/>
      <c r="S407" s="3109"/>
      <c r="T407" s="3110"/>
      <c r="U407" s="2992"/>
      <c r="W407" s="2901"/>
      <c r="X407" s="2862"/>
    </row>
    <row r="408" spans="1:24" s="1592" customFormat="1" ht="333.5" hidden="1" x14ac:dyDescent="0.35">
      <c r="A408" s="3047">
        <v>44333</v>
      </c>
      <c r="B408" s="3112"/>
      <c r="C408" s="3026" t="s">
        <v>14246</v>
      </c>
      <c r="D408" s="3044" t="s">
        <v>14247</v>
      </c>
      <c r="E408" s="3048" t="s">
        <v>14248</v>
      </c>
      <c r="F408" s="3025"/>
      <c r="G408" s="3050" t="s">
        <v>12156</v>
      </c>
      <c r="H408" s="3049"/>
      <c r="I408" s="3047">
        <v>44353</v>
      </c>
      <c r="J408" s="2948" t="s">
        <v>14250</v>
      </c>
      <c r="K408" s="3128">
        <v>0.41666666666666669</v>
      </c>
      <c r="L408" s="3157" t="s">
        <v>14249</v>
      </c>
      <c r="M408" s="3113">
        <v>2184</v>
      </c>
      <c r="N408" s="3025" t="s">
        <v>257</v>
      </c>
      <c r="O408" s="3045" t="s">
        <v>15</v>
      </c>
      <c r="P408" s="3025" t="s">
        <v>22</v>
      </c>
      <c r="Q408" s="3025" t="s">
        <v>12410</v>
      </c>
      <c r="R408" s="3028"/>
      <c r="S408" s="3109"/>
      <c r="T408" s="3110"/>
      <c r="U408" s="2992"/>
      <c r="W408" s="2901"/>
      <c r="X408" s="2862"/>
    </row>
    <row r="409" spans="1:24" s="1592" customFormat="1" ht="29" hidden="1" x14ac:dyDescent="0.35">
      <c r="A409" s="3047">
        <v>44333</v>
      </c>
      <c r="B409" s="3112"/>
      <c r="C409" s="3026" t="s">
        <v>14234</v>
      </c>
      <c r="D409" s="3044" t="s">
        <v>10185</v>
      </c>
      <c r="E409" s="3048" t="s">
        <v>14235</v>
      </c>
      <c r="F409" s="3025"/>
      <c r="G409" s="3050" t="s">
        <v>11432</v>
      </c>
      <c r="H409" s="3049"/>
      <c r="I409" s="3047">
        <v>44353</v>
      </c>
      <c r="J409" s="3046" t="s">
        <v>14233</v>
      </c>
      <c r="K409" s="3128" t="s">
        <v>15</v>
      </c>
      <c r="L409" s="3152" t="s">
        <v>972</v>
      </c>
      <c r="M409" s="3111">
        <v>1000</v>
      </c>
      <c r="N409" s="3025" t="s">
        <v>14245</v>
      </c>
      <c r="O409" s="2878" t="s">
        <v>15</v>
      </c>
      <c r="P409" s="3026" t="s">
        <v>216</v>
      </c>
      <c r="Q409" s="3026" t="s">
        <v>12406</v>
      </c>
      <c r="R409" s="3027"/>
      <c r="S409" s="3109"/>
      <c r="T409" s="3110"/>
      <c r="U409" s="2989"/>
      <c r="W409" s="2901"/>
      <c r="X409" s="2862"/>
    </row>
    <row r="410" spans="1:24" s="1592" customFormat="1" ht="145" hidden="1" x14ac:dyDescent="0.35">
      <c r="A410" s="3047">
        <v>44321</v>
      </c>
      <c r="B410" s="3112"/>
      <c r="C410" s="3026" t="s">
        <v>12868</v>
      </c>
      <c r="D410" s="3044" t="s">
        <v>12869</v>
      </c>
      <c r="E410" s="3048" t="s">
        <v>12916</v>
      </c>
      <c r="F410" s="3025"/>
      <c r="G410" s="3050" t="s">
        <v>11478</v>
      </c>
      <c r="H410" s="2934"/>
      <c r="I410" s="3047">
        <v>44353</v>
      </c>
      <c r="J410" s="2948" t="s">
        <v>12927</v>
      </c>
      <c r="K410" s="3128" t="s">
        <v>15</v>
      </c>
      <c r="L410" s="3119">
        <v>0.70833333333333337</v>
      </c>
      <c r="M410" s="3113">
        <v>2520</v>
      </c>
      <c r="N410" s="3025" t="s">
        <v>13877</v>
      </c>
      <c r="O410" s="3045" t="s">
        <v>15</v>
      </c>
      <c r="P410" s="3025" t="s">
        <v>821</v>
      </c>
      <c r="Q410" s="3025" t="s">
        <v>12458</v>
      </c>
      <c r="R410" s="3027"/>
      <c r="S410" s="3109"/>
      <c r="T410" s="3110"/>
      <c r="U410" s="2991"/>
      <c r="W410" s="2901"/>
      <c r="X410" s="2862"/>
    </row>
    <row r="411" spans="1:24" s="1592" customFormat="1" ht="275.5" hidden="1" x14ac:dyDescent="0.35">
      <c r="A411" s="2960">
        <v>43875</v>
      </c>
      <c r="B411" s="2997"/>
      <c r="C411" s="2956" t="s">
        <v>11271</v>
      </c>
      <c r="D411" s="2875"/>
      <c r="E411" s="2956" t="s">
        <v>6923</v>
      </c>
      <c r="F411" s="3029"/>
      <c r="G411" s="2889"/>
      <c r="H411" s="2892"/>
      <c r="I411" s="2960">
        <v>44353</v>
      </c>
      <c r="J411" s="2428" t="s">
        <v>6924</v>
      </c>
      <c r="K411" s="3119" t="s">
        <v>15</v>
      </c>
      <c r="L411" s="3119">
        <v>0.74305555555555547</v>
      </c>
      <c r="M411" s="2962">
        <v>5151</v>
      </c>
      <c r="N411" s="3027" t="s">
        <v>6760</v>
      </c>
      <c r="O411" s="3027" t="s">
        <v>15</v>
      </c>
      <c r="P411" s="3027" t="s">
        <v>17</v>
      </c>
      <c r="Q411" s="3027" t="s">
        <v>6450</v>
      </c>
      <c r="R411" s="3027"/>
      <c r="S411" s="3031"/>
      <c r="T411" s="3057"/>
      <c r="U411" s="2991"/>
      <c r="W411" s="2901"/>
      <c r="X411" s="2862"/>
    </row>
    <row r="412" spans="1:24" s="1592" customFormat="1" ht="29" hidden="1" x14ac:dyDescent="0.35">
      <c r="A412" s="2486">
        <v>44245</v>
      </c>
      <c r="B412" s="2596"/>
      <c r="C412" s="5" t="s">
        <v>11286</v>
      </c>
      <c r="D412" s="3032" t="s">
        <v>12064</v>
      </c>
      <c r="E412" s="5" t="s">
        <v>12155</v>
      </c>
      <c r="F412" s="3029"/>
      <c r="G412" s="3040" t="s">
        <v>11446</v>
      </c>
      <c r="H412" s="2892"/>
      <c r="I412" s="2486">
        <v>44354</v>
      </c>
      <c r="J412" s="2722" t="s">
        <v>3798</v>
      </c>
      <c r="K412" s="6" t="s">
        <v>15</v>
      </c>
      <c r="L412" s="3117" t="s">
        <v>3798</v>
      </c>
      <c r="M412" s="3039">
        <v>0</v>
      </c>
      <c r="N412" s="3016" t="s">
        <v>3798</v>
      </c>
      <c r="O412" s="3016" t="s">
        <v>3798</v>
      </c>
      <c r="P412" s="3016" t="s">
        <v>821</v>
      </c>
      <c r="Q412" s="3016" t="s">
        <v>3798</v>
      </c>
      <c r="R412" s="3016"/>
      <c r="S412" s="3031"/>
      <c r="T412" s="3057"/>
      <c r="U412" s="2991"/>
      <c r="W412" s="2901"/>
      <c r="X412" s="2862"/>
    </row>
    <row r="413" spans="1:24" s="1592" customFormat="1" ht="290" hidden="1" x14ac:dyDescent="0.35">
      <c r="A413" s="1957">
        <v>43899</v>
      </c>
      <c r="B413" s="3064"/>
      <c r="C413" s="1412" t="s">
        <v>11243</v>
      </c>
      <c r="D413" s="3031" t="s">
        <v>11363</v>
      </c>
      <c r="E413" s="1412" t="s">
        <v>7262</v>
      </c>
      <c r="F413" s="3029"/>
      <c r="G413" s="3093"/>
      <c r="H413" s="2892"/>
      <c r="I413" s="1957">
        <v>44359</v>
      </c>
      <c r="J413" s="2435" t="s">
        <v>7260</v>
      </c>
      <c r="K413" s="3117">
        <v>0.75</v>
      </c>
      <c r="L413" s="3117">
        <v>0.75</v>
      </c>
      <c r="M413" s="3020">
        <v>1094</v>
      </c>
      <c r="N413" s="3016" t="s">
        <v>7261</v>
      </c>
      <c r="O413" s="3016" t="s">
        <v>15</v>
      </c>
      <c r="P413" s="3016" t="s">
        <v>17</v>
      </c>
      <c r="Q413" s="3016" t="s">
        <v>6450</v>
      </c>
      <c r="R413" s="3016"/>
      <c r="S413" s="3031"/>
      <c r="T413" s="3057"/>
      <c r="U413" s="2989"/>
      <c r="W413" s="2901"/>
      <c r="X413" s="2862"/>
    </row>
    <row r="414" spans="1:24" s="1592" customFormat="1" ht="43.5" hidden="1" x14ac:dyDescent="0.35">
      <c r="A414" s="3047">
        <v>44326</v>
      </c>
      <c r="B414" s="3112"/>
      <c r="C414" s="3026" t="s">
        <v>12873</v>
      </c>
      <c r="D414" s="3044" t="s">
        <v>13324</v>
      </c>
      <c r="E414" s="3048" t="s">
        <v>14272</v>
      </c>
      <c r="F414" s="3025"/>
      <c r="G414" s="3050" t="s">
        <v>11432</v>
      </c>
      <c r="H414" s="3049"/>
      <c r="I414" s="3047">
        <v>44359</v>
      </c>
      <c r="J414" s="3046" t="s">
        <v>13325</v>
      </c>
      <c r="K414" s="3128" t="s">
        <v>15</v>
      </c>
      <c r="L414" s="3152" t="s">
        <v>972</v>
      </c>
      <c r="M414" s="3113">
        <f>4*150+15</f>
        <v>615</v>
      </c>
      <c r="N414" s="3025" t="s">
        <v>257</v>
      </c>
      <c r="O414" s="3045" t="s">
        <v>15</v>
      </c>
      <c r="P414" s="3025" t="s">
        <v>216</v>
      </c>
      <c r="Q414" s="3025" t="s">
        <v>12411</v>
      </c>
      <c r="R414" s="3027"/>
      <c r="S414" s="3109"/>
      <c r="T414" s="3110"/>
      <c r="U414" s="2989"/>
      <c r="W414" s="2901"/>
      <c r="X414" s="2862"/>
    </row>
    <row r="415" spans="1:24" s="1592" customFormat="1" ht="246.5" hidden="1" x14ac:dyDescent="0.35">
      <c r="A415" s="3130">
        <v>44252</v>
      </c>
      <c r="B415" s="2596"/>
      <c r="C415" s="2957" t="s">
        <v>12190</v>
      </c>
      <c r="D415" s="3032"/>
      <c r="E415" s="2976" t="s">
        <v>12194</v>
      </c>
      <c r="F415" s="3029"/>
      <c r="G415" s="3040" t="s">
        <v>11478</v>
      </c>
      <c r="H415" s="2892"/>
      <c r="I415" s="2958">
        <v>44359</v>
      </c>
      <c r="J415" s="2975" t="s">
        <v>12191</v>
      </c>
      <c r="K415" s="6" t="s">
        <v>15</v>
      </c>
      <c r="L415" s="2981" t="s">
        <v>12192</v>
      </c>
      <c r="M415" s="3020">
        <v>1000</v>
      </c>
      <c r="N415" s="2961" t="s">
        <v>12193</v>
      </c>
      <c r="O415" s="3016" t="s">
        <v>15</v>
      </c>
      <c r="P415" s="3016" t="s">
        <v>12070</v>
      </c>
      <c r="Q415" s="3016" t="s">
        <v>8499</v>
      </c>
      <c r="R415" s="3016"/>
      <c r="S415" s="3031"/>
      <c r="T415" s="3057"/>
      <c r="U415" s="2989"/>
      <c r="W415" s="2901"/>
      <c r="X415" s="2862"/>
    </row>
    <row r="416" spans="1:24" s="1592" customFormat="1" ht="203" hidden="1" x14ac:dyDescent="0.35">
      <c r="A416" s="3047">
        <v>44328</v>
      </c>
      <c r="B416" s="3112"/>
      <c r="C416" s="3026" t="s">
        <v>13665</v>
      </c>
      <c r="D416" s="3044" t="s">
        <v>13666</v>
      </c>
      <c r="E416" s="3025" t="s">
        <v>13668</v>
      </c>
      <c r="F416" s="3022"/>
      <c r="G416" s="2933" t="s">
        <v>11478</v>
      </c>
      <c r="H416" s="3049"/>
      <c r="I416" s="3047">
        <v>44359</v>
      </c>
      <c r="J416" s="2948" t="s">
        <v>13667</v>
      </c>
      <c r="K416" s="3128">
        <v>0.4375</v>
      </c>
      <c r="L416" s="3157" t="s">
        <v>13669</v>
      </c>
      <c r="M416" s="3113">
        <v>1000</v>
      </c>
      <c r="N416" s="3025" t="s">
        <v>257</v>
      </c>
      <c r="O416" s="3045" t="s">
        <v>15</v>
      </c>
      <c r="P416" s="3025" t="s">
        <v>821</v>
      </c>
      <c r="Q416" s="3025" t="s">
        <v>12425</v>
      </c>
      <c r="R416" s="3027"/>
      <c r="S416" s="3109"/>
      <c r="T416" s="3110"/>
      <c r="U416" s="2989"/>
      <c r="W416" s="2901"/>
      <c r="X416" s="2862"/>
    </row>
    <row r="417" spans="1:24" s="1592" customFormat="1" ht="261" hidden="1" x14ac:dyDescent="0.35">
      <c r="A417" s="3047">
        <v>44328</v>
      </c>
      <c r="B417" s="3112"/>
      <c r="C417" s="3026" t="s">
        <v>13597</v>
      </c>
      <c r="D417" s="3044" t="s">
        <v>13598</v>
      </c>
      <c r="E417" s="3025" t="s">
        <v>13596</v>
      </c>
      <c r="F417" s="3022"/>
      <c r="G417" s="2933" t="s">
        <v>12156</v>
      </c>
      <c r="H417" s="3049"/>
      <c r="I417" s="3047">
        <v>44360</v>
      </c>
      <c r="J417" s="2948" t="s">
        <v>13595</v>
      </c>
      <c r="K417" s="3128">
        <v>0.5625</v>
      </c>
      <c r="L417" s="3157" t="s">
        <v>13594</v>
      </c>
      <c r="M417" s="3113">
        <v>3090</v>
      </c>
      <c r="N417" s="3025" t="s">
        <v>13599</v>
      </c>
      <c r="O417" s="3045" t="s">
        <v>15</v>
      </c>
      <c r="P417" s="3025" t="s">
        <v>821</v>
      </c>
      <c r="Q417" s="3025" t="s">
        <v>12404</v>
      </c>
      <c r="R417" s="3027"/>
      <c r="S417" s="3109"/>
      <c r="T417" s="3110"/>
      <c r="U417" s="2991"/>
      <c r="W417" s="2901"/>
      <c r="X417" s="2862"/>
    </row>
    <row r="418" spans="1:24" s="1592" customFormat="1" ht="58" hidden="1" x14ac:dyDescent="0.35">
      <c r="A418" s="2486">
        <v>44328</v>
      </c>
      <c r="B418" s="3107"/>
      <c r="C418" s="5" t="s">
        <v>13611</v>
      </c>
      <c r="D418" s="3032" t="s">
        <v>1841</v>
      </c>
      <c r="E418" s="3016" t="s">
        <v>13613</v>
      </c>
      <c r="F418" s="3029"/>
      <c r="G418" s="3040" t="s">
        <v>14319</v>
      </c>
      <c r="H418" s="3041"/>
      <c r="I418" s="2486">
        <v>44360</v>
      </c>
      <c r="J418" s="2722" t="s">
        <v>13612</v>
      </c>
      <c r="K418" s="6" t="s">
        <v>15</v>
      </c>
      <c r="L418" s="3149" t="s">
        <v>972</v>
      </c>
      <c r="M418" s="3108">
        <v>199</v>
      </c>
      <c r="N418" s="3016" t="s">
        <v>13614</v>
      </c>
      <c r="O418" s="3030" t="s">
        <v>15</v>
      </c>
      <c r="P418" s="3015" t="s">
        <v>821</v>
      </c>
      <c r="Q418" s="3015" t="s">
        <v>12411</v>
      </c>
      <c r="R418" s="3027"/>
      <c r="S418" s="3109"/>
      <c r="T418" s="3110"/>
      <c r="U418" s="2991"/>
      <c r="W418" s="2901"/>
      <c r="X418" s="2862"/>
    </row>
    <row r="419" spans="1:24" s="1592" customFormat="1" ht="333.5" hidden="1" x14ac:dyDescent="0.35">
      <c r="A419" s="3047">
        <v>44245</v>
      </c>
      <c r="B419" s="2953"/>
      <c r="C419" s="3026" t="s">
        <v>11987</v>
      </c>
      <c r="D419" s="3044" t="s">
        <v>11988</v>
      </c>
      <c r="E419" s="3026" t="s">
        <v>12153</v>
      </c>
      <c r="F419" s="3025"/>
      <c r="G419" s="3050" t="s">
        <v>12156</v>
      </c>
      <c r="H419" s="3049"/>
      <c r="I419" s="3047">
        <v>44360</v>
      </c>
      <c r="J419" s="2612" t="s">
        <v>12154</v>
      </c>
      <c r="K419" s="3128" t="s">
        <v>15</v>
      </c>
      <c r="L419" s="3119" t="s">
        <v>1667</v>
      </c>
      <c r="M419" s="3038">
        <v>1338</v>
      </c>
      <c r="N419" s="3025" t="s">
        <v>11983</v>
      </c>
      <c r="O419" s="3025" t="s">
        <v>15</v>
      </c>
      <c r="P419" s="3025" t="s">
        <v>17</v>
      </c>
      <c r="Q419" s="3025" t="s">
        <v>11183</v>
      </c>
      <c r="R419" s="3025"/>
      <c r="S419" s="3031"/>
      <c r="T419" s="3057"/>
      <c r="U419" s="2989"/>
      <c r="W419" s="2901"/>
      <c r="X419" s="2862"/>
    </row>
    <row r="420" spans="1:24" s="1592" customFormat="1" ht="261" hidden="1" x14ac:dyDescent="0.35">
      <c r="A420" s="1999">
        <v>43873</v>
      </c>
      <c r="B420" s="3132"/>
      <c r="C420" s="1850" t="s">
        <v>6674</v>
      </c>
      <c r="D420" s="3031"/>
      <c r="E420" s="3027" t="s">
        <v>7106</v>
      </c>
      <c r="F420" s="3029"/>
      <c r="G420" s="2896"/>
      <c r="H420" s="2892"/>
      <c r="I420" s="1999">
        <v>44364</v>
      </c>
      <c r="J420" s="2521" t="s">
        <v>6676</v>
      </c>
      <c r="K420" s="2898" t="s">
        <v>15</v>
      </c>
      <c r="L420" s="3117">
        <v>0.77083333333333337</v>
      </c>
      <c r="M420" s="3020">
        <v>6500</v>
      </c>
      <c r="N420" s="3016" t="s">
        <v>6677</v>
      </c>
      <c r="O420" s="3016" t="s">
        <v>15</v>
      </c>
      <c r="P420" s="3016" t="s">
        <v>17</v>
      </c>
      <c r="Q420" s="3016" t="s">
        <v>6450</v>
      </c>
      <c r="R420" s="3016"/>
      <c r="S420" s="3031"/>
      <c r="T420" s="3057"/>
      <c r="U420" s="2991"/>
      <c r="W420" s="2901"/>
      <c r="X420" s="2862"/>
    </row>
    <row r="421" spans="1:24" s="1592" customFormat="1" ht="43.5" hidden="1" x14ac:dyDescent="0.35">
      <c r="A421" s="3047">
        <v>44327</v>
      </c>
      <c r="B421" s="3042"/>
      <c r="C421" s="3026" t="s">
        <v>13415</v>
      </c>
      <c r="D421" s="3044" t="s">
        <v>13416</v>
      </c>
      <c r="E421" s="3048" t="s">
        <v>13417</v>
      </c>
      <c r="F421" s="3025"/>
      <c r="G421" s="3050" t="s">
        <v>11432</v>
      </c>
      <c r="H421" s="3049"/>
      <c r="I421" s="3047">
        <v>44366</v>
      </c>
      <c r="J421" s="3046" t="s">
        <v>13414</v>
      </c>
      <c r="K421" s="3128" t="s">
        <v>15</v>
      </c>
      <c r="L421" s="3157" t="s">
        <v>13419</v>
      </c>
      <c r="M421" s="3038">
        <v>765</v>
      </c>
      <c r="N421" s="3025" t="s">
        <v>257</v>
      </c>
      <c r="O421" s="3045" t="s">
        <v>15</v>
      </c>
      <c r="P421" s="3025" t="s">
        <v>821</v>
      </c>
      <c r="Q421" s="3025" t="s">
        <v>12471</v>
      </c>
      <c r="R421" s="3027"/>
      <c r="S421" s="3031"/>
      <c r="T421" s="3057"/>
      <c r="U421" s="2989"/>
      <c r="W421" s="2901"/>
      <c r="X421" s="2862"/>
    </row>
    <row r="422" spans="1:24" s="1592" customFormat="1" ht="348" hidden="1" x14ac:dyDescent="0.35">
      <c r="A422" s="3047">
        <v>44322</v>
      </c>
      <c r="B422" s="3112"/>
      <c r="C422" s="3048" t="s">
        <v>13003</v>
      </c>
      <c r="D422" s="3044" t="s">
        <v>11828</v>
      </c>
      <c r="E422" s="3025" t="s">
        <v>13005</v>
      </c>
      <c r="F422" s="3025"/>
      <c r="G422" s="3050" t="s">
        <v>11478</v>
      </c>
      <c r="H422" s="3049"/>
      <c r="I422" s="3047">
        <v>44367</v>
      </c>
      <c r="J422" s="2948" t="s">
        <v>13004</v>
      </c>
      <c r="K422" s="3128" t="s">
        <v>15</v>
      </c>
      <c r="L422" s="3118" t="s">
        <v>972</v>
      </c>
      <c r="M422" s="3113">
        <v>0</v>
      </c>
      <c r="N422" s="3025" t="s">
        <v>12331</v>
      </c>
      <c r="O422" s="3045" t="s">
        <v>15</v>
      </c>
      <c r="P422" s="3025" t="s">
        <v>821</v>
      </c>
      <c r="Q422" s="3025" t="s">
        <v>12406</v>
      </c>
      <c r="R422" s="3027"/>
      <c r="S422" s="3109"/>
      <c r="T422" s="3110"/>
      <c r="U422" s="2991"/>
      <c r="W422" s="2901"/>
      <c r="X422" s="2862"/>
    </row>
    <row r="423" spans="1:24" s="1592" customFormat="1" ht="145" hidden="1" x14ac:dyDescent="0.35">
      <c r="A423" s="3047">
        <v>44330</v>
      </c>
      <c r="B423" s="3042"/>
      <c r="C423" s="3026" t="s">
        <v>13935</v>
      </c>
      <c r="D423" s="3044" t="s">
        <v>10648</v>
      </c>
      <c r="E423" s="3048" t="s">
        <v>13936</v>
      </c>
      <c r="F423" s="3022"/>
      <c r="G423" s="2933" t="s">
        <v>11432</v>
      </c>
      <c r="H423" s="3049"/>
      <c r="I423" s="3047">
        <v>44367</v>
      </c>
      <c r="J423" s="2883" t="s">
        <v>13920</v>
      </c>
      <c r="K423" s="3128" t="s">
        <v>15</v>
      </c>
      <c r="L423" s="3152" t="s">
        <v>972</v>
      </c>
      <c r="M423" s="3038">
        <v>1390</v>
      </c>
      <c r="N423" s="3025" t="s">
        <v>257</v>
      </c>
      <c r="O423" s="3045" t="s">
        <v>15</v>
      </c>
      <c r="P423" s="3025" t="s">
        <v>216</v>
      </c>
      <c r="Q423" s="3026" t="s">
        <v>12427</v>
      </c>
      <c r="R423" s="3027"/>
      <c r="S423" s="3031"/>
      <c r="T423" s="3057"/>
      <c r="U423" s="2991"/>
      <c r="W423" s="2901"/>
      <c r="X423" s="2862"/>
    </row>
    <row r="424" spans="1:24" s="1592" customFormat="1" ht="145" hidden="1" x14ac:dyDescent="0.35">
      <c r="A424" s="3047">
        <v>44325</v>
      </c>
      <c r="B424" s="3042"/>
      <c r="C424" s="3026" t="s">
        <v>13256</v>
      </c>
      <c r="D424" s="3044"/>
      <c r="E424" s="3048" t="s">
        <v>13257</v>
      </c>
      <c r="F424" s="3025"/>
      <c r="G424" s="3050" t="s">
        <v>11478</v>
      </c>
      <c r="H424" s="3049"/>
      <c r="I424" s="3047">
        <v>44373</v>
      </c>
      <c r="J424" s="2948" t="s">
        <v>13258</v>
      </c>
      <c r="K424" s="3128" t="s">
        <v>15</v>
      </c>
      <c r="L424" s="3157">
        <v>0.58333333333333337</v>
      </c>
      <c r="M424" s="3038">
        <v>1000</v>
      </c>
      <c r="N424" s="3025" t="s">
        <v>13259</v>
      </c>
      <c r="O424" s="3045" t="s">
        <v>15</v>
      </c>
      <c r="P424" s="3025" t="s">
        <v>17</v>
      </c>
      <c r="Q424" s="3026" t="s">
        <v>13260</v>
      </c>
      <c r="R424" s="3027"/>
      <c r="S424" s="3031"/>
      <c r="T424" s="3057"/>
      <c r="U424" s="2989"/>
      <c r="W424" s="2901"/>
      <c r="X424" s="2862"/>
    </row>
    <row r="425" spans="1:24" s="1592" customFormat="1" ht="261" hidden="1" x14ac:dyDescent="0.35">
      <c r="A425" s="2486">
        <v>44280</v>
      </c>
      <c r="B425" s="2596"/>
      <c r="C425" s="5" t="s">
        <v>12300</v>
      </c>
      <c r="D425" s="2986" t="s">
        <v>12301</v>
      </c>
      <c r="E425" s="5" t="s">
        <v>12333</v>
      </c>
      <c r="F425" s="3029"/>
      <c r="G425" s="3040" t="s">
        <v>11478</v>
      </c>
      <c r="H425" s="2892"/>
      <c r="I425" s="2486">
        <v>44374</v>
      </c>
      <c r="J425" s="2612" t="s">
        <v>12335</v>
      </c>
      <c r="K425" s="6" t="s">
        <v>15</v>
      </c>
      <c r="L425" s="3119" t="s">
        <v>12336</v>
      </c>
      <c r="M425" s="3020">
        <v>2869</v>
      </c>
      <c r="N425" s="3016" t="s">
        <v>12334</v>
      </c>
      <c r="O425" s="3016" t="s">
        <v>15</v>
      </c>
      <c r="P425" s="3016" t="s">
        <v>17</v>
      </c>
      <c r="Q425" s="3016" t="s">
        <v>10908</v>
      </c>
      <c r="R425" s="3027"/>
      <c r="S425" s="3031"/>
      <c r="T425" s="3057"/>
      <c r="U425" s="2991"/>
      <c r="W425" s="2901"/>
      <c r="X425" s="2862"/>
    </row>
    <row r="426" spans="1:24" s="1592" customFormat="1" ht="409.5" hidden="1" x14ac:dyDescent="0.35">
      <c r="A426" s="2958">
        <v>44246</v>
      </c>
      <c r="B426" s="2596"/>
      <c r="C426" s="2957" t="s">
        <v>12164</v>
      </c>
      <c r="D426" s="3032" t="s">
        <v>12127</v>
      </c>
      <c r="E426" s="2976" t="s">
        <v>12168</v>
      </c>
      <c r="F426" s="3029"/>
      <c r="G426" s="2950" t="s">
        <v>12167</v>
      </c>
      <c r="H426" s="3063"/>
      <c r="I426" s="2486">
        <v>44394</v>
      </c>
      <c r="J426" s="2612" t="s">
        <v>12165</v>
      </c>
      <c r="K426" s="6" t="s">
        <v>15</v>
      </c>
      <c r="L426" s="3119" t="s">
        <v>49</v>
      </c>
      <c r="M426" s="2930">
        <v>3896</v>
      </c>
      <c r="N426" s="3027" t="s">
        <v>12166</v>
      </c>
      <c r="O426" s="3016" t="s">
        <v>15</v>
      </c>
      <c r="P426" s="3016" t="s">
        <v>12070</v>
      </c>
      <c r="Q426" s="3016" t="s">
        <v>11183</v>
      </c>
      <c r="R426" s="3016"/>
      <c r="S426" s="3031"/>
      <c r="T426" s="3057"/>
      <c r="U426" s="2991"/>
      <c r="W426" s="2901"/>
      <c r="X426" s="2862"/>
    </row>
    <row r="427" spans="1:24" s="1592" customFormat="1" ht="246.5" hidden="1" x14ac:dyDescent="0.35">
      <c r="A427" s="2486">
        <v>44256</v>
      </c>
      <c r="B427" s="2596"/>
      <c r="C427" s="5" t="s">
        <v>12211</v>
      </c>
      <c r="D427" s="3032" t="s">
        <v>12184</v>
      </c>
      <c r="E427" s="2725" t="s">
        <v>12213</v>
      </c>
      <c r="F427" s="3029"/>
      <c r="G427" s="3040" t="s">
        <v>11478</v>
      </c>
      <c r="H427" s="2892"/>
      <c r="I427" s="2486">
        <v>44395</v>
      </c>
      <c r="J427" s="3145" t="s">
        <v>12214</v>
      </c>
      <c r="K427" s="6" t="s">
        <v>15</v>
      </c>
      <c r="L427" s="2970" t="s">
        <v>12212</v>
      </c>
      <c r="M427" s="2962">
        <v>1500</v>
      </c>
      <c r="N427" s="3027" t="s">
        <v>12245</v>
      </c>
      <c r="O427" s="3016" t="s">
        <v>15</v>
      </c>
      <c r="P427" s="3016" t="s">
        <v>12070</v>
      </c>
      <c r="Q427" s="3016" t="s">
        <v>11183</v>
      </c>
      <c r="R427" s="3016"/>
      <c r="S427" s="3031"/>
      <c r="T427" s="3057"/>
      <c r="U427" s="2991"/>
      <c r="W427" s="2901"/>
      <c r="X427" s="2862"/>
    </row>
    <row r="428" spans="1:24" s="1592" customFormat="1" ht="290" hidden="1" x14ac:dyDescent="0.35">
      <c r="A428" s="2486">
        <v>43896</v>
      </c>
      <c r="B428" s="2545"/>
      <c r="C428" s="5" t="s">
        <v>11281</v>
      </c>
      <c r="D428" s="3031" t="s">
        <v>11364</v>
      </c>
      <c r="E428" s="2956" t="s">
        <v>7219</v>
      </c>
      <c r="F428" s="3029"/>
      <c r="G428" s="2889"/>
      <c r="H428" s="2892"/>
      <c r="I428" s="2486">
        <v>44395</v>
      </c>
      <c r="J428" s="1571" t="s">
        <v>7217</v>
      </c>
      <c r="K428" s="6"/>
      <c r="L428" s="3117">
        <v>0.75</v>
      </c>
      <c r="M428" s="3020">
        <v>4041</v>
      </c>
      <c r="N428" s="3016" t="s">
        <v>7218</v>
      </c>
      <c r="O428" s="3016"/>
      <c r="P428" s="3016" t="s">
        <v>974</v>
      </c>
      <c r="Q428" s="3016" t="s">
        <v>7216</v>
      </c>
      <c r="R428" s="3016"/>
      <c r="S428" s="3031"/>
      <c r="T428" s="3057"/>
      <c r="U428" s="2989"/>
      <c r="W428" s="2901"/>
      <c r="X428" s="2862"/>
    </row>
    <row r="429" spans="1:24" s="1592" customFormat="1" ht="29" hidden="1" x14ac:dyDescent="0.35">
      <c r="A429" s="1957">
        <v>43851</v>
      </c>
      <c r="B429" s="2596"/>
      <c r="C429" s="1412" t="s">
        <v>20</v>
      </c>
      <c r="D429" s="3031"/>
      <c r="E429" s="10" t="s">
        <v>11276</v>
      </c>
      <c r="F429" s="3029"/>
      <c r="G429" s="2893"/>
      <c r="H429" s="2892"/>
      <c r="I429" s="1808">
        <v>44396</v>
      </c>
      <c r="J429" s="2428" t="s">
        <v>20</v>
      </c>
      <c r="K429" s="12" t="s">
        <v>15</v>
      </c>
      <c r="L429" s="3117" t="s">
        <v>15</v>
      </c>
      <c r="M429" s="3020">
        <v>0</v>
      </c>
      <c r="N429" s="3016" t="s">
        <v>20</v>
      </c>
      <c r="O429" s="3016"/>
      <c r="P429" s="3016" t="s">
        <v>17</v>
      </c>
      <c r="Q429" s="3016" t="s">
        <v>20</v>
      </c>
      <c r="R429" s="3016"/>
      <c r="S429" s="3031"/>
      <c r="T429" s="3057"/>
      <c r="U429" s="2989"/>
      <c r="W429" s="2901"/>
      <c r="X429" s="2862"/>
    </row>
    <row r="430" spans="1:24" s="1592" customFormat="1" ht="362.5" hidden="1" x14ac:dyDescent="0.35">
      <c r="A430" s="1957">
        <v>43857</v>
      </c>
      <c r="B430" s="3064"/>
      <c r="C430" s="1412" t="s">
        <v>6642</v>
      </c>
      <c r="D430" s="3031"/>
      <c r="E430" s="10" t="s">
        <v>6477</v>
      </c>
      <c r="F430" s="3029"/>
      <c r="G430" s="2893"/>
      <c r="H430" s="2892"/>
      <c r="I430" s="1808">
        <v>44401</v>
      </c>
      <c r="J430" s="2428" t="s">
        <v>11190</v>
      </c>
      <c r="K430" s="12" t="s">
        <v>15</v>
      </c>
      <c r="L430" s="3117">
        <v>0.77083333333333337</v>
      </c>
      <c r="M430" s="3020">
        <v>3800</v>
      </c>
      <c r="N430" s="3016" t="s">
        <v>11297</v>
      </c>
      <c r="O430" s="3016" t="s">
        <v>15</v>
      </c>
      <c r="P430" s="3016" t="s">
        <v>17</v>
      </c>
      <c r="Q430" s="3016" t="s">
        <v>6045</v>
      </c>
      <c r="R430" s="3016"/>
      <c r="S430" s="3031"/>
      <c r="T430" s="3057"/>
      <c r="U430" s="2991"/>
      <c r="W430" s="2901"/>
      <c r="X430" s="2862"/>
    </row>
    <row r="431" spans="1:24" s="1592" customFormat="1" ht="188.5" hidden="1" x14ac:dyDescent="0.35">
      <c r="A431" s="2884">
        <v>43872</v>
      </c>
      <c r="B431" s="2596"/>
      <c r="C431" s="3016" t="s">
        <v>11266</v>
      </c>
      <c r="D431" s="3031"/>
      <c r="E431" s="3016" t="s">
        <v>6639</v>
      </c>
      <c r="F431" s="3029"/>
      <c r="G431" s="3040"/>
      <c r="H431" s="2892"/>
      <c r="I431" s="2884">
        <v>44401</v>
      </c>
      <c r="J431" s="2428" t="s">
        <v>11267</v>
      </c>
      <c r="K431" s="3117" t="s">
        <v>15</v>
      </c>
      <c r="L431" s="3117">
        <v>0.77083333333333337</v>
      </c>
      <c r="M431" s="3020">
        <v>950</v>
      </c>
      <c r="N431" s="3016" t="s">
        <v>6641</v>
      </c>
      <c r="O431" s="3016" t="s">
        <v>15</v>
      </c>
      <c r="P431" s="3016" t="s">
        <v>17</v>
      </c>
      <c r="Q431" s="3016" t="s">
        <v>6450</v>
      </c>
      <c r="R431" s="3016"/>
      <c r="S431" s="3031"/>
      <c r="T431" s="3057"/>
      <c r="U431" s="2991"/>
      <c r="W431" s="2901"/>
      <c r="X431" s="2862"/>
    </row>
    <row r="432" spans="1:24" s="1592" customFormat="1" ht="290" hidden="1" x14ac:dyDescent="0.35">
      <c r="A432" s="1999">
        <v>43851</v>
      </c>
      <c r="B432" s="3132"/>
      <c r="C432" s="1850" t="s">
        <v>6273</v>
      </c>
      <c r="D432" s="3031"/>
      <c r="E432" s="2956" t="s">
        <v>6476</v>
      </c>
      <c r="F432" s="2538"/>
      <c r="G432" s="2889"/>
      <c r="H432" s="2892"/>
      <c r="I432" s="2146">
        <v>44402</v>
      </c>
      <c r="J432" s="2428" t="s">
        <v>6275</v>
      </c>
      <c r="K432" s="3117" t="s">
        <v>15</v>
      </c>
      <c r="L432" s="3125" t="s">
        <v>49</v>
      </c>
      <c r="M432" s="3020">
        <f>36*75+400+300+150*3.5*4.76</f>
        <v>5899</v>
      </c>
      <c r="N432" s="3016" t="s">
        <v>11299</v>
      </c>
      <c r="O432" s="3016"/>
      <c r="P432" s="3016" t="s">
        <v>17</v>
      </c>
      <c r="Q432" s="3016" t="s">
        <v>6053</v>
      </c>
      <c r="R432" s="3016"/>
      <c r="S432" s="3031"/>
      <c r="T432" s="3057"/>
      <c r="U432" s="2992"/>
      <c r="W432" s="2901"/>
      <c r="X432" s="2862"/>
    </row>
    <row r="433" spans="1:24" s="1592" customFormat="1" ht="217.5" hidden="1" x14ac:dyDescent="0.35">
      <c r="A433" s="2486">
        <v>43875</v>
      </c>
      <c r="B433" s="2545"/>
      <c r="C433" s="5" t="s">
        <v>11334</v>
      </c>
      <c r="D433" s="3031"/>
      <c r="E433" s="2956" t="s">
        <v>6762</v>
      </c>
      <c r="F433" s="2959"/>
      <c r="G433" s="2889"/>
      <c r="H433" s="2892"/>
      <c r="I433" s="2486">
        <v>44444</v>
      </c>
      <c r="J433" s="2428" t="s">
        <v>11194</v>
      </c>
      <c r="K433" s="6" t="s">
        <v>15</v>
      </c>
      <c r="L433" s="6" t="s">
        <v>49</v>
      </c>
      <c r="M433" s="1630">
        <v>950</v>
      </c>
      <c r="N433" s="5" t="s">
        <v>6764</v>
      </c>
      <c r="O433" s="5" t="s">
        <v>15</v>
      </c>
      <c r="P433" s="5" t="s">
        <v>17</v>
      </c>
      <c r="Q433" s="5" t="s">
        <v>6450</v>
      </c>
      <c r="R433" s="5"/>
      <c r="S433" s="3031"/>
      <c r="T433" s="3057"/>
      <c r="U433" s="2991"/>
      <c r="W433" s="2901"/>
      <c r="X433" s="2862"/>
    </row>
    <row r="434" spans="1:24" s="1592" customFormat="1" ht="174" hidden="1" x14ac:dyDescent="0.35">
      <c r="A434" s="2872">
        <v>43872</v>
      </c>
      <c r="B434" s="2953"/>
      <c r="C434" s="3025" t="s">
        <v>11290</v>
      </c>
      <c r="D434" s="2998"/>
      <c r="E434" s="3026" t="s">
        <v>6631</v>
      </c>
      <c r="F434" s="2959"/>
      <c r="G434" s="3049"/>
      <c r="H434" s="2892"/>
      <c r="I434" s="3047">
        <v>44444</v>
      </c>
      <c r="J434" s="2428" t="s">
        <v>6632</v>
      </c>
      <c r="K434" s="3128" t="s">
        <v>15</v>
      </c>
      <c r="L434" s="3128">
        <v>0.75</v>
      </c>
      <c r="M434" s="3135">
        <v>2398</v>
      </c>
      <c r="N434" s="3118" t="s">
        <v>6633</v>
      </c>
      <c r="O434" s="3025" t="s">
        <v>15</v>
      </c>
      <c r="P434" s="3025" t="s">
        <v>17</v>
      </c>
      <c r="Q434" s="3025" t="s">
        <v>6450</v>
      </c>
      <c r="R434" s="3025"/>
      <c r="S434" s="3031"/>
      <c r="T434" s="3057"/>
      <c r="U434" s="2989"/>
      <c r="W434" s="2901"/>
      <c r="X434" s="2862"/>
    </row>
    <row r="435" spans="1:24" s="1592" customFormat="1" ht="246.5" hidden="1" x14ac:dyDescent="0.35">
      <c r="A435" s="1957">
        <v>43869</v>
      </c>
      <c r="B435" s="3064"/>
      <c r="C435" s="1412" t="s">
        <v>11342</v>
      </c>
      <c r="D435" s="3031" t="s">
        <v>11366</v>
      </c>
      <c r="E435" s="2956" t="s">
        <v>6574</v>
      </c>
      <c r="F435" s="3029"/>
      <c r="G435" s="2889"/>
      <c r="H435" s="2892"/>
      <c r="I435" s="1808">
        <v>44450</v>
      </c>
      <c r="J435" s="1571" t="s">
        <v>6572</v>
      </c>
      <c r="K435" s="12" t="s">
        <v>15</v>
      </c>
      <c r="L435" s="12">
        <v>0.77083333333333337</v>
      </c>
      <c r="M435" s="3020">
        <v>4824.1499999999996</v>
      </c>
      <c r="N435" s="3027" t="s">
        <v>6629</v>
      </c>
      <c r="O435" s="3016" t="s">
        <v>15</v>
      </c>
      <c r="P435" s="3016" t="s">
        <v>17</v>
      </c>
      <c r="Q435" s="3016" t="s">
        <v>6450</v>
      </c>
      <c r="R435" s="3016"/>
      <c r="S435" s="3031"/>
      <c r="T435" s="3057"/>
      <c r="U435" s="2989"/>
      <c r="W435" s="2901"/>
      <c r="X435" s="2862"/>
    </row>
    <row r="436" spans="1:24" s="1592" customFormat="1" ht="362.5" hidden="1" x14ac:dyDescent="0.35">
      <c r="A436" s="1957">
        <v>43874</v>
      </c>
      <c r="B436" s="3064"/>
      <c r="C436" s="1412" t="s">
        <v>11275</v>
      </c>
      <c r="D436" s="3031" t="s">
        <v>11367</v>
      </c>
      <c r="E436" s="3027" t="s">
        <v>7340</v>
      </c>
      <c r="F436" s="3029"/>
      <c r="G436" s="2896"/>
      <c r="H436" s="2892"/>
      <c r="I436" s="1957">
        <v>44450</v>
      </c>
      <c r="J436" s="2435" t="s">
        <v>6728</v>
      </c>
      <c r="K436" s="3117" t="s">
        <v>15</v>
      </c>
      <c r="L436" s="3117">
        <v>0.76041666666666663</v>
      </c>
      <c r="M436" s="3020">
        <v>2372</v>
      </c>
      <c r="N436" s="3016" t="s">
        <v>6729</v>
      </c>
      <c r="O436" s="3016" t="s">
        <v>15</v>
      </c>
      <c r="P436" s="3016" t="s">
        <v>17</v>
      </c>
      <c r="Q436" s="3016" t="s">
        <v>6450</v>
      </c>
      <c r="R436" s="3016"/>
      <c r="S436" s="3031"/>
      <c r="T436" s="3057"/>
      <c r="U436" s="2992"/>
      <c r="W436" s="2901"/>
      <c r="X436" s="2862"/>
    </row>
    <row r="437" spans="1:24" s="1592" customFormat="1" ht="319" hidden="1" x14ac:dyDescent="0.35">
      <c r="A437" s="1957">
        <v>43865</v>
      </c>
      <c r="B437" s="3064"/>
      <c r="C437" s="1412" t="s">
        <v>11193</v>
      </c>
      <c r="D437" s="3031"/>
      <c r="E437" s="3027" t="s">
        <v>6494</v>
      </c>
      <c r="F437" s="3029"/>
      <c r="G437" s="2896"/>
      <c r="H437" s="2892"/>
      <c r="I437" s="1957">
        <v>44451</v>
      </c>
      <c r="J437" s="2521" t="s">
        <v>11192</v>
      </c>
      <c r="K437" s="3117" t="s">
        <v>15</v>
      </c>
      <c r="L437" s="3117">
        <v>0.71875</v>
      </c>
      <c r="M437" s="3020">
        <f>1000+400+38*120/1000*70</f>
        <v>1719.2</v>
      </c>
      <c r="N437" s="3016" t="s">
        <v>11298</v>
      </c>
      <c r="O437" s="3016" t="s">
        <v>15</v>
      </c>
      <c r="P437" s="3016" t="s">
        <v>17</v>
      </c>
      <c r="Q437" s="3016" t="s">
        <v>6045</v>
      </c>
      <c r="R437" s="3016"/>
      <c r="S437" s="3031"/>
      <c r="T437" s="3057"/>
      <c r="U437" s="2991"/>
      <c r="W437" s="2901"/>
      <c r="X437" s="2862"/>
    </row>
    <row r="438" spans="1:24" s="1592" customFormat="1" ht="130.5" hidden="1" x14ac:dyDescent="0.35">
      <c r="A438" s="2884">
        <v>43908</v>
      </c>
      <c r="B438" s="2596"/>
      <c r="C438" s="3016" t="s">
        <v>20</v>
      </c>
      <c r="D438" s="3031"/>
      <c r="E438" s="3016" t="s">
        <v>7360</v>
      </c>
      <c r="F438" s="3029"/>
      <c r="G438" s="3040"/>
      <c r="H438" s="2892"/>
      <c r="I438" s="2884">
        <v>44452</v>
      </c>
      <c r="J438" s="2885" t="s">
        <v>15</v>
      </c>
      <c r="K438" s="2885" t="s">
        <v>15</v>
      </c>
      <c r="L438" s="2885" t="s">
        <v>15</v>
      </c>
      <c r="M438" s="3020">
        <v>0</v>
      </c>
      <c r="N438" s="2885" t="s">
        <v>15</v>
      </c>
      <c r="O438" s="3016" t="s">
        <v>15</v>
      </c>
      <c r="P438" s="3016" t="s">
        <v>17</v>
      </c>
      <c r="Q438" s="3016" t="s">
        <v>20</v>
      </c>
      <c r="R438" s="3016"/>
      <c r="S438" s="3031"/>
      <c r="T438" s="3057"/>
      <c r="U438" s="2989"/>
      <c r="W438" s="2901"/>
      <c r="X438" s="2862"/>
    </row>
    <row r="439" spans="1:24" s="1592" customFormat="1" ht="72.5" hidden="1" x14ac:dyDescent="0.35">
      <c r="A439" s="2874">
        <v>44019</v>
      </c>
      <c r="B439" s="3061">
        <v>11</v>
      </c>
      <c r="C439" s="2882" t="s">
        <v>11284</v>
      </c>
      <c r="D439" s="2870" t="s">
        <v>15</v>
      </c>
      <c r="E439" s="2882" t="s">
        <v>11289</v>
      </c>
      <c r="F439" s="3029"/>
      <c r="G439" s="3144"/>
      <c r="H439" s="2892"/>
      <c r="I439" s="2874">
        <v>44452</v>
      </c>
      <c r="J439" s="2873" t="s">
        <v>20</v>
      </c>
      <c r="K439" s="2984">
        <v>0.45833333333333331</v>
      </c>
      <c r="L439" s="2984">
        <v>0.45833333333333331</v>
      </c>
      <c r="M439" s="3039">
        <v>0</v>
      </c>
      <c r="N439" s="2984" t="s">
        <v>20</v>
      </c>
      <c r="O439" s="2822" t="s">
        <v>15</v>
      </c>
      <c r="P439" s="2822" t="s">
        <v>17</v>
      </c>
      <c r="Q439" s="2822" t="s">
        <v>3798</v>
      </c>
      <c r="R439" s="2822"/>
      <c r="S439" s="3031"/>
      <c r="T439" s="3057"/>
      <c r="U439" s="2989"/>
      <c r="W439" s="2901"/>
      <c r="X439" s="2862"/>
    </row>
    <row r="440" spans="1:24" s="1592" customFormat="1" ht="116" hidden="1" x14ac:dyDescent="0.35">
      <c r="A440" s="2874">
        <v>44019</v>
      </c>
      <c r="B440" s="3140"/>
      <c r="C440" s="2882" t="s">
        <v>11344</v>
      </c>
      <c r="D440" s="3142" t="s">
        <v>11288</v>
      </c>
      <c r="E440" s="2882" t="s">
        <v>11300</v>
      </c>
      <c r="F440" s="3029"/>
      <c r="G440" s="3144"/>
      <c r="H440" s="2892"/>
      <c r="I440" s="2874">
        <v>44456</v>
      </c>
      <c r="J440" s="2873" t="s">
        <v>11287</v>
      </c>
      <c r="K440" s="2899" t="s">
        <v>15</v>
      </c>
      <c r="L440" s="2899" t="s">
        <v>972</v>
      </c>
      <c r="M440" s="3146">
        <f>650+80*125*70/1000</f>
        <v>1350</v>
      </c>
      <c r="N440" s="3127" t="s">
        <v>11301</v>
      </c>
      <c r="O440" s="2882" t="s">
        <v>15</v>
      </c>
      <c r="P440" s="2882" t="s">
        <v>17</v>
      </c>
      <c r="Q440" s="2882" t="s">
        <v>10908</v>
      </c>
      <c r="R440" s="2882"/>
      <c r="S440" s="3031"/>
      <c r="T440" s="3057"/>
      <c r="U440" s="2992"/>
      <c r="W440" s="2901"/>
      <c r="X440" s="2862"/>
    </row>
    <row r="441" spans="1:24" s="1592" customFormat="1" ht="174" hidden="1" x14ac:dyDescent="0.35">
      <c r="A441" s="2486">
        <v>43872</v>
      </c>
      <c r="B441" s="2545"/>
      <c r="C441" s="5" t="s">
        <v>12399</v>
      </c>
      <c r="D441" s="3031" t="s">
        <v>11362</v>
      </c>
      <c r="E441" s="5" t="s">
        <v>7105</v>
      </c>
      <c r="F441" s="3029"/>
      <c r="G441" s="2892"/>
      <c r="H441" s="2892"/>
      <c r="I441" s="2486">
        <v>44457</v>
      </c>
      <c r="J441" s="1571" t="s">
        <v>6635</v>
      </c>
      <c r="K441" s="6" t="s">
        <v>15</v>
      </c>
      <c r="L441" s="6">
        <v>0.76041666666666663</v>
      </c>
      <c r="M441" s="2864">
        <v>1672</v>
      </c>
      <c r="N441" s="3027" t="s">
        <v>6637</v>
      </c>
      <c r="O441" s="3016" t="s">
        <v>15</v>
      </c>
      <c r="P441" s="3016" t="s">
        <v>17</v>
      </c>
      <c r="Q441" s="3016" t="s">
        <v>6450</v>
      </c>
      <c r="R441" s="3016"/>
      <c r="S441" s="3031"/>
      <c r="T441" s="3057"/>
      <c r="U441" s="2992"/>
      <c r="W441" s="2901"/>
      <c r="X441" s="2862"/>
    </row>
    <row r="442" spans="1:24" s="1592" customFormat="1" ht="348" hidden="1" x14ac:dyDescent="0.35">
      <c r="A442" s="2960">
        <v>43900</v>
      </c>
      <c r="B442" s="2997"/>
      <c r="C442" s="2956" t="s">
        <v>11283</v>
      </c>
      <c r="D442" s="2875"/>
      <c r="E442" s="2956" t="s">
        <v>11280</v>
      </c>
      <c r="F442" s="3029"/>
      <c r="G442" s="2889"/>
      <c r="H442" s="2892"/>
      <c r="I442" s="2960">
        <v>44458</v>
      </c>
      <c r="J442" s="2970" t="s">
        <v>7298</v>
      </c>
      <c r="K442" s="3125" t="s">
        <v>15</v>
      </c>
      <c r="L442" s="3125">
        <v>0.77083333333333337</v>
      </c>
      <c r="M442" s="2128">
        <f>3553+300+170</f>
        <v>4023</v>
      </c>
      <c r="N442" s="2956" t="s">
        <v>7289</v>
      </c>
      <c r="O442" s="2956" t="s">
        <v>15</v>
      </c>
      <c r="P442" s="2956" t="s">
        <v>17</v>
      </c>
      <c r="Q442" s="2956" t="s">
        <v>6450</v>
      </c>
      <c r="R442" s="2956"/>
      <c r="S442" s="3031"/>
      <c r="T442" s="3057"/>
      <c r="U442" s="2989"/>
      <c r="W442" s="2901"/>
      <c r="X442" s="2862"/>
    </row>
    <row r="443" spans="1:24" s="1592" customFormat="1" ht="409.5" hidden="1" x14ac:dyDescent="0.35">
      <c r="A443" s="1808">
        <v>43904</v>
      </c>
      <c r="B443" s="2555"/>
      <c r="C443" s="10" t="s">
        <v>7326</v>
      </c>
      <c r="D443" s="3031" t="s">
        <v>11368</v>
      </c>
      <c r="E443" s="10" t="s">
        <v>7359</v>
      </c>
      <c r="F443" s="3029"/>
      <c r="G443" s="2893"/>
      <c r="H443" s="2892"/>
      <c r="I443" s="1808">
        <v>44458</v>
      </c>
      <c r="J443" s="1571" t="s">
        <v>7327</v>
      </c>
      <c r="K443" s="6" t="s">
        <v>15</v>
      </c>
      <c r="L443" s="6">
        <v>0.74305555555555547</v>
      </c>
      <c r="M443" s="2864">
        <v>5124</v>
      </c>
      <c r="N443" s="6" t="s">
        <v>7328</v>
      </c>
      <c r="O443" s="5" t="s">
        <v>15</v>
      </c>
      <c r="P443" s="5" t="s">
        <v>17</v>
      </c>
      <c r="Q443" s="5" t="s">
        <v>6450</v>
      </c>
      <c r="R443" s="5"/>
      <c r="S443" s="3031"/>
      <c r="T443" s="3057"/>
      <c r="U443" s="2989"/>
      <c r="W443" s="2901"/>
      <c r="X443" s="2862"/>
    </row>
    <row r="444" spans="1:24" s="1592" customFormat="1" ht="174" hidden="1" x14ac:dyDescent="0.35">
      <c r="A444" s="2884">
        <v>43879</v>
      </c>
      <c r="B444" s="2596"/>
      <c r="C444" s="3016" t="s">
        <v>6834</v>
      </c>
      <c r="D444" s="3031"/>
      <c r="E444" s="3016" t="s">
        <v>6835</v>
      </c>
      <c r="F444" s="3029"/>
      <c r="G444" s="3040"/>
      <c r="H444" s="2892"/>
      <c r="I444" s="2884">
        <v>44464</v>
      </c>
      <c r="J444" s="2428" t="s">
        <v>11187</v>
      </c>
      <c r="K444" s="3117" t="s">
        <v>15</v>
      </c>
      <c r="L444" s="3117" t="s">
        <v>49</v>
      </c>
      <c r="M444" s="3020">
        <v>1672</v>
      </c>
      <c r="N444" s="3016" t="s">
        <v>6837</v>
      </c>
      <c r="O444" s="3016" t="s">
        <v>15</v>
      </c>
      <c r="P444" s="3016" t="s">
        <v>17</v>
      </c>
      <c r="Q444" s="3016" t="s">
        <v>6450</v>
      </c>
      <c r="R444" s="3016"/>
      <c r="S444" s="3031"/>
      <c r="T444" s="3057"/>
      <c r="U444" s="2989"/>
      <c r="W444" s="2901"/>
      <c r="X444" s="2862"/>
    </row>
    <row r="445" spans="1:24" s="1592" customFormat="1" ht="232" hidden="1" x14ac:dyDescent="0.35">
      <c r="A445" s="3047">
        <v>44266</v>
      </c>
      <c r="B445" s="2953"/>
      <c r="C445" s="3026" t="s">
        <v>11954</v>
      </c>
      <c r="D445" s="3044" t="s">
        <v>11955</v>
      </c>
      <c r="E445" s="3026" t="s">
        <v>12311</v>
      </c>
      <c r="F445" s="3025"/>
      <c r="G445" s="3050"/>
      <c r="H445" s="3049"/>
      <c r="I445" s="3047">
        <v>44478</v>
      </c>
      <c r="J445" s="2612" t="s">
        <v>12312</v>
      </c>
      <c r="K445" s="3128" t="s">
        <v>15</v>
      </c>
      <c r="L445" s="3118">
        <v>0.72916666666666663</v>
      </c>
      <c r="M445" s="3038">
        <v>3500</v>
      </c>
      <c r="N445" s="3025" t="s">
        <v>12313</v>
      </c>
      <c r="O445" s="3025" t="s">
        <v>15</v>
      </c>
      <c r="P445" s="3025" t="s">
        <v>17</v>
      </c>
      <c r="Q445" s="3025" t="s">
        <v>11183</v>
      </c>
      <c r="R445" s="3025"/>
      <c r="S445" s="3031"/>
      <c r="T445" s="3057"/>
      <c r="U445" s="2992"/>
      <c r="W445" s="2901"/>
      <c r="X445" s="2862"/>
    </row>
    <row r="446" spans="1:24" s="1592" customFormat="1" ht="304.5" hidden="1" x14ac:dyDescent="0.35">
      <c r="A446" s="1957">
        <v>43876</v>
      </c>
      <c r="B446" s="3064"/>
      <c r="C446" s="1412" t="s">
        <v>12463</v>
      </c>
      <c r="D446" s="3031" t="s">
        <v>12464</v>
      </c>
      <c r="E446" s="1412" t="s">
        <v>11303</v>
      </c>
      <c r="F446" s="3029"/>
      <c r="G446" s="3093"/>
      <c r="H446" s="2892"/>
      <c r="I446" s="1957">
        <v>44485</v>
      </c>
      <c r="J446" s="2435" t="s">
        <v>6781</v>
      </c>
      <c r="K446" s="3117" t="s">
        <v>15</v>
      </c>
      <c r="L446" s="3117">
        <v>0.72916666666666663</v>
      </c>
      <c r="M446" s="3020">
        <v>3514</v>
      </c>
      <c r="N446" s="3016" t="s">
        <v>6780</v>
      </c>
      <c r="O446" s="3016" t="s">
        <v>15</v>
      </c>
      <c r="P446" s="3016" t="s">
        <v>17</v>
      </c>
      <c r="Q446" s="3016" t="s">
        <v>6450</v>
      </c>
      <c r="R446" s="3016"/>
      <c r="S446" s="3031"/>
      <c r="T446" s="3057"/>
      <c r="U446" s="2991"/>
      <c r="W446" s="2901"/>
      <c r="X446" s="2862"/>
    </row>
    <row r="447" spans="1:24" s="1592" customFormat="1" ht="29" hidden="1" x14ac:dyDescent="0.35">
      <c r="A447" s="2958">
        <v>44242</v>
      </c>
      <c r="B447" s="2596"/>
      <c r="C447" s="2976" t="s">
        <v>12128</v>
      </c>
      <c r="D447" s="3032" t="s">
        <v>15</v>
      </c>
      <c r="E447" s="3232" t="s">
        <v>12129</v>
      </c>
      <c r="F447" s="2978"/>
      <c r="G447" s="2938"/>
      <c r="H447" s="2892"/>
      <c r="I447" s="2958">
        <v>44546</v>
      </c>
      <c r="J447" s="3046" t="s">
        <v>3798</v>
      </c>
      <c r="K447" s="3128" t="s">
        <v>15</v>
      </c>
      <c r="L447" s="3118" t="s">
        <v>3798</v>
      </c>
      <c r="M447" s="3038">
        <v>0</v>
      </c>
      <c r="N447" s="2947" t="s">
        <v>17</v>
      </c>
      <c r="O447" s="3025" t="s">
        <v>15</v>
      </c>
      <c r="P447" s="3025" t="s">
        <v>12070</v>
      </c>
      <c r="Q447" s="3025" t="s">
        <v>11183</v>
      </c>
      <c r="R447" s="3025"/>
      <c r="S447" s="3031"/>
      <c r="T447" s="3057"/>
      <c r="U447" s="2991"/>
      <c r="W447" s="2901"/>
      <c r="X447" s="2862"/>
    </row>
    <row r="448" spans="1:24" s="1592" customFormat="1" ht="304.5" hidden="1" x14ac:dyDescent="0.35">
      <c r="A448" s="1808">
        <v>43895</v>
      </c>
      <c r="B448" s="2555"/>
      <c r="C448" s="10" t="s">
        <v>11291</v>
      </c>
      <c r="D448" s="3031" t="s">
        <v>11361</v>
      </c>
      <c r="E448" s="3239" t="s">
        <v>7196</v>
      </c>
      <c r="F448" s="2978"/>
      <c r="G448" s="3240"/>
      <c r="H448" s="2892"/>
      <c r="I448" s="1808">
        <v>44702</v>
      </c>
      <c r="J448" s="1571" t="s">
        <v>7185</v>
      </c>
      <c r="K448" s="6" t="s">
        <v>15</v>
      </c>
      <c r="L448" s="3117">
        <v>0.78472222222222221</v>
      </c>
      <c r="M448" s="3020">
        <f>5283+300</f>
        <v>5583</v>
      </c>
      <c r="N448" s="3016" t="s">
        <v>7186</v>
      </c>
      <c r="O448" s="3016" t="s">
        <v>15</v>
      </c>
      <c r="P448" s="3016" t="s">
        <v>17</v>
      </c>
      <c r="Q448" s="3016" t="s">
        <v>6450</v>
      </c>
      <c r="R448" s="3016"/>
      <c r="S448" s="3031"/>
      <c r="T448" s="3057"/>
      <c r="U448" s="2989"/>
      <c r="W448" s="2901"/>
      <c r="X448" s="2862"/>
    </row>
    <row r="449" spans="1:24" s="1592" customFormat="1" ht="159.5" hidden="1" x14ac:dyDescent="0.35">
      <c r="A449" s="1808">
        <v>43872</v>
      </c>
      <c r="B449" s="2555"/>
      <c r="C449" s="10" t="s">
        <v>11254</v>
      </c>
      <c r="D449" s="3031" t="s">
        <v>11365</v>
      </c>
      <c r="E449" s="10" t="s">
        <v>6653</v>
      </c>
      <c r="F449" s="3029"/>
      <c r="G449" s="2893"/>
      <c r="H449" s="2892"/>
      <c r="I449" s="1808">
        <v>44766</v>
      </c>
      <c r="J449" s="1571" t="s">
        <v>11255</v>
      </c>
      <c r="K449" s="6" t="s">
        <v>15</v>
      </c>
      <c r="L449" s="6" t="s">
        <v>15</v>
      </c>
      <c r="M449" s="2864">
        <v>2682</v>
      </c>
      <c r="N449" s="3027" t="s">
        <v>6655</v>
      </c>
      <c r="O449" s="3016" t="s">
        <v>15</v>
      </c>
      <c r="P449" s="3016" t="s">
        <v>17</v>
      </c>
      <c r="Q449" s="3016" t="s">
        <v>6450</v>
      </c>
      <c r="R449" s="3016"/>
      <c r="S449" s="3031"/>
      <c r="T449" s="3057"/>
      <c r="U449" s="2992"/>
      <c r="W449" s="2901"/>
      <c r="X449" s="2862"/>
    </row>
    <row r="450" spans="1:24" s="1592" customFormat="1" ht="203" hidden="1" x14ac:dyDescent="0.35">
      <c r="A450" s="2884">
        <v>43872</v>
      </c>
      <c r="B450" s="2596"/>
      <c r="C450" s="3016" t="s">
        <v>13117</v>
      </c>
      <c r="D450" s="3031" t="s">
        <v>11302</v>
      </c>
      <c r="E450" s="2457" t="s">
        <v>6657</v>
      </c>
      <c r="F450" s="3029"/>
      <c r="G450" s="3126"/>
      <c r="H450" s="2892"/>
      <c r="I450" s="2884">
        <v>44794</v>
      </c>
      <c r="J450" s="2435" t="s">
        <v>6658</v>
      </c>
      <c r="K450" s="3117" t="s">
        <v>15</v>
      </c>
      <c r="L450" s="3117">
        <v>0.6875</v>
      </c>
      <c r="M450" s="3020">
        <v>1528</v>
      </c>
      <c r="N450" s="2885" t="s">
        <v>6659</v>
      </c>
      <c r="O450" s="3016" t="s">
        <v>15</v>
      </c>
      <c r="P450" s="3016" t="s">
        <v>17</v>
      </c>
      <c r="Q450" s="3016" t="s">
        <v>12406</v>
      </c>
      <c r="R450" s="3016"/>
      <c r="S450" s="3031"/>
      <c r="T450" s="3057"/>
      <c r="U450" s="2989"/>
      <c r="W450" s="2901"/>
      <c r="X450" s="2862"/>
    </row>
    <row r="451" spans="1:24" s="1592" customFormat="1" ht="304.5" hidden="1" x14ac:dyDescent="0.35">
      <c r="A451" s="1808">
        <v>43869</v>
      </c>
      <c r="B451" s="2555"/>
      <c r="C451" s="10" t="s">
        <v>11265</v>
      </c>
      <c r="D451" s="3031"/>
      <c r="E451" s="10" t="s">
        <v>6589</v>
      </c>
      <c r="F451" s="3029"/>
      <c r="G451" s="2893"/>
      <c r="H451" s="2892"/>
      <c r="I451" s="1808">
        <v>44814</v>
      </c>
      <c r="J451" s="2428" t="s">
        <v>6570</v>
      </c>
      <c r="K451" s="6" t="s">
        <v>15</v>
      </c>
      <c r="L451" s="6">
        <v>0.74305555555555547</v>
      </c>
      <c r="M451" s="2864">
        <v>2506</v>
      </c>
      <c r="N451" s="3027" t="s">
        <v>6590</v>
      </c>
      <c r="O451" s="3016" t="s">
        <v>15</v>
      </c>
      <c r="P451" s="3016" t="s">
        <v>6046</v>
      </c>
      <c r="Q451" s="3016" t="s">
        <v>6450</v>
      </c>
      <c r="R451" s="3016"/>
      <c r="S451" s="3031"/>
      <c r="T451" s="3057"/>
      <c r="U451" s="2989"/>
      <c r="W451" s="2901"/>
      <c r="X451" s="2862"/>
    </row>
    <row r="452" spans="1:24" s="1592" customFormat="1" ht="87" hidden="1" x14ac:dyDescent="0.35">
      <c r="A452" s="2960">
        <v>43985</v>
      </c>
      <c r="B452" s="2877"/>
      <c r="C452" s="2956" t="s">
        <v>11256</v>
      </c>
      <c r="D452" s="2968" t="s">
        <v>10933</v>
      </c>
      <c r="E452" s="2969" t="s">
        <v>11257</v>
      </c>
      <c r="F452" s="3029"/>
      <c r="G452" s="2974"/>
      <c r="H452" s="3063"/>
      <c r="I452" s="2960" t="s">
        <v>11509</v>
      </c>
      <c r="J452" s="2970" t="s">
        <v>290</v>
      </c>
      <c r="K452" s="3119"/>
      <c r="L452" s="3119" t="s">
        <v>11258</v>
      </c>
      <c r="M452" s="2962">
        <v>308</v>
      </c>
      <c r="N452" s="3119" t="s">
        <v>11259</v>
      </c>
      <c r="O452" s="3027"/>
      <c r="P452" s="3119" t="s">
        <v>22</v>
      </c>
      <c r="Q452" s="3119" t="s">
        <v>11260</v>
      </c>
      <c r="R452" s="3119"/>
      <c r="S452" s="3031"/>
      <c r="T452" s="3057"/>
      <c r="U452" s="2989"/>
      <c r="W452" s="2901"/>
      <c r="X452" s="2862"/>
    </row>
    <row r="453" spans="1:24" s="1592" customFormat="1" ht="304.5" hidden="1" x14ac:dyDescent="0.35">
      <c r="A453" s="2884">
        <v>43889</v>
      </c>
      <c r="B453" s="2596"/>
      <c r="C453" s="3016" t="s">
        <v>7051</v>
      </c>
      <c r="D453" s="3031"/>
      <c r="E453" s="3016" t="s">
        <v>7053</v>
      </c>
      <c r="F453" s="3029"/>
      <c r="G453" s="3040"/>
      <c r="H453" s="2892"/>
      <c r="I453" s="2960" t="s">
        <v>11313</v>
      </c>
      <c r="J453" s="1571" t="s">
        <v>7052</v>
      </c>
      <c r="K453" s="3117" t="s">
        <v>15</v>
      </c>
      <c r="L453" s="3117">
        <v>0.68055555555555547</v>
      </c>
      <c r="M453" s="3020">
        <f>3*50*4.8+3.5*150*4.8+20*65+400/1.09</f>
        <v>4906.9724770642206</v>
      </c>
      <c r="N453" s="3016" t="s">
        <v>7050</v>
      </c>
      <c r="O453" s="3016" t="s">
        <v>15</v>
      </c>
      <c r="P453" s="3016" t="s">
        <v>17</v>
      </c>
      <c r="Q453" s="3016" t="s">
        <v>262</v>
      </c>
      <c r="R453" s="3016"/>
      <c r="S453" s="3031"/>
      <c r="T453" s="3057"/>
      <c r="U453" s="2992"/>
      <c r="W453" s="2901"/>
      <c r="X453" s="2862"/>
    </row>
    <row r="454" spans="1:24" s="1592" customFormat="1" ht="29" hidden="1" x14ac:dyDescent="0.35">
      <c r="A454" s="2960">
        <v>44061</v>
      </c>
      <c r="B454" s="2877"/>
      <c r="C454" s="2960" t="s">
        <v>11273</v>
      </c>
      <c r="D454" s="2968" t="s">
        <v>11278</v>
      </c>
      <c r="E454" s="2969" t="s">
        <v>11321</v>
      </c>
      <c r="F454" s="3029"/>
      <c r="G454" s="2974"/>
      <c r="H454" s="3063"/>
      <c r="I454" s="2960" t="s">
        <v>11313</v>
      </c>
      <c r="J454" s="2428" t="s">
        <v>11322</v>
      </c>
      <c r="K454" s="3125" t="s">
        <v>15</v>
      </c>
      <c r="L454" s="3119" t="s">
        <v>3452</v>
      </c>
      <c r="M454" s="2962">
        <v>160</v>
      </c>
      <c r="N454" s="3027" t="s">
        <v>392</v>
      </c>
      <c r="O454" s="3027" t="s">
        <v>15</v>
      </c>
      <c r="P454" s="3027" t="s">
        <v>17</v>
      </c>
      <c r="Q454" s="3027" t="s">
        <v>11183</v>
      </c>
      <c r="R454" s="3027"/>
      <c r="S454" s="3031"/>
      <c r="T454" s="3057"/>
      <c r="U454" s="2989"/>
      <c r="W454" s="2901"/>
      <c r="X454" s="2862"/>
    </row>
    <row r="455" spans="1:24" s="1592" customFormat="1" ht="58" hidden="1" x14ac:dyDescent="0.35">
      <c r="A455" s="2657">
        <v>44157</v>
      </c>
      <c r="B455" s="2877"/>
      <c r="C455" s="2956" t="s">
        <v>11241</v>
      </c>
      <c r="D455" s="2968" t="s">
        <v>9344</v>
      </c>
      <c r="E455" s="3027" t="s">
        <v>11571</v>
      </c>
      <c r="F455" s="3027"/>
      <c r="G455" s="2896" t="s">
        <v>11592</v>
      </c>
      <c r="H455" s="2892"/>
      <c r="I455" s="2960" t="s">
        <v>11313</v>
      </c>
      <c r="J455" s="2428" t="s">
        <v>11593</v>
      </c>
      <c r="K455" s="3125" t="s">
        <v>15</v>
      </c>
      <c r="L455" s="3119" t="s">
        <v>972</v>
      </c>
      <c r="M455" s="2962">
        <v>110</v>
      </c>
      <c r="N455" s="2521" t="s">
        <v>392</v>
      </c>
      <c r="O455" s="3027" t="s">
        <v>15</v>
      </c>
      <c r="P455" s="2521" t="s">
        <v>821</v>
      </c>
      <c r="Q455" s="3027" t="s">
        <v>11327</v>
      </c>
      <c r="R455" s="3027"/>
      <c r="S455" s="3031"/>
      <c r="T455" s="3057"/>
      <c r="U455" s="2991"/>
      <c r="W455" s="2901"/>
      <c r="X455" s="2862"/>
    </row>
    <row r="456" spans="1:24" s="1592" customFormat="1" ht="159.5" hidden="1" x14ac:dyDescent="0.35">
      <c r="A456" s="2884">
        <v>43894</v>
      </c>
      <c r="B456" s="2596"/>
      <c r="C456" s="3016" t="s">
        <v>7174</v>
      </c>
      <c r="D456" s="3031"/>
      <c r="E456" s="3016" t="s">
        <v>7175</v>
      </c>
      <c r="F456" s="3029"/>
      <c r="G456" s="3040"/>
      <c r="H456" s="2892"/>
      <c r="I456" s="2960" t="s">
        <v>11313</v>
      </c>
      <c r="J456" s="2885" t="s">
        <v>7176</v>
      </c>
      <c r="K456" s="3117" t="s">
        <v>15</v>
      </c>
      <c r="L456" s="3117">
        <v>0.66666666666666663</v>
      </c>
      <c r="M456" s="3020">
        <v>0</v>
      </c>
      <c r="N456" s="3016" t="s">
        <v>15</v>
      </c>
      <c r="O456" s="3016" t="s">
        <v>140</v>
      </c>
      <c r="P456" s="3016" t="s">
        <v>17</v>
      </c>
      <c r="Q456" s="3016" t="s">
        <v>6061</v>
      </c>
      <c r="R456" s="3016"/>
      <c r="S456" s="3031"/>
      <c r="T456" s="3057"/>
      <c r="U456" s="2991"/>
      <c r="W456" s="2901"/>
      <c r="X456" s="2862"/>
    </row>
    <row r="457" spans="1:24" s="1592" customFormat="1" ht="188.5" hidden="1" x14ac:dyDescent="0.35">
      <c r="A457" s="2960">
        <v>44252</v>
      </c>
      <c r="B457" s="2877"/>
      <c r="C457" s="2956" t="s">
        <v>330</v>
      </c>
      <c r="D457" s="2968" t="s">
        <v>11269</v>
      </c>
      <c r="E457" s="2969" t="s">
        <v>12189</v>
      </c>
      <c r="F457" s="3027"/>
      <c r="G457" s="2896" t="s">
        <v>11478</v>
      </c>
      <c r="H457" s="2892"/>
      <c r="I457" s="2960" t="s">
        <v>11313</v>
      </c>
      <c r="J457" s="2970" t="s">
        <v>1631</v>
      </c>
      <c r="K457" s="3125" t="s">
        <v>15</v>
      </c>
      <c r="L457" s="3119" t="s">
        <v>12188</v>
      </c>
      <c r="M457" s="2962">
        <v>250</v>
      </c>
      <c r="N457" s="3027" t="s">
        <v>12187</v>
      </c>
      <c r="O457" s="3027" t="s">
        <v>15</v>
      </c>
      <c r="P457" s="3027" t="s">
        <v>12070</v>
      </c>
      <c r="Q457" s="3027" t="s">
        <v>11183</v>
      </c>
      <c r="R457" s="3027"/>
      <c r="S457" s="3031"/>
      <c r="T457" s="3057"/>
      <c r="U457" s="2989"/>
      <c r="W457" s="2901"/>
      <c r="X457" s="2862"/>
    </row>
    <row r="458" spans="1:24" s="1592" customFormat="1" ht="72.5" hidden="1" x14ac:dyDescent="0.35">
      <c r="A458" s="2657">
        <v>44145</v>
      </c>
      <c r="B458" s="2877"/>
      <c r="C458" s="2956" t="s">
        <v>330</v>
      </c>
      <c r="D458" s="2968" t="s">
        <v>11554</v>
      </c>
      <c r="E458" s="3027" t="s">
        <v>11556</v>
      </c>
      <c r="F458" s="3027"/>
      <c r="G458" s="2896"/>
      <c r="H458" s="2892"/>
      <c r="I458" s="2960" t="s">
        <v>11313</v>
      </c>
      <c r="J458" s="2428" t="s">
        <v>11555</v>
      </c>
      <c r="K458" s="3125" t="s">
        <v>15</v>
      </c>
      <c r="L458" s="3119" t="s">
        <v>972</v>
      </c>
      <c r="M458" s="2962">
        <v>323</v>
      </c>
      <c r="N458" s="2521" t="s">
        <v>2767</v>
      </c>
      <c r="O458" s="3027" t="s">
        <v>15</v>
      </c>
      <c r="P458" s="2521" t="s">
        <v>17</v>
      </c>
      <c r="Q458" s="3027" t="s">
        <v>10908</v>
      </c>
      <c r="R458" s="3027"/>
      <c r="S458" s="3031"/>
      <c r="T458" s="3057"/>
      <c r="U458" s="2989"/>
      <c r="W458" s="2901"/>
      <c r="X458" s="2862"/>
    </row>
    <row r="459" spans="1:24" s="1592" customFormat="1" ht="43.5" hidden="1" x14ac:dyDescent="0.35">
      <c r="A459" s="2960">
        <v>44040</v>
      </c>
      <c r="B459" s="2877"/>
      <c r="C459" s="2960" t="s">
        <v>11304</v>
      </c>
      <c r="D459" s="2968" t="s">
        <v>11305</v>
      </c>
      <c r="E459" s="2969" t="s">
        <v>11307</v>
      </c>
      <c r="F459" s="3029"/>
      <c r="G459" s="2974"/>
      <c r="H459" s="3063"/>
      <c r="I459" s="2960" t="s">
        <v>11313</v>
      </c>
      <c r="J459" s="2428" t="s">
        <v>11306</v>
      </c>
      <c r="K459" s="3125" t="s">
        <v>15</v>
      </c>
      <c r="L459" s="3119" t="s">
        <v>972</v>
      </c>
      <c r="M459" s="2962">
        <v>190</v>
      </c>
      <c r="N459" s="3027" t="s">
        <v>257</v>
      </c>
      <c r="O459" s="3027" t="s">
        <v>15</v>
      </c>
      <c r="P459" s="3027" t="s">
        <v>821</v>
      </c>
      <c r="Q459" s="3027" t="s">
        <v>8499</v>
      </c>
      <c r="R459" s="3027"/>
      <c r="S459" s="3031"/>
      <c r="T459" s="3057"/>
      <c r="U459" s="2989"/>
      <c r="W459" s="2901"/>
      <c r="X459" s="2862"/>
    </row>
    <row r="460" spans="1:24" s="1592" customFormat="1" ht="116" hidden="1" x14ac:dyDescent="0.35">
      <c r="A460" s="2486">
        <v>44109</v>
      </c>
      <c r="B460" s="2545"/>
      <c r="C460" s="3130" t="s">
        <v>5487</v>
      </c>
      <c r="D460" s="2986" t="s">
        <v>11269</v>
      </c>
      <c r="E460" s="2725" t="s">
        <v>11377</v>
      </c>
      <c r="F460" s="3029"/>
      <c r="G460" s="3063"/>
      <c r="H460" s="3063"/>
      <c r="I460" s="2960" t="s">
        <v>11313</v>
      </c>
      <c r="J460" s="1571" t="s">
        <v>11378</v>
      </c>
      <c r="K460" s="6" t="s">
        <v>15</v>
      </c>
      <c r="L460" s="6">
        <v>0.48958333333333331</v>
      </c>
      <c r="M460" s="2864">
        <v>300</v>
      </c>
      <c r="N460" s="5" t="s">
        <v>11379</v>
      </c>
      <c r="O460" s="5" t="s">
        <v>15</v>
      </c>
      <c r="P460" s="5" t="s">
        <v>17</v>
      </c>
      <c r="Q460" s="5" t="s">
        <v>10908</v>
      </c>
      <c r="R460" s="5"/>
      <c r="S460" s="3031"/>
      <c r="T460" s="3057"/>
      <c r="U460" s="2992"/>
      <c r="W460" s="2901"/>
      <c r="X460" s="2862"/>
    </row>
    <row r="461" spans="1:24" s="1592" customFormat="1" ht="43.5" hidden="1" x14ac:dyDescent="0.35">
      <c r="A461" s="2960">
        <v>44212</v>
      </c>
      <c r="B461" s="2877"/>
      <c r="C461" s="2956" t="s">
        <v>11894</v>
      </c>
      <c r="D461" s="2968" t="s">
        <v>11895</v>
      </c>
      <c r="E461" s="2956" t="s">
        <v>11896</v>
      </c>
      <c r="F461" s="3029"/>
      <c r="G461" s="3040"/>
      <c r="H461" s="2892"/>
      <c r="I461" s="2960" t="s">
        <v>11313</v>
      </c>
      <c r="J461" s="2970" t="s">
        <v>11897</v>
      </c>
      <c r="K461" s="3125" t="s">
        <v>15</v>
      </c>
      <c r="L461" s="3119" t="s">
        <v>972</v>
      </c>
      <c r="M461" s="2962">
        <v>195</v>
      </c>
      <c r="N461" s="3027" t="s">
        <v>392</v>
      </c>
      <c r="O461" s="3027" t="s">
        <v>15</v>
      </c>
      <c r="P461" s="3027" t="s">
        <v>821</v>
      </c>
      <c r="Q461" s="3027" t="s">
        <v>8499</v>
      </c>
      <c r="R461" s="3027"/>
      <c r="S461" s="3031"/>
      <c r="T461" s="3057"/>
      <c r="U461" s="2992"/>
      <c r="W461" s="2901"/>
      <c r="X461" s="2862"/>
    </row>
    <row r="462" spans="1:24" s="1592" customFormat="1" ht="43.5" hidden="1" x14ac:dyDescent="0.35">
      <c r="A462" s="2657">
        <v>44141</v>
      </c>
      <c r="B462" s="2877"/>
      <c r="C462" s="2956" t="s">
        <v>11540</v>
      </c>
      <c r="D462" s="2968" t="s">
        <v>11541</v>
      </c>
      <c r="E462" s="3027" t="s">
        <v>11543</v>
      </c>
      <c r="F462" s="3027"/>
      <c r="G462" s="3040"/>
      <c r="H462" s="2892"/>
      <c r="I462" s="2960" t="s">
        <v>11313</v>
      </c>
      <c r="J462" s="2428" t="s">
        <v>11542</v>
      </c>
      <c r="K462" s="3125" t="s">
        <v>15</v>
      </c>
      <c r="L462" s="3119" t="s">
        <v>972</v>
      </c>
      <c r="M462" s="2962">
        <v>136</v>
      </c>
      <c r="N462" s="2521" t="s">
        <v>392</v>
      </c>
      <c r="O462" s="3027" t="s">
        <v>15</v>
      </c>
      <c r="P462" s="2521" t="s">
        <v>821</v>
      </c>
      <c r="Q462" s="3027" t="s">
        <v>11497</v>
      </c>
      <c r="R462" s="3027"/>
      <c r="S462" s="3031"/>
      <c r="T462" s="3057"/>
      <c r="U462" s="2991"/>
      <c r="W462" s="2901"/>
      <c r="X462" s="2862"/>
    </row>
    <row r="463" spans="1:24" s="1592" customFormat="1" ht="116" hidden="1" x14ac:dyDescent="0.35">
      <c r="A463" s="1957">
        <v>43854</v>
      </c>
      <c r="B463" s="3064"/>
      <c r="C463" s="1412" t="s">
        <v>6326</v>
      </c>
      <c r="D463" s="3031"/>
      <c r="E463" s="10" t="s">
        <v>6567</v>
      </c>
      <c r="F463" s="3029"/>
      <c r="G463" s="2893"/>
      <c r="H463" s="2892"/>
      <c r="I463" s="2960" t="s">
        <v>11313</v>
      </c>
      <c r="J463" s="823" t="s">
        <v>6327</v>
      </c>
      <c r="K463" s="10" t="s">
        <v>15</v>
      </c>
      <c r="L463" s="12">
        <v>0.83333333333333337</v>
      </c>
      <c r="M463" s="2864">
        <f>300+10*85</f>
        <v>1150</v>
      </c>
      <c r="N463" s="5" t="s">
        <v>6565</v>
      </c>
      <c r="O463" s="5" t="s">
        <v>15</v>
      </c>
      <c r="P463" s="5" t="s">
        <v>17</v>
      </c>
      <c r="Q463" s="5" t="s">
        <v>5367</v>
      </c>
      <c r="R463" s="5"/>
      <c r="S463" s="3031"/>
      <c r="T463" s="3057"/>
      <c r="U463" s="2992"/>
      <c r="W463" s="2901"/>
      <c r="X463" s="2862"/>
    </row>
    <row r="464" spans="1:24" s="1592" customFormat="1" ht="87" hidden="1" x14ac:dyDescent="0.35">
      <c r="A464" s="2657">
        <v>44139</v>
      </c>
      <c r="B464" s="2877"/>
      <c r="C464" s="2956" t="s">
        <v>11532</v>
      </c>
      <c r="D464" s="2968" t="s">
        <v>11533</v>
      </c>
      <c r="E464" s="3027" t="s">
        <v>11534</v>
      </c>
      <c r="F464" s="3027"/>
      <c r="G464" s="2896" t="s">
        <v>11432</v>
      </c>
      <c r="H464" s="2892"/>
      <c r="I464" s="2657" t="s">
        <v>11313</v>
      </c>
      <c r="J464" s="2428" t="s">
        <v>11535</v>
      </c>
      <c r="K464" s="3125" t="s">
        <v>15</v>
      </c>
      <c r="L464" s="3119" t="s">
        <v>11536</v>
      </c>
      <c r="M464" s="2962">
        <v>1448</v>
      </c>
      <c r="N464" s="2521" t="s">
        <v>11537</v>
      </c>
      <c r="O464" s="3027" t="s">
        <v>15</v>
      </c>
      <c r="P464" s="2521" t="s">
        <v>17</v>
      </c>
      <c r="Q464" s="3027" t="s">
        <v>11183</v>
      </c>
      <c r="R464" s="3027"/>
      <c r="S464" s="3031"/>
      <c r="T464" s="3057"/>
      <c r="U464" s="2989"/>
      <c r="W464" s="2901"/>
      <c r="X464" s="2862"/>
    </row>
    <row r="465" spans="1:25" s="1592" customFormat="1" ht="159.5" hidden="1" x14ac:dyDescent="0.35">
      <c r="A465" s="2960">
        <v>43881</v>
      </c>
      <c r="B465" s="2997"/>
      <c r="C465" s="2956" t="s">
        <v>6875</v>
      </c>
      <c r="D465" s="2875"/>
      <c r="E465" s="2956" t="s">
        <v>11188</v>
      </c>
      <c r="F465" s="3027"/>
      <c r="G465" s="2889"/>
      <c r="H465" s="2889"/>
      <c r="I465" s="2960" t="s">
        <v>11313</v>
      </c>
      <c r="J465" s="2428" t="s">
        <v>11189</v>
      </c>
      <c r="K465" s="3125" t="s">
        <v>15</v>
      </c>
      <c r="L465" s="3125" t="s">
        <v>49</v>
      </c>
      <c r="M465" s="2128">
        <v>2520</v>
      </c>
      <c r="N465" s="2128" t="s">
        <v>6878</v>
      </c>
      <c r="O465" s="3027" t="s">
        <v>15</v>
      </c>
      <c r="P465" s="3027" t="s">
        <v>17</v>
      </c>
      <c r="Q465" s="3027" t="s">
        <v>6450</v>
      </c>
      <c r="R465" s="3016"/>
      <c r="S465" s="2963"/>
      <c r="T465" s="3057"/>
      <c r="U465" s="2992"/>
      <c r="W465" s="2901"/>
      <c r="X465" s="2862"/>
    </row>
    <row r="466" spans="1:25" s="1592" customFormat="1" ht="159.5" hidden="1" x14ac:dyDescent="0.35">
      <c r="A466" s="2960">
        <v>44246</v>
      </c>
      <c r="B466" s="2877"/>
      <c r="C466" s="3141" t="s">
        <v>12162</v>
      </c>
      <c r="D466" s="2968" t="s">
        <v>12080</v>
      </c>
      <c r="E466" s="2969" t="s">
        <v>12161</v>
      </c>
      <c r="F466" s="3027"/>
      <c r="G466" s="2979" t="s">
        <v>11432</v>
      </c>
      <c r="H466" s="2972"/>
      <c r="I466" s="2960" t="s">
        <v>11313</v>
      </c>
      <c r="J466" s="2970" t="s">
        <v>12160</v>
      </c>
      <c r="K466" s="3125" t="s">
        <v>15</v>
      </c>
      <c r="L466" s="3119" t="s">
        <v>12159</v>
      </c>
      <c r="M466" s="2962">
        <v>465</v>
      </c>
      <c r="N466" s="3027" t="s">
        <v>12130</v>
      </c>
      <c r="O466" s="3027" t="s">
        <v>15</v>
      </c>
      <c r="P466" s="3027" t="s">
        <v>12070</v>
      </c>
      <c r="Q466" s="3027" t="s">
        <v>11183</v>
      </c>
      <c r="R466" s="3027"/>
      <c r="S466" s="3031"/>
      <c r="T466" s="3057"/>
      <c r="U466" s="2989"/>
      <c r="W466" s="2901">
        <v>272</v>
      </c>
      <c r="X466" s="2862"/>
      <c r="Y466" s="1592">
        <v>272</v>
      </c>
    </row>
    <row r="467" spans="1:25" s="1592" customFormat="1" ht="29" hidden="1" x14ac:dyDescent="0.35">
      <c r="A467" s="2657">
        <v>44139</v>
      </c>
      <c r="B467" s="2877"/>
      <c r="C467" s="2956" t="s">
        <v>11250</v>
      </c>
      <c r="D467" s="2968" t="s">
        <v>11529</v>
      </c>
      <c r="E467" s="3027" t="s">
        <v>11530</v>
      </c>
      <c r="F467" s="3027"/>
      <c r="G467" s="2896" t="s">
        <v>11427</v>
      </c>
      <c r="H467" s="2892"/>
      <c r="I467" s="2657" t="s">
        <v>11313</v>
      </c>
      <c r="J467" s="2428" t="s">
        <v>11531</v>
      </c>
      <c r="K467" s="3125" t="s">
        <v>15</v>
      </c>
      <c r="L467" s="3119" t="s">
        <v>972</v>
      </c>
      <c r="M467" s="2962">
        <v>215</v>
      </c>
      <c r="N467" s="2521" t="s">
        <v>392</v>
      </c>
      <c r="O467" s="3027" t="s">
        <v>15</v>
      </c>
      <c r="P467" s="2521" t="s">
        <v>216</v>
      </c>
      <c r="Q467" s="3027" t="s">
        <v>11183</v>
      </c>
      <c r="R467" s="3027"/>
      <c r="S467" s="3031"/>
      <c r="T467" s="3057"/>
      <c r="U467" s="2989"/>
      <c r="W467" s="2901">
        <v>273</v>
      </c>
      <c r="X467" s="2862"/>
      <c r="Y467" s="1592">
        <v>273</v>
      </c>
    </row>
    <row r="468" spans="1:25" s="1592" customFormat="1" ht="43.5" hidden="1" x14ac:dyDescent="0.35">
      <c r="A468" s="2960">
        <v>44238</v>
      </c>
      <c r="B468" s="2877"/>
      <c r="C468" s="2956" t="s">
        <v>12088</v>
      </c>
      <c r="D468" s="2968" t="s">
        <v>12090</v>
      </c>
      <c r="E468" s="3027" t="s">
        <v>12092</v>
      </c>
      <c r="F468" s="3027"/>
      <c r="G468" s="2896"/>
      <c r="H468" s="2889"/>
      <c r="I468" s="2960" t="s">
        <v>11313</v>
      </c>
      <c r="J468" s="2970" t="s">
        <v>12089</v>
      </c>
      <c r="K468" s="3125" t="s">
        <v>15</v>
      </c>
      <c r="L468" s="3119" t="s">
        <v>12091</v>
      </c>
      <c r="M468" s="2962">
        <f>4*150*0.9+15</f>
        <v>555</v>
      </c>
      <c r="N468" s="3027" t="s">
        <v>12065</v>
      </c>
      <c r="O468" s="3027" t="s">
        <v>15</v>
      </c>
      <c r="P468" s="3027" t="s">
        <v>216</v>
      </c>
      <c r="Q468" s="3027" t="s">
        <v>11183</v>
      </c>
      <c r="R468" s="3027"/>
      <c r="S468" s="3031"/>
      <c r="T468" s="3057"/>
      <c r="U468" s="2989"/>
      <c r="W468" s="2901"/>
      <c r="X468" s="2862"/>
    </row>
    <row r="469" spans="1:25" s="1592" customFormat="1" ht="43.5" hidden="1" x14ac:dyDescent="0.35">
      <c r="A469" s="2960">
        <v>44160</v>
      </c>
      <c r="B469" s="2877">
        <v>8</v>
      </c>
      <c r="C469" s="2956" t="s">
        <v>11600</v>
      </c>
      <c r="D469" s="2968" t="s">
        <v>11601</v>
      </c>
      <c r="E469" s="2956" t="s">
        <v>11579</v>
      </c>
      <c r="F469" s="3027"/>
      <c r="G469" s="2896" t="s">
        <v>11580</v>
      </c>
      <c r="H469" s="2892"/>
      <c r="I469" s="2960" t="s">
        <v>11313</v>
      </c>
      <c r="J469" s="2970" t="s">
        <v>11602</v>
      </c>
      <c r="K469" s="3125">
        <v>0.41666666666666669</v>
      </c>
      <c r="L469" s="3119">
        <v>0.5541666666666667</v>
      </c>
      <c r="M469" s="2962">
        <v>110</v>
      </c>
      <c r="N469" s="2521" t="s">
        <v>257</v>
      </c>
      <c r="O469" s="3027" t="s">
        <v>140</v>
      </c>
      <c r="P469" s="2521" t="s">
        <v>821</v>
      </c>
      <c r="Q469" s="3027" t="s">
        <v>8499</v>
      </c>
      <c r="R469" s="3027"/>
      <c r="S469" s="3031"/>
      <c r="T469" s="3057"/>
      <c r="U469" s="2989"/>
      <c r="W469" s="2901"/>
      <c r="X469" s="2862"/>
    </row>
    <row r="470" spans="1:25" s="1592" customFormat="1" ht="261" hidden="1" x14ac:dyDescent="0.35">
      <c r="A470" s="2486">
        <v>44165</v>
      </c>
      <c r="B470" s="2596">
        <v>4</v>
      </c>
      <c r="C470" s="5" t="s">
        <v>11245</v>
      </c>
      <c r="D470" s="3032" t="s">
        <v>11620</v>
      </c>
      <c r="E470" s="5" t="s">
        <v>11621</v>
      </c>
      <c r="F470" s="3029"/>
      <c r="G470" s="3040"/>
      <c r="H470" s="2892"/>
      <c r="I470" s="2960" t="s">
        <v>11313</v>
      </c>
      <c r="J470" s="824" t="s">
        <v>11624</v>
      </c>
      <c r="K470" s="6">
        <v>0.41666666666666669</v>
      </c>
      <c r="L470" s="3119">
        <v>0.49722222222222223</v>
      </c>
      <c r="M470" s="3020">
        <f>82+72</f>
        <v>154</v>
      </c>
      <c r="N470" s="3016" t="s">
        <v>11622</v>
      </c>
      <c r="O470" s="3016" t="s">
        <v>11346</v>
      </c>
      <c r="P470" s="3016" t="s">
        <v>17</v>
      </c>
      <c r="Q470" s="3016" t="s">
        <v>10908</v>
      </c>
      <c r="R470" s="3016"/>
      <c r="S470" s="2963"/>
      <c r="T470" s="3057"/>
      <c r="U470" s="2992"/>
      <c r="W470" s="2901"/>
      <c r="X470" s="2862"/>
    </row>
    <row r="471" spans="1:25" s="1592" customFormat="1" ht="101.5" hidden="1" x14ac:dyDescent="0.35">
      <c r="A471" s="1808">
        <v>43900</v>
      </c>
      <c r="B471" s="2555"/>
      <c r="C471" s="10" t="s">
        <v>7284</v>
      </c>
      <c r="D471" s="3031"/>
      <c r="E471" s="10" t="s">
        <v>7286</v>
      </c>
      <c r="F471" s="3029"/>
      <c r="G471" s="2893"/>
      <c r="H471" s="2892"/>
      <c r="I471" s="2960" t="s">
        <v>11313</v>
      </c>
      <c r="J471" s="823" t="s">
        <v>2960</v>
      </c>
      <c r="K471" s="6" t="s">
        <v>15</v>
      </c>
      <c r="L471" s="3117">
        <v>0.72916666666666663</v>
      </c>
      <c r="M471" s="3020">
        <v>360</v>
      </c>
      <c r="N471" s="3016" t="s">
        <v>7285</v>
      </c>
      <c r="O471" s="3016" t="s">
        <v>15</v>
      </c>
      <c r="P471" s="3016" t="s">
        <v>17</v>
      </c>
      <c r="Q471" s="3016" t="s">
        <v>2960</v>
      </c>
      <c r="R471" s="3016"/>
      <c r="S471" s="3031"/>
      <c r="T471" s="3057"/>
      <c r="U471" s="2989"/>
      <c r="W471" s="2901"/>
      <c r="X471" s="2862"/>
    </row>
    <row r="472" spans="1:25" s="1592" customFormat="1" ht="87" hidden="1" x14ac:dyDescent="0.35">
      <c r="A472" s="2960">
        <v>44096</v>
      </c>
      <c r="B472" s="2877"/>
      <c r="C472" s="2952" t="s">
        <v>11347</v>
      </c>
      <c r="D472" s="2968" t="s">
        <v>11348</v>
      </c>
      <c r="E472" s="2969" t="s">
        <v>11353</v>
      </c>
      <c r="F472" s="3029"/>
      <c r="G472" s="2974"/>
      <c r="H472" s="3063"/>
      <c r="I472" s="2960" t="s">
        <v>11313</v>
      </c>
      <c r="J472" s="2970" t="s">
        <v>11349</v>
      </c>
      <c r="K472" s="3125" t="s">
        <v>15</v>
      </c>
      <c r="L472" s="3119" t="s">
        <v>972</v>
      </c>
      <c r="M472" s="2962">
        <v>280</v>
      </c>
      <c r="N472" s="3027" t="s">
        <v>11350</v>
      </c>
      <c r="O472" s="3027" t="s">
        <v>15</v>
      </c>
      <c r="P472" s="3027" t="s">
        <v>17</v>
      </c>
      <c r="Q472" s="3027" t="s">
        <v>6041</v>
      </c>
      <c r="R472" s="3027"/>
      <c r="S472" s="3031"/>
      <c r="T472" s="3057"/>
      <c r="U472" s="2991"/>
      <c r="W472" s="2901"/>
      <c r="X472" s="2862"/>
    </row>
    <row r="473" spans="1:25" s="1592" customFormat="1" ht="58" hidden="1" x14ac:dyDescent="0.35">
      <c r="A473" s="2960">
        <v>44281</v>
      </c>
      <c r="B473" s="2877"/>
      <c r="C473" s="2956" t="s">
        <v>12338</v>
      </c>
      <c r="D473" s="2968" t="s">
        <v>12339</v>
      </c>
      <c r="E473" s="2956" t="s">
        <v>12340</v>
      </c>
      <c r="F473" s="3027"/>
      <c r="G473" s="2896" t="s">
        <v>11432</v>
      </c>
      <c r="H473" s="2889"/>
      <c r="I473" s="2960" t="s">
        <v>11313</v>
      </c>
      <c r="J473" s="2970" t="s">
        <v>12341</v>
      </c>
      <c r="K473" s="3125" t="s">
        <v>15</v>
      </c>
      <c r="L473" s="3119" t="s">
        <v>972</v>
      </c>
      <c r="M473" s="2962">
        <v>465</v>
      </c>
      <c r="N473" s="3027" t="s">
        <v>392</v>
      </c>
      <c r="O473" s="3027" t="s">
        <v>15</v>
      </c>
      <c r="P473" s="3027" t="s">
        <v>12323</v>
      </c>
      <c r="Q473" s="3027" t="s">
        <v>11327</v>
      </c>
      <c r="R473" s="3027"/>
      <c r="S473" s="3031"/>
      <c r="T473" s="3057"/>
      <c r="U473" s="2989"/>
      <c r="W473" s="2901"/>
      <c r="X473" s="2862"/>
    </row>
    <row r="474" spans="1:25" s="1592" customFormat="1" ht="116" hidden="1" x14ac:dyDescent="0.35">
      <c r="A474" s="2657">
        <v>44144</v>
      </c>
      <c r="B474" s="2877"/>
      <c r="C474" s="2956" t="s">
        <v>11548</v>
      </c>
      <c r="D474" s="2968" t="s">
        <v>10183</v>
      </c>
      <c r="E474" s="3027" t="s">
        <v>11549</v>
      </c>
      <c r="F474" s="3027"/>
      <c r="G474" s="2896" t="s">
        <v>11465</v>
      </c>
      <c r="H474" s="2892"/>
      <c r="I474" s="2657" t="s">
        <v>11313</v>
      </c>
      <c r="J474" s="2428" t="s">
        <v>11552</v>
      </c>
      <c r="K474" s="3125" t="s">
        <v>15</v>
      </c>
      <c r="L474" s="3119" t="s">
        <v>11550</v>
      </c>
      <c r="M474" s="2962">
        <f>1.5*149+10</f>
        <v>233.5</v>
      </c>
      <c r="N474" s="2521" t="s">
        <v>11551</v>
      </c>
      <c r="O474" s="3027" t="s">
        <v>15</v>
      </c>
      <c r="P474" s="2521" t="s">
        <v>17</v>
      </c>
      <c r="Q474" s="3027" t="s">
        <v>2083</v>
      </c>
      <c r="R474" s="3027"/>
      <c r="S474" s="3031"/>
      <c r="T474" s="3057"/>
      <c r="U474" s="2991"/>
      <c r="W474" s="2901"/>
      <c r="X474" s="2862"/>
    </row>
    <row r="475" spans="1:25" s="1592" customFormat="1" ht="391.5" hidden="1" x14ac:dyDescent="0.35">
      <c r="A475" s="1999">
        <v>43942</v>
      </c>
      <c r="B475" s="3132"/>
      <c r="C475" s="1850" t="s">
        <v>11343</v>
      </c>
      <c r="D475" s="3031"/>
      <c r="E475" s="1850" t="s">
        <v>7134</v>
      </c>
      <c r="F475" s="3029"/>
      <c r="G475" s="3143"/>
      <c r="H475" s="2892"/>
      <c r="I475" s="2960" t="s">
        <v>11313</v>
      </c>
      <c r="J475" s="2521" t="s">
        <v>10891</v>
      </c>
      <c r="K475" s="3117" t="s">
        <v>15</v>
      </c>
      <c r="L475" s="3119" t="s">
        <v>10892</v>
      </c>
      <c r="M475" s="3020">
        <f>1638+90*12</f>
        <v>2718</v>
      </c>
      <c r="N475" s="3016" t="s">
        <v>7135</v>
      </c>
      <c r="O475" s="3016" t="s">
        <v>15</v>
      </c>
      <c r="P475" s="3016" t="s">
        <v>17</v>
      </c>
      <c r="Q475" s="3016" t="s">
        <v>6045</v>
      </c>
      <c r="R475" s="3016"/>
      <c r="S475" s="3031"/>
      <c r="T475" s="3057"/>
      <c r="U475" s="2991"/>
      <c r="W475" s="2901"/>
      <c r="X475" s="2862"/>
    </row>
    <row r="476" spans="1:25" s="1592" customFormat="1" ht="159.5" hidden="1" x14ac:dyDescent="0.35">
      <c r="A476" s="2960">
        <v>43888</v>
      </c>
      <c r="B476" s="2997"/>
      <c r="C476" s="2956" t="s">
        <v>7023</v>
      </c>
      <c r="D476" s="2875"/>
      <c r="E476" s="2956" t="s">
        <v>7172</v>
      </c>
      <c r="F476" s="3029"/>
      <c r="G476" s="2889"/>
      <c r="H476" s="2892"/>
      <c r="I476" s="2960" t="s">
        <v>11313</v>
      </c>
      <c r="J476" s="2960" t="s">
        <v>7025</v>
      </c>
      <c r="K476" s="3125" t="s">
        <v>15</v>
      </c>
      <c r="L476" s="3125">
        <v>0.73611111111111116</v>
      </c>
      <c r="M476" s="2128">
        <v>2394</v>
      </c>
      <c r="N476" s="3027" t="s">
        <v>11296</v>
      </c>
      <c r="O476" s="3027" t="s">
        <v>15</v>
      </c>
      <c r="P476" s="3027" t="s">
        <v>17</v>
      </c>
      <c r="Q476" s="3027" t="s">
        <v>2084</v>
      </c>
      <c r="R476" s="3027"/>
      <c r="S476" s="3031"/>
      <c r="T476" s="3057"/>
      <c r="U476" s="2992"/>
      <c r="W476" s="2901"/>
      <c r="X476" s="2862"/>
    </row>
    <row r="477" spans="1:25" s="1592" customFormat="1" ht="29" hidden="1" x14ac:dyDescent="0.35">
      <c r="A477" s="2486">
        <v>43869</v>
      </c>
      <c r="B477" s="2545"/>
      <c r="C477" s="5" t="s">
        <v>20</v>
      </c>
      <c r="D477" s="3031"/>
      <c r="E477" s="5" t="s">
        <v>6577</v>
      </c>
      <c r="F477" s="3029"/>
      <c r="G477" s="2892"/>
      <c r="H477" s="2892"/>
      <c r="I477" s="2960" t="s">
        <v>11313</v>
      </c>
      <c r="J477" s="824" t="s">
        <v>20</v>
      </c>
      <c r="K477" s="6" t="s">
        <v>15</v>
      </c>
      <c r="L477" s="6" t="s">
        <v>15</v>
      </c>
      <c r="M477" s="2864">
        <v>0</v>
      </c>
      <c r="N477" s="5" t="s">
        <v>20</v>
      </c>
      <c r="O477" s="5" t="s">
        <v>15</v>
      </c>
      <c r="P477" s="5" t="s">
        <v>17</v>
      </c>
      <c r="Q477" s="3016" t="s">
        <v>20</v>
      </c>
      <c r="R477" s="3016"/>
      <c r="S477" s="3031"/>
      <c r="T477" s="3057"/>
      <c r="U477" s="2989"/>
      <c r="W477" s="2901"/>
      <c r="X477" s="2862"/>
    </row>
    <row r="478" spans="1:25" s="1592" customFormat="1" ht="29" hidden="1" x14ac:dyDescent="0.35">
      <c r="A478" s="2486">
        <v>43900</v>
      </c>
      <c r="B478" s="2545"/>
      <c r="C478" s="5" t="s">
        <v>20</v>
      </c>
      <c r="D478" s="3031"/>
      <c r="E478" s="5" t="s">
        <v>7287</v>
      </c>
      <c r="F478" s="2959"/>
      <c r="G478" s="2892"/>
      <c r="H478" s="2892"/>
      <c r="I478" s="2960" t="s">
        <v>11313</v>
      </c>
      <c r="J478" s="824" t="s">
        <v>20</v>
      </c>
      <c r="K478" s="6" t="s">
        <v>15</v>
      </c>
      <c r="L478" s="6" t="s">
        <v>15</v>
      </c>
      <c r="M478" s="3020">
        <v>0</v>
      </c>
      <c r="N478" s="6" t="s">
        <v>15</v>
      </c>
      <c r="O478" s="5" t="s">
        <v>15</v>
      </c>
      <c r="P478" s="3016" t="s">
        <v>17</v>
      </c>
      <c r="Q478" s="3016" t="s">
        <v>20</v>
      </c>
      <c r="R478" s="3016"/>
      <c r="S478" s="3031"/>
      <c r="T478" s="3057"/>
      <c r="U478" s="2989"/>
      <c r="W478" s="2901"/>
      <c r="X478" s="2862"/>
    </row>
    <row r="479" spans="1:25" s="1592" customFormat="1" ht="29" hidden="1" x14ac:dyDescent="0.35">
      <c r="A479" s="2486">
        <v>44093</v>
      </c>
      <c r="B479" s="2596"/>
      <c r="C479" s="5" t="s">
        <v>20</v>
      </c>
      <c r="D479" s="3032" t="s">
        <v>15</v>
      </c>
      <c r="E479" s="5" t="s">
        <v>11351</v>
      </c>
      <c r="F479" s="3029"/>
      <c r="G479" s="2892"/>
      <c r="H479" s="2892"/>
      <c r="I479" s="2960" t="s">
        <v>11313</v>
      </c>
      <c r="J479" s="824" t="s">
        <v>20</v>
      </c>
      <c r="K479" s="3117" t="s">
        <v>15</v>
      </c>
      <c r="L479" s="3117" t="s">
        <v>15</v>
      </c>
      <c r="M479" s="3020">
        <v>0</v>
      </c>
      <c r="N479" s="3117" t="s">
        <v>20</v>
      </c>
      <c r="O479" s="3016" t="s">
        <v>15</v>
      </c>
      <c r="P479" s="3016" t="s">
        <v>17</v>
      </c>
      <c r="Q479" s="3016" t="s">
        <v>20</v>
      </c>
      <c r="R479" s="3016"/>
      <c r="S479" s="3032"/>
      <c r="T479" s="3065"/>
      <c r="U479" s="2991"/>
      <c r="W479" s="2901"/>
      <c r="X479" s="2862"/>
    </row>
    <row r="480" spans="1:25" s="1592" customFormat="1" hidden="1" x14ac:dyDescent="0.35">
      <c r="A480" s="2486">
        <v>44224</v>
      </c>
      <c r="B480" s="2596"/>
      <c r="C480" s="5" t="s">
        <v>20</v>
      </c>
      <c r="D480" s="3032" t="s">
        <v>15</v>
      </c>
      <c r="E480" s="2725" t="s">
        <v>11965</v>
      </c>
      <c r="F480" s="3029"/>
      <c r="G480" s="3040" t="s">
        <v>11446</v>
      </c>
      <c r="H480" s="2892"/>
      <c r="I480" s="2960" t="s">
        <v>10893</v>
      </c>
      <c r="J480" s="2722" t="s">
        <v>20</v>
      </c>
      <c r="K480" s="6" t="s">
        <v>15</v>
      </c>
      <c r="L480" s="3117" t="s">
        <v>972</v>
      </c>
      <c r="M480" s="3020">
        <v>0</v>
      </c>
      <c r="N480" s="3016" t="s">
        <v>20</v>
      </c>
      <c r="O480" s="3016" t="s">
        <v>15</v>
      </c>
      <c r="P480" s="3016" t="s">
        <v>17</v>
      </c>
      <c r="Q480" s="3016" t="s">
        <v>6041</v>
      </c>
      <c r="R480" s="3016"/>
      <c r="S480" s="3031"/>
      <c r="T480" s="3057"/>
      <c r="U480" s="2989"/>
      <c r="W480" s="2901"/>
      <c r="X480" s="2862"/>
    </row>
    <row r="481" spans="1:24" s="1592" customFormat="1" ht="29" hidden="1" x14ac:dyDescent="0.35">
      <c r="A481" s="2486">
        <v>44224</v>
      </c>
      <c r="B481" s="2596"/>
      <c r="C481" s="5" t="s">
        <v>20</v>
      </c>
      <c r="D481" s="3032" t="s">
        <v>15</v>
      </c>
      <c r="E481" s="2725" t="s">
        <v>11969</v>
      </c>
      <c r="F481" s="3029"/>
      <c r="G481" s="3040" t="s">
        <v>11446</v>
      </c>
      <c r="H481" s="2892"/>
      <c r="I481" s="2960" t="s">
        <v>10893</v>
      </c>
      <c r="J481" s="2722" t="s">
        <v>20</v>
      </c>
      <c r="K481" s="6" t="s">
        <v>15</v>
      </c>
      <c r="L481" s="3117" t="s">
        <v>972</v>
      </c>
      <c r="M481" s="3020">
        <v>0</v>
      </c>
      <c r="N481" s="3016" t="s">
        <v>20</v>
      </c>
      <c r="O481" s="3016" t="s">
        <v>15</v>
      </c>
      <c r="P481" s="3016" t="s">
        <v>17</v>
      </c>
      <c r="Q481" s="3016" t="s">
        <v>6041</v>
      </c>
      <c r="R481" s="3016"/>
      <c r="S481" s="3031"/>
      <c r="T481" s="3057"/>
      <c r="U481" s="2989"/>
      <c r="W481" s="2901"/>
      <c r="X481" s="2862"/>
    </row>
    <row r="482" spans="1:24" s="1592" customFormat="1" hidden="1" x14ac:dyDescent="0.35">
      <c r="A482" s="2486">
        <v>44224</v>
      </c>
      <c r="B482" s="2596"/>
      <c r="C482" s="5" t="s">
        <v>20</v>
      </c>
      <c r="D482" s="3032" t="s">
        <v>15</v>
      </c>
      <c r="E482" s="2725" t="s">
        <v>11967</v>
      </c>
      <c r="F482" s="3029"/>
      <c r="G482" s="3040" t="s">
        <v>11446</v>
      </c>
      <c r="H482" s="2892"/>
      <c r="I482" s="2960" t="s">
        <v>10893</v>
      </c>
      <c r="J482" s="2722" t="s">
        <v>20</v>
      </c>
      <c r="K482" s="6" t="s">
        <v>15</v>
      </c>
      <c r="L482" s="3117" t="s">
        <v>972</v>
      </c>
      <c r="M482" s="3020">
        <v>0</v>
      </c>
      <c r="N482" s="3016" t="s">
        <v>20</v>
      </c>
      <c r="O482" s="3016" t="s">
        <v>15</v>
      </c>
      <c r="P482" s="3016" t="s">
        <v>17</v>
      </c>
      <c r="Q482" s="3016" t="s">
        <v>6041</v>
      </c>
      <c r="R482" s="3016"/>
      <c r="S482" s="3031"/>
      <c r="T482" s="3057"/>
      <c r="U482" s="2992"/>
      <c r="W482" s="2901"/>
      <c r="X482" s="2862"/>
    </row>
    <row r="483" spans="1:24" s="1592" customFormat="1" ht="29" hidden="1" x14ac:dyDescent="0.35">
      <c r="A483" s="2486">
        <v>44224</v>
      </c>
      <c r="B483" s="2596"/>
      <c r="C483" s="5" t="s">
        <v>20</v>
      </c>
      <c r="D483" s="3032" t="s">
        <v>15</v>
      </c>
      <c r="E483" s="2725" t="s">
        <v>11964</v>
      </c>
      <c r="F483" s="3029"/>
      <c r="G483" s="3040" t="s">
        <v>11446</v>
      </c>
      <c r="H483" s="2892"/>
      <c r="I483" s="2960" t="s">
        <v>10893</v>
      </c>
      <c r="J483" s="2722" t="s">
        <v>20</v>
      </c>
      <c r="K483" s="6" t="s">
        <v>15</v>
      </c>
      <c r="L483" s="3117" t="s">
        <v>972</v>
      </c>
      <c r="M483" s="3020">
        <v>0</v>
      </c>
      <c r="N483" s="3016" t="s">
        <v>20</v>
      </c>
      <c r="O483" s="3016" t="s">
        <v>15</v>
      </c>
      <c r="P483" s="3016" t="s">
        <v>17</v>
      </c>
      <c r="Q483" s="3016" t="s">
        <v>6041</v>
      </c>
      <c r="R483" s="3016"/>
      <c r="S483" s="3031"/>
      <c r="T483" s="3057"/>
      <c r="U483" s="2992"/>
      <c r="W483" s="2901"/>
      <c r="X483" s="2862"/>
    </row>
    <row r="484" spans="1:24" s="1592" customFormat="1" ht="145" hidden="1" x14ac:dyDescent="0.35">
      <c r="A484" s="2884">
        <v>43873</v>
      </c>
      <c r="B484" s="2596"/>
      <c r="C484" s="3016" t="s">
        <v>6684</v>
      </c>
      <c r="D484" s="3031"/>
      <c r="E484" s="3016" t="s">
        <v>6683</v>
      </c>
      <c r="F484" s="3029"/>
      <c r="G484" s="3040"/>
      <c r="H484" s="2892"/>
      <c r="I484" s="2960" t="s">
        <v>11313</v>
      </c>
      <c r="J484" s="2885" t="s">
        <v>49</v>
      </c>
      <c r="K484" s="3117" t="s">
        <v>49</v>
      </c>
      <c r="L484" s="3117" t="s">
        <v>49</v>
      </c>
      <c r="M484" s="3020">
        <v>0</v>
      </c>
      <c r="N484" s="3016" t="s">
        <v>361</v>
      </c>
      <c r="O484" s="3016" t="s">
        <v>15</v>
      </c>
      <c r="P484" s="3016" t="s">
        <v>17</v>
      </c>
      <c r="Q484" s="3016" t="s">
        <v>17</v>
      </c>
      <c r="R484" s="3016"/>
      <c r="S484" s="3031"/>
      <c r="T484" s="3057"/>
      <c r="U484" s="2991"/>
      <c r="W484" s="2901"/>
      <c r="X484" s="2862"/>
    </row>
    <row r="485" spans="1:24" s="1592" customFormat="1" ht="72.5" hidden="1" x14ac:dyDescent="0.35">
      <c r="A485" s="2960">
        <v>44238</v>
      </c>
      <c r="B485" s="2877"/>
      <c r="C485" s="2956" t="s">
        <v>12079</v>
      </c>
      <c r="D485" s="2968" t="s">
        <v>12077</v>
      </c>
      <c r="E485" s="2969" t="s">
        <v>12076</v>
      </c>
      <c r="F485" s="3027"/>
      <c r="G485" s="2896" t="s">
        <v>11951</v>
      </c>
      <c r="H485" s="2892"/>
      <c r="I485" s="2960" t="s">
        <v>10893</v>
      </c>
      <c r="J485" s="2970" t="s">
        <v>12078</v>
      </c>
      <c r="K485" s="3125">
        <v>0.45833333333333331</v>
      </c>
      <c r="L485" s="3119">
        <v>0.45833333333333331</v>
      </c>
      <c r="M485" s="2962">
        <v>165</v>
      </c>
      <c r="N485" s="3027" t="s">
        <v>257</v>
      </c>
      <c r="O485" s="3027" t="s">
        <v>15</v>
      </c>
      <c r="P485" s="3027" t="s">
        <v>12063</v>
      </c>
      <c r="Q485" s="3027" t="s">
        <v>6041</v>
      </c>
      <c r="R485" s="3027"/>
      <c r="S485" s="3031"/>
      <c r="T485" s="3057"/>
      <c r="U485" s="2989"/>
      <c r="W485" s="2901"/>
      <c r="X485" s="2862"/>
    </row>
    <row r="486" spans="1:24" s="1592" customFormat="1" ht="43.5" hidden="1" x14ac:dyDescent="0.35">
      <c r="A486" s="2657">
        <v>44157</v>
      </c>
      <c r="B486" s="2877"/>
      <c r="C486" s="2956" t="s">
        <v>11588</v>
      </c>
      <c r="D486" s="2968" t="s">
        <v>11589</v>
      </c>
      <c r="E486" s="3027" t="s">
        <v>11590</v>
      </c>
      <c r="F486" s="3027"/>
      <c r="G486" s="2896" t="s">
        <v>11499</v>
      </c>
      <c r="H486" s="2892"/>
      <c r="I486" s="2657" t="s">
        <v>11313</v>
      </c>
      <c r="J486" s="2428" t="s">
        <v>11591</v>
      </c>
      <c r="K486" s="3125" t="s">
        <v>15</v>
      </c>
      <c r="L486" s="3119" t="s">
        <v>972</v>
      </c>
      <c r="M486" s="2962">
        <v>178</v>
      </c>
      <c r="N486" s="2521" t="s">
        <v>392</v>
      </c>
      <c r="O486" s="3027" t="s">
        <v>15</v>
      </c>
      <c r="P486" s="2521" t="s">
        <v>821</v>
      </c>
      <c r="Q486" s="3027" t="s">
        <v>8499</v>
      </c>
      <c r="R486" s="3027"/>
      <c r="S486" s="3031"/>
      <c r="T486" s="3057"/>
      <c r="U486" s="2992"/>
      <c r="W486" s="2901"/>
      <c r="X486" s="2862"/>
    </row>
    <row r="487" spans="1:24" s="1592" customFormat="1" ht="130.5" hidden="1" x14ac:dyDescent="0.35">
      <c r="A487" s="2486">
        <v>43967</v>
      </c>
      <c r="B487" s="2596"/>
      <c r="C487" s="1733" t="s">
        <v>11223</v>
      </c>
      <c r="D487" s="2811" t="s">
        <v>11225</v>
      </c>
      <c r="E487" s="1733" t="s">
        <v>11224</v>
      </c>
      <c r="F487" s="3029"/>
      <c r="G487" s="3133"/>
      <c r="H487" s="2892"/>
      <c r="I487" s="2960" t="s">
        <v>11313</v>
      </c>
      <c r="J487" s="2428"/>
      <c r="K487" s="6" t="s">
        <v>15</v>
      </c>
      <c r="L487" s="3117" t="s">
        <v>972</v>
      </c>
      <c r="M487" s="3020">
        <f>1.2*81.25</f>
        <v>97.5</v>
      </c>
      <c r="N487" s="3117" t="s">
        <v>11226</v>
      </c>
      <c r="O487" s="3016" t="s">
        <v>15</v>
      </c>
      <c r="P487" s="3016" t="s">
        <v>17</v>
      </c>
      <c r="Q487" s="3117" t="s">
        <v>6041</v>
      </c>
      <c r="R487" s="3117"/>
      <c r="S487" s="3031"/>
      <c r="T487" s="3057"/>
      <c r="U487" s="2992"/>
      <c r="W487" s="2901"/>
      <c r="X487" s="2862"/>
    </row>
    <row r="488" spans="1:24" s="1592" customFormat="1" ht="246.5" hidden="1" x14ac:dyDescent="0.35">
      <c r="A488" s="1957">
        <v>43869</v>
      </c>
      <c r="B488" s="3064"/>
      <c r="C488" s="1412" t="s">
        <v>6512</v>
      </c>
      <c r="D488" s="3031"/>
      <c r="E488" s="10" t="s">
        <v>6575</v>
      </c>
      <c r="F488" s="3029"/>
      <c r="G488" s="2893"/>
      <c r="H488" s="2892"/>
      <c r="I488" s="2960" t="s">
        <v>11313</v>
      </c>
      <c r="J488" s="2428" t="s">
        <v>11270</v>
      </c>
      <c r="K488" s="12" t="s">
        <v>15</v>
      </c>
      <c r="L488" s="12">
        <v>0.72916666666666663</v>
      </c>
      <c r="M488" s="3020">
        <f>3500*0.9</f>
        <v>3150</v>
      </c>
      <c r="N488" s="3016" t="s">
        <v>6643</v>
      </c>
      <c r="O488" s="3016" t="s">
        <v>15</v>
      </c>
      <c r="P488" s="3016" t="s">
        <v>17</v>
      </c>
      <c r="Q488" s="3016" t="s">
        <v>6053</v>
      </c>
      <c r="R488" s="3016"/>
      <c r="S488" s="3031"/>
      <c r="T488" s="3057"/>
      <c r="U488" s="2991"/>
      <c r="W488" s="2901"/>
      <c r="X488" s="2862"/>
    </row>
    <row r="489" spans="1:24" s="1592" customFormat="1" ht="159.5" hidden="1" x14ac:dyDescent="0.35">
      <c r="A489" s="2960">
        <v>44265</v>
      </c>
      <c r="B489" s="2877"/>
      <c r="C489" s="2956" t="s">
        <v>12302</v>
      </c>
      <c r="D489" s="2968"/>
      <c r="E489" s="2969" t="s">
        <v>12303</v>
      </c>
      <c r="F489" s="3029"/>
      <c r="G489" s="2950"/>
      <c r="H489" s="3063"/>
      <c r="I489" s="2960" t="s">
        <v>11313</v>
      </c>
      <c r="J489" s="2970" t="s">
        <v>12304</v>
      </c>
      <c r="K489" s="3125" t="s">
        <v>15</v>
      </c>
      <c r="L489" s="2954" t="s">
        <v>15</v>
      </c>
      <c r="M489" s="2962">
        <f>6*150</f>
        <v>900</v>
      </c>
      <c r="N489" s="3027" t="s">
        <v>257</v>
      </c>
      <c r="O489" s="3027" t="s">
        <v>15</v>
      </c>
      <c r="P489" s="3027" t="s">
        <v>821</v>
      </c>
      <c r="Q489" s="3027" t="s">
        <v>10908</v>
      </c>
      <c r="R489" s="3027"/>
      <c r="S489" s="3031"/>
      <c r="T489" s="3057"/>
      <c r="U489" s="2989"/>
      <c r="W489" s="2901"/>
      <c r="X489" s="2862"/>
    </row>
    <row r="490" spans="1:24" s="1592" customFormat="1" ht="116" hidden="1" x14ac:dyDescent="0.35">
      <c r="A490" s="2960">
        <v>44109</v>
      </c>
      <c r="B490" s="2877"/>
      <c r="C490" s="2952" t="s">
        <v>11373</v>
      </c>
      <c r="D490" s="2968" t="s">
        <v>11374</v>
      </c>
      <c r="E490" s="2969" t="s">
        <v>11375</v>
      </c>
      <c r="F490" s="3029"/>
      <c r="G490" s="2974"/>
      <c r="H490" s="3063"/>
      <c r="I490" s="2960" t="s">
        <v>11313</v>
      </c>
      <c r="J490" s="2428" t="s">
        <v>11376</v>
      </c>
      <c r="K490" s="3119" t="s">
        <v>15</v>
      </c>
      <c r="L490" s="3119" t="s">
        <v>972</v>
      </c>
      <c r="M490" s="2962">
        <v>520</v>
      </c>
      <c r="N490" s="3027" t="s">
        <v>257</v>
      </c>
      <c r="O490" s="3027" t="s">
        <v>15</v>
      </c>
      <c r="P490" s="3027" t="s">
        <v>17</v>
      </c>
      <c r="Q490" s="3027" t="s">
        <v>6041</v>
      </c>
      <c r="R490" s="3027"/>
      <c r="S490" s="3031"/>
      <c r="T490" s="3057"/>
      <c r="U490" s="2992"/>
      <c r="W490" s="2901"/>
      <c r="X490" s="2862"/>
    </row>
    <row r="491" spans="1:24" s="1592" customFormat="1" ht="87" hidden="1" x14ac:dyDescent="0.35">
      <c r="A491" s="2884">
        <v>43862</v>
      </c>
      <c r="B491" s="2596"/>
      <c r="C491" s="3027" t="s">
        <v>6896</v>
      </c>
      <c r="D491" s="3031"/>
      <c r="E491" s="3016" t="s">
        <v>6449</v>
      </c>
      <c r="F491" s="3029"/>
      <c r="G491" s="3040"/>
      <c r="H491" s="2892"/>
      <c r="I491" s="2960" t="s">
        <v>11313</v>
      </c>
      <c r="J491" s="2885" t="s">
        <v>5367</v>
      </c>
      <c r="K491" s="3117" t="s">
        <v>15</v>
      </c>
      <c r="L491" s="3117">
        <v>0.625</v>
      </c>
      <c r="M491" s="3020">
        <v>0</v>
      </c>
      <c r="N491" s="3016" t="s">
        <v>16</v>
      </c>
      <c r="O491" s="3016" t="s">
        <v>15</v>
      </c>
      <c r="P491" s="3016" t="s">
        <v>17</v>
      </c>
      <c r="Q491" s="3016" t="s">
        <v>6450</v>
      </c>
      <c r="R491" s="3016"/>
      <c r="S491" s="3031"/>
      <c r="T491" s="3057"/>
      <c r="U491" s="2992"/>
      <c r="W491" s="2901"/>
      <c r="X491" s="2862"/>
    </row>
    <row r="492" spans="1:24" s="1592" customFormat="1" ht="58" hidden="1" x14ac:dyDescent="0.35">
      <c r="A492" s="2960">
        <v>44219</v>
      </c>
      <c r="B492" s="2877"/>
      <c r="C492" s="2956" t="s">
        <v>11925</v>
      </c>
      <c r="D492" s="2968" t="s">
        <v>11926</v>
      </c>
      <c r="E492" s="2956" t="s">
        <v>11928</v>
      </c>
      <c r="F492" s="3029"/>
      <c r="G492" s="3040"/>
      <c r="H492" s="2892"/>
      <c r="I492" s="2960" t="s">
        <v>11527</v>
      </c>
      <c r="J492" s="2970" t="s">
        <v>11927</v>
      </c>
      <c r="K492" s="3125" t="s">
        <v>15</v>
      </c>
      <c r="L492" s="3119" t="s">
        <v>1040</v>
      </c>
      <c r="M492" s="2962">
        <v>265</v>
      </c>
      <c r="N492" s="3027" t="s">
        <v>392</v>
      </c>
      <c r="O492" s="3027" t="s">
        <v>15</v>
      </c>
      <c r="P492" s="3027" t="s">
        <v>821</v>
      </c>
      <c r="Q492" s="3027" t="s">
        <v>5560</v>
      </c>
      <c r="R492" s="3027"/>
      <c r="S492" s="3031"/>
      <c r="T492" s="3057"/>
      <c r="U492" s="2991"/>
      <c r="W492" s="2901"/>
      <c r="X492" s="2862"/>
    </row>
    <row r="493" spans="1:24" s="1592" customFormat="1" ht="43.5" hidden="1" x14ac:dyDescent="0.35">
      <c r="A493" s="2960">
        <v>44170</v>
      </c>
      <c r="B493" s="2877"/>
      <c r="C493" s="2956" t="s">
        <v>11646</v>
      </c>
      <c r="D493" s="2968" t="s">
        <v>11647</v>
      </c>
      <c r="E493" s="2956" t="s">
        <v>11648</v>
      </c>
      <c r="F493" s="3027"/>
      <c r="G493" s="2896" t="s">
        <v>11445</v>
      </c>
      <c r="H493" s="2892"/>
      <c r="I493" s="2960" t="s">
        <v>11313</v>
      </c>
      <c r="J493" s="2970" t="s">
        <v>11649</v>
      </c>
      <c r="K493" s="3125" t="s">
        <v>15</v>
      </c>
      <c r="L493" s="3119" t="s">
        <v>972</v>
      </c>
      <c r="M493" s="2962">
        <v>260</v>
      </c>
      <c r="N493" s="2521" t="s">
        <v>257</v>
      </c>
      <c r="O493" s="3027" t="s">
        <v>15</v>
      </c>
      <c r="P493" s="2521" t="s">
        <v>821</v>
      </c>
      <c r="Q493" s="3027" t="s">
        <v>11327</v>
      </c>
      <c r="R493" s="3027"/>
      <c r="S493" s="3031"/>
      <c r="T493" s="3057"/>
      <c r="U493" s="2992"/>
      <c r="W493" s="2901"/>
      <c r="X493" s="2862"/>
    </row>
    <row r="494" spans="1:24" s="1592" customFormat="1" ht="43.5" hidden="1" x14ac:dyDescent="0.35">
      <c r="A494" s="2960">
        <v>44155</v>
      </c>
      <c r="B494" s="2877"/>
      <c r="C494" s="2952" t="s">
        <v>11576</v>
      </c>
      <c r="D494" s="2968" t="s">
        <v>11575</v>
      </c>
      <c r="E494" s="2969" t="s">
        <v>11574</v>
      </c>
      <c r="F494" s="3027"/>
      <c r="G494" s="2979" t="s">
        <v>11426</v>
      </c>
      <c r="H494" s="3063"/>
      <c r="I494" s="2960" t="s">
        <v>11313</v>
      </c>
      <c r="J494" s="2428" t="s">
        <v>11577</v>
      </c>
      <c r="K494" s="3119" t="s">
        <v>15</v>
      </c>
      <c r="L494" s="3119" t="s">
        <v>972</v>
      </c>
      <c r="M494" s="2962">
        <v>110</v>
      </c>
      <c r="N494" s="3027" t="s">
        <v>392</v>
      </c>
      <c r="O494" s="3027" t="s">
        <v>15</v>
      </c>
      <c r="P494" s="3027" t="s">
        <v>821</v>
      </c>
      <c r="Q494" s="3027" t="s">
        <v>8499</v>
      </c>
      <c r="R494" s="3027"/>
      <c r="S494" s="3031"/>
      <c r="T494" s="3057"/>
      <c r="U494" s="2992"/>
      <c r="W494" s="2901"/>
      <c r="X494" s="2862"/>
    </row>
    <row r="495" spans="1:24" s="1592" customFormat="1" ht="72.5" hidden="1" x14ac:dyDescent="0.35">
      <c r="A495" s="2960">
        <v>44210</v>
      </c>
      <c r="B495" s="2877"/>
      <c r="C495" s="2956" t="s">
        <v>11874</v>
      </c>
      <c r="D495" s="2968" t="s">
        <v>11875</v>
      </c>
      <c r="E495" s="2956" t="s">
        <v>11877</v>
      </c>
      <c r="F495" s="3029"/>
      <c r="G495" s="3040"/>
      <c r="H495" s="2892"/>
      <c r="I495" s="2960" t="s">
        <v>10893</v>
      </c>
      <c r="J495" s="2970" t="s">
        <v>11876</v>
      </c>
      <c r="K495" s="3125" t="s">
        <v>15</v>
      </c>
      <c r="L495" s="3119" t="s">
        <v>972</v>
      </c>
      <c r="M495" s="2962">
        <f>120*3.5+15</f>
        <v>435</v>
      </c>
      <c r="N495" s="3027" t="s">
        <v>392</v>
      </c>
      <c r="O495" s="3027" t="s">
        <v>15</v>
      </c>
      <c r="P495" s="3027" t="s">
        <v>821</v>
      </c>
      <c r="Q495" s="3027" t="s">
        <v>11327</v>
      </c>
      <c r="R495" s="3027"/>
      <c r="S495" s="3031"/>
      <c r="T495" s="3057"/>
      <c r="U495" s="2992"/>
      <c r="W495" s="2901"/>
      <c r="X495" s="2862"/>
    </row>
    <row r="496" spans="1:24" s="1592" customFormat="1" ht="159.5" hidden="1" x14ac:dyDescent="0.35">
      <c r="A496" s="2884">
        <v>43896</v>
      </c>
      <c r="B496" s="2596"/>
      <c r="C496" s="3027" t="s">
        <v>7220</v>
      </c>
      <c r="D496" s="3031" t="s">
        <v>11370</v>
      </c>
      <c r="E496" s="3027" t="s">
        <v>7221</v>
      </c>
      <c r="F496" s="3029"/>
      <c r="G496" s="2896"/>
      <c r="H496" s="2892"/>
      <c r="I496" s="2960" t="s">
        <v>11313</v>
      </c>
      <c r="J496" s="1571" t="s">
        <v>290</v>
      </c>
      <c r="K496" s="3117"/>
      <c r="L496" s="3117"/>
      <c r="M496" s="3020">
        <v>1384</v>
      </c>
      <c r="N496" s="2575" t="s">
        <v>7222</v>
      </c>
      <c r="O496" s="3016"/>
      <c r="P496" s="3016" t="s">
        <v>974</v>
      </c>
      <c r="Q496" s="3016" t="s">
        <v>7223</v>
      </c>
      <c r="R496" s="3016"/>
      <c r="S496" s="3031"/>
      <c r="T496" s="3057"/>
      <c r="U496" s="2992"/>
      <c r="W496" s="2901"/>
      <c r="X496" s="2862"/>
    </row>
    <row r="497" spans="1:24" s="1592" customFormat="1" ht="203" hidden="1" x14ac:dyDescent="0.35">
      <c r="A497" s="2486">
        <v>43896</v>
      </c>
      <c r="B497" s="2545"/>
      <c r="C497" s="5" t="s">
        <v>7228</v>
      </c>
      <c r="D497" s="3031"/>
      <c r="E497" s="5" t="s">
        <v>6822</v>
      </c>
      <c r="F497" s="3029"/>
      <c r="G497" s="2892"/>
      <c r="H497" s="2892"/>
      <c r="I497" s="2960" t="s">
        <v>11313</v>
      </c>
      <c r="J497" s="824" t="s">
        <v>5367</v>
      </c>
      <c r="K497" s="6" t="s">
        <v>15</v>
      </c>
      <c r="L497" s="3119" t="s">
        <v>49</v>
      </c>
      <c r="M497" s="2864">
        <v>0</v>
      </c>
      <c r="N497" s="5" t="s">
        <v>7224</v>
      </c>
      <c r="O497" s="5" t="s">
        <v>15</v>
      </c>
      <c r="P497" s="5" t="s">
        <v>17</v>
      </c>
      <c r="Q497" s="5" t="s">
        <v>6034</v>
      </c>
      <c r="R497" s="5"/>
      <c r="S497" s="3031"/>
      <c r="T497" s="3057"/>
      <c r="U497" s="2992"/>
      <c r="W497" s="2901"/>
      <c r="X497" s="2862"/>
    </row>
    <row r="498" spans="1:24" s="1592" customFormat="1" ht="72.5" hidden="1" x14ac:dyDescent="0.35">
      <c r="A498" s="2960">
        <v>44240</v>
      </c>
      <c r="B498" s="2877"/>
      <c r="C498" s="2956" t="s">
        <v>12103</v>
      </c>
      <c r="D498" s="2968" t="s">
        <v>12105</v>
      </c>
      <c r="E498" s="3027" t="s">
        <v>12041</v>
      </c>
      <c r="F498" s="3027"/>
      <c r="G498" s="2896" t="s">
        <v>12042</v>
      </c>
      <c r="H498" s="2892"/>
      <c r="I498" s="2960" t="s">
        <v>10893</v>
      </c>
      <c r="J498" s="2970" t="s">
        <v>12104</v>
      </c>
      <c r="K498" s="3125" t="s">
        <v>15</v>
      </c>
      <c r="L498" s="3119" t="s">
        <v>972</v>
      </c>
      <c r="M498" s="2962">
        <v>195</v>
      </c>
      <c r="N498" s="3027" t="s">
        <v>257</v>
      </c>
      <c r="O498" s="3027" t="s">
        <v>15</v>
      </c>
      <c r="P498" s="3027" t="s">
        <v>12070</v>
      </c>
      <c r="Q498" s="3027" t="s">
        <v>8499</v>
      </c>
      <c r="R498" s="3027"/>
      <c r="S498" s="3031"/>
      <c r="T498" s="3057"/>
      <c r="U498" s="2992"/>
      <c r="W498" s="2901"/>
      <c r="X498" s="2862"/>
    </row>
    <row r="499" spans="1:24" s="1592" customFormat="1" ht="87" hidden="1" x14ac:dyDescent="0.35">
      <c r="A499" s="2960">
        <v>44240</v>
      </c>
      <c r="B499" s="2877"/>
      <c r="C499" s="2956" t="s">
        <v>12109</v>
      </c>
      <c r="D499" s="2968" t="s">
        <v>12111</v>
      </c>
      <c r="E499" s="2969" t="s">
        <v>12107</v>
      </c>
      <c r="F499" s="3027"/>
      <c r="G499" s="2896" t="s">
        <v>12108</v>
      </c>
      <c r="H499" s="2892"/>
      <c r="I499" s="2960" t="s">
        <v>10893</v>
      </c>
      <c r="J499" s="2970" t="s">
        <v>12110</v>
      </c>
      <c r="K499" s="3125" t="s">
        <v>15</v>
      </c>
      <c r="L499" s="3119" t="s">
        <v>972</v>
      </c>
      <c r="M499" s="2962">
        <v>204.99</v>
      </c>
      <c r="N499" s="3027" t="s">
        <v>257</v>
      </c>
      <c r="O499" s="3027" t="s">
        <v>15</v>
      </c>
      <c r="P499" s="3027" t="s">
        <v>12070</v>
      </c>
      <c r="Q499" s="3027" t="s">
        <v>8499</v>
      </c>
      <c r="R499" s="3027"/>
      <c r="S499" s="3031"/>
      <c r="T499" s="3057"/>
      <c r="U499" s="2989"/>
      <c r="W499" s="2901"/>
      <c r="X499" s="2862"/>
    </row>
    <row r="500" spans="1:24" s="1592" customFormat="1" ht="409.5" hidden="1" x14ac:dyDescent="0.35">
      <c r="A500" s="2486">
        <v>43943</v>
      </c>
      <c r="B500" s="2545"/>
      <c r="C500" s="5" t="s">
        <v>6947</v>
      </c>
      <c r="D500" s="3031" t="s">
        <v>11371</v>
      </c>
      <c r="E500" s="5" t="s">
        <v>7114</v>
      </c>
      <c r="F500" s="3029"/>
      <c r="G500" s="2892"/>
      <c r="H500" s="2892"/>
      <c r="I500" s="2960" t="s">
        <v>11313</v>
      </c>
      <c r="J500" s="2533" t="s">
        <v>290</v>
      </c>
      <c r="K500" s="6"/>
      <c r="L500" s="6" t="s">
        <v>3071</v>
      </c>
      <c r="M500" s="2864">
        <v>1600</v>
      </c>
      <c r="N500" s="3016" t="s">
        <v>7115</v>
      </c>
      <c r="O500" s="3016"/>
      <c r="P500" s="3016" t="s">
        <v>974</v>
      </c>
      <c r="Q500" s="3016" t="s">
        <v>7116</v>
      </c>
      <c r="R500" s="3016"/>
      <c r="S500" s="3031"/>
      <c r="T500" s="3057"/>
      <c r="U500" s="2992"/>
      <c r="W500" s="2901"/>
      <c r="X500" s="2862"/>
    </row>
    <row r="501" spans="1:24" s="1592" customFormat="1" ht="29" hidden="1" x14ac:dyDescent="0.35">
      <c r="A501" s="2657">
        <v>44157</v>
      </c>
      <c r="B501" s="2877"/>
      <c r="C501" s="2956" t="s">
        <v>11595</v>
      </c>
      <c r="D501" s="2968" t="s">
        <v>11596</v>
      </c>
      <c r="E501" s="3027" t="s">
        <v>11594</v>
      </c>
      <c r="F501" s="3027"/>
      <c r="G501" s="2896" t="s">
        <v>14316</v>
      </c>
      <c r="H501" s="2892"/>
      <c r="I501" s="2657" t="s">
        <v>11313</v>
      </c>
      <c r="J501" s="2428" t="s">
        <v>11597</v>
      </c>
      <c r="K501" s="3125" t="s">
        <v>15</v>
      </c>
      <c r="L501" s="3119" t="s">
        <v>11186</v>
      </c>
      <c r="M501" s="2962">
        <v>130</v>
      </c>
      <c r="N501" s="2521" t="s">
        <v>392</v>
      </c>
      <c r="O501" s="3027" t="s">
        <v>15</v>
      </c>
      <c r="P501" s="2521" t="s">
        <v>821</v>
      </c>
      <c r="Q501" s="3027" t="s">
        <v>2084</v>
      </c>
      <c r="R501" s="3027"/>
      <c r="S501" s="3031"/>
      <c r="T501" s="3057"/>
      <c r="U501" s="2992"/>
      <c r="W501" s="2901"/>
      <c r="X501" s="2862"/>
    </row>
    <row r="502" spans="1:24" s="1592" customFormat="1" ht="29" hidden="1" x14ac:dyDescent="0.35">
      <c r="A502" s="2960">
        <v>44168</v>
      </c>
      <c r="B502" s="2877"/>
      <c r="C502" s="2956" t="s">
        <v>11634</v>
      </c>
      <c r="D502" s="2968" t="s">
        <v>11635</v>
      </c>
      <c r="E502" s="2956" t="s">
        <v>11636</v>
      </c>
      <c r="F502" s="3027"/>
      <c r="G502" s="2896" t="s">
        <v>11607</v>
      </c>
      <c r="H502" s="2892"/>
      <c r="I502" s="2960" t="s">
        <v>11313</v>
      </c>
      <c r="J502" s="2970" t="s">
        <v>11637</v>
      </c>
      <c r="K502" s="3125" t="s">
        <v>15</v>
      </c>
      <c r="L502" s="2954" t="s">
        <v>972</v>
      </c>
      <c r="M502" s="2962">
        <v>110</v>
      </c>
      <c r="N502" s="3027" t="s">
        <v>392</v>
      </c>
      <c r="O502" s="3027" t="s">
        <v>15</v>
      </c>
      <c r="P502" s="3027" t="s">
        <v>17</v>
      </c>
      <c r="Q502" s="3027" t="s">
        <v>11183</v>
      </c>
      <c r="R502" s="3027"/>
      <c r="S502" s="3031"/>
      <c r="T502" s="3057"/>
      <c r="U502" s="2989"/>
      <c r="W502" s="2901"/>
      <c r="X502" s="2862"/>
    </row>
    <row r="503" spans="1:24" s="1592" customFormat="1" ht="174" hidden="1" x14ac:dyDescent="0.35">
      <c r="A503" s="2884">
        <v>43881</v>
      </c>
      <c r="B503" s="2596"/>
      <c r="C503" s="3016" t="s">
        <v>6879</v>
      </c>
      <c r="D503" s="3031" t="s">
        <v>11372</v>
      </c>
      <c r="E503" s="3016" t="s">
        <v>6882</v>
      </c>
      <c r="F503" s="3029"/>
      <c r="G503" s="3040"/>
      <c r="H503" s="2892"/>
      <c r="I503" s="2960" t="s">
        <v>11313</v>
      </c>
      <c r="J503" s="2533" t="s">
        <v>6880</v>
      </c>
      <c r="K503" s="3117" t="s">
        <v>15</v>
      </c>
      <c r="L503" s="3117">
        <v>0.77083333333333337</v>
      </c>
      <c r="M503" s="3020">
        <v>1238</v>
      </c>
      <c r="N503" s="2064" t="s">
        <v>6881</v>
      </c>
      <c r="O503" s="3016" t="s">
        <v>15</v>
      </c>
      <c r="P503" s="3016" t="s">
        <v>17</v>
      </c>
      <c r="Q503" s="3016" t="s">
        <v>6450</v>
      </c>
      <c r="R503" s="3016"/>
      <c r="S503" s="3031"/>
      <c r="T503" s="3057"/>
      <c r="U503" s="2992"/>
      <c r="W503" s="2901"/>
      <c r="X503" s="2862"/>
    </row>
    <row r="504" spans="1:24" s="1592" customFormat="1" ht="58" hidden="1" x14ac:dyDescent="0.35">
      <c r="A504" s="2960">
        <v>44116</v>
      </c>
      <c r="B504" s="2877"/>
      <c r="C504" s="2960" t="s">
        <v>11467</v>
      </c>
      <c r="D504" s="2968" t="s">
        <v>11468</v>
      </c>
      <c r="E504" s="2956" t="s">
        <v>11476</v>
      </c>
      <c r="F504" s="3027"/>
      <c r="G504" s="2896" t="s">
        <v>11442</v>
      </c>
      <c r="H504" s="2892"/>
      <c r="I504" s="2960" t="s">
        <v>11313</v>
      </c>
      <c r="J504" s="2428" t="s">
        <v>11469</v>
      </c>
      <c r="K504" s="3125" t="s">
        <v>15</v>
      </c>
      <c r="L504" s="3119" t="s">
        <v>972</v>
      </c>
      <c r="M504" s="2962">
        <v>172</v>
      </c>
      <c r="N504" s="3027" t="s">
        <v>257</v>
      </c>
      <c r="O504" s="3027" t="s">
        <v>15</v>
      </c>
      <c r="P504" s="3027" t="s">
        <v>17</v>
      </c>
      <c r="Q504" s="3027" t="s">
        <v>6041</v>
      </c>
      <c r="R504" s="3027"/>
      <c r="S504" s="3031"/>
      <c r="T504" s="3057"/>
      <c r="U504" s="2992"/>
      <c r="W504" s="2901"/>
      <c r="X504" s="2862"/>
    </row>
    <row r="505" spans="1:24" s="1592" customFormat="1" ht="203" hidden="1" x14ac:dyDescent="0.35">
      <c r="A505" s="2960">
        <v>43895</v>
      </c>
      <c r="B505" s="2997"/>
      <c r="C505" s="2956" t="s">
        <v>7195</v>
      </c>
      <c r="D505" s="3031"/>
      <c r="E505" s="2956" t="s">
        <v>6822</v>
      </c>
      <c r="F505" s="3029"/>
      <c r="G505" s="2889"/>
      <c r="H505" s="2892"/>
      <c r="I505" s="2960" t="s">
        <v>11313</v>
      </c>
      <c r="J505" s="2428" t="s">
        <v>5367</v>
      </c>
      <c r="K505" s="3125">
        <v>0.58333333333333337</v>
      </c>
      <c r="L505" s="3125">
        <v>0.58333333333333337</v>
      </c>
      <c r="M505" s="2128">
        <v>0</v>
      </c>
      <c r="N505" s="2956" t="s">
        <v>6821</v>
      </c>
      <c r="O505" s="2956" t="s">
        <v>15</v>
      </c>
      <c r="P505" s="2956" t="s">
        <v>17</v>
      </c>
      <c r="Q505" s="2956" t="s">
        <v>6034</v>
      </c>
      <c r="R505" s="2956"/>
      <c r="S505" s="3031"/>
      <c r="T505" s="3057"/>
      <c r="U505" s="2992"/>
      <c r="W505" s="2901"/>
      <c r="X505" s="2862"/>
    </row>
    <row r="506" spans="1:24" s="1592" customFormat="1" ht="87" hidden="1" x14ac:dyDescent="0.35">
      <c r="A506" s="2960">
        <v>44066</v>
      </c>
      <c r="B506" s="2877">
        <v>22</v>
      </c>
      <c r="C506" s="2960" t="s">
        <v>11323</v>
      </c>
      <c r="D506" s="2968" t="s">
        <v>11324</v>
      </c>
      <c r="E506" s="2969" t="s">
        <v>11332</v>
      </c>
      <c r="F506" s="3029"/>
      <c r="G506" s="2974"/>
      <c r="H506" s="3063"/>
      <c r="I506" s="2960" t="s">
        <v>11313</v>
      </c>
      <c r="J506" s="2428" t="s">
        <v>11325</v>
      </c>
      <c r="K506" s="3125">
        <v>0.41736111111111113</v>
      </c>
      <c r="L506" s="3119">
        <v>0.68888888888888899</v>
      </c>
      <c r="M506" s="2962">
        <v>220</v>
      </c>
      <c r="N506" s="3027" t="s">
        <v>11326</v>
      </c>
      <c r="O506" s="3027" t="s">
        <v>140</v>
      </c>
      <c r="P506" s="3027" t="s">
        <v>17</v>
      </c>
      <c r="Q506" s="3027" t="s">
        <v>11183</v>
      </c>
      <c r="R506" s="3027"/>
      <c r="S506" s="3031"/>
      <c r="T506" s="3057"/>
      <c r="U506" s="2992"/>
      <c r="W506" s="2901"/>
      <c r="X506" s="2862"/>
    </row>
    <row r="507" spans="1:24" s="1592" customFormat="1" ht="72.5" hidden="1" x14ac:dyDescent="0.35">
      <c r="A507" s="2960">
        <v>44076</v>
      </c>
      <c r="B507" s="2877"/>
      <c r="C507" s="2960" t="s">
        <v>216</v>
      </c>
      <c r="D507" s="2968" t="s">
        <v>11336</v>
      </c>
      <c r="E507" s="2969" t="s">
        <v>11340</v>
      </c>
      <c r="F507" s="3029"/>
      <c r="G507" s="2974"/>
      <c r="H507" s="3063"/>
      <c r="I507" s="2960" t="s">
        <v>11313</v>
      </c>
      <c r="J507" s="2428" t="s">
        <v>11337</v>
      </c>
      <c r="K507" s="3125" t="s">
        <v>15</v>
      </c>
      <c r="L507" s="3119" t="s">
        <v>11338</v>
      </c>
      <c r="M507" s="2962">
        <v>295</v>
      </c>
      <c r="N507" s="3027" t="s">
        <v>11339</v>
      </c>
      <c r="O507" s="3027" t="s">
        <v>15</v>
      </c>
      <c r="P507" s="3027" t="s">
        <v>17</v>
      </c>
      <c r="Q507" s="3027" t="s">
        <v>11183</v>
      </c>
      <c r="R507" s="3027"/>
      <c r="S507" s="3031"/>
      <c r="T507" s="3057"/>
      <c r="U507" s="2992"/>
      <c r="W507" s="2901"/>
      <c r="X507" s="2862"/>
    </row>
    <row r="508" spans="1:24" s="1592" customFormat="1" ht="29" hidden="1" x14ac:dyDescent="0.35">
      <c r="A508" s="2960">
        <v>44170</v>
      </c>
      <c r="B508" s="2877"/>
      <c r="C508" s="2956" t="s">
        <v>11641</v>
      </c>
      <c r="D508" s="2968" t="s">
        <v>11642</v>
      </c>
      <c r="E508" s="2956" t="s">
        <v>11626</v>
      </c>
      <c r="F508" s="3027"/>
      <c r="G508" s="2896" t="s">
        <v>11607</v>
      </c>
      <c r="H508" s="2892"/>
      <c r="I508" s="2960" t="s">
        <v>11313</v>
      </c>
      <c r="J508" s="2970" t="s">
        <v>11643</v>
      </c>
      <c r="K508" s="3125" t="s">
        <v>15</v>
      </c>
      <c r="L508" s="3119" t="s">
        <v>972</v>
      </c>
      <c r="M508" s="2962">
        <v>110</v>
      </c>
      <c r="N508" s="2521" t="s">
        <v>257</v>
      </c>
      <c r="O508" s="3027" t="s">
        <v>15</v>
      </c>
      <c r="P508" s="2521" t="s">
        <v>821</v>
      </c>
      <c r="Q508" s="3027" t="s">
        <v>11327</v>
      </c>
      <c r="R508" s="3027"/>
      <c r="S508" s="3031"/>
      <c r="T508" s="3057"/>
      <c r="U508" s="2992"/>
      <c r="W508" s="2901"/>
      <c r="X508" s="2862"/>
    </row>
    <row r="509" spans="1:24" s="1592" customFormat="1" ht="43.5" hidden="1" x14ac:dyDescent="0.35">
      <c r="A509" s="2657">
        <v>44161</v>
      </c>
      <c r="B509" s="2877">
        <v>7</v>
      </c>
      <c r="C509" s="3027" t="s">
        <v>11317</v>
      </c>
      <c r="D509" s="2968" t="s">
        <v>11318</v>
      </c>
      <c r="E509" s="3027" t="s">
        <v>11604</v>
      </c>
      <c r="F509" s="3027"/>
      <c r="G509" s="2896"/>
      <c r="H509" s="2892"/>
      <c r="I509" s="2657" t="s">
        <v>11313</v>
      </c>
      <c r="J509" s="2521" t="s">
        <v>11605</v>
      </c>
      <c r="K509" s="3125">
        <v>0.41666666666666669</v>
      </c>
      <c r="L509" s="3119">
        <v>0.57291666666666663</v>
      </c>
      <c r="M509" s="2962">
        <v>190</v>
      </c>
      <c r="N509" s="3027" t="s">
        <v>392</v>
      </c>
      <c r="O509" s="3027" t="s">
        <v>11553</v>
      </c>
      <c r="P509" s="3027" t="s">
        <v>821</v>
      </c>
      <c r="Q509" s="3027" t="s">
        <v>11327</v>
      </c>
      <c r="R509" s="3027"/>
      <c r="S509" s="3031"/>
      <c r="T509" s="3057"/>
      <c r="U509" s="2992"/>
      <c r="W509" s="2901"/>
      <c r="X509" s="2862"/>
    </row>
    <row r="510" spans="1:24" s="1592" customFormat="1" ht="58" hidden="1" x14ac:dyDescent="0.35">
      <c r="A510" s="2960">
        <v>44185</v>
      </c>
      <c r="B510" s="2877"/>
      <c r="C510" s="2956" t="s">
        <v>11722</v>
      </c>
      <c r="D510" s="2968" t="s">
        <v>11723</v>
      </c>
      <c r="E510" s="2956" t="s">
        <v>11724</v>
      </c>
      <c r="F510" s="3027"/>
      <c r="G510" s="2896" t="s">
        <v>11426</v>
      </c>
      <c r="H510" s="2892"/>
      <c r="I510" s="2960" t="s">
        <v>11313</v>
      </c>
      <c r="J510" s="2970" t="s">
        <v>11725</v>
      </c>
      <c r="K510" s="3125" t="s">
        <v>15</v>
      </c>
      <c r="L510" s="3119" t="s">
        <v>972</v>
      </c>
      <c r="M510" s="2962">
        <v>134</v>
      </c>
      <c r="N510" s="2521" t="s">
        <v>392</v>
      </c>
      <c r="O510" s="3027" t="s">
        <v>15</v>
      </c>
      <c r="P510" s="2521" t="s">
        <v>821</v>
      </c>
      <c r="Q510" s="3027" t="s">
        <v>11327</v>
      </c>
      <c r="R510" s="3027"/>
      <c r="S510" s="3031"/>
      <c r="T510" s="3057"/>
      <c r="U510" s="2992"/>
      <c r="W510" s="2901"/>
      <c r="X510" s="2862"/>
    </row>
    <row r="511" spans="1:24" s="1592" customFormat="1" ht="29" hidden="1" x14ac:dyDescent="0.35">
      <c r="A511" s="2960">
        <v>44244</v>
      </c>
      <c r="B511" s="2877"/>
      <c r="C511" s="2956" t="s">
        <v>12146</v>
      </c>
      <c r="D511" s="2968" t="s">
        <v>12147</v>
      </c>
      <c r="E511" s="2969" t="s">
        <v>12148</v>
      </c>
      <c r="F511" s="3027"/>
      <c r="G511" s="2979" t="s">
        <v>12096</v>
      </c>
      <c r="H511" s="2972"/>
      <c r="I511" s="2960" t="s">
        <v>11313</v>
      </c>
      <c r="J511" s="2970" t="s">
        <v>12149</v>
      </c>
      <c r="K511" s="3125" t="s">
        <v>15</v>
      </c>
      <c r="L511" s="3119" t="s">
        <v>972</v>
      </c>
      <c r="M511" s="2962">
        <v>245</v>
      </c>
      <c r="N511" s="3027" t="s">
        <v>392</v>
      </c>
      <c r="O511" s="3027" t="s">
        <v>15</v>
      </c>
      <c r="P511" s="3027" t="s">
        <v>17</v>
      </c>
      <c r="Q511" s="3027" t="s">
        <v>11183</v>
      </c>
      <c r="R511" s="3027"/>
      <c r="S511" s="3031"/>
      <c r="T511" s="3057"/>
      <c r="U511" s="2989"/>
      <c r="W511" s="2901"/>
      <c r="X511" s="2862"/>
    </row>
    <row r="512" spans="1:24" s="1592" customFormat="1" ht="43.5" hidden="1" x14ac:dyDescent="0.35">
      <c r="A512" s="2960">
        <v>44126</v>
      </c>
      <c r="B512" s="2877"/>
      <c r="C512" s="2960" t="s">
        <v>11312</v>
      </c>
      <c r="D512" s="2968" t="s">
        <v>11274</v>
      </c>
      <c r="E512" s="2956" t="s">
        <v>11504</v>
      </c>
      <c r="F512" s="3027"/>
      <c r="G512" s="2896" t="s">
        <v>11439</v>
      </c>
      <c r="H512" s="2892"/>
      <c r="I512" s="2960" t="s">
        <v>11313</v>
      </c>
      <c r="J512" s="2428" t="s">
        <v>11505</v>
      </c>
      <c r="K512" s="3125" t="s">
        <v>15</v>
      </c>
      <c r="L512" s="3119" t="s">
        <v>972</v>
      </c>
      <c r="M512" s="2962">
        <v>136</v>
      </c>
      <c r="N512" s="3027" t="s">
        <v>392</v>
      </c>
      <c r="O512" s="3027" t="s">
        <v>15</v>
      </c>
      <c r="P512" s="3027" t="s">
        <v>821</v>
      </c>
      <c r="Q512" s="3027" t="s">
        <v>11327</v>
      </c>
      <c r="R512" s="3027"/>
      <c r="S512" s="3031"/>
      <c r="T512" s="3057"/>
      <c r="U512" s="2992"/>
      <c r="W512" s="2901"/>
      <c r="X512" s="2862"/>
    </row>
    <row r="513" spans="1:25" s="1592" customFormat="1" ht="246.5" hidden="1" x14ac:dyDescent="0.35">
      <c r="A513" s="2884">
        <v>43898</v>
      </c>
      <c r="B513" s="2596"/>
      <c r="C513" s="3016" t="s">
        <v>11345</v>
      </c>
      <c r="D513" s="3031"/>
      <c r="E513" s="3027" t="s">
        <v>7257</v>
      </c>
      <c r="F513" s="3029"/>
      <c r="G513" s="2896"/>
      <c r="H513" s="2892"/>
      <c r="I513" s="2960" t="s">
        <v>11313</v>
      </c>
      <c r="J513" s="2885" t="s">
        <v>7255</v>
      </c>
      <c r="K513" s="3117" t="s">
        <v>15</v>
      </c>
      <c r="L513" s="3117">
        <v>0.70833333333333337</v>
      </c>
      <c r="M513" s="3020">
        <f>(120*19*0.8+150*100/1000*(100-10.51))*0.95</f>
        <v>3008.0324999999998</v>
      </c>
      <c r="N513" s="3016" t="s">
        <v>7256</v>
      </c>
      <c r="O513" s="3016" t="s">
        <v>15</v>
      </c>
      <c r="P513" s="3016" t="s">
        <v>17</v>
      </c>
      <c r="Q513" s="3016" t="s">
        <v>6450</v>
      </c>
      <c r="R513" s="3016"/>
      <c r="S513" s="3031"/>
      <c r="T513" s="3057"/>
      <c r="U513" s="2992"/>
      <c r="W513" s="2901"/>
      <c r="X513" s="2862"/>
    </row>
    <row r="514" spans="1:25" s="1592" customFormat="1" ht="217.5" hidden="1" x14ac:dyDescent="0.35">
      <c r="A514" s="2486">
        <v>44204</v>
      </c>
      <c r="B514" s="2596"/>
      <c r="C514" s="5" t="s">
        <v>11841</v>
      </c>
      <c r="D514" s="3032" t="s">
        <v>11842</v>
      </c>
      <c r="E514" s="3016" t="s">
        <v>11843</v>
      </c>
      <c r="F514" s="3029"/>
      <c r="G514" s="3040" t="s">
        <v>11478</v>
      </c>
      <c r="H514" s="2892"/>
      <c r="I514" s="2486" t="s">
        <v>10893</v>
      </c>
      <c r="J514" s="2722" t="s">
        <v>11844</v>
      </c>
      <c r="K514" s="6" t="s">
        <v>15</v>
      </c>
      <c r="L514" s="2981" t="s">
        <v>11845</v>
      </c>
      <c r="M514" s="3020">
        <f>210*2.7</f>
        <v>567</v>
      </c>
      <c r="N514" s="3016" t="s">
        <v>11521</v>
      </c>
      <c r="O514" s="3016" t="s">
        <v>15</v>
      </c>
      <c r="P514" s="3016" t="s">
        <v>17</v>
      </c>
      <c r="Q514" s="3016" t="s">
        <v>10908</v>
      </c>
      <c r="R514" s="3016"/>
      <c r="S514" s="3031"/>
      <c r="T514" s="3057"/>
      <c r="U514" s="2992"/>
      <c r="W514" s="2901"/>
      <c r="X514" s="2862"/>
    </row>
    <row r="515" spans="1:25" s="1592" customFormat="1" ht="58" hidden="1" x14ac:dyDescent="0.35">
      <c r="A515" s="2960">
        <v>44226</v>
      </c>
      <c r="B515" s="2997"/>
      <c r="C515" s="2956" t="s">
        <v>11984</v>
      </c>
      <c r="D515" s="2951" t="s">
        <v>11985</v>
      </c>
      <c r="E515" s="2956" t="s">
        <v>11991</v>
      </c>
      <c r="F515" s="2956"/>
      <c r="G515" s="2889" t="s">
        <v>11432</v>
      </c>
      <c r="H515" s="2889"/>
      <c r="I515" s="2960" t="s">
        <v>11313</v>
      </c>
      <c r="J515" s="2970" t="s">
        <v>11986</v>
      </c>
      <c r="K515" s="3125" t="s">
        <v>15</v>
      </c>
      <c r="L515" s="3125" t="s">
        <v>972</v>
      </c>
      <c r="M515" s="2128">
        <v>390</v>
      </c>
      <c r="N515" s="3027" t="s">
        <v>257</v>
      </c>
      <c r="O515" s="2956" t="s">
        <v>15</v>
      </c>
      <c r="P515" s="2956" t="s">
        <v>821</v>
      </c>
      <c r="Q515" s="2956" t="s">
        <v>8499</v>
      </c>
      <c r="R515" s="2956"/>
      <c r="S515" s="3060"/>
      <c r="T515" s="3057"/>
      <c r="U515" s="2991"/>
      <c r="W515" s="2901"/>
      <c r="X515" s="2862"/>
    </row>
    <row r="516" spans="1:25" s="1592" customFormat="1" ht="58" hidden="1" x14ac:dyDescent="0.35">
      <c r="A516" s="2960">
        <v>44202</v>
      </c>
      <c r="B516" s="2877"/>
      <c r="C516" s="2956" t="s">
        <v>11314</v>
      </c>
      <c r="D516" s="2968" t="s">
        <v>11315</v>
      </c>
      <c r="E516" s="2956" t="s">
        <v>11839</v>
      </c>
      <c r="F516" s="2787"/>
      <c r="G516" s="2894"/>
      <c r="H516" s="2895"/>
      <c r="I516" s="2960" t="s">
        <v>11313</v>
      </c>
      <c r="J516" s="2970" t="s">
        <v>11316</v>
      </c>
      <c r="K516" s="3125" t="s">
        <v>15</v>
      </c>
      <c r="L516" s="3119" t="s">
        <v>972</v>
      </c>
      <c r="M516" s="2962">
        <v>177</v>
      </c>
      <c r="N516" s="3027" t="s">
        <v>392</v>
      </c>
      <c r="O516" s="3027" t="s">
        <v>15</v>
      </c>
      <c r="P516" s="3027" t="s">
        <v>821</v>
      </c>
      <c r="Q516" s="3027" t="s">
        <v>11327</v>
      </c>
      <c r="R516" s="3027"/>
      <c r="S516" s="3031"/>
      <c r="T516" s="3057"/>
      <c r="U516" s="2989"/>
      <c r="W516" s="2901"/>
      <c r="X516" s="2862"/>
    </row>
    <row r="517" spans="1:25" s="1592" customFormat="1" ht="333.5" hidden="1" x14ac:dyDescent="0.35">
      <c r="A517" s="2884">
        <v>43894</v>
      </c>
      <c r="B517" s="2596"/>
      <c r="C517" s="3016" t="s">
        <v>6366</v>
      </c>
      <c r="D517" s="3031"/>
      <c r="E517" s="3016" t="s">
        <v>7177</v>
      </c>
      <c r="F517" s="3029"/>
      <c r="G517" s="3040"/>
      <c r="H517" s="2892"/>
      <c r="I517" s="2960" t="s">
        <v>11313</v>
      </c>
      <c r="J517" s="2885" t="s">
        <v>7176</v>
      </c>
      <c r="K517" s="3117" t="s">
        <v>15</v>
      </c>
      <c r="L517" s="3117">
        <v>0.39583333333333331</v>
      </c>
      <c r="M517" s="3020">
        <v>0</v>
      </c>
      <c r="N517" s="3016" t="s">
        <v>15</v>
      </c>
      <c r="O517" s="3016" t="s">
        <v>140</v>
      </c>
      <c r="P517" s="3016" t="s">
        <v>17</v>
      </c>
      <c r="Q517" s="3016" t="s">
        <v>6061</v>
      </c>
      <c r="R517" s="3016"/>
      <c r="S517" s="3031"/>
      <c r="T517" s="3057"/>
      <c r="U517" s="2992"/>
      <c r="W517" s="2901"/>
      <c r="X517" s="2862"/>
    </row>
    <row r="518" spans="1:25" s="1592" customFormat="1" ht="348" hidden="1" x14ac:dyDescent="0.35">
      <c r="A518" s="2884">
        <v>43894</v>
      </c>
      <c r="B518" s="2596"/>
      <c r="C518" s="3016" t="s">
        <v>6366</v>
      </c>
      <c r="D518" s="3031"/>
      <c r="E518" s="3016" t="s">
        <v>7178</v>
      </c>
      <c r="F518" s="3029"/>
      <c r="G518" s="3040"/>
      <c r="H518" s="2892"/>
      <c r="I518" s="2960" t="s">
        <v>11313</v>
      </c>
      <c r="J518" s="2885" t="s">
        <v>7176</v>
      </c>
      <c r="K518" s="3117" t="s">
        <v>15</v>
      </c>
      <c r="L518" s="3117">
        <v>0.39583333333333331</v>
      </c>
      <c r="M518" s="3020">
        <v>0</v>
      </c>
      <c r="N518" s="3016" t="s">
        <v>15</v>
      </c>
      <c r="O518" s="3016" t="s">
        <v>140</v>
      </c>
      <c r="P518" s="3016" t="s">
        <v>17</v>
      </c>
      <c r="Q518" s="3016" t="s">
        <v>6061</v>
      </c>
      <c r="R518" s="3017"/>
      <c r="S518" s="3031"/>
      <c r="T518" s="3057"/>
      <c r="U518" s="3154"/>
      <c r="W518" s="2901"/>
      <c r="X518" s="2862"/>
    </row>
    <row r="519" spans="1:25" s="1592" customFormat="1" ht="348" hidden="1" x14ac:dyDescent="0.35">
      <c r="A519" s="2884">
        <v>43894</v>
      </c>
      <c r="B519" s="2596"/>
      <c r="C519" s="3016" t="s">
        <v>6366</v>
      </c>
      <c r="D519" s="3031"/>
      <c r="E519" s="3016" t="s">
        <v>7178</v>
      </c>
      <c r="F519" s="3029"/>
      <c r="G519" s="3040"/>
      <c r="H519" s="2892"/>
      <c r="I519" s="2960" t="s">
        <v>11313</v>
      </c>
      <c r="J519" s="2885" t="s">
        <v>7176</v>
      </c>
      <c r="K519" s="3117" t="s">
        <v>15</v>
      </c>
      <c r="L519" s="3117">
        <v>0.39583333333333331</v>
      </c>
      <c r="M519" s="3020">
        <v>0</v>
      </c>
      <c r="N519" s="3016" t="s">
        <v>15</v>
      </c>
      <c r="O519" s="3016" t="s">
        <v>140</v>
      </c>
      <c r="P519" s="3016" t="s">
        <v>17</v>
      </c>
      <c r="Q519" s="3016" t="s">
        <v>6061</v>
      </c>
      <c r="R519" s="3017"/>
      <c r="S519" s="3031"/>
      <c r="T519" s="3057"/>
      <c r="U519" s="3154"/>
      <c r="W519" s="2901"/>
      <c r="X519" s="2862"/>
    </row>
    <row r="520" spans="1:25" s="1592" customFormat="1" ht="72.5" hidden="1" x14ac:dyDescent="0.35">
      <c r="A520" s="2960">
        <v>44118</v>
      </c>
      <c r="B520" s="2877"/>
      <c r="C520" s="2960" t="s">
        <v>11479</v>
      </c>
      <c r="D520" s="2968" t="s">
        <v>11480</v>
      </c>
      <c r="E520" s="2956" t="s">
        <v>11495</v>
      </c>
      <c r="F520" s="3029"/>
      <c r="G520" s="3040" t="s">
        <v>11481</v>
      </c>
      <c r="H520" s="2892"/>
      <c r="I520" s="2960" t="s">
        <v>11313</v>
      </c>
      <c r="J520" s="2428" t="s">
        <v>11482</v>
      </c>
      <c r="K520" s="3125" t="s">
        <v>15</v>
      </c>
      <c r="L520" s="3119" t="s">
        <v>11483</v>
      </c>
      <c r="M520" s="2962">
        <v>322.5</v>
      </c>
      <c r="N520" s="3027" t="s">
        <v>257</v>
      </c>
      <c r="O520" s="3027" t="s">
        <v>15</v>
      </c>
      <c r="P520" s="3027" t="s">
        <v>17</v>
      </c>
      <c r="Q520" s="3027" t="s">
        <v>6041</v>
      </c>
      <c r="R520" s="3028"/>
      <c r="S520" s="3031"/>
      <c r="T520" s="3057"/>
      <c r="U520" s="3154"/>
      <c r="W520" s="2901"/>
      <c r="X520" s="2862"/>
    </row>
    <row r="521" spans="1:25" s="1592" customFormat="1" ht="72.5" hidden="1" x14ac:dyDescent="0.35">
      <c r="A521" s="2960">
        <v>44011</v>
      </c>
      <c r="B521" s="2877"/>
      <c r="C521" s="2956" t="s">
        <v>11191</v>
      </c>
      <c r="D521" s="2875" t="s">
        <v>11230</v>
      </c>
      <c r="E521" s="2956" t="s">
        <v>11277</v>
      </c>
      <c r="F521" s="3029"/>
      <c r="G521" s="2889"/>
      <c r="H521" s="2892"/>
      <c r="I521" s="2960" t="s">
        <v>11313</v>
      </c>
      <c r="J521" s="2428" t="s">
        <v>11279</v>
      </c>
      <c r="K521" s="3125" t="s">
        <v>15</v>
      </c>
      <c r="L521" s="3119" t="s">
        <v>972</v>
      </c>
      <c r="M521" s="2962">
        <v>370</v>
      </c>
      <c r="N521" s="3119" t="s">
        <v>257</v>
      </c>
      <c r="O521" s="3027" t="s">
        <v>15</v>
      </c>
      <c r="P521" s="3027" t="s">
        <v>17</v>
      </c>
      <c r="Q521" s="3027" t="s">
        <v>6041</v>
      </c>
      <c r="R521" s="3028"/>
      <c r="S521" s="3031"/>
      <c r="T521" s="3057"/>
      <c r="U521" s="3154"/>
      <c r="W521" s="2901"/>
      <c r="X521" s="2862"/>
    </row>
    <row r="522" spans="1:25" s="1592" customFormat="1" ht="58" hidden="1" x14ac:dyDescent="0.35">
      <c r="A522" s="2884">
        <v>44102</v>
      </c>
      <c r="B522" s="2596"/>
      <c r="C522" s="3016" t="s">
        <v>11357</v>
      </c>
      <c r="D522" s="3032" t="s">
        <v>11359</v>
      </c>
      <c r="E522" s="3016" t="s">
        <v>2226</v>
      </c>
      <c r="F522" s="3029"/>
      <c r="G522" s="3040"/>
      <c r="H522" s="2892"/>
      <c r="I522" s="2884" t="s">
        <v>11527</v>
      </c>
      <c r="J522" s="2881" t="s">
        <v>11358</v>
      </c>
      <c r="K522" s="3117" t="s">
        <v>15</v>
      </c>
      <c r="L522" s="3117" t="s">
        <v>11036</v>
      </c>
      <c r="M522" s="3020">
        <v>370</v>
      </c>
      <c r="N522" s="3016" t="s">
        <v>257</v>
      </c>
      <c r="O522" s="3016" t="s">
        <v>15</v>
      </c>
      <c r="P522" s="3016" t="s">
        <v>17</v>
      </c>
      <c r="Q522" s="3016" t="s">
        <v>6045</v>
      </c>
      <c r="R522" s="3016"/>
      <c r="S522" s="3031"/>
      <c r="T522" s="3057"/>
      <c r="U522" s="2992"/>
      <c r="W522" s="2901"/>
      <c r="X522" s="2862"/>
    </row>
    <row r="523" spans="1:25" s="1592" customFormat="1" ht="60.5" hidden="1" x14ac:dyDescent="0.35">
      <c r="A523" s="2960">
        <v>44167</v>
      </c>
      <c r="B523" s="2877"/>
      <c r="C523" s="2956" t="s">
        <v>11627</v>
      </c>
      <c r="D523" s="2968" t="s">
        <v>11628</v>
      </c>
      <c r="E523" s="2956" t="s">
        <v>11562</v>
      </c>
      <c r="F523" s="3027"/>
      <c r="G523" s="2896" t="s">
        <v>14375</v>
      </c>
      <c r="H523" s="2892"/>
      <c r="I523" s="2960" t="s">
        <v>11313</v>
      </c>
      <c r="J523" s="2970" t="s">
        <v>11629</v>
      </c>
      <c r="K523" s="3125" t="s">
        <v>15</v>
      </c>
      <c r="L523" s="3119" t="s">
        <v>972</v>
      </c>
      <c r="M523" s="2962">
        <v>210</v>
      </c>
      <c r="N523" s="2521" t="s">
        <v>392</v>
      </c>
      <c r="O523" s="3027" t="s">
        <v>15</v>
      </c>
      <c r="P523" s="2521" t="s">
        <v>821</v>
      </c>
      <c r="Q523" s="3027" t="s">
        <v>11327</v>
      </c>
      <c r="R523" s="3027"/>
      <c r="S523" s="3031"/>
      <c r="T523" s="3057"/>
      <c r="U523" s="2992"/>
      <c r="W523" s="2901"/>
      <c r="X523" s="2862"/>
    </row>
    <row r="524" spans="1:25" s="1592" customFormat="1" ht="43.5" hidden="1" x14ac:dyDescent="0.35">
      <c r="A524" s="2960">
        <v>44160</v>
      </c>
      <c r="B524" s="2877"/>
      <c r="C524" s="2956" t="s">
        <v>11572</v>
      </c>
      <c r="D524" s="2968" t="s">
        <v>11573</v>
      </c>
      <c r="E524" s="2956" t="s">
        <v>11599</v>
      </c>
      <c r="F524" s="3027"/>
      <c r="G524" s="2896" t="s">
        <v>11423</v>
      </c>
      <c r="H524" s="2892"/>
      <c r="I524" s="2960" t="s">
        <v>11313</v>
      </c>
      <c r="J524" s="2970" t="s">
        <v>11598</v>
      </c>
      <c r="K524" s="3125" t="s">
        <v>15</v>
      </c>
      <c r="L524" s="3119" t="s">
        <v>972</v>
      </c>
      <c r="M524" s="2962">
        <v>169</v>
      </c>
      <c r="N524" s="2521" t="s">
        <v>392</v>
      </c>
      <c r="O524" s="3027" t="s">
        <v>15</v>
      </c>
      <c r="P524" s="2521" t="s">
        <v>821</v>
      </c>
      <c r="Q524" s="3027" t="s">
        <v>8499</v>
      </c>
      <c r="R524" s="3027"/>
      <c r="S524" s="3031"/>
      <c r="T524" s="3057"/>
      <c r="U524" s="2992"/>
      <c r="W524" s="2901"/>
      <c r="X524" s="2862"/>
    </row>
    <row r="525" spans="1:25" s="1592" customFormat="1" ht="101.5" hidden="1" x14ac:dyDescent="0.35">
      <c r="A525" s="2960">
        <v>44172</v>
      </c>
      <c r="B525" s="2877">
        <v>5</v>
      </c>
      <c r="C525" s="2956" t="s">
        <v>11657</v>
      </c>
      <c r="D525" s="2968" t="s">
        <v>11658</v>
      </c>
      <c r="E525" s="2956" t="s">
        <v>11659</v>
      </c>
      <c r="F525" s="3027"/>
      <c r="G525" s="2896"/>
      <c r="H525" s="2892"/>
      <c r="I525" s="2960" t="s">
        <v>11313</v>
      </c>
      <c r="J525" s="2970" t="s">
        <v>11660</v>
      </c>
      <c r="K525" s="3125">
        <v>0.41666666666666669</v>
      </c>
      <c r="L525" s="3119">
        <v>0.54791666666666672</v>
      </c>
      <c r="M525" s="2962">
        <v>102</v>
      </c>
      <c r="N525" s="2521" t="s">
        <v>257</v>
      </c>
      <c r="O525" s="3027" t="s">
        <v>11346</v>
      </c>
      <c r="P525" s="2521" t="s">
        <v>17</v>
      </c>
      <c r="Q525" s="3027" t="s">
        <v>10908</v>
      </c>
      <c r="R525" s="3027"/>
      <c r="S525" s="3031"/>
      <c r="T525" s="3057"/>
      <c r="U525" s="2992"/>
      <c r="W525" s="2901"/>
      <c r="X525" s="2862"/>
    </row>
    <row r="526" spans="1:25" s="1592" customFormat="1" ht="43.5" hidden="1" x14ac:dyDescent="0.35">
      <c r="A526" s="2960">
        <v>44174</v>
      </c>
      <c r="B526" s="2877"/>
      <c r="C526" s="2960" t="s">
        <v>11668</v>
      </c>
      <c r="D526" s="2968" t="s">
        <v>11669</v>
      </c>
      <c r="E526" s="2956" t="s">
        <v>11670</v>
      </c>
      <c r="F526" s="3027"/>
      <c r="G526" s="2896"/>
      <c r="H526" s="2892"/>
      <c r="I526" s="2960" t="s">
        <v>11313</v>
      </c>
      <c r="J526" s="2428" t="s">
        <v>11671</v>
      </c>
      <c r="K526" s="3125" t="s">
        <v>15</v>
      </c>
      <c r="L526" s="3119" t="s">
        <v>972</v>
      </c>
      <c r="M526" s="2962">
        <v>1010</v>
      </c>
      <c r="N526" s="3027" t="s">
        <v>257</v>
      </c>
      <c r="O526" s="3027" t="s">
        <v>15</v>
      </c>
      <c r="P526" s="3027" t="s">
        <v>821</v>
      </c>
      <c r="Q526" s="3027" t="s">
        <v>11327</v>
      </c>
      <c r="R526" s="3027"/>
      <c r="S526" s="3031"/>
      <c r="T526" s="3057"/>
      <c r="U526" s="2991"/>
      <c r="W526" s="2901">
        <v>274</v>
      </c>
      <c r="X526" s="2862"/>
      <c r="Y526" s="1592">
        <v>274</v>
      </c>
    </row>
    <row r="527" spans="1:25" s="1592" customFormat="1" ht="203" hidden="1" x14ac:dyDescent="0.35">
      <c r="A527" s="2960">
        <v>43902</v>
      </c>
      <c r="B527" s="2997"/>
      <c r="C527" s="2956" t="s">
        <v>7314</v>
      </c>
      <c r="D527" s="3031"/>
      <c r="E527" s="2956" t="s">
        <v>6822</v>
      </c>
      <c r="F527" s="3029"/>
      <c r="G527" s="2889"/>
      <c r="H527" s="2892"/>
      <c r="I527" s="2960" t="s">
        <v>11313</v>
      </c>
      <c r="J527" s="2428" t="s">
        <v>5367</v>
      </c>
      <c r="K527" s="3125">
        <v>0.54166666666666663</v>
      </c>
      <c r="L527" s="3125">
        <v>0.54166666666666663</v>
      </c>
      <c r="M527" s="2128">
        <v>0</v>
      </c>
      <c r="N527" s="2956" t="s">
        <v>6821</v>
      </c>
      <c r="O527" s="2956" t="s">
        <v>15</v>
      </c>
      <c r="P527" s="2956" t="s">
        <v>17</v>
      </c>
      <c r="Q527" s="2956" t="s">
        <v>6034</v>
      </c>
      <c r="R527" s="2956"/>
      <c r="S527" s="3031"/>
      <c r="T527" s="3057"/>
      <c r="U527" s="2992"/>
      <c r="W527" s="2901">
        <v>275</v>
      </c>
      <c r="X527" s="2862"/>
      <c r="Y527" s="1592">
        <v>275</v>
      </c>
    </row>
    <row r="528" spans="1:25" s="1592" customFormat="1" ht="29" hidden="1" x14ac:dyDescent="0.35">
      <c r="A528" s="2486">
        <v>43974</v>
      </c>
      <c r="B528" s="2596"/>
      <c r="C528" s="5" t="s">
        <v>11232</v>
      </c>
      <c r="D528" s="3032" t="s">
        <v>10840</v>
      </c>
      <c r="E528" s="5" t="s">
        <v>11233</v>
      </c>
      <c r="F528" s="3029"/>
      <c r="G528" s="2892"/>
      <c r="H528" s="2892"/>
      <c r="I528" s="2960" t="s">
        <v>11313</v>
      </c>
      <c r="J528" s="2881" t="s">
        <v>11234</v>
      </c>
      <c r="K528" s="6" t="s">
        <v>15</v>
      </c>
      <c r="L528" s="3117" t="s">
        <v>972</v>
      </c>
      <c r="M528" s="3020">
        <v>180</v>
      </c>
      <c r="N528" s="3016" t="s">
        <v>257</v>
      </c>
      <c r="O528" s="3016"/>
      <c r="P528" s="3016" t="s">
        <v>17</v>
      </c>
      <c r="Q528" s="3016" t="s">
        <v>11227</v>
      </c>
      <c r="R528" s="3016"/>
      <c r="S528" s="3031"/>
      <c r="T528" s="3057"/>
      <c r="U528" s="2992"/>
      <c r="W528" s="2901">
        <v>276</v>
      </c>
      <c r="X528" s="2862"/>
      <c r="Y528" s="1592">
        <v>276</v>
      </c>
    </row>
    <row r="529" spans="1:25" s="1592" customFormat="1" ht="72.5" hidden="1" x14ac:dyDescent="0.35">
      <c r="A529" s="3047">
        <v>44110</v>
      </c>
      <c r="B529" s="2953"/>
      <c r="C529" s="3026" t="s">
        <v>11386</v>
      </c>
      <c r="D529" s="3044" t="s">
        <v>11387</v>
      </c>
      <c r="E529" s="3048" t="s">
        <v>11388</v>
      </c>
      <c r="F529" s="3029"/>
      <c r="G529" s="2972"/>
      <c r="H529" s="3063"/>
      <c r="I529" s="2960" t="s">
        <v>11313</v>
      </c>
      <c r="J529" s="2426" t="s">
        <v>11383</v>
      </c>
      <c r="K529" s="3128" t="s">
        <v>15</v>
      </c>
      <c r="L529" s="3118" t="s">
        <v>11384</v>
      </c>
      <c r="M529" s="3038">
        <f>2.5*250+100+10</f>
        <v>735</v>
      </c>
      <c r="N529" s="3025" t="s">
        <v>11385</v>
      </c>
      <c r="O529" s="3025" t="s">
        <v>15</v>
      </c>
      <c r="P529" s="3025" t="s">
        <v>17</v>
      </c>
      <c r="Q529" s="3025" t="s">
        <v>2084</v>
      </c>
      <c r="R529" s="3025"/>
      <c r="S529" s="3031"/>
      <c r="T529" s="3057"/>
      <c r="U529" s="2992"/>
      <c r="W529" s="2901">
        <v>277</v>
      </c>
      <c r="X529" s="2862"/>
      <c r="Y529" s="1592">
        <v>277</v>
      </c>
    </row>
    <row r="530" spans="1:25" s="1592" customFormat="1" ht="87" hidden="1" x14ac:dyDescent="0.35">
      <c r="A530" s="2960">
        <v>44268</v>
      </c>
      <c r="B530" s="2877"/>
      <c r="C530" s="2956" t="s">
        <v>12202</v>
      </c>
      <c r="D530" s="2968" t="s">
        <v>12318</v>
      </c>
      <c r="E530" s="2956" t="s">
        <v>12319</v>
      </c>
      <c r="F530" s="3027"/>
      <c r="G530" s="2896" t="s">
        <v>11432</v>
      </c>
      <c r="H530" s="3049"/>
      <c r="I530" s="2960" t="s">
        <v>11313</v>
      </c>
      <c r="J530" s="2970" t="s">
        <v>12320</v>
      </c>
      <c r="K530" s="3125" t="s">
        <v>15</v>
      </c>
      <c r="L530" s="3119" t="s">
        <v>1594</v>
      </c>
      <c r="M530" s="2962">
        <v>540</v>
      </c>
      <c r="N530" s="3027" t="s">
        <v>392</v>
      </c>
      <c r="O530" s="3027" t="s">
        <v>15</v>
      </c>
      <c r="P530" s="3027" t="s">
        <v>821</v>
      </c>
      <c r="Q530" s="3027" t="s">
        <v>5560</v>
      </c>
      <c r="R530" s="3027"/>
      <c r="S530" s="3031"/>
      <c r="T530" s="3057"/>
      <c r="U530" s="2992"/>
      <c r="W530" s="2901">
        <v>278</v>
      </c>
      <c r="X530" s="2862"/>
      <c r="Y530" s="1592">
        <v>278</v>
      </c>
    </row>
    <row r="531" spans="1:25" s="1592" customFormat="1" ht="72.5" hidden="1" x14ac:dyDescent="0.35">
      <c r="A531" s="2960">
        <v>44242</v>
      </c>
      <c r="B531" s="2877"/>
      <c r="C531" s="2969" t="s">
        <v>12124</v>
      </c>
      <c r="D531" s="2968" t="s">
        <v>11942</v>
      </c>
      <c r="E531" s="2969" t="s">
        <v>12125</v>
      </c>
      <c r="F531" s="3029"/>
      <c r="G531" s="2896" t="s">
        <v>11440</v>
      </c>
      <c r="H531" s="2892"/>
      <c r="I531" s="2960" t="s">
        <v>11313</v>
      </c>
      <c r="J531" s="2970" t="s">
        <v>12126</v>
      </c>
      <c r="K531" s="3125" t="s">
        <v>15</v>
      </c>
      <c r="L531" s="3119" t="s">
        <v>972</v>
      </c>
      <c r="M531" s="2820">
        <v>154.99</v>
      </c>
      <c r="N531" s="3027" t="s">
        <v>257</v>
      </c>
      <c r="O531" s="3027" t="s">
        <v>15</v>
      </c>
      <c r="P531" s="3027" t="s">
        <v>12070</v>
      </c>
      <c r="Q531" s="3027" t="s">
        <v>8499</v>
      </c>
      <c r="R531" s="3027"/>
      <c r="S531" s="3031"/>
      <c r="T531" s="3057"/>
      <c r="U531" s="2989"/>
      <c r="W531" s="2901">
        <v>279</v>
      </c>
      <c r="X531" s="2862"/>
      <c r="Y531" s="1592">
        <v>279</v>
      </c>
    </row>
    <row r="532" spans="1:25" s="1592" customFormat="1" ht="409.5" hidden="1" x14ac:dyDescent="0.35">
      <c r="A532" s="2960">
        <v>44118</v>
      </c>
      <c r="B532" s="2877"/>
      <c r="C532" s="2960" t="s">
        <v>11490</v>
      </c>
      <c r="D532" s="2968" t="s">
        <v>11492</v>
      </c>
      <c r="E532" s="2956" t="s">
        <v>11491</v>
      </c>
      <c r="F532" s="3027"/>
      <c r="G532" s="2896" t="s">
        <v>11494</v>
      </c>
      <c r="H532" s="2892"/>
      <c r="I532" s="2960" t="s">
        <v>11313</v>
      </c>
      <c r="J532" s="2428" t="s">
        <v>11493</v>
      </c>
      <c r="K532" s="3125" t="s">
        <v>15</v>
      </c>
      <c r="L532" s="3119">
        <v>0.64583333333333337</v>
      </c>
      <c r="M532" s="2962">
        <v>424</v>
      </c>
      <c r="N532" s="3027" t="s">
        <v>125</v>
      </c>
      <c r="O532" s="3027" t="s">
        <v>15</v>
      </c>
      <c r="P532" s="3027" t="s">
        <v>17</v>
      </c>
      <c r="Q532" s="3027" t="s">
        <v>11183</v>
      </c>
      <c r="R532" s="3027"/>
      <c r="S532" s="3031"/>
      <c r="T532" s="3057"/>
      <c r="U532" s="2989"/>
      <c r="W532" s="2901">
        <v>280</v>
      </c>
      <c r="X532" s="2862"/>
      <c r="Y532" s="1592">
        <v>280</v>
      </c>
    </row>
    <row r="533" spans="1:25" s="1592" customFormat="1" ht="159.5" hidden="1" x14ac:dyDescent="0.35">
      <c r="A533" s="2884">
        <v>43877</v>
      </c>
      <c r="B533" s="2596"/>
      <c r="C533" s="3016" t="s">
        <v>11352</v>
      </c>
      <c r="D533" s="3031" t="s">
        <v>11369</v>
      </c>
      <c r="E533" s="3016" t="s">
        <v>6794</v>
      </c>
      <c r="F533" s="3029"/>
      <c r="G533" s="3040"/>
      <c r="H533" s="2892"/>
      <c r="I533" s="2960" t="s">
        <v>11313</v>
      </c>
      <c r="J533" s="1571" t="s">
        <v>6795</v>
      </c>
      <c r="K533" s="3117" t="s">
        <v>15</v>
      </c>
      <c r="L533" s="3117">
        <v>0.68055555555555547</v>
      </c>
      <c r="M533" s="3020">
        <v>1960</v>
      </c>
      <c r="N533" s="3016" t="s">
        <v>6793</v>
      </c>
      <c r="O533" s="3016" t="s">
        <v>15</v>
      </c>
      <c r="P533" s="3016" t="s">
        <v>17</v>
      </c>
      <c r="Q533" s="3016" t="s">
        <v>6450</v>
      </c>
      <c r="R533" s="3016"/>
      <c r="S533" s="2963"/>
      <c r="T533" s="3057"/>
      <c r="U533" s="2989"/>
      <c r="W533" s="2901">
        <v>281</v>
      </c>
      <c r="X533" s="2862"/>
      <c r="Y533" s="1592">
        <v>281</v>
      </c>
    </row>
    <row r="534" spans="1:25" s="1592" customFormat="1" ht="159.5" hidden="1" x14ac:dyDescent="0.35">
      <c r="A534" s="2486">
        <v>43868</v>
      </c>
      <c r="B534" s="2545"/>
      <c r="C534" s="5" t="s">
        <v>6545</v>
      </c>
      <c r="D534" s="3031"/>
      <c r="E534" s="5" t="s">
        <v>6546</v>
      </c>
      <c r="F534" s="3029"/>
      <c r="G534" s="2892"/>
      <c r="H534" s="2892"/>
      <c r="I534" s="2960" t="s">
        <v>11313</v>
      </c>
      <c r="J534" s="824" t="s">
        <v>290</v>
      </c>
      <c r="K534" s="6"/>
      <c r="L534" s="6" t="s">
        <v>3071</v>
      </c>
      <c r="M534" s="2864">
        <v>1140</v>
      </c>
      <c r="N534" s="3117" t="s">
        <v>6548</v>
      </c>
      <c r="O534" s="3016"/>
      <c r="P534" s="3016" t="s">
        <v>22</v>
      </c>
      <c r="Q534" s="3016" t="s">
        <v>6547</v>
      </c>
      <c r="R534" s="3016"/>
      <c r="S534" s="2963"/>
      <c r="T534" s="3057"/>
      <c r="U534" s="2989"/>
      <c r="W534" s="2901">
        <v>282</v>
      </c>
      <c r="X534" s="2862"/>
      <c r="Y534" s="1592">
        <v>282</v>
      </c>
    </row>
    <row r="535" spans="1:25" s="1592" customFormat="1" ht="29" hidden="1" x14ac:dyDescent="0.35">
      <c r="A535" s="2960">
        <v>44264</v>
      </c>
      <c r="B535" s="2877"/>
      <c r="C535" s="2969" t="s">
        <v>11933</v>
      </c>
      <c r="D535" s="2968" t="s">
        <v>12294</v>
      </c>
      <c r="E535" s="2808" t="s">
        <v>12295</v>
      </c>
      <c r="F535" s="3027"/>
      <c r="G535" s="2896" t="s">
        <v>11432</v>
      </c>
      <c r="H535" s="2889"/>
      <c r="I535" s="2960" t="s">
        <v>11313</v>
      </c>
      <c r="J535" s="2970" t="s">
        <v>12296</v>
      </c>
      <c r="K535" s="3125" t="s">
        <v>15</v>
      </c>
      <c r="L535" s="2954" t="s">
        <v>972</v>
      </c>
      <c r="M535" s="2962">
        <v>465</v>
      </c>
      <c r="N535" s="3027" t="s">
        <v>257</v>
      </c>
      <c r="O535" s="3027" t="s">
        <v>15</v>
      </c>
      <c r="P535" s="3027" t="s">
        <v>17</v>
      </c>
      <c r="Q535" s="3027" t="s">
        <v>10908</v>
      </c>
      <c r="R535" s="3025"/>
      <c r="S535" s="3031"/>
      <c r="T535" s="3057"/>
      <c r="U535" s="2992"/>
      <c r="W535" s="2901">
        <v>283</v>
      </c>
      <c r="X535" s="2862"/>
      <c r="Y535" s="1592">
        <v>283</v>
      </c>
    </row>
    <row r="536" spans="1:25" s="1592" customFormat="1" ht="72.5" hidden="1" x14ac:dyDescent="0.35">
      <c r="A536" s="2960">
        <v>44237</v>
      </c>
      <c r="B536" s="2877"/>
      <c r="C536" s="2956" t="s">
        <v>12066</v>
      </c>
      <c r="D536" s="2968" t="s">
        <v>11829</v>
      </c>
      <c r="E536" s="2956" t="s">
        <v>12067</v>
      </c>
      <c r="F536" s="3027"/>
      <c r="G536" s="2896"/>
      <c r="H536" s="2889"/>
      <c r="I536" s="2960" t="s">
        <v>11313</v>
      </c>
      <c r="J536" s="2970" t="s">
        <v>12068</v>
      </c>
      <c r="K536" s="3125" t="s">
        <v>15</v>
      </c>
      <c r="L536" s="3119" t="s">
        <v>12069</v>
      </c>
      <c r="M536" s="2962">
        <v>0</v>
      </c>
      <c r="N536" s="3027" t="s">
        <v>8625</v>
      </c>
      <c r="O536" s="3027" t="s">
        <v>15</v>
      </c>
      <c r="P536" s="3027" t="s">
        <v>12063</v>
      </c>
      <c r="Q536" s="3027" t="s">
        <v>6041</v>
      </c>
      <c r="R536" s="3027"/>
      <c r="S536" s="3031"/>
      <c r="T536" s="3057"/>
      <c r="U536" s="2992"/>
      <c r="W536" s="2901">
        <v>284</v>
      </c>
      <c r="X536" s="2862"/>
      <c r="Y536" s="1592">
        <v>284</v>
      </c>
    </row>
    <row r="537" spans="1:25" s="1592" customFormat="1" ht="72.5" hidden="1" x14ac:dyDescent="0.35">
      <c r="A537" s="2960">
        <v>44173</v>
      </c>
      <c r="B537" s="2877">
        <v>12</v>
      </c>
      <c r="C537" s="2956" t="s">
        <v>11661</v>
      </c>
      <c r="D537" s="2968" t="s">
        <v>11557</v>
      </c>
      <c r="E537" s="2956" t="s">
        <v>11662</v>
      </c>
      <c r="F537" s="3027"/>
      <c r="G537" s="2896"/>
      <c r="H537" s="2892"/>
      <c r="I537" s="2960" t="s">
        <v>11313</v>
      </c>
      <c r="J537" s="2970" t="s">
        <v>11663</v>
      </c>
      <c r="K537" s="3125">
        <v>0.41666666666666669</v>
      </c>
      <c r="L537" s="3119">
        <v>0.68680555555555556</v>
      </c>
      <c r="M537" s="2962">
        <v>262</v>
      </c>
      <c r="N537" s="2521" t="s">
        <v>257</v>
      </c>
      <c r="O537" s="3027" t="s">
        <v>11346</v>
      </c>
      <c r="P537" s="2521" t="s">
        <v>17</v>
      </c>
      <c r="Q537" s="3027" t="s">
        <v>6041</v>
      </c>
      <c r="R537" s="3027"/>
      <c r="S537" s="3031"/>
      <c r="T537" s="3057"/>
      <c r="U537" s="2989"/>
      <c r="W537" s="2901">
        <v>285</v>
      </c>
      <c r="X537" s="2862"/>
      <c r="Y537" s="1592">
        <v>285</v>
      </c>
    </row>
    <row r="538" spans="1:25" s="1592" customFormat="1" ht="43.5" hidden="1" x14ac:dyDescent="0.35">
      <c r="A538" s="2657">
        <v>44164</v>
      </c>
      <c r="B538" s="2877">
        <v>16</v>
      </c>
      <c r="C538" s="3027" t="s">
        <v>11611</v>
      </c>
      <c r="D538" s="2968" t="s">
        <v>11612</v>
      </c>
      <c r="E538" s="3027" t="s">
        <v>11618</v>
      </c>
      <c r="F538" s="3027"/>
      <c r="G538" s="2896" t="s">
        <v>11507</v>
      </c>
      <c r="H538" s="2892"/>
      <c r="I538" s="2657" t="s">
        <v>11313</v>
      </c>
      <c r="J538" s="2521" t="s">
        <v>11613</v>
      </c>
      <c r="K538" s="3119">
        <v>0.41736111111111113</v>
      </c>
      <c r="L538" s="3119">
        <v>0.43888888888888888</v>
      </c>
      <c r="M538" s="2962">
        <v>75</v>
      </c>
      <c r="N538" s="3027" t="s">
        <v>392</v>
      </c>
      <c r="O538" s="3027" t="s">
        <v>11346</v>
      </c>
      <c r="P538" s="3027" t="s">
        <v>821</v>
      </c>
      <c r="Q538" s="3027" t="s">
        <v>11244</v>
      </c>
      <c r="R538" s="3027"/>
      <c r="S538" s="3031"/>
      <c r="T538" s="3057"/>
      <c r="U538" s="2989"/>
      <c r="W538" s="2901"/>
      <c r="X538" s="2862"/>
    </row>
    <row r="539" spans="1:25" s="1592" customFormat="1" ht="49.5" hidden="1" x14ac:dyDescent="0.35">
      <c r="A539" s="2657">
        <v>44164</v>
      </c>
      <c r="B539" s="2877"/>
      <c r="C539" s="2956" t="s">
        <v>11611</v>
      </c>
      <c r="D539" s="2968" t="s">
        <v>11612</v>
      </c>
      <c r="E539" s="3027" t="s">
        <v>11617</v>
      </c>
      <c r="F539" s="3027"/>
      <c r="G539" s="2896" t="s">
        <v>11709</v>
      </c>
      <c r="H539" s="2892"/>
      <c r="I539" s="2960" t="s">
        <v>11313</v>
      </c>
      <c r="J539" s="2428" t="s">
        <v>11613</v>
      </c>
      <c r="K539" s="3125" t="s">
        <v>15</v>
      </c>
      <c r="L539" s="3119" t="s">
        <v>972</v>
      </c>
      <c r="M539" s="2962">
        <v>210</v>
      </c>
      <c r="N539" s="2521" t="s">
        <v>392</v>
      </c>
      <c r="O539" s="3027" t="s">
        <v>15</v>
      </c>
      <c r="P539" s="2521" t="s">
        <v>821</v>
      </c>
      <c r="Q539" s="3027" t="s">
        <v>11327</v>
      </c>
      <c r="R539" s="3027"/>
      <c r="S539" s="3031"/>
      <c r="T539" s="3057"/>
      <c r="U539" s="2992"/>
      <c r="W539" s="2901">
        <v>286</v>
      </c>
      <c r="X539" s="2862"/>
      <c r="Y539" s="1592">
        <v>286</v>
      </c>
    </row>
    <row r="540" spans="1:25" s="1592" customFormat="1" ht="72.5" hidden="1" x14ac:dyDescent="0.35">
      <c r="A540" s="2960">
        <v>44175</v>
      </c>
      <c r="B540" s="2877"/>
      <c r="C540" s="2956" t="s">
        <v>11687</v>
      </c>
      <c r="D540" s="2968" t="s">
        <v>11688</v>
      </c>
      <c r="E540" s="2956" t="s">
        <v>11689</v>
      </c>
      <c r="F540" s="3027"/>
      <c r="G540" s="2896" t="s">
        <v>11691</v>
      </c>
      <c r="H540" s="2892"/>
      <c r="I540" s="2960" t="s">
        <v>11313</v>
      </c>
      <c r="J540" s="2970" t="s">
        <v>11690</v>
      </c>
      <c r="K540" s="3125" t="s">
        <v>15</v>
      </c>
      <c r="L540" s="3119" t="s">
        <v>972</v>
      </c>
      <c r="M540" s="2962">
        <v>210</v>
      </c>
      <c r="N540" s="2521" t="s">
        <v>392</v>
      </c>
      <c r="O540" s="3027" t="s">
        <v>15</v>
      </c>
      <c r="P540" s="2521" t="s">
        <v>821</v>
      </c>
      <c r="Q540" s="3027" t="s">
        <v>11327</v>
      </c>
      <c r="R540" s="3027"/>
      <c r="S540" s="3031"/>
      <c r="T540" s="3057"/>
      <c r="U540" s="2992"/>
      <c r="W540" s="2901">
        <v>287</v>
      </c>
      <c r="X540" s="2862"/>
      <c r="Y540" s="1592">
        <v>287</v>
      </c>
    </row>
    <row r="541" spans="1:25" s="1592" customFormat="1" ht="72.5" hidden="1" x14ac:dyDescent="0.35">
      <c r="A541" s="2960">
        <v>44258</v>
      </c>
      <c r="B541" s="2877"/>
      <c r="C541" s="2956" t="s">
        <v>12264</v>
      </c>
      <c r="D541" s="2968" t="s">
        <v>12265</v>
      </c>
      <c r="E541" s="2969" t="s">
        <v>12266</v>
      </c>
      <c r="F541" s="3027"/>
      <c r="G541" s="2896" t="s">
        <v>11432</v>
      </c>
      <c r="H541" s="2889"/>
      <c r="I541" s="2960" t="s">
        <v>11313</v>
      </c>
      <c r="J541" s="2970" t="s">
        <v>12267</v>
      </c>
      <c r="K541" s="3125" t="s">
        <v>15</v>
      </c>
      <c r="L541" s="3119" t="s">
        <v>972</v>
      </c>
      <c r="M541" s="2962">
        <v>465</v>
      </c>
      <c r="N541" s="3027" t="s">
        <v>257</v>
      </c>
      <c r="O541" s="3027" t="s">
        <v>15</v>
      </c>
      <c r="P541" s="3027" t="s">
        <v>821</v>
      </c>
      <c r="Q541" s="3027" t="s">
        <v>6041</v>
      </c>
      <c r="R541" s="3027"/>
      <c r="S541" s="3031"/>
      <c r="T541" s="3057"/>
      <c r="U541" s="2989"/>
      <c r="W541" s="2901">
        <v>288</v>
      </c>
      <c r="X541" s="2862"/>
      <c r="Y541" s="1592">
        <v>288</v>
      </c>
    </row>
    <row r="542" spans="1:25" s="1592" customFormat="1" ht="29" hidden="1" x14ac:dyDescent="0.35">
      <c r="A542" s="2960">
        <v>44165</v>
      </c>
      <c r="B542" s="2877">
        <v>17</v>
      </c>
      <c r="C542" s="2956" t="s">
        <v>11623</v>
      </c>
      <c r="D542" s="2968" t="s">
        <v>11612</v>
      </c>
      <c r="E542" s="2956" t="s">
        <v>5943</v>
      </c>
      <c r="F542" s="3027"/>
      <c r="G542" s="2896" t="s">
        <v>11507</v>
      </c>
      <c r="H542" s="2892"/>
      <c r="I542" s="2960" t="s">
        <v>11313</v>
      </c>
      <c r="J542" s="2970" t="s">
        <v>11619</v>
      </c>
      <c r="K542" s="3125">
        <v>0.70833333333333337</v>
      </c>
      <c r="L542" s="3119">
        <v>0.71736111111111101</v>
      </c>
      <c r="M542" s="2962">
        <v>75</v>
      </c>
      <c r="N542" s="2521" t="s">
        <v>257</v>
      </c>
      <c r="O542" s="3027" t="s">
        <v>11625</v>
      </c>
      <c r="P542" s="2521" t="s">
        <v>17</v>
      </c>
      <c r="Q542" s="3027" t="s">
        <v>2084</v>
      </c>
      <c r="R542" s="3027"/>
      <c r="S542" s="3031"/>
      <c r="T542" s="3057"/>
      <c r="U542" s="2989"/>
      <c r="W542" s="2901">
        <v>289</v>
      </c>
      <c r="X542" s="2862"/>
      <c r="Y542" s="1592">
        <v>289</v>
      </c>
    </row>
    <row r="543" spans="1:25" s="1592" customFormat="1" ht="29" hidden="1" x14ac:dyDescent="0.35">
      <c r="A543" s="2486">
        <v>43930</v>
      </c>
      <c r="B543" s="2545"/>
      <c r="C543" s="5" t="s">
        <v>10719</v>
      </c>
      <c r="D543" s="2712" t="s">
        <v>15</v>
      </c>
      <c r="E543" s="3016" t="s">
        <v>8793</v>
      </c>
      <c r="F543" s="3029"/>
      <c r="G543" s="3040"/>
      <c r="H543" s="2892"/>
      <c r="I543" s="2960" t="s">
        <v>11313</v>
      </c>
      <c r="J543" s="2486" t="s">
        <v>20</v>
      </c>
      <c r="K543" s="2486" t="s">
        <v>20</v>
      </c>
      <c r="L543" s="2486" t="s">
        <v>20</v>
      </c>
      <c r="M543" s="2486" t="s">
        <v>20</v>
      </c>
      <c r="N543" s="2486" t="s">
        <v>20</v>
      </c>
      <c r="O543" s="2545" t="s">
        <v>20</v>
      </c>
      <c r="P543" s="2486" t="s">
        <v>17</v>
      </c>
      <c r="Q543" s="3016" t="s">
        <v>20</v>
      </c>
      <c r="R543" s="3016"/>
      <c r="S543" s="3032"/>
      <c r="T543" s="3065"/>
      <c r="U543" s="2992"/>
      <c r="W543" s="2901">
        <v>290</v>
      </c>
      <c r="X543" s="2862"/>
      <c r="Y543" s="1592">
        <v>290</v>
      </c>
    </row>
    <row r="544" spans="1:25" s="1592" customFormat="1" ht="72.5" hidden="1" x14ac:dyDescent="0.35">
      <c r="A544" s="2960">
        <v>44069</v>
      </c>
      <c r="B544" s="2877"/>
      <c r="C544" s="2960" t="s">
        <v>11329</v>
      </c>
      <c r="D544" s="2968" t="s">
        <v>11330</v>
      </c>
      <c r="E544" s="2969" t="s">
        <v>11331</v>
      </c>
      <c r="F544" s="3029"/>
      <c r="G544" s="2974"/>
      <c r="H544" s="3063"/>
      <c r="I544" s="2960" t="s">
        <v>11313</v>
      </c>
      <c r="J544" s="2428" t="s">
        <v>11282</v>
      </c>
      <c r="K544" s="3125" t="s">
        <v>15</v>
      </c>
      <c r="L544" s="3119" t="s">
        <v>972</v>
      </c>
      <c r="M544" s="2962">
        <v>460</v>
      </c>
      <c r="N544" s="3027" t="s">
        <v>392</v>
      </c>
      <c r="O544" s="3027" t="s">
        <v>15</v>
      </c>
      <c r="P544" s="3027" t="s">
        <v>17</v>
      </c>
      <c r="Q544" s="3027" t="s">
        <v>11183</v>
      </c>
      <c r="R544" s="3027"/>
      <c r="S544" s="3031"/>
      <c r="T544" s="3057"/>
      <c r="U544" s="2989"/>
      <c r="W544" s="2901">
        <v>291</v>
      </c>
      <c r="X544" s="2862"/>
      <c r="Y544" s="1592">
        <v>291</v>
      </c>
    </row>
    <row r="545" spans="1:25" s="1592" customFormat="1" ht="72.5" hidden="1" x14ac:dyDescent="0.35">
      <c r="A545" s="2960">
        <v>44175</v>
      </c>
      <c r="B545" s="2877">
        <v>86</v>
      </c>
      <c r="C545" s="2956" t="s">
        <v>11736</v>
      </c>
      <c r="D545" s="2968" t="s">
        <v>9747</v>
      </c>
      <c r="E545" s="2956" t="s">
        <v>11740</v>
      </c>
      <c r="F545" s="3027"/>
      <c r="G545" s="2896" t="s">
        <v>11685</v>
      </c>
      <c r="H545" s="2892"/>
      <c r="I545" s="2960" t="s">
        <v>10893</v>
      </c>
      <c r="J545" s="2970" t="s">
        <v>11686</v>
      </c>
      <c r="K545" s="3125">
        <v>0.50069444444444444</v>
      </c>
      <c r="L545" s="3119">
        <v>0.50069444444444444</v>
      </c>
      <c r="M545" s="2962">
        <v>110</v>
      </c>
      <c r="N545" s="2521" t="s">
        <v>11684</v>
      </c>
      <c r="O545" s="3027" t="s">
        <v>15</v>
      </c>
      <c r="P545" s="2521" t="s">
        <v>17</v>
      </c>
      <c r="Q545" s="3027" t="s">
        <v>11183</v>
      </c>
      <c r="R545" s="3027"/>
      <c r="S545" s="3031"/>
      <c r="T545" s="3057"/>
      <c r="U545" s="2992"/>
      <c r="W545" s="2901">
        <v>292</v>
      </c>
      <c r="X545" s="2862"/>
      <c r="Y545" s="1592">
        <v>292</v>
      </c>
    </row>
    <row r="546" spans="1:25" s="1592" customFormat="1" ht="87" hidden="1" x14ac:dyDescent="0.35">
      <c r="A546" s="2960">
        <v>44213</v>
      </c>
      <c r="B546" s="2877"/>
      <c r="C546" s="2956" t="s">
        <v>11900</v>
      </c>
      <c r="D546" s="2968"/>
      <c r="E546" s="2956" t="s">
        <v>11898</v>
      </c>
      <c r="F546" s="3029"/>
      <c r="G546" s="3040"/>
      <c r="H546" s="2892"/>
      <c r="I546" s="2960" t="s">
        <v>11313</v>
      </c>
      <c r="J546" s="2970" t="s">
        <v>11899</v>
      </c>
      <c r="K546" s="3125" t="s">
        <v>15</v>
      </c>
      <c r="L546" s="3119" t="s">
        <v>972</v>
      </c>
      <c r="M546" s="2962">
        <v>111</v>
      </c>
      <c r="N546" s="3027" t="s">
        <v>392</v>
      </c>
      <c r="O546" s="3027" t="s">
        <v>15</v>
      </c>
      <c r="P546" s="3027" t="s">
        <v>821</v>
      </c>
      <c r="Q546" s="3027" t="s">
        <v>11327</v>
      </c>
      <c r="R546" s="3027"/>
      <c r="S546" s="3031"/>
      <c r="T546" s="3057"/>
      <c r="U546" s="2992"/>
      <c r="W546" s="2901">
        <v>293</v>
      </c>
      <c r="X546" s="2862"/>
      <c r="Y546" s="1592">
        <v>293</v>
      </c>
    </row>
    <row r="547" spans="1:25" s="1592" customFormat="1" ht="58" hidden="1" x14ac:dyDescent="0.35">
      <c r="A547" s="2657">
        <v>44154</v>
      </c>
      <c r="B547" s="2877"/>
      <c r="C547" s="2956" t="s">
        <v>11563</v>
      </c>
      <c r="D547" s="2968" t="s">
        <v>11564</v>
      </c>
      <c r="E547" s="3027" t="s">
        <v>11565</v>
      </c>
      <c r="F547" s="3027"/>
      <c r="G547" s="2896" t="s">
        <v>11466</v>
      </c>
      <c r="H547" s="2892"/>
      <c r="I547" s="2657" t="s">
        <v>11313</v>
      </c>
      <c r="J547" s="2428" t="s">
        <v>11282</v>
      </c>
      <c r="K547" s="3125" t="s">
        <v>15</v>
      </c>
      <c r="L547" s="3119" t="s">
        <v>972</v>
      </c>
      <c r="M547" s="2962">
        <v>168</v>
      </c>
      <c r="N547" s="2521" t="s">
        <v>392</v>
      </c>
      <c r="O547" s="3027" t="s">
        <v>15</v>
      </c>
      <c r="P547" s="2521" t="s">
        <v>821</v>
      </c>
      <c r="Q547" s="3027" t="s">
        <v>11327</v>
      </c>
      <c r="R547" s="3027"/>
      <c r="S547" s="3031"/>
      <c r="T547" s="3057"/>
      <c r="U547" s="2989"/>
      <c r="W547" s="2901">
        <v>294</v>
      </c>
      <c r="X547" s="2862"/>
      <c r="Y547" s="1592">
        <v>294</v>
      </c>
    </row>
    <row r="548" spans="1:25" s="1592" customFormat="1" ht="58" hidden="1" x14ac:dyDescent="0.35">
      <c r="A548" s="2960">
        <v>44276</v>
      </c>
      <c r="B548" s="2877"/>
      <c r="C548" s="2956" t="s">
        <v>12145</v>
      </c>
      <c r="D548" s="2968" t="s">
        <v>11936</v>
      </c>
      <c r="E548" s="2956" t="s">
        <v>12327</v>
      </c>
      <c r="F548" s="3027"/>
      <c r="G548" s="2896" t="s">
        <v>11951</v>
      </c>
      <c r="H548" s="2892"/>
      <c r="I548" s="2960" t="s">
        <v>11313</v>
      </c>
      <c r="J548" s="2970" t="s">
        <v>5494</v>
      </c>
      <c r="K548" s="3125" t="s">
        <v>15</v>
      </c>
      <c r="L548" s="3119" t="s">
        <v>972</v>
      </c>
      <c r="M548" s="2962">
        <v>150</v>
      </c>
      <c r="N548" s="2956" t="s">
        <v>392</v>
      </c>
      <c r="O548" s="2956" t="s">
        <v>15</v>
      </c>
      <c r="P548" s="2956" t="s">
        <v>821</v>
      </c>
      <c r="Q548" s="2956" t="s">
        <v>8499</v>
      </c>
      <c r="R548" s="3027"/>
      <c r="S548" s="3031"/>
      <c r="T548" s="3057"/>
      <c r="U548" s="2989"/>
      <c r="W548" s="2901">
        <v>295</v>
      </c>
      <c r="X548" s="2862"/>
      <c r="Y548" s="1592">
        <v>295</v>
      </c>
    </row>
    <row r="549" spans="1:25" s="1592" customFormat="1" ht="29" hidden="1" x14ac:dyDescent="0.35">
      <c r="A549" s="2486">
        <v>44176</v>
      </c>
      <c r="B549" s="2596"/>
      <c r="C549" s="2486" t="s">
        <v>11328</v>
      </c>
      <c r="D549" s="3032" t="s">
        <v>11195</v>
      </c>
      <c r="E549" s="5" t="s">
        <v>11692</v>
      </c>
      <c r="F549" s="3029"/>
      <c r="G549" s="3040" t="s">
        <v>11645</v>
      </c>
      <c r="H549" s="2892"/>
      <c r="I549" s="2486" t="s">
        <v>11313</v>
      </c>
      <c r="J549" s="824" t="s">
        <v>11704</v>
      </c>
      <c r="K549" s="6" t="s">
        <v>15</v>
      </c>
      <c r="L549" s="3117" t="s">
        <v>972</v>
      </c>
      <c r="M549" s="3020">
        <v>110</v>
      </c>
      <c r="N549" s="3016" t="s">
        <v>392</v>
      </c>
      <c r="O549" s="3016" t="s">
        <v>15</v>
      </c>
      <c r="P549" s="3016" t="s">
        <v>821</v>
      </c>
      <c r="Q549" s="3016" t="s">
        <v>11327</v>
      </c>
      <c r="R549" s="3016"/>
      <c r="S549" s="2963"/>
      <c r="T549" s="3057"/>
      <c r="U549" s="2992"/>
      <c r="W549" s="2901">
        <v>296</v>
      </c>
      <c r="X549" s="2862"/>
      <c r="Y549" s="1592">
        <v>296</v>
      </c>
    </row>
    <row r="550" spans="1:25" s="1592" customFormat="1" ht="43.5" hidden="1" x14ac:dyDescent="0.35">
      <c r="A550" s="2960">
        <v>44126</v>
      </c>
      <c r="B550" s="2877"/>
      <c r="C550" s="2960" t="s">
        <v>11503</v>
      </c>
      <c r="D550" s="2968" t="s">
        <v>11502</v>
      </c>
      <c r="E550" s="2956" t="s">
        <v>11501</v>
      </c>
      <c r="F550" s="3027"/>
      <c r="G550" s="2896" t="s">
        <v>11500</v>
      </c>
      <c r="H550" s="2892"/>
      <c r="I550" s="2960" t="s">
        <v>11313</v>
      </c>
      <c r="J550" s="2428" t="s">
        <v>11282</v>
      </c>
      <c r="K550" s="3125" t="s">
        <v>15</v>
      </c>
      <c r="L550" s="3119" t="s">
        <v>972</v>
      </c>
      <c r="M550" s="2962">
        <v>140</v>
      </c>
      <c r="N550" s="3027" t="s">
        <v>392</v>
      </c>
      <c r="O550" s="3027" t="s">
        <v>15</v>
      </c>
      <c r="P550" s="3027" t="s">
        <v>821</v>
      </c>
      <c r="Q550" s="3027" t="s">
        <v>11327</v>
      </c>
      <c r="R550" s="3027"/>
      <c r="S550" s="3031"/>
      <c r="T550" s="3057"/>
      <c r="U550" s="2992"/>
      <c r="W550" s="2901">
        <v>297</v>
      </c>
      <c r="X550" s="2862"/>
      <c r="Y550" s="1592">
        <v>297</v>
      </c>
    </row>
    <row r="551" spans="1:25" s="1592" customFormat="1" ht="29" hidden="1" x14ac:dyDescent="0.35">
      <c r="A551" s="2657">
        <v>44149</v>
      </c>
      <c r="B551" s="2877"/>
      <c r="C551" s="2956" t="s">
        <v>11558</v>
      </c>
      <c r="D551" s="2968" t="s">
        <v>11559</v>
      </c>
      <c r="E551" s="3027" t="s">
        <v>11560</v>
      </c>
      <c r="F551" s="3027"/>
      <c r="G551" s="2896" t="s">
        <v>11439</v>
      </c>
      <c r="H551" s="2892"/>
      <c r="I551" s="2657" t="s">
        <v>11313</v>
      </c>
      <c r="J551" s="2428" t="s">
        <v>11282</v>
      </c>
      <c r="K551" s="3125" t="s">
        <v>15</v>
      </c>
      <c r="L551" s="3119" t="s">
        <v>972</v>
      </c>
      <c r="M551" s="2962">
        <f>90*1.4</f>
        <v>125.99999999999999</v>
      </c>
      <c r="N551" s="2521" t="s">
        <v>392</v>
      </c>
      <c r="O551" s="3027" t="s">
        <v>15</v>
      </c>
      <c r="P551" s="2521" t="s">
        <v>821</v>
      </c>
      <c r="Q551" s="3027" t="s">
        <v>5560</v>
      </c>
      <c r="R551" s="3027"/>
      <c r="S551" s="3031"/>
      <c r="T551" s="3057"/>
      <c r="U551" s="2992"/>
      <c r="W551" s="2901">
        <v>298</v>
      </c>
      <c r="X551" s="2862"/>
      <c r="Y551" s="1592">
        <v>298</v>
      </c>
    </row>
    <row r="552" spans="1:25" s="1592" customFormat="1" ht="181.5" hidden="1" x14ac:dyDescent="0.35">
      <c r="A552" s="2486">
        <v>44262</v>
      </c>
      <c r="B552" s="2596"/>
      <c r="C552" s="2957" t="s">
        <v>12289</v>
      </c>
      <c r="D552" s="3032" t="s">
        <v>12288</v>
      </c>
      <c r="E552" s="2957" t="s">
        <v>12290</v>
      </c>
      <c r="F552" s="3029"/>
      <c r="G552" s="3040" t="s">
        <v>12291</v>
      </c>
      <c r="H552" s="2892"/>
      <c r="I552" s="2958" t="s">
        <v>11527</v>
      </c>
      <c r="J552" s="3046" t="s">
        <v>11899</v>
      </c>
      <c r="K552" s="6" t="s">
        <v>15</v>
      </c>
      <c r="L552" s="3117" t="s">
        <v>972</v>
      </c>
      <c r="M552" s="3020">
        <f>100+30*15</f>
        <v>550</v>
      </c>
      <c r="N552" s="3016" t="s">
        <v>392</v>
      </c>
      <c r="O552" s="3016" t="s">
        <v>15</v>
      </c>
      <c r="P552" s="3016" t="s">
        <v>821</v>
      </c>
      <c r="Q552" s="3016" t="s">
        <v>11244</v>
      </c>
      <c r="R552" s="3016"/>
      <c r="S552" s="3031"/>
      <c r="T552" s="3057"/>
      <c r="U552" s="2989"/>
      <c r="W552" s="2901">
        <v>299</v>
      </c>
      <c r="X552" s="2862"/>
      <c r="Y552" s="1592">
        <v>299</v>
      </c>
    </row>
    <row r="553" spans="1:25" s="1592" customFormat="1" ht="72.5" hidden="1" x14ac:dyDescent="0.35">
      <c r="A553" s="2960">
        <v>44115</v>
      </c>
      <c r="B553" s="2877"/>
      <c r="C553" s="2960" t="s">
        <v>11452</v>
      </c>
      <c r="D553" s="2968" t="s">
        <v>11447</v>
      </c>
      <c r="E553" s="2956" t="s">
        <v>11451</v>
      </c>
      <c r="F553" s="3027"/>
      <c r="G553" s="2896" t="s">
        <v>11441</v>
      </c>
      <c r="H553" s="2892"/>
      <c r="I553" s="2960" t="s">
        <v>11313</v>
      </c>
      <c r="J553" s="2428" t="s">
        <v>11448</v>
      </c>
      <c r="K553" s="3125" t="s">
        <v>15</v>
      </c>
      <c r="L553" s="3119" t="s">
        <v>972</v>
      </c>
      <c r="M553" s="2962">
        <v>280</v>
      </c>
      <c r="N553" s="3027" t="s">
        <v>8625</v>
      </c>
      <c r="O553" s="3027" t="s">
        <v>15</v>
      </c>
      <c r="P553" s="3027" t="s">
        <v>821</v>
      </c>
      <c r="Q553" s="3027" t="s">
        <v>8499</v>
      </c>
      <c r="R553" s="3027"/>
      <c r="S553" s="3031"/>
      <c r="T553" s="3057"/>
      <c r="U553" s="2989"/>
      <c r="W553" s="2901"/>
      <c r="X553" s="2862"/>
    </row>
    <row r="554" spans="1:25" s="1592" customFormat="1" ht="29" hidden="1" x14ac:dyDescent="0.35">
      <c r="A554" s="2960">
        <v>44246</v>
      </c>
      <c r="B554" s="2877"/>
      <c r="C554" s="2956" t="s">
        <v>11286</v>
      </c>
      <c r="D554" s="2968" t="s">
        <v>12064</v>
      </c>
      <c r="E554" s="2969" t="s">
        <v>12163</v>
      </c>
      <c r="F554" s="3027"/>
      <c r="G554" s="2979" t="s">
        <v>11446</v>
      </c>
      <c r="H554" s="2974"/>
      <c r="I554" s="2960" t="s">
        <v>11313</v>
      </c>
      <c r="J554" s="2970" t="s">
        <v>12064</v>
      </c>
      <c r="K554" s="3125" t="s">
        <v>12064</v>
      </c>
      <c r="L554" s="3119" t="s">
        <v>12064</v>
      </c>
      <c r="M554" s="3119" t="s">
        <v>12064</v>
      </c>
      <c r="N554" s="3119" t="s">
        <v>12064</v>
      </c>
      <c r="O554" s="3119" t="s">
        <v>12064</v>
      </c>
      <c r="P554" s="3119" t="s">
        <v>12070</v>
      </c>
      <c r="Q554" s="3119" t="s">
        <v>11183</v>
      </c>
      <c r="R554" s="3119"/>
      <c r="S554" s="3031"/>
      <c r="T554" s="3057"/>
      <c r="U554" s="2992"/>
      <c r="W554" s="2901"/>
      <c r="X554" s="2862"/>
    </row>
    <row r="555" spans="1:25" s="1592" customFormat="1" ht="29" hidden="1" x14ac:dyDescent="0.35">
      <c r="A555" s="2960">
        <v>44238</v>
      </c>
      <c r="B555" s="2877"/>
      <c r="C555" s="2956" t="s">
        <v>11286</v>
      </c>
      <c r="D555" s="2968" t="s">
        <v>12064</v>
      </c>
      <c r="E555" s="3027" t="s">
        <v>12094</v>
      </c>
      <c r="F555" s="3027"/>
      <c r="G555" s="2896" t="s">
        <v>11446</v>
      </c>
      <c r="H555" s="2892"/>
      <c r="I555" s="2960" t="s">
        <v>11313</v>
      </c>
      <c r="J555" s="2970" t="s">
        <v>3798</v>
      </c>
      <c r="K555" s="3125" t="s">
        <v>15</v>
      </c>
      <c r="L555" s="3119" t="s">
        <v>3798</v>
      </c>
      <c r="M555" s="2962">
        <v>0</v>
      </c>
      <c r="N555" s="3027" t="s">
        <v>12093</v>
      </c>
      <c r="O555" s="3027" t="s">
        <v>3798</v>
      </c>
      <c r="P555" s="3027" t="s">
        <v>821</v>
      </c>
      <c r="Q555" s="3027" t="s">
        <v>3798</v>
      </c>
      <c r="R555" s="3027"/>
      <c r="S555" s="3031"/>
      <c r="T555" s="3057"/>
      <c r="U555" s="2989"/>
      <c r="W555" s="2901">
        <v>300</v>
      </c>
      <c r="X555" s="2862"/>
      <c r="Y555" s="1592">
        <v>300</v>
      </c>
    </row>
    <row r="556" spans="1:25" s="1592" customFormat="1" hidden="1" x14ac:dyDescent="0.35">
      <c r="A556" s="2486">
        <v>44224</v>
      </c>
      <c r="B556" s="2596">
        <v>10</v>
      </c>
      <c r="C556" s="5" t="s">
        <v>11284</v>
      </c>
      <c r="D556" s="3032" t="s">
        <v>15</v>
      </c>
      <c r="E556" s="2725" t="s">
        <v>11963</v>
      </c>
      <c r="F556" s="3029"/>
      <c r="G556" s="3040" t="s">
        <v>11446</v>
      </c>
      <c r="H556" s="2892"/>
      <c r="I556" s="2960" t="s">
        <v>10893</v>
      </c>
      <c r="J556" s="2722" t="s">
        <v>20</v>
      </c>
      <c r="K556" s="6">
        <v>0.45833333333333331</v>
      </c>
      <c r="L556" s="3117">
        <v>0.45833333333333331</v>
      </c>
      <c r="M556" s="3039">
        <v>0</v>
      </c>
      <c r="N556" s="3016" t="s">
        <v>20</v>
      </c>
      <c r="O556" s="3016" t="s">
        <v>15</v>
      </c>
      <c r="P556" s="3016" t="s">
        <v>17</v>
      </c>
      <c r="Q556" s="3016" t="s">
        <v>6041</v>
      </c>
      <c r="R556" s="3016"/>
      <c r="S556" s="3031"/>
      <c r="T556" s="3057"/>
      <c r="U556" s="2989"/>
      <c r="W556" s="2901">
        <v>301</v>
      </c>
      <c r="X556" s="2862"/>
      <c r="Y556" s="1592">
        <v>301</v>
      </c>
    </row>
    <row r="557" spans="1:25" s="1592" customFormat="1" ht="87" hidden="1" x14ac:dyDescent="0.35">
      <c r="A557" s="3047">
        <v>44224</v>
      </c>
      <c r="B557" s="2953">
        <v>13</v>
      </c>
      <c r="C557" s="3026" t="s">
        <v>11960</v>
      </c>
      <c r="D557" s="3044" t="s">
        <v>11958</v>
      </c>
      <c r="E557" s="3048" t="s">
        <v>11959</v>
      </c>
      <c r="F557" s="3029"/>
      <c r="G557" s="3050" t="s">
        <v>11432</v>
      </c>
      <c r="H557" s="3049"/>
      <c r="I557" s="2960" t="s">
        <v>10893</v>
      </c>
      <c r="J557" s="3046" t="s">
        <v>6815</v>
      </c>
      <c r="K557" s="3128">
        <v>0.45833333333333331</v>
      </c>
      <c r="L557" s="3118">
        <v>0.45833333333333331</v>
      </c>
      <c r="M557" s="3038">
        <v>360</v>
      </c>
      <c r="N557" s="3025" t="s">
        <v>257</v>
      </c>
      <c r="O557" s="3025" t="s">
        <v>15</v>
      </c>
      <c r="P557" s="3025" t="s">
        <v>17</v>
      </c>
      <c r="Q557" s="3025" t="s">
        <v>6041</v>
      </c>
      <c r="R557" s="3025"/>
      <c r="S557" s="3031"/>
      <c r="T557" s="3057"/>
      <c r="U557" s="2992"/>
      <c r="W557" s="2901">
        <v>302</v>
      </c>
      <c r="X557" s="2862"/>
      <c r="Y557" s="1592">
        <v>302</v>
      </c>
    </row>
    <row r="558" spans="1:25" s="1592" customFormat="1" ht="174" hidden="1" x14ac:dyDescent="0.35">
      <c r="A558" s="3047">
        <v>44224</v>
      </c>
      <c r="B558" s="2953"/>
      <c r="C558" s="3026" t="s">
        <v>11960</v>
      </c>
      <c r="D558" s="3044" t="s">
        <v>11958</v>
      </c>
      <c r="E558" s="3048" t="s">
        <v>11962</v>
      </c>
      <c r="F558" s="3029"/>
      <c r="G558" s="3050" t="s">
        <v>11432</v>
      </c>
      <c r="H558" s="3049"/>
      <c r="I558" s="2960" t="s">
        <v>10893</v>
      </c>
      <c r="J558" s="3046" t="s">
        <v>6815</v>
      </c>
      <c r="K558" s="3128" t="s">
        <v>15</v>
      </c>
      <c r="L558" s="3118" t="s">
        <v>972</v>
      </c>
      <c r="M558" s="3038">
        <v>360</v>
      </c>
      <c r="N558" s="3025" t="s">
        <v>257</v>
      </c>
      <c r="O558" s="3025" t="s">
        <v>15</v>
      </c>
      <c r="P558" s="3025" t="s">
        <v>17</v>
      </c>
      <c r="Q558" s="3025" t="s">
        <v>6041</v>
      </c>
      <c r="R558" s="3025"/>
      <c r="S558" s="3031"/>
      <c r="T558" s="3057"/>
      <c r="U558" s="2992"/>
      <c r="W558" s="2901">
        <v>303</v>
      </c>
      <c r="X558" s="2862"/>
      <c r="Y558" s="1592">
        <v>303</v>
      </c>
    </row>
    <row r="559" spans="1:25" s="1592" customFormat="1" ht="87" hidden="1" x14ac:dyDescent="0.35">
      <c r="A559" s="3047">
        <v>44224</v>
      </c>
      <c r="B559" s="2953"/>
      <c r="C559" s="3026" t="s">
        <v>11960</v>
      </c>
      <c r="D559" s="3044" t="s">
        <v>11958</v>
      </c>
      <c r="E559" s="3048" t="s">
        <v>11968</v>
      </c>
      <c r="F559" s="3029"/>
      <c r="G559" s="3050" t="s">
        <v>11432</v>
      </c>
      <c r="H559" s="2892"/>
      <c r="I559" s="2960" t="s">
        <v>10893</v>
      </c>
      <c r="J559" s="3046" t="s">
        <v>6815</v>
      </c>
      <c r="K559" s="3128" t="s">
        <v>15</v>
      </c>
      <c r="L559" s="3118" t="s">
        <v>972</v>
      </c>
      <c r="M559" s="3038">
        <v>360</v>
      </c>
      <c r="N559" s="3025" t="s">
        <v>257</v>
      </c>
      <c r="O559" s="3025" t="s">
        <v>15</v>
      </c>
      <c r="P559" s="3025" t="s">
        <v>17</v>
      </c>
      <c r="Q559" s="3025" t="s">
        <v>6041</v>
      </c>
      <c r="R559" s="3025"/>
      <c r="S559" s="3031"/>
      <c r="T559" s="3057"/>
      <c r="U559" s="2992"/>
      <c r="W559" s="2901">
        <v>304</v>
      </c>
      <c r="X559" s="2862"/>
      <c r="Y559" s="1592">
        <v>304</v>
      </c>
    </row>
    <row r="560" spans="1:25" s="1592" customFormat="1" ht="87" hidden="1" x14ac:dyDescent="0.35">
      <c r="A560" s="3047">
        <v>44224</v>
      </c>
      <c r="B560" s="2953"/>
      <c r="C560" s="3026" t="s">
        <v>11960</v>
      </c>
      <c r="D560" s="3044" t="s">
        <v>11958</v>
      </c>
      <c r="E560" s="3048" t="s">
        <v>11966</v>
      </c>
      <c r="F560" s="3029"/>
      <c r="G560" s="3050" t="s">
        <v>11432</v>
      </c>
      <c r="H560" s="3049"/>
      <c r="I560" s="2960" t="s">
        <v>10893</v>
      </c>
      <c r="J560" s="3046" t="s">
        <v>6815</v>
      </c>
      <c r="K560" s="3128" t="s">
        <v>15</v>
      </c>
      <c r="L560" s="3118" t="s">
        <v>972</v>
      </c>
      <c r="M560" s="3038">
        <v>360</v>
      </c>
      <c r="N560" s="3025" t="s">
        <v>257</v>
      </c>
      <c r="O560" s="3025" t="s">
        <v>15</v>
      </c>
      <c r="P560" s="3025" t="s">
        <v>17</v>
      </c>
      <c r="Q560" s="3025" t="s">
        <v>6041</v>
      </c>
      <c r="R560" s="3159"/>
      <c r="S560" s="3031"/>
      <c r="T560" s="3057"/>
      <c r="U560" s="2992"/>
      <c r="W560" s="2901"/>
      <c r="X560" s="2862"/>
    </row>
    <row r="561" spans="1:25" s="1592" customFormat="1" ht="58" hidden="1" x14ac:dyDescent="0.35">
      <c r="A561" s="3047">
        <v>44224</v>
      </c>
      <c r="B561" s="2953"/>
      <c r="C561" s="3026" t="s">
        <v>11960</v>
      </c>
      <c r="D561" s="3044" t="s">
        <v>11958</v>
      </c>
      <c r="E561" s="3048" t="s">
        <v>11961</v>
      </c>
      <c r="F561" s="3029"/>
      <c r="G561" s="3050" t="s">
        <v>11432</v>
      </c>
      <c r="H561" s="3049"/>
      <c r="I561" s="2960" t="s">
        <v>10893</v>
      </c>
      <c r="J561" s="3046" t="s">
        <v>6815</v>
      </c>
      <c r="K561" s="3128" t="s">
        <v>15</v>
      </c>
      <c r="L561" s="3118" t="s">
        <v>972</v>
      </c>
      <c r="M561" s="3038">
        <v>360</v>
      </c>
      <c r="N561" s="3025" t="s">
        <v>257</v>
      </c>
      <c r="O561" s="3025" t="s">
        <v>15</v>
      </c>
      <c r="P561" s="3025" t="s">
        <v>17</v>
      </c>
      <c r="Q561" s="3025" t="s">
        <v>6041</v>
      </c>
      <c r="R561" s="3159"/>
      <c r="S561" s="3031"/>
      <c r="T561" s="3057"/>
      <c r="U561" s="2992"/>
      <c r="W561" s="2901"/>
      <c r="X561" s="2862"/>
    </row>
    <row r="562" spans="1:25" s="1592" customFormat="1" ht="72.5" hidden="1" x14ac:dyDescent="0.35">
      <c r="A562" s="2657">
        <v>44141</v>
      </c>
      <c r="B562" s="2877"/>
      <c r="C562" s="2956" t="s">
        <v>10328</v>
      </c>
      <c r="D562" s="2968" t="s">
        <v>11546</v>
      </c>
      <c r="E562" s="3027" t="s">
        <v>11547</v>
      </c>
      <c r="F562" s="3027"/>
      <c r="G562" s="3040"/>
      <c r="H562" s="2892"/>
      <c r="I562" s="2896" t="s">
        <v>11498</v>
      </c>
      <c r="J562" s="2428" t="s">
        <v>11382</v>
      </c>
      <c r="K562" s="3125" t="s">
        <v>15</v>
      </c>
      <c r="L562" s="3119" t="s">
        <v>972</v>
      </c>
      <c r="M562" s="2962">
        <v>100</v>
      </c>
      <c r="N562" s="2521" t="s">
        <v>11311</v>
      </c>
      <c r="O562" s="3027" t="s">
        <v>15</v>
      </c>
      <c r="P562" s="2521" t="s">
        <v>821</v>
      </c>
      <c r="Q562" s="3027" t="s">
        <v>11497</v>
      </c>
      <c r="R562" s="3027"/>
      <c r="S562" s="3031"/>
      <c r="T562" s="3057"/>
      <c r="U562" s="2992"/>
      <c r="W562" s="2901">
        <v>305</v>
      </c>
      <c r="X562" s="2862"/>
      <c r="Y562" s="1592">
        <v>305</v>
      </c>
    </row>
    <row r="563" spans="1:25" s="1592" customFormat="1" ht="101.5" hidden="1" x14ac:dyDescent="0.35">
      <c r="A563" s="2960">
        <v>44115</v>
      </c>
      <c r="B563" s="2877"/>
      <c r="C563" s="2960" t="s">
        <v>11450</v>
      </c>
      <c r="D563" s="2968" t="s">
        <v>11449</v>
      </c>
      <c r="E563" s="2956" t="s">
        <v>11496</v>
      </c>
      <c r="F563" s="3027"/>
      <c r="G563" s="2896" t="s">
        <v>11488</v>
      </c>
      <c r="H563" s="2892"/>
      <c r="I563" s="2960" t="s">
        <v>11498</v>
      </c>
      <c r="J563" s="2428" t="s">
        <v>11487</v>
      </c>
      <c r="K563" s="3125" t="s">
        <v>15</v>
      </c>
      <c r="L563" s="3119" t="s">
        <v>11486</v>
      </c>
      <c r="M563" s="2128">
        <v>230</v>
      </c>
      <c r="N563" s="3027" t="s">
        <v>11485</v>
      </c>
      <c r="O563" s="3027" t="s">
        <v>15</v>
      </c>
      <c r="P563" s="3027" t="s">
        <v>11335</v>
      </c>
      <c r="Q563" s="3027" t="s">
        <v>11183</v>
      </c>
      <c r="R563" s="3028"/>
      <c r="S563" s="3031"/>
      <c r="T563" s="3057"/>
      <c r="U563" s="2992"/>
      <c r="W563" s="2901"/>
      <c r="X563" s="2862"/>
    </row>
    <row r="564" spans="1:25" s="1592" customFormat="1" ht="29" hidden="1" x14ac:dyDescent="0.35">
      <c r="A564" s="2960">
        <v>44181</v>
      </c>
      <c r="B564" s="2877"/>
      <c r="C564" s="2956" t="s">
        <v>11710</v>
      </c>
      <c r="D564" s="2968" t="s">
        <v>11711</v>
      </c>
      <c r="E564" s="2956" t="s">
        <v>11692</v>
      </c>
      <c r="F564" s="3027"/>
      <c r="G564" s="2896" t="s">
        <v>11607</v>
      </c>
      <c r="H564" s="2892"/>
      <c r="I564" s="2960" t="s">
        <v>11498</v>
      </c>
      <c r="J564" s="2970" t="s">
        <v>11712</v>
      </c>
      <c r="K564" s="3125" t="s">
        <v>15</v>
      </c>
      <c r="L564" s="3119" t="s">
        <v>972</v>
      </c>
      <c r="M564" s="2962">
        <v>110</v>
      </c>
      <c r="N564" s="2521" t="s">
        <v>392</v>
      </c>
      <c r="O564" s="3027" t="s">
        <v>15</v>
      </c>
      <c r="P564" s="2521" t="s">
        <v>821</v>
      </c>
      <c r="Q564" s="3027" t="s">
        <v>8499</v>
      </c>
      <c r="R564" s="3027"/>
      <c r="S564" s="3031"/>
      <c r="T564" s="3057"/>
      <c r="U564" s="2992"/>
      <c r="W564" s="2901">
        <v>306</v>
      </c>
      <c r="X564" s="2862"/>
      <c r="Y564" s="1592">
        <v>306</v>
      </c>
    </row>
    <row r="565" spans="1:25" s="1592" customFormat="1" ht="58" hidden="1" x14ac:dyDescent="0.35">
      <c r="A565" s="2960">
        <v>44258</v>
      </c>
      <c r="B565" s="2877"/>
      <c r="C565" s="2956" t="s">
        <v>12260</v>
      </c>
      <c r="D565" s="2968" t="s">
        <v>12261</v>
      </c>
      <c r="E565" s="2969" t="s">
        <v>12262</v>
      </c>
      <c r="F565" s="3027"/>
      <c r="G565" s="2896" t="s">
        <v>11432</v>
      </c>
      <c r="H565" s="2889"/>
      <c r="I565" s="2960" t="s">
        <v>11498</v>
      </c>
      <c r="J565" s="2970" t="s">
        <v>12263</v>
      </c>
      <c r="K565" s="3125" t="s">
        <v>15</v>
      </c>
      <c r="L565" s="3119" t="s">
        <v>972</v>
      </c>
      <c r="M565" s="2962">
        <v>465</v>
      </c>
      <c r="N565" s="3027" t="s">
        <v>11311</v>
      </c>
      <c r="O565" s="3027" t="s">
        <v>15</v>
      </c>
      <c r="P565" s="3027" t="s">
        <v>821</v>
      </c>
      <c r="Q565" s="3027" t="s">
        <v>6041</v>
      </c>
      <c r="R565" s="3027"/>
      <c r="S565" s="3031"/>
      <c r="T565" s="3057"/>
      <c r="U565" s="2989"/>
      <c r="W565" s="2901">
        <v>307</v>
      </c>
      <c r="X565" s="2862"/>
      <c r="Y565" s="1592">
        <v>307</v>
      </c>
    </row>
    <row r="566" spans="1:25" s="1592" customFormat="1" ht="130.5" hidden="1" x14ac:dyDescent="0.35">
      <c r="A566" s="2960">
        <v>44117</v>
      </c>
      <c r="B566" s="2877"/>
      <c r="C566" s="2956" t="s">
        <v>11272</v>
      </c>
      <c r="D566" s="2951" t="s">
        <v>10933</v>
      </c>
      <c r="E566" s="2969" t="s">
        <v>11484</v>
      </c>
      <c r="F566" s="3027"/>
      <c r="G566" s="2979" t="s">
        <v>11477</v>
      </c>
      <c r="H566" s="3063"/>
      <c r="I566" s="2960" t="s">
        <v>11498</v>
      </c>
      <c r="J566" s="2428" t="s">
        <v>11380</v>
      </c>
      <c r="K566" s="3125" t="s">
        <v>15</v>
      </c>
      <c r="L566" s="3119" t="s">
        <v>11474</v>
      </c>
      <c r="M566" s="2962">
        <f>8.65*75*1.09</f>
        <v>707.13750000000005</v>
      </c>
      <c r="N566" s="3027" t="s">
        <v>11475</v>
      </c>
      <c r="O566" s="3027" t="s">
        <v>15</v>
      </c>
      <c r="P566" s="3027" t="s">
        <v>22</v>
      </c>
      <c r="Q566" s="3027" t="s">
        <v>11381</v>
      </c>
      <c r="R566" s="3027"/>
      <c r="S566" s="3031"/>
      <c r="T566" s="3057"/>
      <c r="U566" s="2992"/>
      <c r="W566" s="2901">
        <v>308</v>
      </c>
      <c r="X566" s="2862"/>
      <c r="Y566" s="1592">
        <v>308</v>
      </c>
    </row>
    <row r="567" spans="1:25" s="1592" customFormat="1" ht="66" hidden="1" x14ac:dyDescent="0.35">
      <c r="A567" s="2960">
        <v>44170</v>
      </c>
      <c r="B567" s="2877"/>
      <c r="C567" s="2956" t="s">
        <v>11650</v>
      </c>
      <c r="D567" s="2968" t="s">
        <v>11651</v>
      </c>
      <c r="E567" s="2956" t="s">
        <v>11638</v>
      </c>
      <c r="F567" s="3027"/>
      <c r="G567" s="2896" t="s">
        <v>14376</v>
      </c>
      <c r="H567" s="2892"/>
      <c r="I567" s="2960" t="s">
        <v>11498</v>
      </c>
      <c r="J567" s="2970" t="s">
        <v>11652</v>
      </c>
      <c r="K567" s="3125" t="s">
        <v>15</v>
      </c>
      <c r="L567" s="2954" t="s">
        <v>972</v>
      </c>
      <c r="M567" s="2962">
        <v>260</v>
      </c>
      <c r="N567" s="3027" t="s">
        <v>392</v>
      </c>
      <c r="O567" s="3027" t="s">
        <v>15</v>
      </c>
      <c r="P567" s="3027" t="s">
        <v>821</v>
      </c>
      <c r="Q567" s="3027" t="s">
        <v>11327</v>
      </c>
      <c r="R567" s="3027"/>
      <c r="S567" s="3031"/>
      <c r="T567" s="3057"/>
      <c r="U567" s="2992"/>
      <c r="W567" s="2901"/>
      <c r="X567" s="2862"/>
    </row>
    <row r="568" spans="1:25" s="1592" customFormat="1" ht="101.5" hidden="1" x14ac:dyDescent="0.35">
      <c r="A568" s="2960">
        <v>44232</v>
      </c>
      <c r="B568" s="2877"/>
      <c r="C568" s="2956" t="s">
        <v>12048</v>
      </c>
      <c r="D568" s="2968" t="s">
        <v>12046</v>
      </c>
      <c r="E568" s="2956" t="s">
        <v>12045</v>
      </c>
      <c r="F568" s="3027"/>
      <c r="G568" s="2896" t="s">
        <v>12049</v>
      </c>
      <c r="H568" s="2892"/>
      <c r="I568" s="2960" t="s">
        <v>12112</v>
      </c>
      <c r="J568" s="2970" t="s">
        <v>12047</v>
      </c>
      <c r="K568" s="3125">
        <v>0.45833333333333331</v>
      </c>
      <c r="L568" s="3119">
        <v>0.45833333333333331</v>
      </c>
      <c r="M568" s="2962">
        <f>30+24+6+48+25+15</f>
        <v>148</v>
      </c>
      <c r="N568" s="3027" t="s">
        <v>392</v>
      </c>
      <c r="O568" s="3027" t="s">
        <v>15</v>
      </c>
      <c r="P568" s="3027" t="s">
        <v>821</v>
      </c>
      <c r="Q568" s="3027" t="s">
        <v>2084</v>
      </c>
      <c r="R568" s="3027"/>
      <c r="S568" s="3031"/>
      <c r="T568" s="3057"/>
      <c r="U568" s="2992"/>
      <c r="W568" s="2901"/>
      <c r="X568" s="2862"/>
    </row>
    <row r="569" spans="1:25" s="1592" customFormat="1" ht="43.5" hidden="1" x14ac:dyDescent="0.35">
      <c r="A569" s="2960">
        <v>44185</v>
      </c>
      <c r="B569" s="2877"/>
      <c r="C569" s="2956" t="s">
        <v>11728</v>
      </c>
      <c r="D569" s="2968" t="s">
        <v>11726</v>
      </c>
      <c r="E569" s="2956" t="s">
        <v>11727</v>
      </c>
      <c r="F569" s="3027"/>
      <c r="G569" s="2896" t="s">
        <v>11517</v>
      </c>
      <c r="H569" s="2892"/>
      <c r="I569" s="2960" t="s">
        <v>11498</v>
      </c>
      <c r="J569" s="2970" t="s">
        <v>11282</v>
      </c>
      <c r="K569" s="3125" t="s">
        <v>15</v>
      </c>
      <c r="L569" s="2954" t="s">
        <v>972</v>
      </c>
      <c r="M569" s="2962">
        <v>360</v>
      </c>
      <c r="N569" s="3027" t="s">
        <v>392</v>
      </c>
      <c r="O569" s="3027" t="s">
        <v>15</v>
      </c>
      <c r="P569" s="3027" t="s">
        <v>821</v>
      </c>
      <c r="Q569" s="3027" t="s">
        <v>11327</v>
      </c>
      <c r="R569" s="3027"/>
      <c r="S569" s="3031"/>
      <c r="T569" s="3057"/>
      <c r="U569" s="2989"/>
      <c r="W569" s="2901"/>
      <c r="X569" s="2862"/>
    </row>
    <row r="570" spans="1:25" s="1592" customFormat="1" ht="58" hidden="1" x14ac:dyDescent="0.35">
      <c r="A570" s="2486">
        <v>44301</v>
      </c>
      <c r="B570" s="2596"/>
      <c r="C570" s="5" t="s">
        <v>12477</v>
      </c>
      <c r="D570" s="3032" t="s">
        <v>12478</v>
      </c>
      <c r="E570" s="3016" t="s">
        <v>12393</v>
      </c>
      <c r="F570" s="3029"/>
      <c r="G570" s="3040" t="s">
        <v>14320</v>
      </c>
      <c r="H570" s="2892"/>
      <c r="I570" s="2960" t="s">
        <v>2287</v>
      </c>
      <c r="J570" s="2722" t="s">
        <v>12479</v>
      </c>
      <c r="K570" s="6" t="s">
        <v>15</v>
      </c>
      <c r="L570" s="3117" t="s">
        <v>972</v>
      </c>
      <c r="M570" s="3020">
        <v>305</v>
      </c>
      <c r="N570" s="3016" t="s">
        <v>257</v>
      </c>
      <c r="O570" s="3016" t="s">
        <v>15</v>
      </c>
      <c r="P570" s="3016" t="s">
        <v>821</v>
      </c>
      <c r="Q570" s="3016" t="s">
        <v>12513</v>
      </c>
      <c r="R570" s="3027"/>
      <c r="S570" s="3031"/>
      <c r="T570" s="3057"/>
      <c r="U570" s="2992"/>
      <c r="W570" s="2901"/>
      <c r="X570" s="2862"/>
    </row>
    <row r="571" spans="1:25" s="1592" customFormat="1" ht="43.5" hidden="1" x14ac:dyDescent="0.35">
      <c r="A571" s="2657">
        <v>44164</v>
      </c>
      <c r="B571" s="2877">
        <v>22</v>
      </c>
      <c r="C571" s="2956" t="s">
        <v>11614</v>
      </c>
      <c r="D571" s="2968" t="s">
        <v>11615</v>
      </c>
      <c r="E571" s="3027" t="s">
        <v>11513</v>
      </c>
      <c r="F571" s="3029"/>
      <c r="G571" s="3040" t="s">
        <v>11539</v>
      </c>
      <c r="H571" s="2892"/>
      <c r="I571" s="2960" t="s">
        <v>2287</v>
      </c>
      <c r="J571" s="2428" t="s">
        <v>11616</v>
      </c>
      <c r="K571" s="3125">
        <v>0.33333333333333331</v>
      </c>
      <c r="L571" s="3119">
        <v>0.42222222222222222</v>
      </c>
      <c r="M571" s="2962">
        <v>150</v>
      </c>
      <c r="N571" s="2521" t="s">
        <v>392</v>
      </c>
      <c r="O571" s="3027" t="s">
        <v>11751</v>
      </c>
      <c r="P571" s="2521" t="s">
        <v>821</v>
      </c>
      <c r="Q571" s="3027" t="s">
        <v>11327</v>
      </c>
      <c r="R571" s="3027"/>
      <c r="S571" s="3031"/>
      <c r="T571" s="3057"/>
      <c r="U571" s="2989"/>
      <c r="W571" s="2901"/>
      <c r="X571" s="2862"/>
    </row>
    <row r="572" spans="1:25" s="1592" customFormat="1" ht="29" hidden="1" x14ac:dyDescent="0.35">
      <c r="A572" s="2960">
        <v>44185</v>
      </c>
      <c r="B572" s="2877"/>
      <c r="C572" s="2956" t="s">
        <v>11719</v>
      </c>
      <c r="D572" s="2968" t="s">
        <v>11720</v>
      </c>
      <c r="E572" s="2956" t="s">
        <v>11545</v>
      </c>
      <c r="F572" s="3029"/>
      <c r="G572" s="3040" t="s">
        <v>11420</v>
      </c>
      <c r="H572" s="2892"/>
      <c r="I572" s="2960" t="s">
        <v>2287</v>
      </c>
      <c r="J572" s="2970" t="s">
        <v>11721</v>
      </c>
      <c r="K572" s="3125" t="s">
        <v>15</v>
      </c>
      <c r="L572" s="3119" t="s">
        <v>972</v>
      </c>
      <c r="M572" s="2962">
        <v>136</v>
      </c>
      <c r="N572" s="2521" t="s">
        <v>392</v>
      </c>
      <c r="O572" s="3027" t="s">
        <v>15</v>
      </c>
      <c r="P572" s="2521" t="s">
        <v>821</v>
      </c>
      <c r="Q572" s="3027" t="s">
        <v>8499</v>
      </c>
      <c r="R572" s="3027"/>
      <c r="S572" s="3031"/>
      <c r="T572" s="3057"/>
      <c r="U572" s="2992"/>
      <c r="W572" s="2901"/>
      <c r="X572" s="2862"/>
    </row>
    <row r="573" spans="1:25" s="1592" customFormat="1" ht="58" hidden="1" x14ac:dyDescent="0.35">
      <c r="A573" s="3021">
        <v>44321</v>
      </c>
      <c r="B573" s="3121"/>
      <c r="C573" s="3015" t="s">
        <v>12380</v>
      </c>
      <c r="D573" s="3033" t="s">
        <v>12381</v>
      </c>
      <c r="E573" s="3024" t="s">
        <v>12816</v>
      </c>
      <c r="F573" s="3029"/>
      <c r="G573" s="3041" t="s">
        <v>11432</v>
      </c>
      <c r="H573" s="3041"/>
      <c r="I573" s="2960" t="s">
        <v>2287</v>
      </c>
      <c r="J573" s="3034" t="s">
        <v>12817</v>
      </c>
      <c r="K573" s="3122" t="s">
        <v>15</v>
      </c>
      <c r="L573" s="3122" t="s">
        <v>972</v>
      </c>
      <c r="M573" s="3123">
        <v>465</v>
      </c>
      <c r="N573" s="3015" t="s">
        <v>257</v>
      </c>
      <c r="O573" s="3030" t="s">
        <v>15</v>
      </c>
      <c r="P573" s="3015" t="s">
        <v>12323</v>
      </c>
      <c r="Q573" s="3015" t="s">
        <v>12818</v>
      </c>
      <c r="R573" s="3027"/>
      <c r="S573" s="3109"/>
      <c r="T573" s="3110"/>
      <c r="U573" s="2992"/>
      <c r="W573" s="2901"/>
      <c r="X573" s="2862"/>
    </row>
    <row r="574" spans="1:25" s="1592" customFormat="1" ht="116" hidden="1" x14ac:dyDescent="0.35">
      <c r="A574" s="2960">
        <v>44225</v>
      </c>
      <c r="B574" s="2877"/>
      <c r="C574" s="2956" t="s">
        <v>11977</v>
      </c>
      <c r="D574" s="2968" t="s">
        <v>11978</v>
      </c>
      <c r="E574" s="2956" t="s">
        <v>11979</v>
      </c>
      <c r="F574" s="3027"/>
      <c r="G574" s="2896" t="s">
        <v>11439</v>
      </c>
      <c r="H574" s="2889"/>
      <c r="I574" s="2960" t="s">
        <v>2287</v>
      </c>
      <c r="J574" s="2970" t="s">
        <v>11980</v>
      </c>
      <c r="K574" s="3125" t="s">
        <v>15</v>
      </c>
      <c r="L574" s="3119" t="s">
        <v>972</v>
      </c>
      <c r="M574" s="2962">
        <v>141</v>
      </c>
      <c r="N574" s="3027" t="s">
        <v>11311</v>
      </c>
      <c r="O574" s="3027" t="s">
        <v>15</v>
      </c>
      <c r="P574" s="3027" t="s">
        <v>821</v>
      </c>
      <c r="Q574" s="3027" t="s">
        <v>11327</v>
      </c>
      <c r="R574" s="3028"/>
      <c r="S574" s="3031"/>
      <c r="T574" s="3057"/>
      <c r="U574" s="2992"/>
      <c r="W574" s="2901"/>
      <c r="X574" s="2862"/>
    </row>
    <row r="575" spans="1:25" s="1592" customFormat="1" ht="38.5" hidden="1" x14ac:dyDescent="0.35">
      <c r="A575" s="2960">
        <v>44188</v>
      </c>
      <c r="B575" s="2877">
        <v>171</v>
      </c>
      <c r="C575" s="2956" t="s">
        <v>11294</v>
      </c>
      <c r="D575" s="2968" t="s">
        <v>11295</v>
      </c>
      <c r="E575" s="2956" t="s">
        <v>11757</v>
      </c>
      <c r="F575" s="3029"/>
      <c r="G575" s="3040" t="s">
        <v>11779</v>
      </c>
      <c r="H575" s="2892"/>
      <c r="I575" s="2960" t="s">
        <v>2287</v>
      </c>
      <c r="J575" s="2970" t="s">
        <v>11758</v>
      </c>
      <c r="K575" s="3125">
        <v>0.29166666666666669</v>
      </c>
      <c r="L575" s="2954">
        <v>0.57777777777777783</v>
      </c>
      <c r="M575" s="2962">
        <v>310</v>
      </c>
      <c r="N575" s="3027" t="s">
        <v>392</v>
      </c>
      <c r="O575" s="3027" t="s">
        <v>11817</v>
      </c>
      <c r="P575" s="3027" t="s">
        <v>17</v>
      </c>
      <c r="Q575" s="3027" t="s">
        <v>2084</v>
      </c>
      <c r="R575" s="3027"/>
      <c r="S575" s="3031"/>
      <c r="T575" s="3057"/>
      <c r="U575" s="2989"/>
      <c r="W575" s="2901"/>
      <c r="X575" s="2862"/>
    </row>
    <row r="576" spans="1:25" s="1592" customFormat="1" ht="58" hidden="1" x14ac:dyDescent="0.35">
      <c r="A576" s="2486">
        <v>44302</v>
      </c>
      <c r="B576" s="2596"/>
      <c r="C576" s="5" t="s">
        <v>12480</v>
      </c>
      <c r="D576" s="3032" t="s">
        <v>11953</v>
      </c>
      <c r="E576" s="5" t="s">
        <v>12482</v>
      </c>
      <c r="F576" s="3029"/>
      <c r="G576" s="3040" t="s">
        <v>12483</v>
      </c>
      <c r="H576" s="2892"/>
      <c r="I576" s="2960" t="s">
        <v>2287</v>
      </c>
      <c r="J576" s="2722" t="s">
        <v>12481</v>
      </c>
      <c r="K576" s="6" t="s">
        <v>15</v>
      </c>
      <c r="L576" s="3117" t="s">
        <v>972</v>
      </c>
      <c r="M576" s="3039">
        <v>159</v>
      </c>
      <c r="N576" s="3022" t="s">
        <v>8625</v>
      </c>
      <c r="O576" s="3016" t="s">
        <v>15</v>
      </c>
      <c r="P576" s="3016" t="s">
        <v>12323</v>
      </c>
      <c r="Q576" s="3016" t="s">
        <v>8499</v>
      </c>
      <c r="R576" s="3028"/>
      <c r="S576" s="3031"/>
      <c r="T576" s="3057"/>
      <c r="U576" s="2989"/>
      <c r="W576" s="2901"/>
      <c r="X576" s="2862"/>
    </row>
    <row r="577" spans="1:24" s="1592" customFormat="1" ht="58" hidden="1" x14ac:dyDescent="0.35">
      <c r="A577" s="2960">
        <v>44207</v>
      </c>
      <c r="B577" s="2877">
        <v>2</v>
      </c>
      <c r="C577" s="2956" t="s">
        <v>11857</v>
      </c>
      <c r="D577" s="2968" t="s">
        <v>11858</v>
      </c>
      <c r="E577" s="2956" t="s">
        <v>11859</v>
      </c>
      <c r="F577" s="3029"/>
      <c r="G577" s="3040" t="s">
        <v>11427</v>
      </c>
      <c r="H577" s="2892"/>
      <c r="I577" s="2960" t="s">
        <v>2287</v>
      </c>
      <c r="J577" s="2970" t="s">
        <v>11866</v>
      </c>
      <c r="K577" s="3125">
        <v>0.41666666666666669</v>
      </c>
      <c r="L577" s="3119">
        <v>0.47291666666666665</v>
      </c>
      <c r="M577" s="2962">
        <v>220</v>
      </c>
      <c r="N577" s="3027" t="s">
        <v>392</v>
      </c>
      <c r="O577" s="3027" t="s">
        <v>11346</v>
      </c>
      <c r="P577" s="3027" t="s">
        <v>17</v>
      </c>
      <c r="Q577" s="3027" t="s">
        <v>11327</v>
      </c>
      <c r="R577" s="3027"/>
      <c r="S577" s="3031"/>
      <c r="T577" s="3057"/>
      <c r="U577" s="2989"/>
      <c r="W577" s="2901"/>
      <c r="X577" s="2862"/>
    </row>
    <row r="578" spans="1:24" s="1592" customFormat="1" ht="87" hidden="1" x14ac:dyDescent="0.35">
      <c r="A578" s="2486">
        <v>44309</v>
      </c>
      <c r="B578" s="2596"/>
      <c r="C578" s="5" t="s">
        <v>12575</v>
      </c>
      <c r="D578" s="3032" t="s">
        <v>12576</v>
      </c>
      <c r="E578" s="3016" t="s">
        <v>12574</v>
      </c>
      <c r="F578" s="3029"/>
      <c r="G578" s="3040" t="s">
        <v>14312</v>
      </c>
      <c r="H578" s="2892"/>
      <c r="I578" s="2960" t="s">
        <v>2287</v>
      </c>
      <c r="J578" s="2722" t="s">
        <v>12577</v>
      </c>
      <c r="K578" s="6" t="s">
        <v>15</v>
      </c>
      <c r="L578" s="3117" t="s">
        <v>972</v>
      </c>
      <c r="M578" s="3020">
        <v>258</v>
      </c>
      <c r="N578" s="3016" t="s">
        <v>257</v>
      </c>
      <c r="O578" s="3016" t="s">
        <v>15</v>
      </c>
      <c r="P578" s="3016" t="s">
        <v>17</v>
      </c>
      <c r="Q578" s="3016" t="s">
        <v>12467</v>
      </c>
      <c r="R578" s="3027"/>
      <c r="S578" s="3031"/>
      <c r="T578" s="3057"/>
      <c r="U578" s="2989"/>
      <c r="W578" s="2901"/>
      <c r="X578" s="2862"/>
    </row>
    <row r="579" spans="1:24" s="1592" customFormat="1" ht="29" hidden="1" x14ac:dyDescent="0.35">
      <c r="A579" s="2960">
        <v>44216</v>
      </c>
      <c r="B579" s="2877"/>
      <c r="C579" s="2956" t="s">
        <v>11916</v>
      </c>
      <c r="D579" s="2968" t="s">
        <v>11917</v>
      </c>
      <c r="E579" s="2956" t="s">
        <v>11918</v>
      </c>
      <c r="F579" s="3027"/>
      <c r="G579" s="2896"/>
      <c r="H579" s="2889"/>
      <c r="I579" s="2960" t="s">
        <v>2287</v>
      </c>
      <c r="J579" s="2970" t="s">
        <v>11919</v>
      </c>
      <c r="K579" s="3125" t="s">
        <v>15</v>
      </c>
      <c r="L579" s="3119" t="s">
        <v>972</v>
      </c>
      <c r="M579" s="2962">
        <v>315</v>
      </c>
      <c r="N579" s="3027" t="s">
        <v>392</v>
      </c>
      <c r="O579" s="3027" t="s">
        <v>15</v>
      </c>
      <c r="P579" s="3027" t="s">
        <v>1960</v>
      </c>
      <c r="Q579" s="3027" t="s">
        <v>11183</v>
      </c>
      <c r="R579" s="3027"/>
      <c r="S579" s="3031"/>
      <c r="T579" s="3057"/>
      <c r="U579" s="2992"/>
      <c r="W579" s="2901"/>
      <c r="X579" s="2862"/>
    </row>
    <row r="580" spans="1:24" s="1592" customFormat="1" ht="43.5" hidden="1" x14ac:dyDescent="0.35">
      <c r="A580" s="2486">
        <v>44299</v>
      </c>
      <c r="B580" s="2596"/>
      <c r="C580" s="5" t="s">
        <v>12446</v>
      </c>
      <c r="D580" s="3032" t="s">
        <v>12445</v>
      </c>
      <c r="E580" s="3016" t="s">
        <v>12391</v>
      </c>
      <c r="F580" s="3029"/>
      <c r="G580" s="3040" t="s">
        <v>12390</v>
      </c>
      <c r="H580" s="2892"/>
      <c r="I580" s="2960" t="s">
        <v>2287</v>
      </c>
      <c r="J580" s="2722" t="s">
        <v>12447</v>
      </c>
      <c r="K580" s="6" t="s">
        <v>15</v>
      </c>
      <c r="L580" s="3117" t="s">
        <v>972</v>
      </c>
      <c r="M580" s="3020">
        <v>135</v>
      </c>
      <c r="N580" s="3016" t="s">
        <v>257</v>
      </c>
      <c r="O580" s="3016" t="s">
        <v>15</v>
      </c>
      <c r="P580" s="3016" t="s">
        <v>12323</v>
      </c>
      <c r="Q580" s="3016" t="s">
        <v>12565</v>
      </c>
      <c r="R580" s="3027"/>
      <c r="S580" s="3031"/>
      <c r="T580" s="3057"/>
      <c r="U580" s="2989"/>
      <c r="W580" s="2901"/>
      <c r="X580" s="2862"/>
    </row>
    <row r="581" spans="1:24" s="1592" customFormat="1" ht="58" hidden="1" x14ac:dyDescent="0.35">
      <c r="A581" s="2486">
        <v>44297</v>
      </c>
      <c r="B581" s="2596"/>
      <c r="C581" s="5" t="s">
        <v>12432</v>
      </c>
      <c r="D581" s="3032" t="s">
        <v>12433</v>
      </c>
      <c r="E581" s="3016" t="s">
        <v>12393</v>
      </c>
      <c r="F581" s="3029"/>
      <c r="G581" s="3040" t="s">
        <v>14320</v>
      </c>
      <c r="H581" s="2892"/>
      <c r="I581" s="2960" t="s">
        <v>2287</v>
      </c>
      <c r="J581" s="2722" t="s">
        <v>12434</v>
      </c>
      <c r="K581" s="6" t="s">
        <v>15</v>
      </c>
      <c r="L581" s="3117" t="s">
        <v>972</v>
      </c>
      <c r="M581" s="3020">
        <v>305</v>
      </c>
      <c r="N581" s="3020" t="s">
        <v>392</v>
      </c>
      <c r="O581" s="3016" t="s">
        <v>15</v>
      </c>
      <c r="P581" s="3016" t="s">
        <v>821</v>
      </c>
      <c r="Q581" s="3016" t="s">
        <v>12460</v>
      </c>
      <c r="R581" s="3027"/>
      <c r="S581" s="3031"/>
      <c r="T581" s="3057"/>
      <c r="U581" s="2992"/>
      <c r="W581" s="2901"/>
      <c r="X581" s="2862"/>
    </row>
    <row r="582" spans="1:24" s="1592" customFormat="1" ht="49.5" hidden="1" x14ac:dyDescent="0.35">
      <c r="A582" s="2960">
        <v>44175</v>
      </c>
      <c r="B582" s="2877">
        <v>68</v>
      </c>
      <c r="C582" s="2956" t="s">
        <v>11681</v>
      </c>
      <c r="D582" s="2968" t="s">
        <v>11682</v>
      </c>
      <c r="E582" s="2956" t="s">
        <v>11680</v>
      </c>
      <c r="F582" s="3029"/>
      <c r="G582" s="3040" t="s">
        <v>11777</v>
      </c>
      <c r="H582" s="2892"/>
      <c r="I582" s="2960" t="s">
        <v>2287</v>
      </c>
      <c r="J582" s="2970" t="s">
        <v>11683</v>
      </c>
      <c r="K582" s="3125">
        <v>0.41666666666666669</v>
      </c>
      <c r="L582" s="3119">
        <v>0.4993055555555555</v>
      </c>
      <c r="M582" s="2962">
        <v>310</v>
      </c>
      <c r="N582" s="2521" t="s">
        <v>392</v>
      </c>
      <c r="O582" s="3027" t="s">
        <v>11760</v>
      </c>
      <c r="P582" s="2521" t="s">
        <v>821</v>
      </c>
      <c r="Q582" s="3027" t="s">
        <v>11327</v>
      </c>
      <c r="R582" s="3027"/>
      <c r="S582" s="2963"/>
      <c r="T582" s="3057"/>
      <c r="U582" s="2992"/>
      <c r="W582" s="2901"/>
      <c r="X582" s="2862"/>
    </row>
    <row r="583" spans="1:24" s="1592" customFormat="1" ht="72.5" hidden="1" x14ac:dyDescent="0.35">
      <c r="A583" s="2486">
        <v>44310</v>
      </c>
      <c r="B583" s="3089"/>
      <c r="C583" s="5" t="s">
        <v>11892</v>
      </c>
      <c r="D583" s="3032" t="s">
        <v>11893</v>
      </c>
      <c r="E583" s="3016" t="s">
        <v>12598</v>
      </c>
      <c r="F583" s="3029"/>
      <c r="G583" s="3040" t="s">
        <v>12600</v>
      </c>
      <c r="H583" s="3041"/>
      <c r="I583" s="2960" t="s">
        <v>2287</v>
      </c>
      <c r="J583" s="2722" t="s">
        <v>12599</v>
      </c>
      <c r="K583" s="6" t="s">
        <v>15</v>
      </c>
      <c r="L583" s="3117" t="s">
        <v>972</v>
      </c>
      <c r="M583" s="3053">
        <v>315</v>
      </c>
      <c r="N583" s="3016" t="s">
        <v>257</v>
      </c>
      <c r="O583" s="3037" t="s">
        <v>15</v>
      </c>
      <c r="P583" s="3016" t="s">
        <v>12440</v>
      </c>
      <c r="Q583" s="3016" t="s">
        <v>12581</v>
      </c>
      <c r="R583" s="3027"/>
      <c r="S583" s="3054"/>
      <c r="T583" s="3066"/>
      <c r="U583" s="2992"/>
      <c r="W583" s="2901"/>
      <c r="X583" s="2862"/>
    </row>
    <row r="584" spans="1:24" s="1592" customFormat="1" ht="87" hidden="1" x14ac:dyDescent="0.35">
      <c r="A584" s="3047">
        <v>44322</v>
      </c>
      <c r="B584" s="3112"/>
      <c r="C584" s="3048" t="s">
        <v>12983</v>
      </c>
      <c r="D584" s="3044" t="s">
        <v>12984</v>
      </c>
      <c r="E584" s="3025" t="s">
        <v>12982</v>
      </c>
      <c r="F584" s="3025"/>
      <c r="G584" s="3050" t="s">
        <v>11432</v>
      </c>
      <c r="H584" s="3049"/>
      <c r="I584" s="2960" t="s">
        <v>2287</v>
      </c>
      <c r="J584" s="3046" t="s">
        <v>12985</v>
      </c>
      <c r="K584" s="3128" t="s">
        <v>15</v>
      </c>
      <c r="L584" s="3119">
        <v>0.75</v>
      </c>
      <c r="M584" s="3113">
        <v>465</v>
      </c>
      <c r="N584" s="3025" t="s">
        <v>257</v>
      </c>
      <c r="O584" s="3045" t="s">
        <v>15</v>
      </c>
      <c r="P584" s="3025" t="s">
        <v>216</v>
      </c>
      <c r="Q584" s="3025" t="s">
        <v>12412</v>
      </c>
      <c r="R584" s="3027"/>
      <c r="S584" s="3109"/>
      <c r="T584" s="3110"/>
      <c r="U584" s="2992"/>
      <c r="W584" s="2901"/>
      <c r="X584" s="2862"/>
    </row>
    <row r="585" spans="1:24" s="1592" customFormat="1" ht="58" hidden="1" x14ac:dyDescent="0.35">
      <c r="A585" s="2486">
        <v>44326</v>
      </c>
      <c r="B585" s="3107"/>
      <c r="C585" s="5" t="s">
        <v>12873</v>
      </c>
      <c r="D585" s="3032" t="s">
        <v>13346</v>
      </c>
      <c r="E585" s="2725" t="s">
        <v>13347</v>
      </c>
      <c r="F585" s="3029"/>
      <c r="G585" s="3040" t="s">
        <v>12005</v>
      </c>
      <c r="H585" s="3041"/>
      <c r="I585" s="2960" t="s">
        <v>2287</v>
      </c>
      <c r="J585" s="2722" t="s">
        <v>13345</v>
      </c>
      <c r="K585" s="3122" t="s">
        <v>15</v>
      </c>
      <c r="L585" s="3149" t="s">
        <v>972</v>
      </c>
      <c r="M585" s="3108">
        <v>140</v>
      </c>
      <c r="N585" s="3016" t="s">
        <v>257</v>
      </c>
      <c r="O585" s="3037" t="s">
        <v>15</v>
      </c>
      <c r="P585" s="3016" t="s">
        <v>1031</v>
      </c>
      <c r="Q585" s="3015" t="s">
        <v>12462</v>
      </c>
      <c r="R585" s="3027"/>
      <c r="S585" s="3109"/>
      <c r="T585" s="3110"/>
      <c r="U585" s="2992"/>
      <c r="W585" s="2901"/>
      <c r="X585" s="2862"/>
    </row>
    <row r="586" spans="1:24" s="1592" customFormat="1" ht="29" hidden="1" x14ac:dyDescent="0.35">
      <c r="A586" s="2960">
        <v>44195</v>
      </c>
      <c r="B586" s="2877">
        <v>14</v>
      </c>
      <c r="C586" s="2956" t="s">
        <v>11250</v>
      </c>
      <c r="D586" s="2968" t="s">
        <v>11806</v>
      </c>
      <c r="E586" s="2956" t="s">
        <v>11808</v>
      </c>
      <c r="F586" s="3029"/>
      <c r="G586" s="3040" t="s">
        <v>11423</v>
      </c>
      <c r="H586" s="2892"/>
      <c r="I586" s="2960" t="s">
        <v>2287</v>
      </c>
      <c r="J586" s="2428" t="s">
        <v>11807</v>
      </c>
      <c r="K586" s="3125">
        <v>0.29166666666666669</v>
      </c>
      <c r="L586" s="3119">
        <v>0.40416666666666662</v>
      </c>
      <c r="M586" s="2962">
        <v>109</v>
      </c>
      <c r="N586" s="3027" t="s">
        <v>257</v>
      </c>
      <c r="O586" s="3027" t="s">
        <v>11821</v>
      </c>
      <c r="P586" s="3027" t="s">
        <v>17</v>
      </c>
      <c r="Q586" s="3027" t="s">
        <v>10908</v>
      </c>
      <c r="R586" s="3027"/>
      <c r="S586" s="3031"/>
      <c r="T586" s="3057"/>
      <c r="U586" s="2992"/>
      <c r="W586" s="2901"/>
      <c r="X586" s="2862"/>
    </row>
    <row r="587" spans="1:24" s="1592" customFormat="1" ht="43.5" hidden="1" x14ac:dyDescent="0.35">
      <c r="A587" s="2960">
        <v>44195</v>
      </c>
      <c r="B587" s="2877">
        <v>199</v>
      </c>
      <c r="C587" s="2956" t="s">
        <v>11250</v>
      </c>
      <c r="D587" s="2968" t="s">
        <v>11818</v>
      </c>
      <c r="E587" s="2956" t="s">
        <v>11820</v>
      </c>
      <c r="F587" s="3029"/>
      <c r="G587" s="3040" t="s">
        <v>14331</v>
      </c>
      <c r="H587" s="2892"/>
      <c r="I587" s="2960" t="s">
        <v>2287</v>
      </c>
      <c r="J587" s="2428" t="s">
        <v>11819</v>
      </c>
      <c r="K587" s="3125">
        <v>0.375</v>
      </c>
      <c r="L587" s="3119">
        <v>0.49305555555555558</v>
      </c>
      <c r="M587" s="2962">
        <f>1.8*150+25</f>
        <v>295</v>
      </c>
      <c r="N587" s="3027" t="s">
        <v>392</v>
      </c>
      <c r="O587" s="3027" t="s">
        <v>11815</v>
      </c>
      <c r="P587" s="3027" t="s">
        <v>17</v>
      </c>
      <c r="Q587" s="3027" t="s">
        <v>11183</v>
      </c>
      <c r="R587" s="3027"/>
      <c r="S587" s="3031"/>
      <c r="T587" s="3057"/>
      <c r="U587" s="2989"/>
      <c r="W587" s="2901"/>
      <c r="X587" s="2862"/>
    </row>
    <row r="588" spans="1:24" s="1592" customFormat="1" ht="43.5" hidden="1" x14ac:dyDescent="0.35">
      <c r="A588" s="2960">
        <v>44282</v>
      </c>
      <c r="B588" s="2877">
        <v>14</v>
      </c>
      <c r="C588" s="2956" t="s">
        <v>12342</v>
      </c>
      <c r="D588" s="2968" t="s">
        <v>12343</v>
      </c>
      <c r="E588" s="2956" t="s">
        <v>12344</v>
      </c>
      <c r="F588" s="3029"/>
      <c r="G588" s="3040" t="s">
        <v>11517</v>
      </c>
      <c r="H588" s="2889"/>
      <c r="I588" s="2960" t="s">
        <v>2287</v>
      </c>
      <c r="J588" s="2970" t="s">
        <v>12345</v>
      </c>
      <c r="K588" s="3125">
        <v>0.4381944444444445</v>
      </c>
      <c r="L588" s="3119">
        <v>0.53333333333333333</v>
      </c>
      <c r="M588" s="2962">
        <f>150*1.5+15</f>
        <v>240</v>
      </c>
      <c r="N588" s="3027" t="s">
        <v>392</v>
      </c>
      <c r="O588" s="3027" t="s">
        <v>140</v>
      </c>
      <c r="P588" s="3027" t="s">
        <v>821</v>
      </c>
      <c r="Q588" s="3027" t="s">
        <v>11183</v>
      </c>
      <c r="R588" s="3027"/>
      <c r="S588" s="3031"/>
      <c r="T588" s="3057"/>
      <c r="U588" s="2992"/>
      <c r="W588" s="2901"/>
      <c r="X588" s="2862"/>
    </row>
    <row r="589" spans="1:24" s="1592" customFormat="1" ht="29" hidden="1" x14ac:dyDescent="0.35">
      <c r="A589" s="2960">
        <v>44244</v>
      </c>
      <c r="B589" s="2877"/>
      <c r="C589" s="2956" t="s">
        <v>11923</v>
      </c>
      <c r="D589" s="2968" t="s">
        <v>12141</v>
      </c>
      <c r="E589" s="2969" t="s">
        <v>12150</v>
      </c>
      <c r="F589" s="3027"/>
      <c r="G589" s="2979" t="s">
        <v>12142</v>
      </c>
      <c r="H589" s="2974"/>
      <c r="I589" s="2960" t="s">
        <v>2287</v>
      </c>
      <c r="J589" s="2970" t="s">
        <v>12143</v>
      </c>
      <c r="K589" s="3125" t="s">
        <v>15</v>
      </c>
      <c r="L589" s="3119" t="s">
        <v>12144</v>
      </c>
      <c r="M589" s="2962">
        <v>215</v>
      </c>
      <c r="N589" s="3027" t="s">
        <v>392</v>
      </c>
      <c r="O589" s="3027" t="s">
        <v>15</v>
      </c>
      <c r="P589" s="3027" t="s">
        <v>216</v>
      </c>
      <c r="Q589" s="3027" t="s">
        <v>11183</v>
      </c>
      <c r="R589" s="3027"/>
      <c r="S589" s="3031"/>
      <c r="T589" s="3057"/>
      <c r="U589" s="2992"/>
      <c r="W589" s="2901"/>
      <c r="X589" s="2862"/>
    </row>
    <row r="590" spans="1:24" s="1592" customFormat="1" ht="43.5" hidden="1" x14ac:dyDescent="0.35">
      <c r="A590" s="3047">
        <v>44305</v>
      </c>
      <c r="B590" s="2953"/>
      <c r="C590" s="3026" t="s">
        <v>12305</v>
      </c>
      <c r="D590" s="3044" t="s">
        <v>12306</v>
      </c>
      <c r="E590" s="3048" t="s">
        <v>12510</v>
      </c>
      <c r="F590" s="3025"/>
      <c r="G590" s="3050" t="s">
        <v>11432</v>
      </c>
      <c r="H590" s="3049"/>
      <c r="I590" s="2960" t="s">
        <v>2287</v>
      </c>
      <c r="J590" s="3046" t="s">
        <v>12511</v>
      </c>
      <c r="K590" s="3128" t="s">
        <v>15</v>
      </c>
      <c r="L590" s="3118" t="s">
        <v>972</v>
      </c>
      <c r="M590" s="3038">
        <v>360</v>
      </c>
      <c r="N590" s="3025" t="s">
        <v>257</v>
      </c>
      <c r="O590" s="3025" t="s">
        <v>15</v>
      </c>
      <c r="P590" s="3025" t="s">
        <v>17</v>
      </c>
      <c r="Q590" s="3025" t="s">
        <v>12426</v>
      </c>
      <c r="R590" s="3027"/>
      <c r="S590" s="3031"/>
      <c r="T590" s="3057"/>
      <c r="U590" s="2992"/>
      <c r="W590" s="2901"/>
      <c r="X590" s="2862"/>
    </row>
    <row r="591" spans="1:24" s="1592" customFormat="1" ht="29" hidden="1" x14ac:dyDescent="0.35">
      <c r="A591" s="2486">
        <v>44296</v>
      </c>
      <c r="B591" s="2596"/>
      <c r="C591" s="5" t="s">
        <v>12057</v>
      </c>
      <c r="D591" s="3032" t="s">
        <v>12058</v>
      </c>
      <c r="E591" s="5" t="s">
        <v>12429</v>
      </c>
      <c r="F591" s="3029"/>
      <c r="G591" s="3040" t="s">
        <v>12021</v>
      </c>
      <c r="H591" s="2892"/>
      <c r="I591" s="2960" t="s">
        <v>2287</v>
      </c>
      <c r="J591" s="2722" t="s">
        <v>12059</v>
      </c>
      <c r="K591" s="6" t="s">
        <v>15</v>
      </c>
      <c r="L591" s="3117" t="s">
        <v>972</v>
      </c>
      <c r="M591" s="3039">
        <v>155</v>
      </c>
      <c r="N591" s="3020" t="s">
        <v>11311</v>
      </c>
      <c r="O591" s="3016" t="s">
        <v>15</v>
      </c>
      <c r="P591" s="3016" t="s">
        <v>821</v>
      </c>
      <c r="Q591" s="3016" t="s">
        <v>11327</v>
      </c>
      <c r="R591" s="3027"/>
      <c r="S591" s="3031"/>
      <c r="T591" s="3057"/>
      <c r="U591" s="2992"/>
      <c r="W591" s="2901"/>
      <c r="X591" s="2862"/>
    </row>
    <row r="592" spans="1:24" s="1592" customFormat="1" ht="43.5" hidden="1" x14ac:dyDescent="0.35">
      <c r="A592" s="2486">
        <v>44298</v>
      </c>
      <c r="B592" s="2596"/>
      <c r="C592" s="5" t="s">
        <v>12060</v>
      </c>
      <c r="D592" s="3032" t="s">
        <v>12061</v>
      </c>
      <c r="E592" s="5" t="s">
        <v>12436</v>
      </c>
      <c r="F592" s="3029"/>
      <c r="G592" s="2892"/>
      <c r="H592" s="2892"/>
      <c r="I592" s="2960" t="s">
        <v>2287</v>
      </c>
      <c r="J592" s="2722" t="s">
        <v>12435</v>
      </c>
      <c r="K592" s="6" t="s">
        <v>15</v>
      </c>
      <c r="L592" s="3117" t="s">
        <v>972</v>
      </c>
      <c r="M592" s="3020">
        <v>150</v>
      </c>
      <c r="N592" s="3020" t="s">
        <v>257</v>
      </c>
      <c r="O592" s="3016" t="s">
        <v>15</v>
      </c>
      <c r="P592" s="3016" t="s">
        <v>12323</v>
      </c>
      <c r="Q592" s="3016" t="s">
        <v>11327</v>
      </c>
      <c r="R592" s="3027"/>
      <c r="S592" s="3031"/>
      <c r="T592" s="3057"/>
      <c r="U592" s="2989"/>
      <c r="W592" s="2901"/>
      <c r="X592" s="2862"/>
    </row>
    <row r="593" spans="1:24" s="1592" customFormat="1" ht="66" hidden="1" x14ac:dyDescent="0.35">
      <c r="A593" s="2960">
        <v>44171</v>
      </c>
      <c r="B593" s="2877">
        <v>23</v>
      </c>
      <c r="C593" s="2956" t="s">
        <v>11653</v>
      </c>
      <c r="D593" s="2968" t="s">
        <v>11654</v>
      </c>
      <c r="E593" s="2956" t="s">
        <v>11656</v>
      </c>
      <c r="F593" s="3029"/>
      <c r="G593" s="3040" t="s">
        <v>11778</v>
      </c>
      <c r="H593" s="2892"/>
      <c r="I593" s="2960" t="s">
        <v>2287</v>
      </c>
      <c r="J593" s="2970" t="s">
        <v>11655</v>
      </c>
      <c r="K593" s="3125">
        <v>0.29166666666666669</v>
      </c>
      <c r="L593" s="2954">
        <v>0.34236111111111112</v>
      </c>
      <c r="M593" s="2962">
        <v>110</v>
      </c>
      <c r="N593" s="3027" t="s">
        <v>392</v>
      </c>
      <c r="O593" s="3027" t="s">
        <v>11795</v>
      </c>
      <c r="P593" s="3027" t="s">
        <v>821</v>
      </c>
      <c r="Q593" s="3027" t="s">
        <v>11327</v>
      </c>
      <c r="R593" s="3027"/>
      <c r="S593" s="3031"/>
      <c r="T593" s="3057"/>
      <c r="U593" s="2992"/>
      <c r="W593" s="2901"/>
      <c r="X593" s="2862"/>
    </row>
    <row r="594" spans="1:24" s="1592" customFormat="1" ht="43.5" hidden="1" x14ac:dyDescent="0.35">
      <c r="A594" s="2960">
        <v>44210</v>
      </c>
      <c r="B594" s="2877">
        <v>10</v>
      </c>
      <c r="C594" s="2956" t="s">
        <v>11853</v>
      </c>
      <c r="D594" s="2968" t="s">
        <v>11854</v>
      </c>
      <c r="E594" s="2956" t="s">
        <v>11512</v>
      </c>
      <c r="F594" s="3029"/>
      <c r="G594" s="3040"/>
      <c r="H594" s="2892"/>
      <c r="I594" s="2960" t="s">
        <v>2287</v>
      </c>
      <c r="J594" s="2970" t="s">
        <v>11883</v>
      </c>
      <c r="K594" s="3125">
        <v>0.41666666666666669</v>
      </c>
      <c r="L594" s="3119">
        <v>0.62222222222222223</v>
      </c>
      <c r="M594" s="2962">
        <v>141</v>
      </c>
      <c r="N594" s="3027" t="s">
        <v>392</v>
      </c>
      <c r="O594" s="3027" t="s">
        <v>7067</v>
      </c>
      <c r="P594" s="3027" t="s">
        <v>821</v>
      </c>
      <c r="Q594" s="3027" t="s">
        <v>8499</v>
      </c>
      <c r="R594" s="3027"/>
      <c r="S594" s="3031"/>
      <c r="T594" s="3057"/>
      <c r="U594" s="2992"/>
      <c r="W594" s="2901"/>
      <c r="X594" s="2862"/>
    </row>
    <row r="595" spans="1:24" s="1592" customFormat="1" ht="58" hidden="1" x14ac:dyDescent="0.35">
      <c r="A595" s="2960">
        <v>44241</v>
      </c>
      <c r="B595" s="2877"/>
      <c r="C595" s="2969" t="s">
        <v>12119</v>
      </c>
      <c r="D595" s="2968" t="s">
        <v>12118</v>
      </c>
      <c r="E595" s="3027" t="s">
        <v>12117</v>
      </c>
      <c r="F595" s="3027"/>
      <c r="G595" s="2896" t="s">
        <v>12106</v>
      </c>
      <c r="H595" s="2892"/>
      <c r="I595" s="2960" t="s">
        <v>2287</v>
      </c>
      <c r="J595" s="2970" t="s">
        <v>11899</v>
      </c>
      <c r="K595" s="3125" t="s">
        <v>15</v>
      </c>
      <c r="L595" s="3119" t="s">
        <v>972</v>
      </c>
      <c r="M595" s="2820">
        <v>150</v>
      </c>
      <c r="N595" s="3027" t="s">
        <v>257</v>
      </c>
      <c r="O595" s="3027" t="s">
        <v>15</v>
      </c>
      <c r="P595" s="3027" t="s">
        <v>12070</v>
      </c>
      <c r="Q595" s="3027" t="s">
        <v>11244</v>
      </c>
      <c r="R595" s="3027"/>
      <c r="S595" s="3031"/>
      <c r="T595" s="3057"/>
      <c r="U595" s="2992"/>
      <c r="W595" s="2901"/>
      <c r="X595" s="2862"/>
    </row>
    <row r="596" spans="1:24" s="1592" customFormat="1" ht="58" hidden="1" x14ac:dyDescent="0.35">
      <c r="A596" s="3047">
        <v>44309</v>
      </c>
      <c r="B596" s="2953"/>
      <c r="C596" s="3026" t="s">
        <v>12584</v>
      </c>
      <c r="D596" s="3044" t="s">
        <v>12585</v>
      </c>
      <c r="E596" s="3026" t="s">
        <v>12586</v>
      </c>
      <c r="F596" s="3026"/>
      <c r="G596" s="3049" t="s">
        <v>11432</v>
      </c>
      <c r="H596" s="3049"/>
      <c r="I596" s="2960" t="s">
        <v>2287</v>
      </c>
      <c r="J596" s="3046" t="s">
        <v>12587</v>
      </c>
      <c r="K596" s="3128" t="s">
        <v>15</v>
      </c>
      <c r="L596" s="3118" t="s">
        <v>972</v>
      </c>
      <c r="M596" s="3039">
        <v>465</v>
      </c>
      <c r="N596" s="3025" t="s">
        <v>8625</v>
      </c>
      <c r="O596" s="3025" t="s">
        <v>15</v>
      </c>
      <c r="P596" s="3025" t="s">
        <v>12323</v>
      </c>
      <c r="Q596" s="3025" t="s">
        <v>8499</v>
      </c>
      <c r="R596" s="3027"/>
      <c r="S596" s="3031"/>
      <c r="T596" s="3057"/>
      <c r="U596" s="2991"/>
      <c r="W596" s="2901"/>
      <c r="X596" s="2862"/>
    </row>
    <row r="597" spans="1:24" s="1592" customFormat="1" ht="43.5" hidden="1" x14ac:dyDescent="0.35">
      <c r="A597" s="2486">
        <v>44292</v>
      </c>
      <c r="B597" s="2596"/>
      <c r="C597" s="5" t="s">
        <v>11937</v>
      </c>
      <c r="D597" s="3032" t="s">
        <v>11938</v>
      </c>
      <c r="E597" s="5" t="s">
        <v>12400</v>
      </c>
      <c r="F597" s="3029"/>
      <c r="G597" s="3040" t="s">
        <v>12004</v>
      </c>
      <c r="H597" s="2892"/>
      <c r="I597" s="2960" t="s">
        <v>2287</v>
      </c>
      <c r="J597" s="2722" t="s">
        <v>12401</v>
      </c>
      <c r="K597" s="6" t="s">
        <v>15</v>
      </c>
      <c r="L597" s="3117" t="s">
        <v>972</v>
      </c>
      <c r="M597" s="3039">
        <v>155</v>
      </c>
      <c r="N597" s="3016" t="s">
        <v>8625</v>
      </c>
      <c r="O597" s="3016" t="s">
        <v>15</v>
      </c>
      <c r="P597" s="3016" t="s">
        <v>12317</v>
      </c>
      <c r="Q597" s="3016" t="s">
        <v>12568</v>
      </c>
      <c r="R597" s="3027"/>
      <c r="S597" s="3031"/>
      <c r="T597" s="3057"/>
      <c r="U597" s="2989"/>
      <c r="W597" s="2901"/>
      <c r="X597" s="2862"/>
    </row>
    <row r="598" spans="1:24" s="1592" customFormat="1" ht="43.5" hidden="1" x14ac:dyDescent="0.35">
      <c r="A598" s="2960">
        <v>44293</v>
      </c>
      <c r="B598" s="2877"/>
      <c r="C598" s="2956" t="s">
        <v>12409</v>
      </c>
      <c r="D598" s="2968" t="s">
        <v>12408</v>
      </c>
      <c r="E598" s="2956" t="s">
        <v>12407</v>
      </c>
      <c r="F598" s="3027"/>
      <c r="G598" s="2896" t="s">
        <v>11432</v>
      </c>
      <c r="H598" s="2889"/>
      <c r="I598" s="2960" t="s">
        <v>2287</v>
      </c>
      <c r="J598" s="2970" t="s">
        <v>11282</v>
      </c>
      <c r="K598" s="3125" t="s">
        <v>15</v>
      </c>
      <c r="L598" s="3119" t="s">
        <v>3213</v>
      </c>
      <c r="M598" s="2962">
        <v>450</v>
      </c>
      <c r="N598" s="3027" t="s">
        <v>392</v>
      </c>
      <c r="O598" s="3027" t="s">
        <v>15</v>
      </c>
      <c r="P598" s="3027" t="s">
        <v>12317</v>
      </c>
      <c r="Q598" s="3027" t="s">
        <v>12410</v>
      </c>
      <c r="R598" s="3027"/>
      <c r="S598" s="3031"/>
      <c r="T598" s="3057"/>
      <c r="U598" s="2992"/>
      <c r="W598" s="2901"/>
      <c r="X598" s="2862"/>
    </row>
    <row r="599" spans="1:24" s="1592" customFormat="1" ht="72.5" hidden="1" x14ac:dyDescent="0.35">
      <c r="A599" s="2960">
        <v>44244</v>
      </c>
      <c r="B599" s="2877"/>
      <c r="C599" s="2956" t="s">
        <v>12134</v>
      </c>
      <c r="D599" s="2968" t="s">
        <v>12135</v>
      </c>
      <c r="E599" s="2969" t="s">
        <v>12137</v>
      </c>
      <c r="F599" s="3027"/>
      <c r="G599" s="2979" t="s">
        <v>11466</v>
      </c>
      <c r="H599" s="2974"/>
      <c r="I599" s="2960" t="s">
        <v>2287</v>
      </c>
      <c r="J599" s="2970" t="s">
        <v>12136</v>
      </c>
      <c r="K599" s="3125" t="s">
        <v>15</v>
      </c>
      <c r="L599" s="3119" t="s">
        <v>1594</v>
      </c>
      <c r="M599" s="2962">
        <v>155</v>
      </c>
      <c r="N599" s="3027" t="s">
        <v>392</v>
      </c>
      <c r="O599" s="3027" t="s">
        <v>15</v>
      </c>
      <c r="P599" s="3027" t="s">
        <v>821</v>
      </c>
      <c r="Q599" s="3027" t="s">
        <v>11327</v>
      </c>
      <c r="R599" s="3027"/>
      <c r="S599" s="3031"/>
      <c r="T599" s="3057"/>
      <c r="U599" s="2992"/>
      <c r="W599" s="2901"/>
      <c r="X599" s="2862"/>
    </row>
    <row r="600" spans="1:24" s="1592" customFormat="1" ht="43.5" hidden="1" x14ac:dyDescent="0.35">
      <c r="A600" s="2657">
        <v>44156</v>
      </c>
      <c r="B600" s="2877">
        <v>69</v>
      </c>
      <c r="C600" s="2956" t="s">
        <v>11583</v>
      </c>
      <c r="D600" s="2968" t="s">
        <v>11585</v>
      </c>
      <c r="E600" s="3027" t="s">
        <v>11586</v>
      </c>
      <c r="F600" s="3029"/>
      <c r="G600" s="3040" t="s">
        <v>11587</v>
      </c>
      <c r="H600" s="2892"/>
      <c r="I600" s="2960" t="s">
        <v>2287</v>
      </c>
      <c r="J600" s="2428" t="s">
        <v>11584</v>
      </c>
      <c r="K600" s="3125">
        <v>0.41666666666666669</v>
      </c>
      <c r="L600" s="3119">
        <v>0.51666666666666672</v>
      </c>
      <c r="M600" s="2962">
        <v>149</v>
      </c>
      <c r="N600" s="2521" t="s">
        <v>392</v>
      </c>
      <c r="O600" s="3027" t="s">
        <v>11760</v>
      </c>
      <c r="P600" s="2521" t="s">
        <v>821</v>
      </c>
      <c r="Q600" s="3027" t="s">
        <v>11327</v>
      </c>
      <c r="R600" s="3027"/>
      <c r="S600" s="3031"/>
      <c r="T600" s="3057"/>
      <c r="U600" s="2992"/>
      <c r="W600" s="2901"/>
      <c r="X600" s="2862"/>
    </row>
    <row r="601" spans="1:24" s="1592" customFormat="1" ht="43.5" hidden="1" x14ac:dyDescent="0.35">
      <c r="A601" s="2960">
        <v>44169</v>
      </c>
      <c r="B601" s="2877">
        <v>141</v>
      </c>
      <c r="C601" s="2956" t="s">
        <v>11561</v>
      </c>
      <c r="D601" s="2968" t="s">
        <v>11544</v>
      </c>
      <c r="E601" s="2956" t="s">
        <v>11639</v>
      </c>
      <c r="F601" s="3029"/>
      <c r="G601" s="3040" t="s">
        <v>11580</v>
      </c>
      <c r="H601" s="2892"/>
      <c r="I601" s="2960" t="s">
        <v>2287</v>
      </c>
      <c r="J601" s="2970" t="s">
        <v>11640</v>
      </c>
      <c r="K601" s="3125">
        <v>0.41666666666666669</v>
      </c>
      <c r="L601" s="3119">
        <v>0.75277777777777777</v>
      </c>
      <c r="M601" s="2962">
        <v>110</v>
      </c>
      <c r="N601" s="2521" t="s">
        <v>257</v>
      </c>
      <c r="O601" s="3027" t="s">
        <v>11760</v>
      </c>
      <c r="P601" s="2521" t="s">
        <v>821</v>
      </c>
      <c r="Q601" s="3027" t="s">
        <v>8499</v>
      </c>
      <c r="R601" s="3027"/>
      <c r="S601" s="3031"/>
      <c r="T601" s="3057"/>
      <c r="U601" s="2989"/>
      <c r="W601" s="2901"/>
      <c r="X601" s="2862"/>
    </row>
    <row r="602" spans="1:24" s="1592" customFormat="1" ht="72.5" hidden="1" x14ac:dyDescent="0.35">
      <c r="A602" s="2960">
        <v>44191</v>
      </c>
      <c r="B602" s="2877">
        <v>81</v>
      </c>
      <c r="C602" s="2956" t="s">
        <v>11768</v>
      </c>
      <c r="D602" s="2968" t="s">
        <v>11769</v>
      </c>
      <c r="E602" s="3027" t="s">
        <v>11770</v>
      </c>
      <c r="F602" s="3029"/>
      <c r="G602" s="3040" t="s">
        <v>14377</v>
      </c>
      <c r="H602" s="2892"/>
      <c r="I602" s="2960" t="s">
        <v>2287</v>
      </c>
      <c r="J602" s="2970" t="s">
        <v>11771</v>
      </c>
      <c r="K602" s="3125">
        <v>0.41666666666666669</v>
      </c>
      <c r="L602" s="2954">
        <v>0.70277777777777783</v>
      </c>
      <c r="M602" s="2962">
        <v>260</v>
      </c>
      <c r="N602" s="3027" t="s">
        <v>257</v>
      </c>
      <c r="O602" s="3027" t="s">
        <v>11760</v>
      </c>
      <c r="P602" s="3027" t="s">
        <v>17</v>
      </c>
      <c r="Q602" s="3027" t="s">
        <v>6041</v>
      </c>
      <c r="R602" s="3027"/>
      <c r="S602" s="3031"/>
      <c r="T602" s="3057"/>
      <c r="U602" s="2992"/>
      <c r="W602" s="2901"/>
      <c r="X602" s="2862"/>
    </row>
    <row r="603" spans="1:24" s="1592" customFormat="1" ht="58" hidden="1" x14ac:dyDescent="0.35">
      <c r="A603" s="2960">
        <v>44174</v>
      </c>
      <c r="B603" s="2877">
        <v>70</v>
      </c>
      <c r="C603" s="2960" t="s">
        <v>11677</v>
      </c>
      <c r="D603" s="2968" t="s">
        <v>11678</v>
      </c>
      <c r="E603" s="2956" t="s">
        <v>11679</v>
      </c>
      <c r="F603" s="3029"/>
      <c r="G603" s="3040" t="s">
        <v>11578</v>
      </c>
      <c r="H603" s="2892"/>
      <c r="I603" s="2960" t="s">
        <v>2287</v>
      </c>
      <c r="J603" s="2428" t="s">
        <v>11506</v>
      </c>
      <c r="K603" s="3125">
        <v>0.33333333333333331</v>
      </c>
      <c r="L603" s="3119">
        <v>0.53402777777777777</v>
      </c>
      <c r="M603" s="2962">
        <v>310</v>
      </c>
      <c r="N603" s="3027" t="s">
        <v>392</v>
      </c>
      <c r="O603" s="3027" t="s">
        <v>11761</v>
      </c>
      <c r="P603" s="3027" t="s">
        <v>821</v>
      </c>
      <c r="Q603" s="3027" t="s">
        <v>11327</v>
      </c>
      <c r="R603" s="3027"/>
      <c r="S603" s="3031"/>
      <c r="T603" s="3057"/>
      <c r="U603" s="2992"/>
      <c r="W603" s="2901"/>
      <c r="X603" s="2862"/>
    </row>
    <row r="604" spans="1:24" s="1592" customFormat="1" ht="145" hidden="1" x14ac:dyDescent="0.35">
      <c r="A604" s="3047">
        <v>44322</v>
      </c>
      <c r="B604" s="3112"/>
      <c r="C604" s="3048" t="s">
        <v>11874</v>
      </c>
      <c r="D604" s="3044" t="s">
        <v>11875</v>
      </c>
      <c r="E604" s="3025" t="s">
        <v>13024</v>
      </c>
      <c r="F604" s="3025"/>
      <c r="G604" s="3050" t="s">
        <v>11432</v>
      </c>
      <c r="H604" s="3049"/>
      <c r="I604" s="2960" t="s">
        <v>2287</v>
      </c>
      <c r="J604" s="3046" t="s">
        <v>13023</v>
      </c>
      <c r="K604" s="3128" t="s">
        <v>15</v>
      </c>
      <c r="L604" s="3128" t="s">
        <v>972</v>
      </c>
      <c r="M604" s="3113">
        <v>765</v>
      </c>
      <c r="N604" s="3025" t="s">
        <v>257</v>
      </c>
      <c r="O604" s="3045" t="s">
        <v>15</v>
      </c>
      <c r="P604" s="3025" t="s">
        <v>821</v>
      </c>
      <c r="Q604" s="3025" t="s">
        <v>12413</v>
      </c>
      <c r="R604" s="3027"/>
      <c r="S604" s="3109"/>
      <c r="T604" s="3110"/>
      <c r="U604" s="2989"/>
      <c r="W604" s="2901"/>
      <c r="X604" s="2862"/>
    </row>
    <row r="605" spans="1:24" s="1592" customFormat="1" ht="60.5" hidden="1" x14ac:dyDescent="0.35">
      <c r="A605" s="2960">
        <v>44244</v>
      </c>
      <c r="B605" s="2877"/>
      <c r="C605" s="2956" t="s">
        <v>12131</v>
      </c>
      <c r="D605" s="2968" t="s">
        <v>12132</v>
      </c>
      <c r="E605" s="2969" t="s">
        <v>11924</v>
      </c>
      <c r="F605" s="3027"/>
      <c r="G605" s="2979" t="s">
        <v>14378</v>
      </c>
      <c r="H605" s="3063"/>
      <c r="I605" s="2960" t="s">
        <v>2287</v>
      </c>
      <c r="J605" s="2970" t="s">
        <v>12133</v>
      </c>
      <c r="K605" s="3125" t="s">
        <v>15</v>
      </c>
      <c r="L605" s="3119" t="s">
        <v>972</v>
      </c>
      <c r="M605" s="2962">
        <v>215</v>
      </c>
      <c r="N605" s="3027" t="s">
        <v>392</v>
      </c>
      <c r="O605" s="3027" t="s">
        <v>15</v>
      </c>
      <c r="P605" s="3027" t="s">
        <v>821</v>
      </c>
      <c r="Q605" s="3027" t="s">
        <v>11327</v>
      </c>
      <c r="R605" s="3027"/>
      <c r="S605" s="3031"/>
      <c r="T605" s="3057"/>
      <c r="U605" s="2992"/>
      <c r="W605" s="2901"/>
      <c r="X605" s="2862"/>
    </row>
    <row r="606" spans="1:24" s="1592" customFormat="1" ht="43.5" hidden="1" x14ac:dyDescent="0.35">
      <c r="A606" s="2486">
        <v>44299</v>
      </c>
      <c r="B606" s="2596"/>
      <c r="C606" s="5" t="s">
        <v>12442</v>
      </c>
      <c r="D606" s="3032" t="s">
        <v>12443</v>
      </c>
      <c r="E606" s="3016" t="s">
        <v>12388</v>
      </c>
      <c r="F606" s="3029"/>
      <c r="G606" s="3040" t="s">
        <v>12394</v>
      </c>
      <c r="H606" s="2892"/>
      <c r="I606" s="2960" t="s">
        <v>2287</v>
      </c>
      <c r="J606" s="2722" t="s">
        <v>12444</v>
      </c>
      <c r="K606" s="6" t="s">
        <v>15</v>
      </c>
      <c r="L606" s="3117" t="s">
        <v>972</v>
      </c>
      <c r="M606" s="3020">
        <v>165</v>
      </c>
      <c r="N606" s="3016" t="s">
        <v>257</v>
      </c>
      <c r="O606" s="3016" t="s">
        <v>15</v>
      </c>
      <c r="P606" s="3016" t="s">
        <v>12323</v>
      </c>
      <c r="Q606" s="3016" t="s">
        <v>8499</v>
      </c>
      <c r="R606" s="3027"/>
      <c r="S606" s="3031"/>
      <c r="T606" s="3057"/>
      <c r="U606" s="2992"/>
      <c r="W606" s="2901"/>
      <c r="X606" s="2862"/>
    </row>
    <row r="607" spans="1:24" s="1592" customFormat="1" ht="43.5" hidden="1" x14ac:dyDescent="0.35">
      <c r="A607" s="2960">
        <v>44278</v>
      </c>
      <c r="B607" s="2877"/>
      <c r="C607" s="2956" t="s">
        <v>12346</v>
      </c>
      <c r="D607" s="2968" t="s">
        <v>12347</v>
      </c>
      <c r="E607" s="2956" t="s">
        <v>12322</v>
      </c>
      <c r="F607" s="3027"/>
      <c r="G607" s="2896"/>
      <c r="H607" s="2892"/>
      <c r="I607" s="2960" t="s">
        <v>2287</v>
      </c>
      <c r="J607" s="2970" t="s">
        <v>12348</v>
      </c>
      <c r="K607" s="3125" t="s">
        <v>15</v>
      </c>
      <c r="L607" s="3119" t="s">
        <v>972</v>
      </c>
      <c r="M607" s="2962">
        <v>195</v>
      </c>
      <c r="N607" s="3027" t="s">
        <v>392</v>
      </c>
      <c r="O607" s="3027" t="s">
        <v>15</v>
      </c>
      <c r="P607" s="3027" t="s">
        <v>821</v>
      </c>
      <c r="Q607" s="3027" t="s">
        <v>11244</v>
      </c>
      <c r="R607" s="3027"/>
      <c r="S607" s="3031"/>
      <c r="T607" s="3057"/>
      <c r="U607" s="2989"/>
      <c r="W607" s="2901"/>
      <c r="X607" s="2862"/>
    </row>
    <row r="608" spans="1:24" s="1592" customFormat="1" ht="130.5" hidden="1" x14ac:dyDescent="0.35">
      <c r="A608" s="2960">
        <v>44261</v>
      </c>
      <c r="B608" s="2877"/>
      <c r="C608" s="2956" t="s">
        <v>12279</v>
      </c>
      <c r="D608" s="2968" t="s">
        <v>12280</v>
      </c>
      <c r="E608" s="2969" t="s">
        <v>12281</v>
      </c>
      <c r="F608" s="3027"/>
      <c r="G608" s="2979" t="s">
        <v>11432</v>
      </c>
      <c r="H608" s="2972"/>
      <c r="I608" s="2960" t="s">
        <v>1870</v>
      </c>
      <c r="J608" s="2970" t="s">
        <v>12282</v>
      </c>
      <c r="K608" s="3125" t="s">
        <v>15</v>
      </c>
      <c r="L608" s="3119" t="s">
        <v>972</v>
      </c>
      <c r="M608" s="2962">
        <v>465</v>
      </c>
      <c r="N608" s="3027" t="s">
        <v>392</v>
      </c>
      <c r="O608" s="3027" t="s">
        <v>15</v>
      </c>
      <c r="P608" s="3027" t="s">
        <v>821</v>
      </c>
      <c r="Q608" s="3027" t="s">
        <v>11327</v>
      </c>
      <c r="R608" s="3027"/>
      <c r="S608" s="3031"/>
      <c r="T608" s="3057"/>
      <c r="U608" s="2992"/>
      <c r="W608" s="2901"/>
      <c r="X608" s="2862"/>
    </row>
    <row r="609" spans="1:25" s="1592" customFormat="1" ht="43.5" hidden="1" x14ac:dyDescent="0.35">
      <c r="A609" s="2960">
        <v>44202</v>
      </c>
      <c r="B609" s="2877">
        <v>4</v>
      </c>
      <c r="C609" s="2956" t="s">
        <v>11834</v>
      </c>
      <c r="D609" s="2968" t="s">
        <v>11835</v>
      </c>
      <c r="E609" s="2956" t="s">
        <v>11836</v>
      </c>
      <c r="F609" s="3029"/>
      <c r="G609" s="3040"/>
      <c r="H609" s="2892"/>
      <c r="I609" s="2960" t="s">
        <v>2287</v>
      </c>
      <c r="J609" s="2970" t="s">
        <v>11837</v>
      </c>
      <c r="K609" s="3125">
        <v>0.41666666666666669</v>
      </c>
      <c r="L609" s="3119">
        <v>0.4909722222222222</v>
      </c>
      <c r="M609" s="2962">
        <v>285</v>
      </c>
      <c r="N609" s="3027" t="s">
        <v>392</v>
      </c>
      <c r="O609" s="3027" t="s">
        <v>136</v>
      </c>
      <c r="P609" s="3027" t="s">
        <v>821</v>
      </c>
      <c r="Q609" s="3027" t="s">
        <v>8499</v>
      </c>
      <c r="R609" s="3027"/>
      <c r="S609" s="3031"/>
      <c r="T609" s="3057"/>
      <c r="U609" s="2992"/>
      <c r="W609" s="2901"/>
      <c r="X609" s="2862"/>
    </row>
    <row r="610" spans="1:25" s="1592" customFormat="1" ht="77" hidden="1" x14ac:dyDescent="0.35">
      <c r="A610" s="2960">
        <v>44175</v>
      </c>
      <c r="B610" s="2877"/>
      <c r="C610" s="2956" t="s">
        <v>11694</v>
      </c>
      <c r="D610" s="2968" t="s">
        <v>11693</v>
      </c>
      <c r="E610" s="3027" t="s">
        <v>11744</v>
      </c>
      <c r="F610" s="3029"/>
      <c r="G610" s="3040" t="s">
        <v>14379</v>
      </c>
      <c r="H610" s="2892"/>
      <c r="I610" s="2960" t="s">
        <v>2287</v>
      </c>
      <c r="J610" s="2970" t="s">
        <v>11695</v>
      </c>
      <c r="K610" s="3125" t="s">
        <v>15</v>
      </c>
      <c r="L610" s="3119" t="s">
        <v>972</v>
      </c>
      <c r="M610" s="2962">
        <v>260</v>
      </c>
      <c r="N610" s="2521" t="s">
        <v>392</v>
      </c>
      <c r="O610" s="3027"/>
      <c r="P610" s="2521" t="s">
        <v>821</v>
      </c>
      <c r="Q610" s="3027" t="s">
        <v>11327</v>
      </c>
      <c r="R610" s="3027"/>
      <c r="S610" s="3031"/>
      <c r="T610" s="3057"/>
      <c r="U610" s="2992"/>
      <c r="W610" s="2901"/>
      <c r="X610" s="2862"/>
    </row>
    <row r="611" spans="1:25" s="1592" customFormat="1" ht="58" hidden="1" x14ac:dyDescent="0.35">
      <c r="A611" s="2960">
        <v>44261</v>
      </c>
      <c r="B611" s="2877"/>
      <c r="C611" s="2956" t="s">
        <v>12275</v>
      </c>
      <c r="D611" s="2968" t="s">
        <v>12276</v>
      </c>
      <c r="E611" s="2969" t="s">
        <v>12277</v>
      </c>
      <c r="F611" s="3027"/>
      <c r="G611" s="2979" t="s">
        <v>11439</v>
      </c>
      <c r="H611" s="3063"/>
      <c r="I611" s="2960" t="s">
        <v>2287</v>
      </c>
      <c r="J611" s="2970" t="s">
        <v>12278</v>
      </c>
      <c r="K611" s="3125" t="s">
        <v>15</v>
      </c>
      <c r="L611" s="3119" t="s">
        <v>972</v>
      </c>
      <c r="M611" s="2962">
        <v>155</v>
      </c>
      <c r="N611" s="3027" t="s">
        <v>392</v>
      </c>
      <c r="O611" s="3027" t="s">
        <v>15</v>
      </c>
      <c r="P611" s="3027" t="s">
        <v>821</v>
      </c>
      <c r="Q611" s="3027" t="s">
        <v>11327</v>
      </c>
      <c r="R611" s="3027"/>
      <c r="S611" s="3031"/>
      <c r="T611" s="3057"/>
      <c r="U611" s="2989"/>
      <c r="W611" s="2901"/>
      <c r="X611" s="2862"/>
    </row>
    <row r="612" spans="1:25" s="1592" customFormat="1" ht="58" hidden="1" x14ac:dyDescent="0.35">
      <c r="A612" s="2960">
        <v>44186</v>
      </c>
      <c r="B612" s="2877">
        <v>150</v>
      </c>
      <c r="C612" s="2956" t="s">
        <v>11715</v>
      </c>
      <c r="D612" s="2875" t="s">
        <v>11716</v>
      </c>
      <c r="E612" s="2956" t="s">
        <v>11748</v>
      </c>
      <c r="F612" s="3029"/>
      <c r="G612" s="3040" t="s">
        <v>14307</v>
      </c>
      <c r="H612" s="2892"/>
      <c r="I612" s="2960" t="s">
        <v>2287</v>
      </c>
      <c r="J612" s="2428" t="s">
        <v>11734</v>
      </c>
      <c r="K612" s="3125">
        <v>0.45833333333333331</v>
      </c>
      <c r="L612" s="3119">
        <v>0.61736111111111103</v>
      </c>
      <c r="M612" s="2962">
        <v>285</v>
      </c>
      <c r="N612" s="3119" t="s">
        <v>11735</v>
      </c>
      <c r="O612" s="3027" t="s">
        <v>11755</v>
      </c>
      <c r="P612" s="3027" t="s">
        <v>11293</v>
      </c>
      <c r="Q612" s="3027" t="s">
        <v>11327</v>
      </c>
      <c r="R612" s="3027"/>
      <c r="S612" s="3031"/>
      <c r="T612" s="3057"/>
      <c r="U612" s="2992"/>
      <c r="W612" s="2901"/>
      <c r="X612" s="2862"/>
    </row>
    <row r="613" spans="1:25" s="1592" customFormat="1" ht="43.5" hidden="1" x14ac:dyDescent="0.35">
      <c r="A613" s="2657">
        <v>44156</v>
      </c>
      <c r="B613" s="2877">
        <v>170</v>
      </c>
      <c r="C613" s="2956" t="s">
        <v>11581</v>
      </c>
      <c r="D613" s="2968" t="s">
        <v>11510</v>
      </c>
      <c r="E613" s="3027" t="s">
        <v>11574</v>
      </c>
      <c r="F613" s="3029"/>
      <c r="G613" s="3040" t="s">
        <v>11426</v>
      </c>
      <c r="H613" s="2892"/>
      <c r="I613" s="2960" t="s">
        <v>2287</v>
      </c>
      <c r="J613" s="2428" t="s">
        <v>11582</v>
      </c>
      <c r="K613" s="3125">
        <v>0.45833333333333331</v>
      </c>
      <c r="L613" s="3119">
        <v>0.47638888888888892</v>
      </c>
      <c r="M613" s="2962">
        <v>110</v>
      </c>
      <c r="N613" s="2521" t="s">
        <v>392</v>
      </c>
      <c r="O613" s="3027" t="s">
        <v>11753</v>
      </c>
      <c r="P613" s="2521" t="s">
        <v>821</v>
      </c>
      <c r="Q613" s="3027" t="s">
        <v>11327</v>
      </c>
      <c r="R613" s="3027"/>
      <c r="S613" s="3031"/>
      <c r="T613" s="3057"/>
      <c r="U613" s="2992"/>
      <c r="W613" s="2901"/>
      <c r="X613" s="2862"/>
    </row>
    <row r="614" spans="1:25" s="1592" customFormat="1" ht="29" hidden="1" x14ac:dyDescent="0.35">
      <c r="A614" s="2960">
        <v>44220</v>
      </c>
      <c r="B614" s="2877"/>
      <c r="C614" s="2956" t="s">
        <v>11929</v>
      </c>
      <c r="D614" s="2968" t="s">
        <v>11930</v>
      </c>
      <c r="E614" s="2956" t="s">
        <v>11320</v>
      </c>
      <c r="F614" s="3029"/>
      <c r="G614" s="3040"/>
      <c r="H614" s="2892"/>
      <c r="I614" s="2960" t="s">
        <v>2287</v>
      </c>
      <c r="J614" s="2970" t="s">
        <v>11931</v>
      </c>
      <c r="K614" s="3125" t="s">
        <v>15</v>
      </c>
      <c r="L614" s="3119" t="s">
        <v>972</v>
      </c>
      <c r="M614" s="2962">
        <v>141</v>
      </c>
      <c r="N614" s="3027" t="s">
        <v>392</v>
      </c>
      <c r="O614" s="3027" t="s">
        <v>11553</v>
      </c>
      <c r="P614" s="3027" t="s">
        <v>821</v>
      </c>
      <c r="Q614" s="3027" t="s">
        <v>11327</v>
      </c>
      <c r="R614" s="3027"/>
      <c r="S614" s="3031"/>
      <c r="T614" s="3057"/>
      <c r="U614" s="2992"/>
      <c r="W614" s="2901">
        <v>309</v>
      </c>
      <c r="X614" s="2862"/>
      <c r="Y614" s="1592">
        <v>309</v>
      </c>
    </row>
    <row r="615" spans="1:25" s="1592" customFormat="1" ht="43.5" hidden="1" x14ac:dyDescent="0.35">
      <c r="A615" s="2960">
        <v>44176</v>
      </c>
      <c r="B615" s="2877">
        <v>240</v>
      </c>
      <c r="C615" s="2960" t="s">
        <v>11696</v>
      </c>
      <c r="D615" s="2968" t="s">
        <v>11697</v>
      </c>
      <c r="E615" s="2956" t="s">
        <v>11698</v>
      </c>
      <c r="F615" s="3029"/>
      <c r="G615" s="3040" t="s">
        <v>11603</v>
      </c>
      <c r="H615" s="2892"/>
      <c r="I615" s="2960" t="s">
        <v>2287</v>
      </c>
      <c r="J615" s="2428" t="s">
        <v>11699</v>
      </c>
      <c r="K615" s="3125">
        <v>0.375</v>
      </c>
      <c r="L615" s="3119">
        <v>0.44652777777777775</v>
      </c>
      <c r="M615" s="2962">
        <v>260</v>
      </c>
      <c r="N615" s="3027" t="s">
        <v>392</v>
      </c>
      <c r="O615" s="3027" t="s">
        <v>11816</v>
      </c>
      <c r="P615" s="3027" t="s">
        <v>821</v>
      </c>
      <c r="Q615" s="3027" t="s">
        <v>8499</v>
      </c>
      <c r="R615" s="3027"/>
      <c r="S615" s="3031"/>
      <c r="T615" s="3057"/>
      <c r="U615" s="2992"/>
      <c r="W615" s="2901">
        <v>310</v>
      </c>
      <c r="X615" s="2862"/>
      <c r="Y615" s="1592">
        <v>310</v>
      </c>
    </row>
    <row r="616" spans="1:25" s="1592" customFormat="1" ht="101.5" hidden="1" x14ac:dyDescent="0.35">
      <c r="A616" s="2960">
        <v>44216</v>
      </c>
      <c r="B616" s="2877"/>
      <c r="C616" s="2956" t="s">
        <v>11910</v>
      </c>
      <c r="D616" s="2968" t="s">
        <v>11911</v>
      </c>
      <c r="E616" s="2956" t="s">
        <v>11913</v>
      </c>
      <c r="F616" s="3027"/>
      <c r="G616" s="2896"/>
      <c r="H616" s="2889"/>
      <c r="I616" s="2960" t="s">
        <v>2287</v>
      </c>
      <c r="J616" s="2970" t="s">
        <v>11912</v>
      </c>
      <c r="K616" s="3125" t="s">
        <v>15</v>
      </c>
      <c r="L616" s="3119" t="s">
        <v>972</v>
      </c>
      <c r="M616" s="2962">
        <v>375</v>
      </c>
      <c r="N616" s="3027" t="s">
        <v>257</v>
      </c>
      <c r="O616" s="3027" t="s">
        <v>15</v>
      </c>
      <c r="P616" s="3027" t="s">
        <v>821</v>
      </c>
      <c r="Q616" s="3027" t="s">
        <v>11327</v>
      </c>
      <c r="R616" s="3027"/>
      <c r="S616" s="3031"/>
      <c r="T616" s="3057"/>
      <c r="U616" s="2989"/>
      <c r="W616" s="2901"/>
      <c r="X616" s="2862"/>
    </row>
    <row r="617" spans="1:25" s="1592" customFormat="1" ht="29" hidden="1" x14ac:dyDescent="0.35">
      <c r="A617" s="2486">
        <v>44315</v>
      </c>
      <c r="B617" s="3036"/>
      <c r="C617" s="5" t="s">
        <v>12686</v>
      </c>
      <c r="D617" s="3033" t="s">
        <v>12687</v>
      </c>
      <c r="E617" s="2725" t="s">
        <v>12611</v>
      </c>
      <c r="F617" s="3029"/>
      <c r="G617" s="3040" t="s">
        <v>12472</v>
      </c>
      <c r="H617" s="3041"/>
      <c r="I617" s="2960" t="s">
        <v>2287</v>
      </c>
      <c r="J617" s="2722" t="s">
        <v>12688</v>
      </c>
      <c r="K617" s="6" t="s">
        <v>15</v>
      </c>
      <c r="L617" s="3117" t="s">
        <v>972</v>
      </c>
      <c r="M617" s="3020">
        <v>110</v>
      </c>
      <c r="N617" s="3016" t="s">
        <v>257</v>
      </c>
      <c r="O617" s="3037" t="s">
        <v>15</v>
      </c>
      <c r="P617" s="3016" t="s">
        <v>12323</v>
      </c>
      <c r="Q617" s="3016" t="s">
        <v>12689</v>
      </c>
      <c r="R617" s="3027"/>
      <c r="S617" s="3031"/>
      <c r="T617" s="3057"/>
      <c r="U617" s="2989"/>
      <c r="W617" s="2901"/>
      <c r="X617" s="2862"/>
    </row>
    <row r="618" spans="1:25" s="1592" customFormat="1" ht="71.5" hidden="1" x14ac:dyDescent="0.35">
      <c r="A618" s="2960">
        <v>44323</v>
      </c>
      <c r="B618" s="3155">
        <v>29</v>
      </c>
      <c r="C618" s="2956" t="s">
        <v>13074</v>
      </c>
      <c r="D618" s="2968" t="s">
        <v>12684</v>
      </c>
      <c r="E618" s="2969" t="s">
        <v>13072</v>
      </c>
      <c r="F618" s="3027"/>
      <c r="G618" s="2896" t="s">
        <v>13073</v>
      </c>
      <c r="H618" s="3041"/>
      <c r="I618" s="2960" t="s">
        <v>2287</v>
      </c>
      <c r="J618" s="2970" t="s">
        <v>13075</v>
      </c>
      <c r="K618" s="3125">
        <v>0.3756944444444445</v>
      </c>
      <c r="L618" s="3119">
        <v>0.70486111111111116</v>
      </c>
      <c r="M618" s="3156">
        <v>135</v>
      </c>
      <c r="N618" s="3027" t="s">
        <v>257</v>
      </c>
      <c r="O618" s="2967" t="s">
        <v>119</v>
      </c>
      <c r="P618" s="3027" t="s">
        <v>22</v>
      </c>
      <c r="Q618" s="3027" t="s">
        <v>13076</v>
      </c>
      <c r="R618" s="3027"/>
      <c r="S618" s="3109"/>
      <c r="T618" s="3110"/>
      <c r="U618" s="2989"/>
      <c r="W618" s="2901"/>
      <c r="X618" s="2862"/>
    </row>
    <row r="619" spans="1:25" s="1592" customFormat="1" ht="43.5" hidden="1" x14ac:dyDescent="0.35">
      <c r="A619" s="2960">
        <v>44307</v>
      </c>
      <c r="B619" s="2877">
        <v>44</v>
      </c>
      <c r="C619" s="2956" t="s">
        <v>12543</v>
      </c>
      <c r="D619" s="2968" t="s">
        <v>12350</v>
      </c>
      <c r="E619" s="2969" t="s">
        <v>12542</v>
      </c>
      <c r="F619" s="3027"/>
      <c r="G619" s="2896" t="s">
        <v>11466</v>
      </c>
      <c r="H619" s="2892"/>
      <c r="I619" s="2960" t="s">
        <v>11864</v>
      </c>
      <c r="J619" s="2970" t="s">
        <v>12544</v>
      </c>
      <c r="K619" s="3125">
        <v>0.4604166666666667</v>
      </c>
      <c r="L619" s="3119">
        <v>0.57430555555555551</v>
      </c>
      <c r="M619" s="2962">
        <v>155</v>
      </c>
      <c r="N619" s="3027" t="s">
        <v>257</v>
      </c>
      <c r="O619" s="3027" t="s">
        <v>140</v>
      </c>
      <c r="P619" s="3027" t="s">
        <v>12323</v>
      </c>
      <c r="Q619" s="3027" t="s">
        <v>8499</v>
      </c>
      <c r="R619" s="3027"/>
      <c r="S619" s="3031"/>
      <c r="T619" s="3057"/>
      <c r="U619" s="2989"/>
      <c r="W619" s="2901"/>
      <c r="X619" s="2862"/>
    </row>
    <row r="620" spans="1:25" s="1592" customFormat="1" ht="29" hidden="1" x14ac:dyDescent="0.35">
      <c r="A620" s="2960">
        <v>44186</v>
      </c>
      <c r="B620" s="2877">
        <v>18</v>
      </c>
      <c r="C620" s="2956" t="s">
        <v>11731</v>
      </c>
      <c r="D620" s="2968" t="s">
        <v>11732</v>
      </c>
      <c r="E620" s="2956" t="s">
        <v>11702</v>
      </c>
      <c r="F620" s="3029"/>
      <c r="G620" s="3040" t="s">
        <v>11608</v>
      </c>
      <c r="H620" s="2892"/>
      <c r="I620" s="2960" t="s">
        <v>2287</v>
      </c>
      <c r="J620" s="2428" t="s">
        <v>11733</v>
      </c>
      <c r="K620" s="3125">
        <v>0.4375</v>
      </c>
      <c r="L620" s="3119">
        <v>0.53472222222222221</v>
      </c>
      <c r="M620" s="2962">
        <v>210</v>
      </c>
      <c r="N620" s="3027" t="s">
        <v>392</v>
      </c>
      <c r="O620" s="3027" t="s">
        <v>140</v>
      </c>
      <c r="P620" s="3027" t="s">
        <v>821</v>
      </c>
      <c r="Q620" s="3027" t="s">
        <v>11327</v>
      </c>
      <c r="R620" s="3027"/>
      <c r="S620" s="3031"/>
      <c r="T620" s="3057"/>
      <c r="U620" s="2992"/>
      <c r="W620" s="2901"/>
      <c r="X620" s="2862"/>
    </row>
    <row r="621" spans="1:25" s="1592" customFormat="1" ht="72.5" hidden="1" x14ac:dyDescent="0.35">
      <c r="A621" s="2960">
        <v>44231</v>
      </c>
      <c r="B621" s="2877"/>
      <c r="C621" s="2956" t="s">
        <v>12031</v>
      </c>
      <c r="D621" s="2968" t="s">
        <v>11985</v>
      </c>
      <c r="E621" s="2956" t="s">
        <v>12036</v>
      </c>
      <c r="F621" s="3027"/>
      <c r="G621" s="2896" t="s">
        <v>11432</v>
      </c>
      <c r="H621" s="2889"/>
      <c r="I621" s="2960" t="s">
        <v>2287</v>
      </c>
      <c r="J621" s="2970" t="s">
        <v>11986</v>
      </c>
      <c r="K621" s="3125">
        <v>0.45833333333333331</v>
      </c>
      <c r="L621" s="3119">
        <v>0.45833333333333331</v>
      </c>
      <c r="M621" s="2962">
        <v>615</v>
      </c>
      <c r="N621" s="3027" t="s">
        <v>392</v>
      </c>
      <c r="O621" s="3027" t="s">
        <v>15</v>
      </c>
      <c r="P621" s="3027" t="s">
        <v>821</v>
      </c>
      <c r="Q621" s="3027" t="s">
        <v>2084</v>
      </c>
      <c r="R621" s="3027"/>
      <c r="S621" s="3031"/>
      <c r="T621" s="3057"/>
      <c r="U621" s="2992"/>
      <c r="W621" s="2901">
        <v>311</v>
      </c>
      <c r="X621" s="2862"/>
      <c r="Y621" s="1592">
        <v>311</v>
      </c>
    </row>
    <row r="622" spans="1:25" s="1592" customFormat="1" ht="58" hidden="1" x14ac:dyDescent="0.35">
      <c r="A622" s="2960">
        <v>44231</v>
      </c>
      <c r="B622" s="2997"/>
      <c r="C622" s="2956" t="s">
        <v>12031</v>
      </c>
      <c r="D622" s="2951" t="s">
        <v>11985</v>
      </c>
      <c r="E622" s="2956" t="s">
        <v>12035</v>
      </c>
      <c r="F622" s="2956"/>
      <c r="G622" s="2889" t="s">
        <v>12034</v>
      </c>
      <c r="H622" s="2889"/>
      <c r="I622" s="2960" t="s">
        <v>2287</v>
      </c>
      <c r="J622" s="2970" t="s">
        <v>11986</v>
      </c>
      <c r="K622" s="3125">
        <v>0.45833333333333331</v>
      </c>
      <c r="L622" s="3125">
        <v>0.45833333333333331</v>
      </c>
      <c r="M622" s="2128">
        <v>275</v>
      </c>
      <c r="N622" s="2956" t="s">
        <v>392</v>
      </c>
      <c r="O622" s="2956" t="s">
        <v>15</v>
      </c>
      <c r="P622" s="2956" t="s">
        <v>821</v>
      </c>
      <c r="Q622" s="2956" t="s">
        <v>8499</v>
      </c>
      <c r="R622" s="2956"/>
      <c r="S622" s="3031"/>
      <c r="T622" s="3057"/>
      <c r="U622" s="2992"/>
      <c r="W622" s="2901">
        <v>312</v>
      </c>
      <c r="X622" s="2862"/>
      <c r="Y622" s="1592">
        <v>312</v>
      </c>
    </row>
    <row r="623" spans="1:25" s="1592" customFormat="1" ht="58" hidden="1" x14ac:dyDescent="0.35">
      <c r="A623" s="2960">
        <v>44231</v>
      </c>
      <c r="B623" s="2997"/>
      <c r="C623" s="2956" t="s">
        <v>12031</v>
      </c>
      <c r="D623" s="2951" t="s">
        <v>11985</v>
      </c>
      <c r="E623" s="2956" t="s">
        <v>12037</v>
      </c>
      <c r="F623" s="2956"/>
      <c r="G623" s="2889" t="s">
        <v>12038</v>
      </c>
      <c r="H623" s="2889"/>
      <c r="I623" s="2960" t="s">
        <v>2287</v>
      </c>
      <c r="J623" s="2970" t="s">
        <v>11986</v>
      </c>
      <c r="K623" s="3125" t="s">
        <v>15</v>
      </c>
      <c r="L623" s="3125" t="s">
        <v>972</v>
      </c>
      <c r="M623" s="2128">
        <f>3.6*100+15</f>
        <v>375</v>
      </c>
      <c r="N623" s="2956" t="s">
        <v>392</v>
      </c>
      <c r="O623" s="2956" t="s">
        <v>15</v>
      </c>
      <c r="P623" s="2956" t="s">
        <v>821</v>
      </c>
      <c r="Q623" s="2956" t="s">
        <v>2084</v>
      </c>
      <c r="R623" s="2956"/>
      <c r="S623" s="3031"/>
      <c r="T623" s="3057"/>
      <c r="U623" s="2989"/>
      <c r="W623" s="2901">
        <v>313</v>
      </c>
      <c r="X623" s="2862"/>
      <c r="Y623" s="1592">
        <v>313</v>
      </c>
    </row>
    <row r="624" spans="1:25" s="1592" customFormat="1" ht="58" hidden="1" x14ac:dyDescent="0.35">
      <c r="A624" s="2960">
        <v>44231</v>
      </c>
      <c r="B624" s="2877"/>
      <c r="C624" s="2956" t="s">
        <v>12031</v>
      </c>
      <c r="D624" s="2968" t="s">
        <v>11985</v>
      </c>
      <c r="E624" s="2956" t="s">
        <v>12032</v>
      </c>
      <c r="F624" s="3027"/>
      <c r="G624" s="2896" t="s">
        <v>11432</v>
      </c>
      <c r="H624" s="2889"/>
      <c r="I624" s="2960" t="s">
        <v>2287</v>
      </c>
      <c r="J624" s="2970" t="s">
        <v>12033</v>
      </c>
      <c r="K624" s="3125" t="s">
        <v>15</v>
      </c>
      <c r="L624" s="3119" t="s">
        <v>972</v>
      </c>
      <c r="M624" s="2962">
        <v>465</v>
      </c>
      <c r="N624" s="3027" t="s">
        <v>392</v>
      </c>
      <c r="O624" s="3027" t="s">
        <v>15</v>
      </c>
      <c r="P624" s="3027" t="s">
        <v>821</v>
      </c>
      <c r="Q624" s="3027" t="s">
        <v>8499</v>
      </c>
      <c r="R624" s="3027"/>
      <c r="S624" s="3031"/>
      <c r="T624" s="3057"/>
      <c r="U624" s="2989"/>
      <c r="W624" s="2901"/>
      <c r="X624" s="2862"/>
    </row>
    <row r="625" spans="1:25" s="1592" customFormat="1" ht="43.5" hidden="1" x14ac:dyDescent="0.35">
      <c r="A625" s="3021">
        <v>44314</v>
      </c>
      <c r="B625" s="3036"/>
      <c r="C625" s="3015" t="s">
        <v>12645</v>
      </c>
      <c r="D625" s="3032" t="s">
        <v>12646</v>
      </c>
      <c r="E625" s="3016" t="s">
        <v>12391</v>
      </c>
      <c r="F625" s="3029"/>
      <c r="G625" s="3040" t="s">
        <v>12390</v>
      </c>
      <c r="H625" s="3041"/>
      <c r="I625" s="2960" t="s">
        <v>2287</v>
      </c>
      <c r="J625" s="3034" t="s">
        <v>12647</v>
      </c>
      <c r="K625" s="3122" t="s">
        <v>15</v>
      </c>
      <c r="L625" s="3117" t="s">
        <v>972</v>
      </c>
      <c r="M625" s="3020">
        <v>135</v>
      </c>
      <c r="N625" s="3016" t="s">
        <v>257</v>
      </c>
      <c r="O625" s="3037" t="s">
        <v>15</v>
      </c>
      <c r="P625" s="3016" t="s">
        <v>12323</v>
      </c>
      <c r="Q625" s="3016" t="s">
        <v>12648</v>
      </c>
      <c r="R625" s="3027"/>
      <c r="S625" s="3031"/>
      <c r="T625" s="3051"/>
      <c r="U625" s="2992"/>
      <c r="W625" s="2901"/>
      <c r="X625" s="2862"/>
    </row>
    <row r="626" spans="1:25" s="1592" customFormat="1" ht="29" hidden="1" x14ac:dyDescent="0.35">
      <c r="A626" s="2960">
        <v>44195</v>
      </c>
      <c r="B626" s="2877">
        <v>266</v>
      </c>
      <c r="C626" s="2956" t="s">
        <v>11797</v>
      </c>
      <c r="D626" s="2968" t="s">
        <v>11798</v>
      </c>
      <c r="E626" s="2956" t="s">
        <v>11799</v>
      </c>
      <c r="F626" s="3029"/>
      <c r="G626" s="3040" t="s">
        <v>11465</v>
      </c>
      <c r="H626" s="2892"/>
      <c r="I626" s="2960" t="s">
        <v>2287</v>
      </c>
      <c r="J626" s="2428" t="s">
        <v>11804</v>
      </c>
      <c r="K626" s="3125">
        <v>0.45833333333333331</v>
      </c>
      <c r="L626" s="3119">
        <v>0.65138888888888891</v>
      </c>
      <c r="M626" s="2962">
        <f>149*1.4+90*1.4+20</f>
        <v>354.59999999999997</v>
      </c>
      <c r="N626" s="3027" t="s">
        <v>392</v>
      </c>
      <c r="O626" s="3027" t="s">
        <v>11814</v>
      </c>
      <c r="P626" s="3027" t="s">
        <v>821</v>
      </c>
      <c r="Q626" s="3027" t="s">
        <v>11244</v>
      </c>
      <c r="R626" s="3027"/>
      <c r="S626" s="3031"/>
      <c r="T626" s="3057"/>
      <c r="U626" s="2992"/>
      <c r="W626" s="2901">
        <v>314</v>
      </c>
      <c r="X626" s="2862"/>
      <c r="Y626" s="1592">
        <v>314</v>
      </c>
    </row>
    <row r="627" spans="1:25" s="1592" customFormat="1" ht="58" hidden="1" x14ac:dyDescent="0.35">
      <c r="A627" s="2960">
        <v>44229</v>
      </c>
      <c r="B627" s="2877"/>
      <c r="C627" s="2956" t="s">
        <v>11915</v>
      </c>
      <c r="D627" s="2968" t="s">
        <v>12008</v>
      </c>
      <c r="E627" s="2956" t="s">
        <v>12006</v>
      </c>
      <c r="F627" s="3027"/>
      <c r="G627" s="2896" t="s">
        <v>11445</v>
      </c>
      <c r="H627" s="2892"/>
      <c r="I627" s="2960" t="s">
        <v>2287</v>
      </c>
      <c r="J627" s="2970" t="s">
        <v>12007</v>
      </c>
      <c r="K627" s="3125" t="s">
        <v>15</v>
      </c>
      <c r="L627" s="2988" t="s">
        <v>8278</v>
      </c>
      <c r="M627" s="2962">
        <v>195</v>
      </c>
      <c r="N627" s="3027" t="s">
        <v>257</v>
      </c>
      <c r="O627" s="3027" t="s">
        <v>15</v>
      </c>
      <c r="P627" s="3027" t="s">
        <v>17</v>
      </c>
      <c r="Q627" s="3027" t="s">
        <v>2084</v>
      </c>
      <c r="R627" s="3027"/>
      <c r="S627" s="3031"/>
      <c r="T627" s="3057"/>
      <c r="U627" s="2989"/>
      <c r="W627" s="2901">
        <v>315</v>
      </c>
      <c r="X627" s="2862"/>
      <c r="Y627" s="1592">
        <v>315</v>
      </c>
    </row>
    <row r="628" spans="1:25" s="1592" customFormat="1" ht="43.5" hidden="1" x14ac:dyDescent="0.35">
      <c r="A628" s="2486">
        <v>44307</v>
      </c>
      <c r="B628" s="2596"/>
      <c r="C628" s="5" t="s">
        <v>12545</v>
      </c>
      <c r="D628" s="3032" t="s">
        <v>12546</v>
      </c>
      <c r="E628" s="2725" t="s">
        <v>12548</v>
      </c>
      <c r="F628" s="3029"/>
      <c r="G628" s="3040" t="s">
        <v>12450</v>
      </c>
      <c r="H628" s="2892"/>
      <c r="I628" s="2960" t="s">
        <v>2287</v>
      </c>
      <c r="J628" s="2722" t="s">
        <v>12547</v>
      </c>
      <c r="K628" s="6" t="s">
        <v>15</v>
      </c>
      <c r="L628" s="3117" t="s">
        <v>972</v>
      </c>
      <c r="M628" s="3020">
        <v>95</v>
      </c>
      <c r="N628" s="3016" t="s">
        <v>257</v>
      </c>
      <c r="O628" s="3016" t="s">
        <v>15</v>
      </c>
      <c r="P628" s="3016" t="s">
        <v>12323</v>
      </c>
      <c r="Q628" s="3016" t="s">
        <v>12581</v>
      </c>
      <c r="R628" s="3027"/>
      <c r="S628" s="3031"/>
      <c r="T628" s="3057"/>
      <c r="U628" s="2989"/>
      <c r="W628" s="2901">
        <v>316</v>
      </c>
      <c r="X628" s="2862"/>
      <c r="Y628" s="1592">
        <v>316</v>
      </c>
    </row>
    <row r="629" spans="1:25" s="1592" customFormat="1" ht="72.5" hidden="1" x14ac:dyDescent="0.35">
      <c r="A629" s="2960">
        <v>44191</v>
      </c>
      <c r="B629" s="2877">
        <v>23</v>
      </c>
      <c r="C629" s="2956" t="s">
        <v>11729</v>
      </c>
      <c r="D629" s="2968" t="s">
        <v>11730</v>
      </c>
      <c r="E629" s="3027" t="s">
        <v>11772</v>
      </c>
      <c r="F629" s="3029"/>
      <c r="G629" s="3040" t="s">
        <v>11781</v>
      </c>
      <c r="H629" s="2892"/>
      <c r="I629" s="2960" t="s">
        <v>2287</v>
      </c>
      <c r="J629" s="2970" t="s">
        <v>11773</v>
      </c>
      <c r="K629" s="3125">
        <v>0.41736111111111113</v>
      </c>
      <c r="L629" s="2954">
        <v>0.60416666666666663</v>
      </c>
      <c r="M629" s="2962">
        <v>310</v>
      </c>
      <c r="N629" s="3027" t="s">
        <v>257</v>
      </c>
      <c r="O629" s="3027" t="s">
        <v>140</v>
      </c>
      <c r="P629" s="3027" t="s">
        <v>17</v>
      </c>
      <c r="Q629" s="3027" t="s">
        <v>6041</v>
      </c>
      <c r="R629" s="3027"/>
      <c r="S629" s="3031"/>
      <c r="T629" s="3057"/>
      <c r="U629" s="2989"/>
      <c r="W629" s="2901"/>
      <c r="X629" s="2862"/>
    </row>
    <row r="630" spans="1:25" s="1592" customFormat="1" ht="72.5" hidden="1" x14ac:dyDescent="0.35">
      <c r="A630" s="2960">
        <v>44250</v>
      </c>
      <c r="B630" s="2877">
        <v>4</v>
      </c>
      <c r="C630" s="3080" t="s">
        <v>12177</v>
      </c>
      <c r="D630" s="2968" t="s">
        <v>12179</v>
      </c>
      <c r="E630" s="2969" t="s">
        <v>12176</v>
      </c>
      <c r="F630" s="3029"/>
      <c r="G630" s="3040" t="s">
        <v>11441</v>
      </c>
      <c r="H630" s="2892"/>
      <c r="I630" s="2960" t="s">
        <v>2287</v>
      </c>
      <c r="J630" s="2970" t="s">
        <v>12178</v>
      </c>
      <c r="K630" s="3125">
        <v>0.41666666666666669</v>
      </c>
      <c r="L630" s="3119">
        <v>0.4916666666666667</v>
      </c>
      <c r="M630" s="2962">
        <v>194.99</v>
      </c>
      <c r="N630" s="3027" t="s">
        <v>392</v>
      </c>
      <c r="O630" s="3027" t="s">
        <v>140</v>
      </c>
      <c r="P630" s="3027" t="s">
        <v>12070</v>
      </c>
      <c r="Q630" s="3027" t="s">
        <v>8499</v>
      </c>
      <c r="R630" s="3027"/>
      <c r="S630" s="3031"/>
      <c r="T630" s="3057"/>
      <c r="U630" s="2989"/>
      <c r="W630" s="2901"/>
      <c r="X630" s="2862"/>
    </row>
    <row r="631" spans="1:25" s="1592" customFormat="1" ht="33" hidden="1" x14ac:dyDescent="0.35">
      <c r="A631" s="2960">
        <v>44195</v>
      </c>
      <c r="B631" s="2877">
        <v>169</v>
      </c>
      <c r="C631" s="2956" t="s">
        <v>11800</v>
      </c>
      <c r="D631" s="2968" t="s">
        <v>11801</v>
      </c>
      <c r="E631" s="2956" t="s">
        <v>11802</v>
      </c>
      <c r="F631" s="3029"/>
      <c r="G631" s="3040" t="s">
        <v>11803</v>
      </c>
      <c r="H631" s="2892"/>
      <c r="I631" s="2960" t="s">
        <v>2287</v>
      </c>
      <c r="J631" s="2428" t="s">
        <v>11805</v>
      </c>
      <c r="K631" s="3125">
        <v>0.29166666666666669</v>
      </c>
      <c r="L631" s="3119">
        <v>0.54652777777777783</v>
      </c>
      <c r="M631" s="2962">
        <v>310</v>
      </c>
      <c r="N631" s="3027" t="s">
        <v>257</v>
      </c>
      <c r="O631" s="3027" t="s">
        <v>11817</v>
      </c>
      <c r="P631" s="3027" t="s">
        <v>821</v>
      </c>
      <c r="Q631" s="3027" t="s">
        <v>11327</v>
      </c>
      <c r="R631" s="3027"/>
      <c r="S631" s="3031"/>
      <c r="T631" s="3057"/>
      <c r="U631" s="2989"/>
      <c r="W631" s="2901"/>
      <c r="X631" s="2862"/>
    </row>
    <row r="632" spans="1:25" s="1592" customFormat="1" ht="43.5" hidden="1" x14ac:dyDescent="0.35">
      <c r="A632" s="2960">
        <v>44288</v>
      </c>
      <c r="B632" s="2877"/>
      <c r="C632" s="2956" t="s">
        <v>12374</v>
      </c>
      <c r="D632" s="2968" t="s">
        <v>12375</v>
      </c>
      <c r="E632" s="2956" t="s">
        <v>12377</v>
      </c>
      <c r="F632" s="3027"/>
      <c r="G632" s="2896" t="s">
        <v>11420</v>
      </c>
      <c r="H632" s="2892"/>
      <c r="I632" s="2960" t="s">
        <v>2287</v>
      </c>
      <c r="J632" s="2970" t="s">
        <v>12376</v>
      </c>
      <c r="K632" s="3125"/>
      <c r="L632" s="3119">
        <v>0.58333333333333337</v>
      </c>
      <c r="M632" s="2962">
        <v>155</v>
      </c>
      <c r="N632" s="3027" t="s">
        <v>392</v>
      </c>
      <c r="O632" s="3027" t="s">
        <v>15</v>
      </c>
      <c r="P632" s="3027" t="s">
        <v>12317</v>
      </c>
      <c r="Q632" s="3027" t="s">
        <v>11183</v>
      </c>
      <c r="R632" s="3027"/>
      <c r="S632" s="3031"/>
      <c r="T632" s="3057"/>
      <c r="U632" s="2989"/>
      <c r="W632" s="2901"/>
      <c r="X632" s="2862"/>
    </row>
    <row r="633" spans="1:25" s="1592" customFormat="1" ht="29" hidden="1" x14ac:dyDescent="0.35">
      <c r="A633" s="2960">
        <v>44193</v>
      </c>
      <c r="B633" s="2877">
        <v>153</v>
      </c>
      <c r="C633" s="2956" t="s">
        <v>11789</v>
      </c>
      <c r="D633" s="2968" t="s">
        <v>11790</v>
      </c>
      <c r="E633" s="3027" t="s">
        <v>11528</v>
      </c>
      <c r="F633" s="3029"/>
      <c r="G633" s="3040" t="s">
        <v>11514</v>
      </c>
      <c r="H633" s="2892"/>
      <c r="I633" s="2960" t="s">
        <v>2287</v>
      </c>
      <c r="J633" s="2970" t="s">
        <v>11791</v>
      </c>
      <c r="K633" s="3125">
        <v>0.29166666666666669</v>
      </c>
      <c r="L633" s="2954">
        <v>0.64513888888888882</v>
      </c>
      <c r="M633" s="2962">
        <v>226</v>
      </c>
      <c r="N633" s="3027" t="s">
        <v>392</v>
      </c>
      <c r="O633" s="3027" t="s">
        <v>11824</v>
      </c>
      <c r="P633" s="3027" t="s">
        <v>821</v>
      </c>
      <c r="Q633" s="3027" t="s">
        <v>11327</v>
      </c>
      <c r="R633" s="3027"/>
      <c r="S633" s="3031"/>
      <c r="T633" s="3057"/>
      <c r="U633" s="2989"/>
      <c r="W633" s="2901"/>
      <c r="X633" s="2862"/>
    </row>
    <row r="634" spans="1:25" s="1592" customFormat="1" ht="43.5" hidden="1" x14ac:dyDescent="0.35">
      <c r="A634" s="2486">
        <v>44314</v>
      </c>
      <c r="B634" s="3036"/>
      <c r="C634" s="5" t="s">
        <v>12674</v>
      </c>
      <c r="D634" s="3032" t="s">
        <v>12675</v>
      </c>
      <c r="E634" s="3016" t="s">
        <v>12391</v>
      </c>
      <c r="F634" s="3029"/>
      <c r="G634" s="3040" t="s">
        <v>12390</v>
      </c>
      <c r="H634" s="3041"/>
      <c r="I634" s="2960" t="s">
        <v>2287</v>
      </c>
      <c r="J634" s="2722" t="s">
        <v>12676</v>
      </c>
      <c r="K634" s="6" t="s">
        <v>15</v>
      </c>
      <c r="L634" s="3117" t="s">
        <v>972</v>
      </c>
      <c r="M634" s="3020">
        <v>135</v>
      </c>
      <c r="N634" s="3016" t="s">
        <v>257</v>
      </c>
      <c r="O634" s="3037" t="s">
        <v>15</v>
      </c>
      <c r="P634" s="3016" t="s">
        <v>12323</v>
      </c>
      <c r="Q634" s="3016" t="s">
        <v>12677</v>
      </c>
      <c r="R634" s="3027"/>
      <c r="S634" s="3031"/>
      <c r="T634" s="3051"/>
      <c r="U634" s="2989"/>
      <c r="W634" s="2901"/>
      <c r="X634" s="2862"/>
    </row>
    <row r="635" spans="1:25" s="1592" customFormat="1" ht="43.5" hidden="1" x14ac:dyDescent="0.35">
      <c r="A635" s="2960">
        <v>44184</v>
      </c>
      <c r="B635" s="2877">
        <v>72</v>
      </c>
      <c r="C635" s="2956" t="s">
        <v>11609</v>
      </c>
      <c r="D635" s="2968" t="s">
        <v>11610</v>
      </c>
      <c r="E635" s="2956" t="s">
        <v>11717</v>
      </c>
      <c r="F635" s="3029"/>
      <c r="G635" s="3040" t="s">
        <v>14338</v>
      </c>
      <c r="H635" s="2892"/>
      <c r="I635" s="2960" t="s">
        <v>2287</v>
      </c>
      <c r="J635" s="2970" t="s">
        <v>11718</v>
      </c>
      <c r="K635" s="3125">
        <v>0.29166666666666669</v>
      </c>
      <c r="L635" s="2954">
        <v>0.38958333333333334</v>
      </c>
      <c r="M635" s="2962">
        <v>190</v>
      </c>
      <c r="N635" s="3027" t="s">
        <v>392</v>
      </c>
      <c r="O635" s="3027" t="s">
        <v>11823</v>
      </c>
      <c r="P635" s="3027" t="s">
        <v>821</v>
      </c>
      <c r="Q635" s="3027" t="s">
        <v>11327</v>
      </c>
      <c r="R635" s="3027"/>
      <c r="S635" s="3031"/>
      <c r="T635" s="3057"/>
      <c r="U635" s="2989"/>
      <c r="W635" s="2901"/>
      <c r="X635" s="2862"/>
    </row>
    <row r="636" spans="1:25" s="1592" customFormat="1" ht="87" hidden="1" x14ac:dyDescent="0.35">
      <c r="A636" s="2486">
        <v>44312</v>
      </c>
      <c r="B636" s="2596"/>
      <c r="C636" s="2976" t="s">
        <v>12571</v>
      </c>
      <c r="D636" s="3032" t="s">
        <v>9734</v>
      </c>
      <c r="E636" s="2976" t="s">
        <v>12614</v>
      </c>
      <c r="F636" s="3029"/>
      <c r="G636" s="3040" t="s">
        <v>12613</v>
      </c>
      <c r="H636" s="2892"/>
      <c r="I636" s="2960" t="s">
        <v>2287</v>
      </c>
      <c r="J636" s="2722" t="s">
        <v>12572</v>
      </c>
      <c r="K636" s="6" t="s">
        <v>15</v>
      </c>
      <c r="L636" s="3119" t="s">
        <v>12570</v>
      </c>
      <c r="M636" s="3020">
        <v>1935</v>
      </c>
      <c r="N636" s="3016" t="s">
        <v>12550</v>
      </c>
      <c r="O636" s="5" t="s">
        <v>15</v>
      </c>
      <c r="P636" s="5" t="s">
        <v>1960</v>
      </c>
      <c r="Q636" s="5" t="s">
        <v>12569</v>
      </c>
      <c r="R636" s="3027"/>
      <c r="S636" s="3031"/>
      <c r="T636" s="3057"/>
      <c r="U636" s="2994"/>
      <c r="W636" s="2901"/>
      <c r="X636" s="2862"/>
    </row>
    <row r="637" spans="1:25" s="1592" customFormat="1" ht="43.5" hidden="1" x14ac:dyDescent="0.35">
      <c r="A637" s="2960">
        <v>44193</v>
      </c>
      <c r="B637" s="2877">
        <v>59</v>
      </c>
      <c r="C637" s="2952" t="s">
        <v>11786</v>
      </c>
      <c r="D637" s="2968" t="s">
        <v>11708</v>
      </c>
      <c r="E637" s="2956" t="s">
        <v>11787</v>
      </c>
      <c r="F637" s="3029"/>
      <c r="G637" s="3040" t="s">
        <v>11780</v>
      </c>
      <c r="H637" s="2892"/>
      <c r="I637" s="2960" t="s">
        <v>2287</v>
      </c>
      <c r="J637" s="2428" t="s">
        <v>11788</v>
      </c>
      <c r="K637" s="3125">
        <v>0.29166666666666669</v>
      </c>
      <c r="L637" s="3119">
        <v>0.40347222222222223</v>
      </c>
      <c r="M637" s="2962">
        <v>300</v>
      </c>
      <c r="N637" s="3027" t="s">
        <v>257</v>
      </c>
      <c r="O637" s="3027" t="s">
        <v>11822</v>
      </c>
      <c r="P637" s="3027" t="s">
        <v>17</v>
      </c>
      <c r="Q637" s="3027" t="s">
        <v>10908</v>
      </c>
      <c r="R637" s="3027"/>
      <c r="S637" s="3031"/>
      <c r="T637" s="3057"/>
      <c r="U637" s="2992"/>
      <c r="W637" s="2901"/>
      <c r="X637" s="2862"/>
    </row>
    <row r="638" spans="1:25" s="1592" customFormat="1" ht="43.5" hidden="1" x14ac:dyDescent="0.35">
      <c r="A638" s="2960">
        <v>44168</v>
      </c>
      <c r="B638" s="2877">
        <v>241</v>
      </c>
      <c r="C638" s="2956" t="s">
        <v>11630</v>
      </c>
      <c r="D638" s="2968" t="s">
        <v>11631</v>
      </c>
      <c r="E638" s="2956" t="s">
        <v>11632</v>
      </c>
      <c r="F638" s="3029"/>
      <c r="G638" s="3040" t="s">
        <v>11607</v>
      </c>
      <c r="H638" s="2892"/>
      <c r="I638" s="2960" t="s">
        <v>2287</v>
      </c>
      <c r="J638" s="2970" t="s">
        <v>11633</v>
      </c>
      <c r="K638" s="3125">
        <v>0.54166666666666663</v>
      </c>
      <c r="L638" s="2954">
        <v>0.57152777777777775</v>
      </c>
      <c r="M638" s="2962">
        <v>110</v>
      </c>
      <c r="N638" s="3027" t="s">
        <v>257</v>
      </c>
      <c r="O638" s="3027" t="s">
        <v>11754</v>
      </c>
      <c r="P638" s="3027" t="s">
        <v>17</v>
      </c>
      <c r="Q638" s="3027" t="s">
        <v>11183</v>
      </c>
      <c r="R638" s="3027"/>
      <c r="S638" s="3031"/>
      <c r="T638" s="3057"/>
      <c r="U638" s="2992"/>
      <c r="W638" s="2901"/>
      <c r="X638" s="2862"/>
    </row>
    <row r="639" spans="1:25" s="1592" customFormat="1" ht="43.5" hidden="1" x14ac:dyDescent="0.35">
      <c r="A639" s="3021">
        <v>44327</v>
      </c>
      <c r="B639" s="3036"/>
      <c r="C639" s="3015" t="s">
        <v>13442</v>
      </c>
      <c r="D639" s="3032" t="s">
        <v>13443</v>
      </c>
      <c r="E639" s="3024" t="s">
        <v>13441</v>
      </c>
      <c r="F639" s="3029"/>
      <c r="G639" s="3040" t="s">
        <v>11849</v>
      </c>
      <c r="H639" s="3041"/>
      <c r="I639" s="2960" t="s">
        <v>2287</v>
      </c>
      <c r="J639" s="3034" t="s">
        <v>13444</v>
      </c>
      <c r="K639" s="3122" t="s">
        <v>15</v>
      </c>
      <c r="L639" s="3149" t="s">
        <v>972</v>
      </c>
      <c r="M639" s="3020">
        <v>155</v>
      </c>
      <c r="N639" s="3016" t="s">
        <v>257</v>
      </c>
      <c r="O639" s="3030" t="s">
        <v>15</v>
      </c>
      <c r="P639" s="3015" t="s">
        <v>821</v>
      </c>
      <c r="Q639" s="3015" t="s">
        <v>12416</v>
      </c>
      <c r="R639" s="3027"/>
      <c r="S639" s="3031"/>
      <c r="T639" s="3057"/>
      <c r="U639" s="2989"/>
      <c r="W639" s="2901"/>
      <c r="X639" s="2862"/>
    </row>
    <row r="640" spans="1:25" s="1592" customFormat="1" ht="43.5" hidden="1" x14ac:dyDescent="0.35">
      <c r="A640" s="2960">
        <v>44193</v>
      </c>
      <c r="B640" s="2877">
        <v>197</v>
      </c>
      <c r="C640" s="2956" t="s">
        <v>11782</v>
      </c>
      <c r="D640" s="2968" t="s">
        <v>11783</v>
      </c>
      <c r="E640" s="3027" t="s">
        <v>11784</v>
      </c>
      <c r="F640" s="3029"/>
      <c r="G640" s="3040" t="s">
        <v>11440</v>
      </c>
      <c r="H640" s="2892"/>
      <c r="I640" s="2960" t="s">
        <v>2287</v>
      </c>
      <c r="J640" s="2970" t="s">
        <v>11785</v>
      </c>
      <c r="K640" s="3125">
        <v>0.375</v>
      </c>
      <c r="L640" s="2954">
        <v>0.47569444444444442</v>
      </c>
      <c r="M640" s="2962">
        <v>136</v>
      </c>
      <c r="N640" s="3027" t="s">
        <v>392</v>
      </c>
      <c r="O640" s="3027" t="s">
        <v>11815</v>
      </c>
      <c r="P640" s="3027" t="s">
        <v>821</v>
      </c>
      <c r="Q640" s="3027" t="s">
        <v>11327</v>
      </c>
      <c r="R640" s="3027"/>
      <c r="S640" s="3031"/>
      <c r="T640" s="3057"/>
      <c r="U640" s="2989"/>
      <c r="W640" s="2901"/>
      <c r="X640" s="2862"/>
    </row>
    <row r="641" spans="1:24" s="1592" customFormat="1" ht="130.5" hidden="1" x14ac:dyDescent="0.35">
      <c r="A641" s="2960">
        <v>44237</v>
      </c>
      <c r="B641" s="2877">
        <v>15</v>
      </c>
      <c r="C641" s="2956" t="s">
        <v>12072</v>
      </c>
      <c r="D641" s="2968" t="s">
        <v>12073</v>
      </c>
      <c r="E641" s="2956" t="s">
        <v>12115</v>
      </c>
      <c r="F641" s="3027"/>
      <c r="G641" s="2896"/>
      <c r="H641" s="2892"/>
      <c r="I641" s="2960" t="s">
        <v>2287</v>
      </c>
      <c r="J641" s="2970" t="s">
        <v>12074</v>
      </c>
      <c r="K641" s="3125">
        <v>0.41666666666666669</v>
      </c>
      <c r="L641" s="3119">
        <v>0.76597222222222217</v>
      </c>
      <c r="M641" s="2962">
        <v>1350</v>
      </c>
      <c r="N641" s="3027" t="s">
        <v>12075</v>
      </c>
      <c r="O641" s="3027" t="s">
        <v>7067</v>
      </c>
      <c r="P641" s="3027" t="s">
        <v>821</v>
      </c>
      <c r="Q641" s="3027" t="s">
        <v>11183</v>
      </c>
      <c r="R641" s="3027"/>
      <c r="S641" s="3031"/>
      <c r="T641" s="3057"/>
      <c r="U641" s="2989"/>
      <c r="W641" s="2901"/>
      <c r="X641" s="2862"/>
    </row>
    <row r="642" spans="1:24" s="1592" customFormat="1" ht="43.5" hidden="1" x14ac:dyDescent="0.35">
      <c r="A642" s="2960">
        <v>44256</v>
      </c>
      <c r="B642" s="2877"/>
      <c r="C642" s="2956" t="s">
        <v>12205</v>
      </c>
      <c r="D642" s="2968" t="s">
        <v>12206</v>
      </c>
      <c r="E642" s="2956" t="s">
        <v>12207</v>
      </c>
      <c r="F642" s="3027"/>
      <c r="G642" s="2896" t="s">
        <v>11432</v>
      </c>
      <c r="H642" s="3049"/>
      <c r="I642" s="2960" t="s">
        <v>11864</v>
      </c>
      <c r="J642" s="2970" t="s">
        <v>12208</v>
      </c>
      <c r="K642" s="3125" t="s">
        <v>15</v>
      </c>
      <c r="L642" s="3119" t="s">
        <v>12209</v>
      </c>
      <c r="M642" s="2962">
        <v>465</v>
      </c>
      <c r="N642" s="3027" t="s">
        <v>257</v>
      </c>
      <c r="O642" s="3027" t="s">
        <v>15</v>
      </c>
      <c r="P642" s="3027" t="s">
        <v>12070</v>
      </c>
      <c r="Q642" s="3027" t="s">
        <v>12210</v>
      </c>
      <c r="R642" s="3027"/>
      <c r="S642" s="3031"/>
      <c r="T642" s="3057"/>
      <c r="U642" s="2994"/>
      <c r="W642" s="2901"/>
      <c r="X642" s="2862"/>
    </row>
    <row r="643" spans="1:24" s="1592" customFormat="1" ht="348" hidden="1" x14ac:dyDescent="0.35">
      <c r="A643" s="1808">
        <v>43869</v>
      </c>
      <c r="B643" s="2555"/>
      <c r="C643" s="10" t="s">
        <v>13825</v>
      </c>
      <c r="D643" s="3031" t="s">
        <v>11360</v>
      </c>
      <c r="E643" s="10" t="s">
        <v>6566</v>
      </c>
      <c r="F643" s="3022"/>
      <c r="G643" s="2934"/>
      <c r="H643" s="2892"/>
      <c r="I643" s="2960" t="s">
        <v>2287</v>
      </c>
      <c r="J643" s="1571" t="s">
        <v>6560</v>
      </c>
      <c r="K643" s="6" t="s">
        <v>15</v>
      </c>
      <c r="L643" s="6">
        <v>0.76388888888888884</v>
      </c>
      <c r="M643" s="2864">
        <f>80*12+50+1000</f>
        <v>2010</v>
      </c>
      <c r="N643" s="3016" t="s">
        <v>6559</v>
      </c>
      <c r="O643" s="3016" t="s">
        <v>15</v>
      </c>
      <c r="P643" s="3016" t="s">
        <v>17</v>
      </c>
      <c r="Q643" s="3016" t="s">
        <v>5367</v>
      </c>
      <c r="R643" s="3016"/>
      <c r="S643" s="3031"/>
      <c r="T643" s="3057"/>
      <c r="U643" s="2989"/>
      <c r="W643" s="2901"/>
      <c r="X643" s="2862"/>
    </row>
    <row r="644" spans="1:24" s="1592" customFormat="1" ht="43.5" hidden="1" x14ac:dyDescent="0.35">
      <c r="A644" s="2657">
        <v>44154</v>
      </c>
      <c r="B644" s="2877">
        <v>10</v>
      </c>
      <c r="C644" s="2956" t="s">
        <v>11566</v>
      </c>
      <c r="D644" s="2968" t="s">
        <v>11567</v>
      </c>
      <c r="E644" s="3027" t="s">
        <v>11568</v>
      </c>
      <c r="F644" s="3029"/>
      <c r="G644" s="3040" t="s">
        <v>11569</v>
      </c>
      <c r="H644" s="2892"/>
      <c r="I644" s="2960" t="s">
        <v>2287</v>
      </c>
      <c r="J644" s="2428" t="s">
        <v>11570</v>
      </c>
      <c r="K644" s="3125">
        <v>0.33333333333333331</v>
      </c>
      <c r="L644" s="3119">
        <v>0.54861111111111105</v>
      </c>
      <c r="M644" s="2962">
        <v>310</v>
      </c>
      <c r="N644" s="2521" t="s">
        <v>392</v>
      </c>
      <c r="O644" s="3027" t="s">
        <v>11752</v>
      </c>
      <c r="P644" s="2521" t="s">
        <v>821</v>
      </c>
      <c r="Q644" s="3027" t="s">
        <v>11327</v>
      </c>
      <c r="R644" s="3027"/>
      <c r="S644" s="3031"/>
      <c r="T644" s="3057"/>
      <c r="U644" s="2994"/>
      <c r="W644" s="2901"/>
      <c r="X644" s="2862"/>
    </row>
    <row r="645" spans="1:24" s="1592" customFormat="1" ht="104.5" hidden="1" x14ac:dyDescent="0.35">
      <c r="A645" s="2960">
        <v>44174</v>
      </c>
      <c r="B645" s="2877">
        <v>91</v>
      </c>
      <c r="C645" s="2960" t="s">
        <v>11673</v>
      </c>
      <c r="D645" s="2968" t="s">
        <v>11310</v>
      </c>
      <c r="E645" s="2956" t="s">
        <v>11674</v>
      </c>
      <c r="F645" s="3029"/>
      <c r="G645" s="3040" t="s">
        <v>14380</v>
      </c>
      <c r="H645" s="2892"/>
      <c r="I645" s="2960" t="s">
        <v>2287</v>
      </c>
      <c r="J645" s="2428" t="s">
        <v>11675</v>
      </c>
      <c r="K645" s="3125">
        <v>0.41666666666666669</v>
      </c>
      <c r="L645" s="3119">
        <v>0.55486111111111114</v>
      </c>
      <c r="M645" s="2962">
        <v>173</v>
      </c>
      <c r="N645" s="3027" t="s">
        <v>392</v>
      </c>
      <c r="O645" s="3027" t="s">
        <v>11794</v>
      </c>
      <c r="P645" s="3027" t="s">
        <v>821</v>
      </c>
      <c r="Q645" s="3027" t="s">
        <v>11676</v>
      </c>
      <c r="R645" s="3027"/>
      <c r="S645" s="3031"/>
      <c r="T645" s="3057"/>
      <c r="U645" s="2992"/>
      <c r="W645" s="2901"/>
      <c r="X645" s="2862"/>
    </row>
    <row r="646" spans="1:24" s="1592" customFormat="1" ht="72.5" hidden="1" x14ac:dyDescent="0.35">
      <c r="A646" s="2960">
        <v>44187</v>
      </c>
      <c r="B646" s="2877">
        <v>291</v>
      </c>
      <c r="C646" s="2960" t="s">
        <v>11749</v>
      </c>
      <c r="D646" s="2968" t="s">
        <v>11741</v>
      </c>
      <c r="E646" s="2956" t="s">
        <v>11742</v>
      </c>
      <c r="F646" s="3029"/>
      <c r="G646" s="3040" t="s">
        <v>11440</v>
      </c>
      <c r="H646" s="2892"/>
      <c r="I646" s="2960" t="s">
        <v>2287</v>
      </c>
      <c r="J646" s="2428" t="s">
        <v>11743</v>
      </c>
      <c r="K646" s="3125">
        <v>0.54166666666666663</v>
      </c>
      <c r="L646" s="3119">
        <v>0.62847222222222221</v>
      </c>
      <c r="M646" s="2962">
        <v>151</v>
      </c>
      <c r="N646" s="3027" t="s">
        <v>257</v>
      </c>
      <c r="O646" s="3027" t="s">
        <v>11750</v>
      </c>
      <c r="P646" s="3027" t="s">
        <v>17</v>
      </c>
      <c r="Q646" s="3027" t="s">
        <v>6041</v>
      </c>
      <c r="R646" s="3027"/>
      <c r="S646" s="3031"/>
      <c r="T646" s="3057"/>
      <c r="U646" s="2989"/>
      <c r="W646" s="2901"/>
      <c r="X646" s="2862"/>
    </row>
    <row r="647" spans="1:24" s="1592" customFormat="1" ht="43.5" hidden="1" x14ac:dyDescent="0.35">
      <c r="A647" s="2960">
        <v>44244</v>
      </c>
      <c r="B647" s="2877">
        <v>23</v>
      </c>
      <c r="C647" s="2956" t="s">
        <v>12138</v>
      </c>
      <c r="D647" s="2968" t="s">
        <v>12139</v>
      </c>
      <c r="E647" s="2969" t="s">
        <v>12140</v>
      </c>
      <c r="F647" s="3027"/>
      <c r="G647" s="2979" t="s">
        <v>14351</v>
      </c>
      <c r="H647" s="3063"/>
      <c r="I647" s="2960" t="s">
        <v>2287</v>
      </c>
      <c r="J647" s="2970" t="s">
        <v>5494</v>
      </c>
      <c r="K647" s="3125">
        <v>0.45833333333333331</v>
      </c>
      <c r="L647" s="3119">
        <v>0.45833333333333331</v>
      </c>
      <c r="M647" s="2962">
        <v>57</v>
      </c>
      <c r="N647" s="3027" t="s">
        <v>392</v>
      </c>
      <c r="O647" s="3027" t="s">
        <v>15</v>
      </c>
      <c r="P647" s="3027" t="s">
        <v>821</v>
      </c>
      <c r="Q647" s="3027" t="s">
        <v>8499</v>
      </c>
      <c r="R647" s="3027"/>
      <c r="S647" s="3031"/>
      <c r="T647" s="3057"/>
      <c r="U647" s="2994"/>
      <c r="W647" s="2901"/>
      <c r="X647" s="2862"/>
    </row>
    <row r="648" spans="1:24" s="1592" customFormat="1" ht="116" hidden="1" x14ac:dyDescent="0.35">
      <c r="A648" s="2486">
        <v>44315</v>
      </c>
      <c r="B648" s="3090"/>
      <c r="C648" s="3015" t="s">
        <v>12705</v>
      </c>
      <c r="D648" s="2964" t="s">
        <v>12706</v>
      </c>
      <c r="E648" s="3016" t="s">
        <v>12703</v>
      </c>
      <c r="F648" s="2538"/>
      <c r="G648" s="2888" t="s">
        <v>12704</v>
      </c>
      <c r="H648" s="3041"/>
      <c r="I648" s="2960" t="s">
        <v>2287</v>
      </c>
      <c r="J648" s="3046" t="s">
        <v>5494</v>
      </c>
      <c r="K648" s="6" t="s">
        <v>15</v>
      </c>
      <c r="L648" s="3117" t="s">
        <v>972</v>
      </c>
      <c r="M648" s="3092">
        <v>144</v>
      </c>
      <c r="N648" s="3016" t="s">
        <v>8625</v>
      </c>
      <c r="O648" s="3037" t="s">
        <v>15</v>
      </c>
      <c r="P648" s="2955" t="s">
        <v>12323</v>
      </c>
      <c r="Q648" s="2955" t="s">
        <v>12707</v>
      </c>
      <c r="R648" s="3027"/>
      <c r="S648" s="3091"/>
      <c r="T648" s="3096"/>
      <c r="U648" s="2989"/>
      <c r="W648" s="2901"/>
      <c r="X648" s="2862"/>
    </row>
    <row r="649" spans="1:24" s="1592" customFormat="1" ht="58" hidden="1" x14ac:dyDescent="0.35">
      <c r="A649" s="2960">
        <v>44238</v>
      </c>
      <c r="B649" s="2877">
        <v>95</v>
      </c>
      <c r="C649" s="2956" t="s">
        <v>12082</v>
      </c>
      <c r="D649" s="2968" t="s">
        <v>12081</v>
      </c>
      <c r="E649" s="3027" t="s">
        <v>12041</v>
      </c>
      <c r="F649" s="3027"/>
      <c r="G649" s="2896" t="s">
        <v>12042</v>
      </c>
      <c r="H649" s="2892"/>
      <c r="I649" s="2960" t="s">
        <v>2287</v>
      </c>
      <c r="J649" s="2970" t="s">
        <v>11899</v>
      </c>
      <c r="K649" s="3125">
        <v>0.47916666666666669</v>
      </c>
      <c r="L649" s="3119">
        <v>0.47916666666666669</v>
      </c>
      <c r="M649" s="2962">
        <v>150</v>
      </c>
      <c r="N649" s="3027" t="s">
        <v>257</v>
      </c>
      <c r="O649" s="3027" t="s">
        <v>15</v>
      </c>
      <c r="P649" s="3027" t="s">
        <v>12063</v>
      </c>
      <c r="Q649" s="3027" t="s">
        <v>6041</v>
      </c>
      <c r="R649" s="3027"/>
      <c r="S649" s="3031"/>
      <c r="T649" s="3057"/>
      <c r="U649" s="2989"/>
      <c r="W649" s="2901"/>
      <c r="X649" s="2862"/>
    </row>
    <row r="650" spans="1:24" s="1592" customFormat="1" ht="29" hidden="1" x14ac:dyDescent="0.35">
      <c r="A650" s="2960">
        <v>44183</v>
      </c>
      <c r="B650" s="2877">
        <v>307</v>
      </c>
      <c r="C650" s="2956" t="s">
        <v>11713</v>
      </c>
      <c r="D650" s="2968" t="s">
        <v>11508</v>
      </c>
      <c r="E650" s="2956" t="s">
        <v>11714</v>
      </c>
      <c r="F650" s="3029"/>
      <c r="G650" s="3040" t="s">
        <v>11580</v>
      </c>
      <c r="H650" s="2892"/>
      <c r="I650" s="2960" t="s">
        <v>2287</v>
      </c>
      <c r="J650" s="2428" t="s">
        <v>6815</v>
      </c>
      <c r="K650" s="3125" t="s">
        <v>15</v>
      </c>
      <c r="L650" s="3119" t="s">
        <v>972</v>
      </c>
      <c r="M650" s="2962">
        <v>100</v>
      </c>
      <c r="N650" s="3027" t="s">
        <v>257</v>
      </c>
      <c r="O650" s="3027" t="s">
        <v>15</v>
      </c>
      <c r="P650" s="3027" t="s">
        <v>17</v>
      </c>
      <c r="Q650" s="3027" t="s">
        <v>11183</v>
      </c>
      <c r="R650" s="3027"/>
      <c r="S650" s="3031"/>
      <c r="T650" s="3057"/>
      <c r="U650" s="2994"/>
      <c r="W650" s="2901"/>
      <c r="X650" s="2862"/>
    </row>
    <row r="651" spans="1:24" s="1592" customFormat="1" ht="38.5" hidden="1" x14ac:dyDescent="0.35">
      <c r="A651" s="2960">
        <v>44176</v>
      </c>
      <c r="B651" s="2877">
        <f>1+B650</f>
        <v>308</v>
      </c>
      <c r="C651" s="2960" t="s">
        <v>11700</v>
      </c>
      <c r="D651" s="2968" t="s">
        <v>11333</v>
      </c>
      <c r="E651" s="2956" t="s">
        <v>11701</v>
      </c>
      <c r="F651" s="3029"/>
      <c r="G651" s="3040" t="s">
        <v>11672</v>
      </c>
      <c r="H651" s="2892"/>
      <c r="I651" s="2960" t="s">
        <v>2287</v>
      </c>
      <c r="J651" s="2428" t="s">
        <v>6815</v>
      </c>
      <c r="K651" s="3125">
        <v>0.52083333333333337</v>
      </c>
      <c r="L651" s="3119">
        <v>0.52083333333333337</v>
      </c>
      <c r="M651" s="2962">
        <v>150</v>
      </c>
      <c r="N651" s="3027" t="s">
        <v>392</v>
      </c>
      <c r="O651" s="3027" t="s">
        <v>15</v>
      </c>
      <c r="P651" s="3027" t="s">
        <v>216</v>
      </c>
      <c r="Q651" s="3027" t="s">
        <v>11183</v>
      </c>
      <c r="R651" s="3027"/>
      <c r="S651" s="3031"/>
      <c r="T651" s="3057"/>
      <c r="U651" s="2989"/>
      <c r="W651" s="2901"/>
      <c r="X651" s="2862"/>
    </row>
    <row r="652" spans="1:24" s="1592" customFormat="1" ht="29" hidden="1" x14ac:dyDescent="0.35">
      <c r="A652" s="2960">
        <v>44302</v>
      </c>
      <c r="B652" s="2877"/>
      <c r="C652" s="2956" t="s">
        <v>12486</v>
      </c>
      <c r="D652" s="2968" t="s">
        <v>12485</v>
      </c>
      <c r="E652" s="2956" t="s">
        <v>12487</v>
      </c>
      <c r="F652" s="3027"/>
      <c r="G652" s="2896" t="s">
        <v>11432</v>
      </c>
      <c r="H652" s="2889"/>
      <c r="I652" s="2960" t="s">
        <v>2287</v>
      </c>
      <c r="J652" s="2970" t="s">
        <v>5494</v>
      </c>
      <c r="K652" s="3125" t="s">
        <v>15</v>
      </c>
      <c r="L652" s="3119" t="s">
        <v>972</v>
      </c>
      <c r="M652" s="2962">
        <v>450</v>
      </c>
      <c r="N652" s="3027" t="s">
        <v>257</v>
      </c>
      <c r="O652" s="3027" t="s">
        <v>15</v>
      </c>
      <c r="P652" s="3027" t="s">
        <v>12317</v>
      </c>
      <c r="Q652" s="3027" t="s">
        <v>12521</v>
      </c>
      <c r="R652" s="3027"/>
      <c r="S652" s="3031"/>
      <c r="T652" s="3057"/>
      <c r="U652" s="2994"/>
      <c r="W652" s="2901"/>
      <c r="X652" s="2862"/>
    </row>
    <row r="653" spans="1:24" s="1592" customFormat="1" ht="43.5" hidden="1" x14ac:dyDescent="0.35">
      <c r="A653" s="2486">
        <v>44304</v>
      </c>
      <c r="B653" s="2596"/>
      <c r="C653" s="5" t="s">
        <v>12501</v>
      </c>
      <c r="D653" s="3032" t="s">
        <v>12502</v>
      </c>
      <c r="E653" s="5" t="s">
        <v>12503</v>
      </c>
      <c r="F653" s="2538"/>
      <c r="G653" s="2888" t="s">
        <v>14316</v>
      </c>
      <c r="H653" s="2892"/>
      <c r="I653" s="2960" t="s">
        <v>2287</v>
      </c>
      <c r="J653" s="3046" t="s">
        <v>11899</v>
      </c>
      <c r="K653" s="6" t="s">
        <v>15</v>
      </c>
      <c r="L653" s="3117" t="s">
        <v>972</v>
      </c>
      <c r="M653" s="3020">
        <v>144</v>
      </c>
      <c r="N653" s="2955" t="s">
        <v>392</v>
      </c>
      <c r="O653" s="3016" t="s">
        <v>15</v>
      </c>
      <c r="P653" s="2955" t="s">
        <v>821</v>
      </c>
      <c r="Q653" s="2955" t="s">
        <v>12512</v>
      </c>
      <c r="R653" s="3027"/>
      <c r="S653" s="3031"/>
      <c r="T653" s="3057"/>
      <c r="U653" s="2992"/>
      <c r="W653" s="2901"/>
      <c r="X653" s="2862"/>
    </row>
    <row r="654" spans="1:24" s="1592" customFormat="1" ht="60.5" hidden="1" x14ac:dyDescent="0.35">
      <c r="A654" s="2960">
        <v>44247</v>
      </c>
      <c r="B654" s="2877"/>
      <c r="C654" s="2997" t="s">
        <v>12169</v>
      </c>
      <c r="D654" s="2968" t="s">
        <v>12170</v>
      </c>
      <c r="E654" s="2969" t="s">
        <v>12171</v>
      </c>
      <c r="F654" s="3027"/>
      <c r="G654" s="2896" t="s">
        <v>14378</v>
      </c>
      <c r="H654" s="2892"/>
      <c r="I654" s="2960" t="s">
        <v>2287</v>
      </c>
      <c r="J654" s="2970" t="s">
        <v>5494</v>
      </c>
      <c r="K654" s="3125" t="s">
        <v>15</v>
      </c>
      <c r="L654" s="3119" t="s">
        <v>972</v>
      </c>
      <c r="M654" s="2962">
        <v>200</v>
      </c>
      <c r="N654" s="2808" t="s">
        <v>257</v>
      </c>
      <c r="O654" s="3027" t="s">
        <v>15</v>
      </c>
      <c r="P654" s="3027" t="s">
        <v>821</v>
      </c>
      <c r="Q654" s="3027" t="s">
        <v>11327</v>
      </c>
      <c r="R654" s="3027"/>
      <c r="S654" s="3031"/>
      <c r="T654" s="3057"/>
      <c r="U654" s="2992"/>
      <c r="W654" s="2901"/>
      <c r="X654" s="2862"/>
    </row>
    <row r="655" spans="1:24" s="1592" customFormat="1" ht="43.5" hidden="1" x14ac:dyDescent="0.35">
      <c r="A655" s="2960">
        <v>44225</v>
      </c>
      <c r="B655" s="2877">
        <v>36</v>
      </c>
      <c r="C655" s="2956" t="s">
        <v>11974</v>
      </c>
      <c r="D655" s="2968" t="s">
        <v>11976</v>
      </c>
      <c r="E655" s="2956" t="s">
        <v>11975</v>
      </c>
      <c r="F655" s="3027"/>
      <c r="G655" s="2896"/>
      <c r="H655" s="2892"/>
      <c r="I655" s="2960" t="s">
        <v>2287</v>
      </c>
      <c r="J655" s="2970" t="s">
        <v>5494</v>
      </c>
      <c r="K655" s="3125" t="s">
        <v>15</v>
      </c>
      <c r="L655" s="3119" t="s">
        <v>972</v>
      </c>
      <c r="M655" s="2962">
        <v>250</v>
      </c>
      <c r="N655" s="3027" t="s">
        <v>392</v>
      </c>
      <c r="O655" s="3027" t="s">
        <v>15</v>
      </c>
      <c r="P655" s="3027" t="s">
        <v>821</v>
      </c>
      <c r="Q655" s="3027" t="s">
        <v>11327</v>
      </c>
      <c r="R655" s="3027"/>
      <c r="S655" s="3031"/>
      <c r="T655" s="3057"/>
      <c r="U655" s="2989"/>
      <c r="W655" s="2901"/>
      <c r="X655" s="2862"/>
    </row>
    <row r="656" spans="1:24" s="1592" customFormat="1" ht="72.5" hidden="1" x14ac:dyDescent="0.35">
      <c r="A656" s="2960">
        <v>44253</v>
      </c>
      <c r="B656" s="2877"/>
      <c r="C656" s="2956" t="s">
        <v>12200</v>
      </c>
      <c r="D656" s="2968" t="s">
        <v>2518</v>
      </c>
      <c r="E656" s="2969" t="s">
        <v>12198</v>
      </c>
      <c r="F656" s="3027"/>
      <c r="G656" s="2896"/>
      <c r="H656" s="2889"/>
      <c r="I656" s="2960" t="s">
        <v>2287</v>
      </c>
      <c r="J656" s="2970" t="s">
        <v>12197</v>
      </c>
      <c r="K656" s="3125" t="s">
        <v>15</v>
      </c>
      <c r="L656" s="3119" t="s">
        <v>972</v>
      </c>
      <c r="M656" s="2962">
        <v>0</v>
      </c>
      <c r="N656" s="3027" t="s">
        <v>5716</v>
      </c>
      <c r="O656" s="3027" t="s">
        <v>15</v>
      </c>
      <c r="P656" s="3027" t="s">
        <v>12070</v>
      </c>
      <c r="Q656" s="3027" t="s">
        <v>11183</v>
      </c>
      <c r="R656" s="3027"/>
      <c r="S656" s="3031"/>
      <c r="T656" s="3057"/>
      <c r="U656" s="2989"/>
      <c r="W656" s="2901"/>
      <c r="X656" s="2862"/>
    </row>
    <row r="657" spans="1:24" s="1592" customFormat="1" ht="58" hidden="1" x14ac:dyDescent="0.35">
      <c r="A657" s="2960">
        <v>44253</v>
      </c>
      <c r="B657" s="2877">
        <v>58</v>
      </c>
      <c r="C657" s="2956" t="s">
        <v>12199</v>
      </c>
      <c r="D657" s="2968" t="s">
        <v>12196</v>
      </c>
      <c r="E657" s="2969" t="s">
        <v>12201</v>
      </c>
      <c r="F657" s="3027"/>
      <c r="G657" s="2896" t="s">
        <v>14316</v>
      </c>
      <c r="H657" s="2892"/>
      <c r="I657" s="2960" t="s">
        <v>2287</v>
      </c>
      <c r="J657" s="2970" t="s">
        <v>12152</v>
      </c>
      <c r="K657" s="3125" t="s">
        <v>15</v>
      </c>
      <c r="L657" s="3119" t="s">
        <v>972</v>
      </c>
      <c r="M657" s="2962">
        <v>200</v>
      </c>
      <c r="N657" s="3027" t="s">
        <v>257</v>
      </c>
      <c r="O657" s="3027" t="s">
        <v>6815</v>
      </c>
      <c r="P657" s="3027" t="s">
        <v>12070</v>
      </c>
      <c r="Q657" s="3027" t="s">
        <v>11183</v>
      </c>
      <c r="R657" s="3027"/>
      <c r="S657" s="3031"/>
      <c r="T657" s="3057"/>
      <c r="U657" s="2994"/>
      <c r="W657" s="2901"/>
      <c r="X657" s="2862"/>
    </row>
    <row r="658" spans="1:24" s="1592" customFormat="1" ht="43.5" hidden="1" x14ac:dyDescent="0.35">
      <c r="A658" s="2486">
        <v>44308</v>
      </c>
      <c r="B658" s="2596"/>
      <c r="C658" s="5" t="s">
        <v>12561</v>
      </c>
      <c r="D658" s="2964" t="s">
        <v>12562</v>
      </c>
      <c r="E658" s="3016" t="s">
        <v>12560</v>
      </c>
      <c r="F658" s="2538"/>
      <c r="G658" s="2888" t="s">
        <v>11466</v>
      </c>
      <c r="H658" s="2892"/>
      <c r="I658" s="2960" t="s">
        <v>2287</v>
      </c>
      <c r="J658" s="3046" t="s">
        <v>5494</v>
      </c>
      <c r="K658" s="6" t="s">
        <v>15</v>
      </c>
      <c r="L658" s="2987" t="s">
        <v>972</v>
      </c>
      <c r="M658" s="3020">
        <v>140</v>
      </c>
      <c r="N658" s="2955" t="s">
        <v>257</v>
      </c>
      <c r="O658" s="3016" t="s">
        <v>15</v>
      </c>
      <c r="P658" s="2955" t="s">
        <v>12323</v>
      </c>
      <c r="Q658" s="2955" t="s">
        <v>8499</v>
      </c>
      <c r="R658" s="3027"/>
      <c r="S658" s="3031"/>
      <c r="T658" s="3057"/>
      <c r="U658" s="2989"/>
      <c r="W658" s="2901"/>
      <c r="X658" s="2862"/>
    </row>
    <row r="659" spans="1:24" s="1592" customFormat="1" hidden="1" x14ac:dyDescent="0.35">
      <c r="A659" s="2960">
        <v>44289</v>
      </c>
      <c r="B659" s="2877"/>
      <c r="C659" s="2956" t="s">
        <v>12379</v>
      </c>
      <c r="D659" s="2968" t="s">
        <v>12378</v>
      </c>
      <c r="E659" s="2956" t="s">
        <v>12292</v>
      </c>
      <c r="F659" s="3029"/>
      <c r="G659" s="3040" t="s">
        <v>12071</v>
      </c>
      <c r="H659" s="2889"/>
      <c r="I659" s="2960" t="s">
        <v>11864</v>
      </c>
      <c r="J659" s="2970" t="s">
        <v>11899</v>
      </c>
      <c r="K659" s="3125" t="s">
        <v>15</v>
      </c>
      <c r="L659" s="3119" t="s">
        <v>972</v>
      </c>
      <c r="M659" s="2962">
        <v>180</v>
      </c>
      <c r="N659" s="3027" t="s">
        <v>392</v>
      </c>
      <c r="O659" s="3027" t="s">
        <v>15</v>
      </c>
      <c r="P659" s="3027" t="s">
        <v>821</v>
      </c>
      <c r="Q659" s="3027" t="s">
        <v>5560</v>
      </c>
      <c r="R659" s="3027"/>
      <c r="S659" s="3031"/>
      <c r="T659" s="3057"/>
      <c r="U659" s="2994"/>
      <c r="W659" s="2901"/>
      <c r="X659" s="2862"/>
    </row>
    <row r="660" spans="1:24" s="1592" customFormat="1" ht="87" hidden="1" x14ac:dyDescent="0.35">
      <c r="A660" s="2960">
        <v>44230</v>
      </c>
      <c r="B660" s="2877"/>
      <c r="C660" s="2956" t="s">
        <v>12027</v>
      </c>
      <c r="D660" s="2968" t="s">
        <v>12024</v>
      </c>
      <c r="E660" s="2956" t="s">
        <v>12025</v>
      </c>
      <c r="F660" s="3027"/>
      <c r="G660" s="2896" t="s">
        <v>12026</v>
      </c>
      <c r="H660" s="2889"/>
      <c r="I660" s="2960" t="s">
        <v>2287</v>
      </c>
      <c r="J660" s="2970" t="s">
        <v>11882</v>
      </c>
      <c r="K660" s="3125" t="s">
        <v>15</v>
      </c>
      <c r="L660" s="3119" t="s">
        <v>972</v>
      </c>
      <c r="M660" s="2962">
        <v>150</v>
      </c>
      <c r="N660" s="3027" t="s">
        <v>392</v>
      </c>
      <c r="O660" s="3027" t="s">
        <v>15</v>
      </c>
      <c r="P660" s="3027" t="s">
        <v>821</v>
      </c>
      <c r="Q660" s="3027" t="s">
        <v>11327</v>
      </c>
      <c r="R660" s="3027"/>
      <c r="S660" s="3031"/>
      <c r="T660" s="3057"/>
      <c r="U660" s="2989"/>
      <c r="W660" s="2901"/>
      <c r="X660" s="2862"/>
    </row>
    <row r="661" spans="1:24" s="1592" customFormat="1" ht="29" hidden="1" x14ac:dyDescent="0.35">
      <c r="A661" s="3021">
        <v>44314</v>
      </c>
      <c r="B661" s="3081"/>
      <c r="C661" s="3015" t="s">
        <v>12651</v>
      </c>
      <c r="D661" s="3032" t="s">
        <v>12650</v>
      </c>
      <c r="E661" s="3015" t="s">
        <v>12649</v>
      </c>
      <c r="F661" s="3029"/>
      <c r="G661" s="3040" t="s">
        <v>11440</v>
      </c>
      <c r="H661" s="3041"/>
      <c r="I661" s="2960" t="s">
        <v>2287</v>
      </c>
      <c r="J661" s="3046" t="s">
        <v>5494</v>
      </c>
      <c r="K661" s="3122" t="s">
        <v>15</v>
      </c>
      <c r="L661" s="3117" t="s">
        <v>972</v>
      </c>
      <c r="M661" s="3082">
        <v>140</v>
      </c>
      <c r="N661" s="3016" t="s">
        <v>257</v>
      </c>
      <c r="O661" s="3037" t="s">
        <v>15</v>
      </c>
      <c r="P661" s="3016" t="s">
        <v>12317</v>
      </c>
      <c r="Q661" s="3016" t="s">
        <v>12452</v>
      </c>
      <c r="R661" s="3027"/>
      <c r="S661" s="3083"/>
      <c r="T661" s="3084"/>
      <c r="U661" s="2989"/>
      <c r="W661" s="2901"/>
      <c r="X661" s="2862"/>
    </row>
    <row r="662" spans="1:24" s="1592" customFormat="1" ht="43.5" hidden="1" x14ac:dyDescent="0.35">
      <c r="A662" s="3047">
        <v>44321</v>
      </c>
      <c r="B662" s="3042"/>
      <c r="C662" s="3026" t="s">
        <v>12876</v>
      </c>
      <c r="D662" s="3044" t="s">
        <v>12875</v>
      </c>
      <c r="E662" s="3048" t="s">
        <v>12877</v>
      </c>
      <c r="F662" s="3025"/>
      <c r="G662" s="3050" t="s">
        <v>11432</v>
      </c>
      <c r="H662" s="3049"/>
      <c r="I662" s="2960" t="s">
        <v>2287</v>
      </c>
      <c r="J662" s="3046" t="s">
        <v>5494</v>
      </c>
      <c r="K662" s="3128" t="s">
        <v>15</v>
      </c>
      <c r="L662" s="3119">
        <v>0.41666666666666669</v>
      </c>
      <c r="M662" s="3038">
        <v>450</v>
      </c>
      <c r="N662" s="3025" t="s">
        <v>257</v>
      </c>
      <c r="O662" s="3045" t="s">
        <v>15</v>
      </c>
      <c r="P662" s="3025" t="s">
        <v>1960</v>
      </c>
      <c r="Q662" s="3025" t="s">
        <v>12405</v>
      </c>
      <c r="R662" s="3027"/>
      <c r="S662" s="3031"/>
      <c r="T662" s="3057"/>
      <c r="U662" s="2994"/>
      <c r="W662" s="2901"/>
      <c r="X662" s="2862"/>
    </row>
    <row r="663" spans="1:24" s="1592" customFormat="1" ht="29" hidden="1" x14ac:dyDescent="0.35">
      <c r="A663" s="2486">
        <v>44299</v>
      </c>
      <c r="B663" s="3059"/>
      <c r="C663" s="5" t="s">
        <v>12451</v>
      </c>
      <c r="D663" s="3032" t="s">
        <v>12449</v>
      </c>
      <c r="E663" s="2725" t="s">
        <v>12448</v>
      </c>
      <c r="F663" s="2538"/>
      <c r="G663" s="3040" t="s">
        <v>12450</v>
      </c>
      <c r="H663" s="2892"/>
      <c r="I663" s="2960" t="s">
        <v>2287</v>
      </c>
      <c r="J663" s="3046" t="s">
        <v>5494</v>
      </c>
      <c r="K663" s="6" t="s">
        <v>15</v>
      </c>
      <c r="L663" s="3117" t="s">
        <v>972</v>
      </c>
      <c r="M663" s="3020">
        <v>80</v>
      </c>
      <c r="N663" s="3016" t="s">
        <v>257</v>
      </c>
      <c r="O663" s="3016" t="s">
        <v>15</v>
      </c>
      <c r="P663" s="3016" t="s">
        <v>12323</v>
      </c>
      <c r="Q663" s="3016" t="s">
        <v>12519</v>
      </c>
      <c r="R663" s="3027"/>
      <c r="S663" s="3031"/>
      <c r="T663" s="3057"/>
      <c r="U663" s="2994"/>
      <c r="W663" s="2901"/>
      <c r="X663" s="2862"/>
    </row>
    <row r="664" spans="1:24" s="1592" customFormat="1" ht="29" hidden="1" x14ac:dyDescent="0.35">
      <c r="A664" s="2960">
        <v>44195</v>
      </c>
      <c r="B664" s="2877">
        <v>317</v>
      </c>
      <c r="C664" s="2956" t="s">
        <v>11809</v>
      </c>
      <c r="D664" s="2968" t="s">
        <v>15</v>
      </c>
      <c r="E664" s="2956" t="s">
        <v>11810</v>
      </c>
      <c r="F664" s="3029"/>
      <c r="G664" s="3040" t="s">
        <v>11470</v>
      </c>
      <c r="H664" s="2892"/>
      <c r="I664" s="2960" t="s">
        <v>2287</v>
      </c>
      <c r="J664" s="2428" t="s">
        <v>6815</v>
      </c>
      <c r="K664" s="3125" t="s">
        <v>15</v>
      </c>
      <c r="L664" s="3119" t="s">
        <v>972</v>
      </c>
      <c r="M664" s="2962">
        <v>0</v>
      </c>
      <c r="N664" s="3027" t="s">
        <v>257</v>
      </c>
      <c r="O664" s="3125" t="s">
        <v>15</v>
      </c>
      <c r="P664" s="3027" t="s">
        <v>17</v>
      </c>
      <c r="Q664" s="3027" t="s">
        <v>10908</v>
      </c>
      <c r="R664" s="3027"/>
      <c r="S664" s="3031"/>
      <c r="T664" s="3057"/>
      <c r="U664" s="2991"/>
      <c r="W664" s="2901"/>
      <c r="X664" s="2862"/>
    </row>
    <row r="665" spans="1:24" s="1592" customFormat="1" ht="43.5" hidden="1" x14ac:dyDescent="0.35">
      <c r="A665" s="2960">
        <v>44228</v>
      </c>
      <c r="B665" s="2877"/>
      <c r="C665" s="2956" t="s">
        <v>11957</v>
      </c>
      <c r="D665" s="2968" t="s">
        <v>11998</v>
      </c>
      <c r="E665" s="2956" t="s">
        <v>11999</v>
      </c>
      <c r="F665" s="3029"/>
      <c r="G665" s="2896" t="s">
        <v>11432</v>
      </c>
      <c r="H665" s="3049"/>
      <c r="I665" s="2960" t="s">
        <v>1870</v>
      </c>
      <c r="J665" s="2970" t="s">
        <v>6815</v>
      </c>
      <c r="K665" s="3125" t="s">
        <v>15</v>
      </c>
      <c r="L665" s="3119" t="s">
        <v>15</v>
      </c>
      <c r="M665" s="2962">
        <v>520</v>
      </c>
      <c r="N665" s="3027" t="s">
        <v>257</v>
      </c>
      <c r="O665" s="3027" t="s">
        <v>15</v>
      </c>
      <c r="P665" s="3027" t="s">
        <v>4068</v>
      </c>
      <c r="Q665" s="3027" t="s">
        <v>10908</v>
      </c>
      <c r="R665" s="3027"/>
      <c r="S665" s="3031"/>
      <c r="T665" s="3057"/>
      <c r="U665" s="2994"/>
      <c r="W665" s="2901"/>
      <c r="X665" s="2862"/>
    </row>
    <row r="666" spans="1:24" s="1592" customFormat="1" ht="43.5" hidden="1" x14ac:dyDescent="0.35">
      <c r="A666" s="2960">
        <v>44187</v>
      </c>
      <c r="B666" s="2877">
        <v>298</v>
      </c>
      <c r="C666" s="2960" t="s">
        <v>11746</v>
      </c>
      <c r="D666" s="2968" t="s">
        <v>11747</v>
      </c>
      <c r="E666" s="2956" t="s">
        <v>1443</v>
      </c>
      <c r="F666" s="2538"/>
      <c r="G666" s="3040" t="s">
        <v>11426</v>
      </c>
      <c r="H666" s="2892"/>
      <c r="I666" s="2960" t="s">
        <v>2287</v>
      </c>
      <c r="J666" s="2428" t="s">
        <v>6815</v>
      </c>
      <c r="K666" s="3125" t="s">
        <v>15</v>
      </c>
      <c r="L666" s="3119" t="s">
        <v>15</v>
      </c>
      <c r="M666" s="2962">
        <v>0</v>
      </c>
      <c r="N666" s="3027" t="s">
        <v>257</v>
      </c>
      <c r="O666" s="3027" t="s">
        <v>15</v>
      </c>
      <c r="P666" s="3027" t="s">
        <v>17</v>
      </c>
      <c r="Q666" s="3027" t="s">
        <v>6041</v>
      </c>
      <c r="R666" s="3027"/>
      <c r="S666" s="3031"/>
      <c r="T666" s="3057"/>
      <c r="U666" s="2992"/>
      <c r="W666" s="2901"/>
      <c r="X666" s="2862"/>
    </row>
    <row r="667" spans="1:24" s="1592" customFormat="1" ht="29" hidden="1" x14ac:dyDescent="0.35">
      <c r="A667" s="2960">
        <v>44195</v>
      </c>
      <c r="B667" s="2877">
        <v>324</v>
      </c>
      <c r="C667" s="2956" t="s">
        <v>11811</v>
      </c>
      <c r="D667" s="2968" t="s">
        <v>11812</v>
      </c>
      <c r="E667" s="3027" t="s">
        <v>11813</v>
      </c>
      <c r="F667" s="3029"/>
      <c r="G667" s="3040" t="s">
        <v>14323</v>
      </c>
      <c r="H667" s="2892"/>
      <c r="I667" s="2960" t="s">
        <v>2287</v>
      </c>
      <c r="J667" s="2428" t="s">
        <v>6815</v>
      </c>
      <c r="K667" s="3125" t="s">
        <v>15</v>
      </c>
      <c r="L667" s="2954" t="s">
        <v>972</v>
      </c>
      <c r="M667" s="2962">
        <v>180</v>
      </c>
      <c r="N667" s="3027" t="s">
        <v>257</v>
      </c>
      <c r="O667" s="3027" t="s">
        <v>15</v>
      </c>
      <c r="P667" s="3027" t="s">
        <v>17</v>
      </c>
      <c r="Q667" s="3027" t="s">
        <v>10908</v>
      </c>
      <c r="R667" s="3027"/>
      <c r="S667" s="3031"/>
      <c r="T667" s="3057"/>
      <c r="U667" s="2992"/>
      <c r="W667" s="2901"/>
      <c r="X667" s="2862"/>
    </row>
    <row r="668" spans="1:24" s="1592" customFormat="1" ht="29" hidden="1" x14ac:dyDescent="0.35">
      <c r="A668" s="2960">
        <v>44189</v>
      </c>
      <c r="B668" s="2877">
        <v>333</v>
      </c>
      <c r="C668" s="2956" t="s">
        <v>11762</v>
      </c>
      <c r="D668" s="2968" t="s">
        <v>11538</v>
      </c>
      <c r="E668" s="2956" t="s">
        <v>11515</v>
      </c>
      <c r="F668" s="3029"/>
      <c r="G668" s="3040" t="s">
        <v>11420</v>
      </c>
      <c r="H668" s="2892"/>
      <c r="I668" s="2960" t="s">
        <v>2287</v>
      </c>
      <c r="J668" s="2428" t="s">
        <v>6815</v>
      </c>
      <c r="K668" s="3125" t="s">
        <v>15</v>
      </c>
      <c r="L668" s="3119" t="s">
        <v>972</v>
      </c>
      <c r="M668" s="2962">
        <v>126</v>
      </c>
      <c r="N668" s="3027" t="s">
        <v>257</v>
      </c>
      <c r="O668" s="3027" t="s">
        <v>15</v>
      </c>
      <c r="P668" s="3027" t="s">
        <v>17</v>
      </c>
      <c r="Q668" s="3027" t="s">
        <v>6041</v>
      </c>
      <c r="R668" s="3027"/>
      <c r="S668" s="3031"/>
      <c r="T668" s="3057"/>
      <c r="U668" s="2994"/>
      <c r="W668" s="2901"/>
      <c r="X668" s="2862"/>
    </row>
    <row r="669" spans="1:24" s="1592" customFormat="1" ht="217.5" hidden="1" x14ac:dyDescent="0.35">
      <c r="A669" s="2960">
        <v>44206</v>
      </c>
      <c r="B669" s="2997"/>
      <c r="C669" s="2956" t="s">
        <v>11851</v>
      </c>
      <c r="D669" s="2951" t="s">
        <v>1841</v>
      </c>
      <c r="E669" s="2956" t="s">
        <v>11856</v>
      </c>
      <c r="F669" s="5"/>
      <c r="G669" s="2892"/>
      <c r="H669" s="2892"/>
      <c r="I669" s="2960" t="s">
        <v>11864</v>
      </c>
      <c r="J669" s="2970" t="s">
        <v>6815</v>
      </c>
      <c r="K669" s="3125">
        <v>0.39583333333333331</v>
      </c>
      <c r="L669" s="3125">
        <v>0.39583333333333331</v>
      </c>
      <c r="M669" s="2128">
        <f>80+1.2*150</f>
        <v>260</v>
      </c>
      <c r="N669" s="2956" t="s">
        <v>11852</v>
      </c>
      <c r="O669" s="2956" t="s">
        <v>15</v>
      </c>
      <c r="P669" s="2956" t="s">
        <v>17</v>
      </c>
      <c r="Q669" s="2956" t="s">
        <v>2084</v>
      </c>
      <c r="R669" s="2956"/>
      <c r="S669" s="3060"/>
      <c r="T669" s="3057"/>
      <c r="U669" s="2992"/>
      <c r="W669" s="2901"/>
      <c r="X669" s="2862"/>
    </row>
    <row r="670" spans="1:24" s="1592" customFormat="1" ht="66" hidden="1" x14ac:dyDescent="0.35">
      <c r="A670" s="2960">
        <v>44180</v>
      </c>
      <c r="B670" s="2877">
        <f>1+B669</f>
        <v>1</v>
      </c>
      <c r="C670" s="2960" t="s">
        <v>11739</v>
      </c>
      <c r="D670" s="2968" t="s">
        <v>11228</v>
      </c>
      <c r="E670" s="2956" t="s">
        <v>11706</v>
      </c>
      <c r="F670" s="3029"/>
      <c r="G670" s="3040" t="s">
        <v>11705</v>
      </c>
      <c r="H670" s="2892"/>
      <c r="I670" s="2960" t="s">
        <v>2287</v>
      </c>
      <c r="J670" s="2428" t="s">
        <v>6815</v>
      </c>
      <c r="K670" s="3125">
        <v>0.52083333333333337</v>
      </c>
      <c r="L670" s="3119">
        <v>0.52083333333333337</v>
      </c>
      <c r="M670" s="2962">
        <f>180</f>
        <v>180</v>
      </c>
      <c r="N670" s="3027" t="s">
        <v>11707</v>
      </c>
      <c r="O670" s="3027" t="s">
        <v>15</v>
      </c>
      <c r="P670" s="3027" t="s">
        <v>17</v>
      </c>
      <c r="Q670" s="3027" t="s">
        <v>2084</v>
      </c>
      <c r="R670" s="3027"/>
      <c r="S670" s="3031"/>
      <c r="T670" s="3057"/>
      <c r="U670" s="2992"/>
      <c r="W670" s="2901"/>
      <c r="X670" s="2862"/>
    </row>
    <row r="671" spans="1:24" s="1592" customFormat="1" ht="43.5" hidden="1" x14ac:dyDescent="0.35">
      <c r="A671" s="3069">
        <v>44286</v>
      </c>
      <c r="B671" s="3070">
        <v>26</v>
      </c>
      <c r="C671" s="3068" t="s">
        <v>12113</v>
      </c>
      <c r="D671" s="3071" t="s">
        <v>1761</v>
      </c>
      <c r="E671" s="3068" t="s">
        <v>12354</v>
      </c>
      <c r="F671" s="3072"/>
      <c r="G671" s="3073"/>
      <c r="H671" s="3049"/>
      <c r="I671" s="3069" t="s">
        <v>11830</v>
      </c>
      <c r="J671" s="3074" t="s">
        <v>12353</v>
      </c>
      <c r="K671" s="3075">
        <v>0.4597222222222222</v>
      </c>
      <c r="L671" s="2988">
        <v>0.47569444444444442</v>
      </c>
      <c r="M671" s="2820">
        <f>680*0.7</f>
        <v>475.99999999999994</v>
      </c>
      <c r="N671" s="3072" t="s">
        <v>12114</v>
      </c>
      <c r="O671" s="3072" t="s">
        <v>10475</v>
      </c>
      <c r="P671" s="3072" t="s">
        <v>821</v>
      </c>
      <c r="Q671" s="3072" t="s">
        <v>2084</v>
      </c>
      <c r="R671" s="3027"/>
      <c r="S671" s="3031"/>
      <c r="T671" s="3057"/>
      <c r="U671" s="2989"/>
      <c r="W671" s="2901"/>
      <c r="X671" s="2862"/>
    </row>
    <row r="672" spans="1:24" s="1592" customFormat="1" ht="43.5" hidden="1" x14ac:dyDescent="0.35">
      <c r="A672" s="2960">
        <v>44222</v>
      </c>
      <c r="B672" s="2877"/>
      <c r="C672" s="2956" t="s">
        <v>11943</v>
      </c>
      <c r="D672" s="2968" t="s">
        <v>11944</v>
      </c>
      <c r="E672" s="2956" t="s">
        <v>11945</v>
      </c>
      <c r="F672" s="2521"/>
      <c r="G672" s="2896"/>
      <c r="H672" s="2889"/>
      <c r="I672" s="2960" t="s">
        <v>11830</v>
      </c>
      <c r="J672" s="2970" t="s">
        <v>11950</v>
      </c>
      <c r="K672" s="3125" t="s">
        <v>15</v>
      </c>
      <c r="L672" s="3125" t="s">
        <v>15</v>
      </c>
      <c r="M672" s="2128">
        <v>315</v>
      </c>
      <c r="N672" s="2956" t="s">
        <v>11946</v>
      </c>
      <c r="O672" s="2956" t="s">
        <v>15</v>
      </c>
      <c r="P672" s="2956" t="s">
        <v>4068</v>
      </c>
      <c r="Q672" s="2956" t="s">
        <v>10908</v>
      </c>
      <c r="R672" s="2956"/>
      <c r="S672" s="3031"/>
      <c r="T672" s="3057"/>
      <c r="U672" s="2992"/>
      <c r="W672" s="2901"/>
      <c r="X672" s="2862"/>
    </row>
    <row r="673" spans="1:24" s="1592" customFormat="1" ht="101.5" hidden="1" x14ac:dyDescent="0.35">
      <c r="A673" s="2960">
        <v>44264</v>
      </c>
      <c r="B673" s="2877"/>
      <c r="C673" s="2969" t="s">
        <v>12297</v>
      </c>
      <c r="D673" s="2968" t="s">
        <v>11922</v>
      </c>
      <c r="E673" s="2808" t="s">
        <v>12299</v>
      </c>
      <c r="F673" s="3027"/>
      <c r="G673" s="2896" t="s">
        <v>12010</v>
      </c>
      <c r="H673" s="2892"/>
      <c r="I673" s="2960" t="s">
        <v>11830</v>
      </c>
      <c r="J673" s="2970" t="s">
        <v>12298</v>
      </c>
      <c r="K673" s="3125" t="s">
        <v>15</v>
      </c>
      <c r="L673" s="2954" t="s">
        <v>1594</v>
      </c>
      <c r="M673" s="2962">
        <f>765</f>
        <v>765</v>
      </c>
      <c r="N673" s="3027" t="s">
        <v>8910</v>
      </c>
      <c r="O673" s="3027" t="s">
        <v>15</v>
      </c>
      <c r="P673" s="3027" t="s">
        <v>17</v>
      </c>
      <c r="Q673" s="3027" t="s">
        <v>10908</v>
      </c>
      <c r="R673" s="3027"/>
      <c r="S673" s="3031"/>
      <c r="T673" s="3057"/>
      <c r="U673" s="2989"/>
      <c r="W673" s="2901"/>
      <c r="X673" s="2862"/>
    </row>
    <row r="674" spans="1:24" s="1592" customFormat="1" ht="43.5" hidden="1" x14ac:dyDescent="0.35">
      <c r="A674" s="2960">
        <v>44173</v>
      </c>
      <c r="B674" s="2877">
        <v>235</v>
      </c>
      <c r="C674" s="2956" t="s">
        <v>11665</v>
      </c>
      <c r="D674" s="2968" t="s">
        <v>11268</v>
      </c>
      <c r="E674" s="2956" t="s">
        <v>11664</v>
      </c>
      <c r="F674" s="3029"/>
      <c r="G674" s="3040" t="s">
        <v>11644</v>
      </c>
      <c r="H674" s="2892"/>
      <c r="I674" s="2960" t="s">
        <v>11830</v>
      </c>
      <c r="J674" s="2970" t="s">
        <v>11666</v>
      </c>
      <c r="K674" s="3125">
        <v>0.5</v>
      </c>
      <c r="L674" s="3119">
        <v>0.72152777777777777</v>
      </c>
      <c r="M674" s="2962">
        <v>110</v>
      </c>
      <c r="N674" s="2521" t="s">
        <v>257</v>
      </c>
      <c r="O674" s="3027" t="s">
        <v>11759</v>
      </c>
      <c r="P674" s="2521" t="s">
        <v>17</v>
      </c>
      <c r="Q674" s="3027" t="s">
        <v>6041</v>
      </c>
      <c r="R674" s="3027"/>
      <c r="S674" s="3031"/>
      <c r="T674" s="3057"/>
      <c r="U674" s="2989"/>
      <c r="W674" s="2901"/>
      <c r="X674" s="2862"/>
    </row>
    <row r="675" spans="1:24" s="1592" customFormat="1" ht="72.5" hidden="1" x14ac:dyDescent="0.35">
      <c r="A675" s="2960">
        <v>44311</v>
      </c>
      <c r="B675" s="2966"/>
      <c r="C675" s="2956" t="s">
        <v>12602</v>
      </c>
      <c r="D675" s="2968" t="s">
        <v>12603</v>
      </c>
      <c r="E675" s="2956" t="s">
        <v>12601</v>
      </c>
      <c r="F675" s="3027"/>
      <c r="G675" s="2896" t="s">
        <v>11466</v>
      </c>
      <c r="H675" s="3041"/>
      <c r="I675" s="2960" t="s">
        <v>11830</v>
      </c>
      <c r="J675" s="2970" t="s">
        <v>12605</v>
      </c>
      <c r="K675" s="3125" t="s">
        <v>15</v>
      </c>
      <c r="L675" s="3119" t="s">
        <v>972</v>
      </c>
      <c r="M675" s="2962">
        <v>165</v>
      </c>
      <c r="N675" s="3027" t="s">
        <v>257</v>
      </c>
      <c r="O675" s="2967" t="s">
        <v>15</v>
      </c>
      <c r="P675" s="3027" t="s">
        <v>12323</v>
      </c>
      <c r="Q675" s="3027" t="s">
        <v>12604</v>
      </c>
      <c r="R675" s="3027"/>
      <c r="S675" s="3031"/>
      <c r="T675" s="3051"/>
      <c r="U675" s="2994"/>
      <c r="W675" s="2901"/>
      <c r="X675" s="2862"/>
    </row>
    <row r="676" spans="1:24" s="1592" customFormat="1" ht="43.5" hidden="1" x14ac:dyDescent="0.35">
      <c r="A676" s="2960">
        <v>44225</v>
      </c>
      <c r="B676" s="2877"/>
      <c r="C676" s="2956" t="s">
        <v>11970</v>
      </c>
      <c r="D676" s="2968" t="s">
        <v>11971</v>
      </c>
      <c r="E676" s="2956" t="s">
        <v>11319</v>
      </c>
      <c r="F676" s="3027"/>
      <c r="G676" s="2896"/>
      <c r="H676" s="2889"/>
      <c r="I676" s="2960" t="s">
        <v>11830</v>
      </c>
      <c r="J676" s="2970" t="s">
        <v>11973</v>
      </c>
      <c r="K676" s="3125" t="s">
        <v>15</v>
      </c>
      <c r="L676" s="3119" t="s">
        <v>972</v>
      </c>
      <c r="M676" s="2962">
        <v>224</v>
      </c>
      <c r="N676" s="3027" t="s">
        <v>392</v>
      </c>
      <c r="O676" s="3027" t="s">
        <v>15</v>
      </c>
      <c r="P676" s="3027" t="s">
        <v>821</v>
      </c>
      <c r="Q676" s="3027" t="s">
        <v>11327</v>
      </c>
      <c r="R676" s="3027"/>
      <c r="S676" s="3031"/>
      <c r="T676" s="3057"/>
      <c r="U676" s="2989"/>
      <c r="W676" s="2901"/>
      <c r="X676" s="2862"/>
    </row>
    <row r="677" spans="1:24" s="1592" customFormat="1" ht="43.5" hidden="1" x14ac:dyDescent="0.35">
      <c r="A677" s="2960">
        <v>44225</v>
      </c>
      <c r="B677" s="2877"/>
      <c r="C677" s="2956" t="s">
        <v>11970</v>
      </c>
      <c r="D677" s="2968" t="s">
        <v>11971</v>
      </c>
      <c r="E677" s="2956" t="s">
        <v>11982</v>
      </c>
      <c r="F677" s="3027"/>
      <c r="G677" s="2896"/>
      <c r="H677" s="2892"/>
      <c r="I677" s="2960" t="s">
        <v>11830</v>
      </c>
      <c r="J677" s="2970" t="s">
        <v>11972</v>
      </c>
      <c r="K677" s="3125" t="s">
        <v>15</v>
      </c>
      <c r="L677" s="3119" t="s">
        <v>972</v>
      </c>
      <c r="M677" s="2962">
        <v>195</v>
      </c>
      <c r="N677" s="3027" t="s">
        <v>392</v>
      </c>
      <c r="O677" s="3027" t="s">
        <v>15</v>
      </c>
      <c r="P677" s="3027" t="s">
        <v>821</v>
      </c>
      <c r="Q677" s="3027" t="s">
        <v>8499</v>
      </c>
      <c r="R677" s="3027"/>
      <c r="S677" s="3031"/>
      <c r="T677" s="3057"/>
      <c r="U677" s="2989"/>
      <c r="W677" s="2901"/>
      <c r="X677" s="2862"/>
    </row>
    <row r="678" spans="1:24" s="1592" customFormat="1" ht="58" hidden="1" x14ac:dyDescent="0.35">
      <c r="A678" s="2960">
        <v>44201</v>
      </c>
      <c r="B678" s="2877"/>
      <c r="C678" s="2956" t="s">
        <v>11833</v>
      </c>
      <c r="D678" s="2968" t="s">
        <v>11832</v>
      </c>
      <c r="E678" s="2956" t="s">
        <v>11831</v>
      </c>
      <c r="F678" s="3027"/>
      <c r="G678" s="2896" t="s">
        <v>12588</v>
      </c>
      <c r="H678" s="2889"/>
      <c r="I678" s="2960" t="s">
        <v>11830</v>
      </c>
      <c r="J678" s="2970" t="s">
        <v>11282</v>
      </c>
      <c r="K678" s="3125" t="s">
        <v>15</v>
      </c>
      <c r="L678" s="3119" t="s">
        <v>972</v>
      </c>
      <c r="M678" s="2962">
        <f>150*1.2+38</f>
        <v>218</v>
      </c>
      <c r="N678" s="3027" t="s">
        <v>392</v>
      </c>
      <c r="O678" s="3027" t="s">
        <v>15</v>
      </c>
      <c r="P678" s="3027" t="s">
        <v>821</v>
      </c>
      <c r="Q678" s="3027" t="s">
        <v>11244</v>
      </c>
      <c r="R678" s="3027"/>
      <c r="S678" s="3031"/>
      <c r="T678" s="3057"/>
      <c r="U678" s="2992"/>
      <c r="W678" s="2901"/>
      <c r="X678" s="2862"/>
    </row>
    <row r="679" spans="1:24" s="1592" customFormat="1" ht="72.5" hidden="1" x14ac:dyDescent="0.35">
      <c r="A679" s="2960">
        <v>44231</v>
      </c>
      <c r="B679" s="2877">
        <v>34</v>
      </c>
      <c r="C679" s="2956" t="s">
        <v>12030</v>
      </c>
      <c r="D679" s="2968" t="s">
        <v>12028</v>
      </c>
      <c r="E679" s="2956" t="s">
        <v>12029</v>
      </c>
      <c r="F679" s="3027"/>
      <c r="G679" s="2896"/>
      <c r="H679" s="2892"/>
      <c r="I679" s="2960" t="s">
        <v>11830</v>
      </c>
      <c r="J679" s="2970" t="s">
        <v>11899</v>
      </c>
      <c r="K679" s="3125">
        <v>0.45833333333333331</v>
      </c>
      <c r="L679" s="3125">
        <v>0.45833333333333331</v>
      </c>
      <c r="M679" s="2962">
        <v>180</v>
      </c>
      <c r="N679" s="3027" t="s">
        <v>392</v>
      </c>
      <c r="O679" s="3027" t="s">
        <v>15</v>
      </c>
      <c r="P679" s="3027" t="s">
        <v>821</v>
      </c>
      <c r="Q679" s="3027" t="s">
        <v>2084</v>
      </c>
      <c r="R679" s="3027"/>
      <c r="S679" s="3031"/>
      <c r="T679" s="3057"/>
      <c r="U679" s="2989"/>
      <c r="W679" s="2901"/>
      <c r="X679" s="2862"/>
    </row>
    <row r="680" spans="1:24" s="1592" customFormat="1" ht="29" hidden="1" x14ac:dyDescent="0.35">
      <c r="A680" s="2960">
        <v>44230</v>
      </c>
      <c r="B680" s="2877">
        <v>54</v>
      </c>
      <c r="C680" s="2956" t="s">
        <v>12022</v>
      </c>
      <c r="D680" s="2968" t="s">
        <v>12023</v>
      </c>
      <c r="E680" s="2956" t="s">
        <v>11914</v>
      </c>
      <c r="F680" s="3027"/>
      <c r="G680" s="2896" t="s">
        <v>11422</v>
      </c>
      <c r="H680" s="2892"/>
      <c r="I680" s="2960" t="s">
        <v>11830</v>
      </c>
      <c r="J680" s="2970" t="s">
        <v>11882</v>
      </c>
      <c r="K680" s="3125">
        <v>0.45833333333333331</v>
      </c>
      <c r="L680" s="3119">
        <v>0.45833333333333331</v>
      </c>
      <c r="M680" s="2962">
        <v>120</v>
      </c>
      <c r="N680" s="3027" t="s">
        <v>392</v>
      </c>
      <c r="O680" s="3027" t="s">
        <v>15</v>
      </c>
      <c r="P680" s="3027" t="s">
        <v>821</v>
      </c>
      <c r="Q680" s="3027" t="s">
        <v>11327</v>
      </c>
      <c r="R680" s="3027"/>
      <c r="S680" s="3031"/>
      <c r="T680" s="3057"/>
      <c r="U680" s="2989"/>
      <c r="W680" s="2901"/>
      <c r="X680" s="2862"/>
    </row>
    <row r="681" spans="1:24" ht="46" x14ac:dyDescent="1">
      <c r="E681" s="2757"/>
      <c r="F681" s="2863"/>
      <c r="G681" s="2863"/>
      <c r="L681" s="2757" t="s">
        <v>11737</v>
      </c>
      <c r="R681" s="1592"/>
      <c r="S681" s="1592"/>
      <c r="T681" s="3085"/>
      <c r="V681" s="1" t="s">
        <v>12708</v>
      </c>
    </row>
    <row r="682" spans="1:24" ht="46" x14ac:dyDescent="1">
      <c r="B682" s="1"/>
      <c r="E682" s="2757"/>
      <c r="F682" s="2757" t="s">
        <v>11825</v>
      </c>
      <c r="G682" s="2757"/>
      <c r="J682" s="1">
        <f>281*2</f>
        <v>562</v>
      </c>
      <c r="M682" s="2757" t="s">
        <v>12718</v>
      </c>
      <c r="N682" s="2757"/>
      <c r="O682" s="2757"/>
      <c r="P682" s="2757"/>
      <c r="S682" s="2863"/>
    </row>
    <row r="683" spans="1:24" ht="46" x14ac:dyDescent="1">
      <c r="A683" s="2863"/>
      <c r="B683" s="2863"/>
      <c r="C683" s="2928">
        <v>120</v>
      </c>
      <c r="D683" s="2935" t="s">
        <v>12418</v>
      </c>
      <c r="E683" s="2977" t="s">
        <v>12391</v>
      </c>
      <c r="F683" s="3029"/>
      <c r="G683" s="2971" t="s">
        <v>12390</v>
      </c>
      <c r="I683" s="2863"/>
      <c r="J683" s="2863"/>
      <c r="K683" s="2863"/>
      <c r="L683" s="2863"/>
      <c r="M683" s="2757"/>
      <c r="N683" s="2757"/>
      <c r="O683" s="2757"/>
      <c r="P683" s="2757"/>
      <c r="Q683" s="2863"/>
      <c r="S683" s="2863"/>
    </row>
    <row r="684" spans="1:24" ht="58" x14ac:dyDescent="1">
      <c r="A684" s="2863"/>
      <c r="B684" s="2863"/>
      <c r="C684" s="2928">
        <v>120</v>
      </c>
      <c r="D684" s="2935" t="s">
        <v>12419</v>
      </c>
      <c r="E684" s="2977" t="s">
        <v>12421</v>
      </c>
      <c r="F684" s="3029"/>
      <c r="G684" s="2971" t="s">
        <v>12428</v>
      </c>
      <c r="I684" s="2863"/>
      <c r="J684" s="2863"/>
      <c r="K684" s="2863"/>
      <c r="L684" s="2863"/>
      <c r="M684" s="2757"/>
      <c r="N684" s="2757"/>
      <c r="O684" s="2757"/>
      <c r="P684" s="2757"/>
      <c r="Q684" s="2863"/>
      <c r="S684" s="2863"/>
    </row>
    <row r="685" spans="1:24" ht="46" x14ac:dyDescent="1">
      <c r="A685" s="2863"/>
      <c r="B685" s="2863"/>
      <c r="C685" s="2928">
        <v>120</v>
      </c>
      <c r="D685" s="2935" t="s">
        <v>12420</v>
      </c>
      <c r="E685" s="2977" t="s">
        <v>12422</v>
      </c>
      <c r="F685" s="3029"/>
      <c r="G685" s="2971" t="s">
        <v>12430</v>
      </c>
      <c r="I685" s="2863"/>
      <c r="J685" s="2863"/>
      <c r="K685" s="2863"/>
      <c r="L685" s="2863"/>
      <c r="M685" s="2757"/>
      <c r="N685" s="2757"/>
      <c r="O685" s="2757"/>
      <c r="P685" s="2757"/>
      <c r="Q685" s="2863"/>
      <c r="S685" s="2863"/>
    </row>
    <row r="686" spans="1:24" ht="46" x14ac:dyDescent="1">
      <c r="A686" s="2863"/>
      <c r="B686" s="2863"/>
      <c r="C686" s="2928">
        <v>150</v>
      </c>
      <c r="D686" s="2935" t="s">
        <v>12387</v>
      </c>
      <c r="E686" s="2977" t="s">
        <v>12388</v>
      </c>
      <c r="F686" s="3029"/>
      <c r="G686" s="2971" t="s">
        <v>12394</v>
      </c>
      <c r="I686" s="2863"/>
      <c r="J686" s="2863"/>
      <c r="K686" s="2863"/>
      <c r="L686" s="2863"/>
      <c r="M686" s="2757"/>
      <c r="N686" s="2757"/>
      <c r="O686" s="2757"/>
      <c r="P686" s="2757"/>
      <c r="Q686" s="2863"/>
      <c r="S686" s="2863"/>
    </row>
    <row r="687" spans="1:24" ht="72.5" x14ac:dyDescent="1">
      <c r="A687" s="2863"/>
      <c r="B687" s="2863"/>
      <c r="C687" s="2928">
        <v>320</v>
      </c>
      <c r="D687" s="2935" t="s">
        <v>12392</v>
      </c>
      <c r="E687" s="2977" t="s">
        <v>12398</v>
      </c>
      <c r="F687" s="3029"/>
      <c r="G687" s="2971" t="s">
        <v>12397</v>
      </c>
      <c r="I687" s="2863"/>
      <c r="J687" s="2863"/>
      <c r="K687" s="2863"/>
      <c r="L687" s="2863"/>
      <c r="M687" s="2757"/>
      <c r="N687" s="2757"/>
      <c r="O687" s="2757"/>
      <c r="P687" s="2757"/>
      <c r="Q687" s="2863"/>
      <c r="S687" s="2863"/>
    </row>
    <row r="688" spans="1:24" ht="72.5" x14ac:dyDescent="1">
      <c r="A688" s="2863"/>
      <c r="B688" s="2863"/>
      <c r="C688" s="2928">
        <v>320</v>
      </c>
      <c r="D688" s="2935" t="s">
        <v>12641</v>
      </c>
      <c r="E688" s="2977" t="s">
        <v>12642</v>
      </c>
      <c r="F688" s="3029"/>
      <c r="G688" s="2971" t="s">
        <v>12643</v>
      </c>
      <c r="I688" s="2863"/>
      <c r="J688" s="2863"/>
      <c r="K688" s="2863"/>
      <c r="L688" s="3020">
        <v>215</v>
      </c>
      <c r="M688" s="2757"/>
      <c r="N688" s="2757"/>
      <c r="O688" s="2757"/>
      <c r="P688" s="2757"/>
      <c r="Q688" s="2863"/>
    </row>
    <row r="689" spans="1:19" ht="58" x14ac:dyDescent="1">
      <c r="A689" s="2863"/>
      <c r="B689" s="2863"/>
      <c r="C689" s="2928">
        <v>290</v>
      </c>
      <c r="D689" s="2935" t="s">
        <v>12638</v>
      </c>
      <c r="E689" s="2977" t="s">
        <v>12639</v>
      </c>
      <c r="F689" s="3029"/>
      <c r="G689" s="2971" t="s">
        <v>14325</v>
      </c>
      <c r="I689" s="2863"/>
      <c r="J689" s="2863"/>
      <c r="K689" s="2863"/>
      <c r="L689" s="3039"/>
      <c r="M689" s="2757"/>
      <c r="N689" s="2757"/>
      <c r="O689" s="2757"/>
      <c r="P689" s="2757"/>
      <c r="Q689" s="2863"/>
    </row>
    <row r="690" spans="1:19" ht="58" x14ac:dyDescent="1">
      <c r="A690" s="2863"/>
      <c r="B690" s="2863"/>
      <c r="C690" s="2928">
        <v>290</v>
      </c>
      <c r="D690" s="2935" t="s">
        <v>12640</v>
      </c>
      <c r="E690" s="2977" t="s">
        <v>12644</v>
      </c>
      <c r="F690" s="3029"/>
      <c r="G690" s="2971" t="s">
        <v>14308</v>
      </c>
      <c r="I690" s="2863"/>
      <c r="J690" s="2863"/>
      <c r="K690" s="2863"/>
      <c r="L690" s="3020">
        <v>205</v>
      </c>
      <c r="M690" s="2757"/>
      <c r="N690" s="2757"/>
      <c r="O690" s="2757"/>
      <c r="P690" s="2757"/>
      <c r="Q690" s="2863"/>
    </row>
    <row r="691" spans="1:19" ht="46" x14ac:dyDescent="1">
      <c r="A691" s="2863"/>
      <c r="B691" s="2863"/>
      <c r="D691" s="2863"/>
      <c r="E691" s="2757"/>
      <c r="F691" s="2757"/>
      <c r="G691" s="2757"/>
      <c r="I691" s="2863"/>
      <c r="J691" s="2863"/>
      <c r="K691" s="2863"/>
      <c r="L691" s="3020">
        <v>165</v>
      </c>
      <c r="M691" s="2757"/>
      <c r="N691" s="2757"/>
      <c r="O691" s="2757"/>
      <c r="P691" s="2757"/>
      <c r="Q691" s="2863"/>
    </row>
    <row r="692" spans="1:19" ht="72.5" x14ac:dyDescent="0.35">
      <c r="C692" s="2928" t="s">
        <v>12097</v>
      </c>
      <c r="D692" s="2935" t="s">
        <v>12019</v>
      </c>
      <c r="E692" s="2936" t="s">
        <v>12039</v>
      </c>
      <c r="F692" s="2937"/>
      <c r="G692" s="2938" t="s">
        <v>12018</v>
      </c>
      <c r="L692" s="3020">
        <v>355</v>
      </c>
      <c r="O692" s="2761" t="s">
        <v>994</v>
      </c>
    </row>
    <row r="693" spans="1:19" ht="58" x14ac:dyDescent="0.35">
      <c r="C693" s="2928" t="s">
        <v>12098</v>
      </c>
      <c r="D693" s="2935" t="s">
        <v>12040</v>
      </c>
      <c r="E693" s="2936" t="s">
        <v>12041</v>
      </c>
      <c r="F693" s="2937"/>
      <c r="G693" s="2938" t="s">
        <v>12042</v>
      </c>
      <c r="L693" s="3020">
        <v>255</v>
      </c>
      <c r="S693" s="2863"/>
    </row>
    <row r="694" spans="1:19" ht="87" x14ac:dyDescent="0.35">
      <c r="C694" s="2928" t="s">
        <v>12099</v>
      </c>
      <c r="D694" s="2935" t="s">
        <v>12043</v>
      </c>
      <c r="E694" s="2936" t="s">
        <v>12044</v>
      </c>
      <c r="F694" s="2937"/>
      <c r="G694" s="2938" t="s">
        <v>12053</v>
      </c>
      <c r="L694" s="3020">
        <v>375</v>
      </c>
      <c r="P694" s="1">
        <f>4023+64042</f>
        <v>68065</v>
      </c>
      <c r="S694" s="2863"/>
    </row>
    <row r="695" spans="1:19" x14ac:dyDescent="0.35">
      <c r="G695" s="2891" t="s">
        <v>11765</v>
      </c>
      <c r="L695" s="3020">
        <v>110</v>
      </c>
      <c r="S695" s="2863"/>
    </row>
    <row r="696" spans="1:19" ht="60.5" x14ac:dyDescent="0.35">
      <c r="C696" s="2928" t="s">
        <v>12102</v>
      </c>
      <c r="D696" s="2946" t="s">
        <v>12083</v>
      </c>
      <c r="E696" s="2945" t="s">
        <v>12272</v>
      </c>
      <c r="F696" s="2538"/>
      <c r="G696" s="2888" t="s">
        <v>14381</v>
      </c>
      <c r="L696" s="3039"/>
      <c r="S696" s="2863"/>
    </row>
    <row r="697" spans="1:19" x14ac:dyDescent="0.35">
      <c r="A697" s="2863"/>
      <c r="D697" s="2941"/>
      <c r="E697" s="2942"/>
      <c r="F697" s="2944"/>
      <c r="G697" s="2943"/>
      <c r="I697" s="2863"/>
      <c r="J697" s="2863"/>
      <c r="K697" s="2863"/>
      <c r="L697" s="3020">
        <v>165</v>
      </c>
      <c r="M697" s="2863"/>
      <c r="N697" s="2863"/>
      <c r="P697" s="2863"/>
      <c r="Q697" s="2863"/>
    </row>
    <row r="698" spans="1:19" ht="43.5" x14ac:dyDescent="0.35">
      <c r="A698" s="2863"/>
      <c r="C698" s="2928" t="s">
        <v>12100</v>
      </c>
      <c r="D698" s="2946" t="s">
        <v>12084</v>
      </c>
      <c r="E698" s="2945" t="s">
        <v>12086</v>
      </c>
      <c r="F698" s="2538"/>
      <c r="G698" s="2888"/>
      <c r="I698" s="2863"/>
      <c r="J698" s="2863"/>
      <c r="K698" s="2863"/>
      <c r="L698" s="3020">
        <v>165</v>
      </c>
      <c r="M698" s="2863"/>
      <c r="N698" s="2863"/>
      <c r="P698" s="2863"/>
      <c r="Q698" s="2863"/>
      <c r="R698" s="2705"/>
    </row>
    <row r="699" spans="1:19" x14ac:dyDescent="0.35">
      <c r="A699" s="2863"/>
      <c r="D699" s="2941"/>
      <c r="E699" s="2942"/>
      <c r="F699" s="2944"/>
      <c r="G699" s="2943"/>
      <c r="I699" s="2863"/>
      <c r="J699" s="2863"/>
      <c r="K699" s="2863"/>
      <c r="L699" s="3020"/>
      <c r="M699" s="2863"/>
      <c r="N699" s="2863"/>
      <c r="P699" s="2863"/>
      <c r="Q699" s="2863"/>
      <c r="R699" s="2705"/>
    </row>
    <row r="700" spans="1:19" ht="43.5" x14ac:dyDescent="0.35">
      <c r="A700" s="2863"/>
      <c r="C700" s="2928" t="s">
        <v>12101</v>
      </c>
      <c r="D700" s="2946" t="s">
        <v>12085</v>
      </c>
      <c r="E700" s="2961" t="s">
        <v>12087</v>
      </c>
      <c r="F700" s="2538"/>
      <c r="G700" s="2888"/>
      <c r="I700" s="2863"/>
      <c r="J700" s="2863"/>
      <c r="K700" s="2863"/>
      <c r="L700" s="3020">
        <v>165</v>
      </c>
      <c r="M700" s="2863"/>
      <c r="N700" s="2863"/>
      <c r="P700" s="2863"/>
      <c r="Q700" s="2863"/>
      <c r="R700" s="2705"/>
    </row>
    <row r="701" spans="1:19" x14ac:dyDescent="0.35">
      <c r="L701" s="3020">
        <v>215</v>
      </c>
      <c r="R701" s="2705"/>
    </row>
    <row r="702" spans="1:19" ht="88" x14ac:dyDescent="0.35">
      <c r="E702" s="2867" t="s">
        <v>11764</v>
      </c>
      <c r="F702" s="2538"/>
      <c r="G702" s="2888" t="s">
        <v>14382</v>
      </c>
      <c r="J702" s="2501"/>
      <c r="K702" s="2868">
        <v>60</v>
      </c>
      <c r="L702" s="3039"/>
      <c r="M702" s="2501"/>
      <c r="N702" s="2501"/>
      <c r="O702" s="2501"/>
      <c r="P702" s="2501"/>
      <c r="Q702" s="2705"/>
      <c r="R702" s="2705"/>
    </row>
    <row r="703" spans="1:19" ht="66" x14ac:dyDescent="0.35">
      <c r="D703" s="2863"/>
      <c r="E703" s="2867" t="s">
        <v>11766</v>
      </c>
      <c r="F703" s="2538"/>
      <c r="G703" s="2888" t="s">
        <v>11792</v>
      </c>
      <c r="J703" s="2501"/>
      <c r="K703" s="2871"/>
      <c r="L703" s="3020">
        <v>165</v>
      </c>
      <c r="M703" s="2501"/>
      <c r="N703" s="2501"/>
      <c r="O703" s="2501"/>
      <c r="P703" s="2501"/>
      <c r="Q703" s="2705"/>
      <c r="R703" s="2705"/>
    </row>
    <row r="704" spans="1:19" ht="66" x14ac:dyDescent="0.35">
      <c r="D704" s="2863"/>
      <c r="E704" s="2867" t="s">
        <v>11767</v>
      </c>
      <c r="F704" s="2538"/>
      <c r="G704" s="2888" t="s">
        <v>11793</v>
      </c>
      <c r="J704" s="2501"/>
      <c r="K704" s="2871"/>
      <c r="L704" s="3020">
        <v>165</v>
      </c>
      <c r="M704" s="2501"/>
      <c r="N704" s="2501"/>
      <c r="O704" s="2871"/>
      <c r="P704" s="2501"/>
      <c r="Q704" s="2705"/>
      <c r="R704" s="2705"/>
    </row>
    <row r="705" spans="2:18" x14ac:dyDescent="0.35">
      <c r="D705" s="2863"/>
      <c r="J705" s="2501"/>
      <c r="K705" s="2868">
        <v>109</v>
      </c>
      <c r="L705" s="3039"/>
      <c r="M705" s="2501"/>
      <c r="N705" s="2501"/>
      <c r="O705" s="2871"/>
      <c r="P705" s="2501"/>
      <c r="Q705" s="2705"/>
      <c r="R705" s="2705"/>
    </row>
    <row r="706" spans="2:18" x14ac:dyDescent="0.35">
      <c r="J706" s="2501"/>
      <c r="K706" s="2868">
        <v>178</v>
      </c>
      <c r="L706" s="3020">
        <v>255</v>
      </c>
      <c r="M706" s="2501"/>
      <c r="N706" s="2501"/>
      <c r="O706" s="2868">
        <f>2.5*70+24*2+120+15</f>
        <v>358</v>
      </c>
      <c r="P706" s="2501"/>
      <c r="Q706" s="2705"/>
      <c r="R706" s="2705"/>
    </row>
    <row r="707" spans="2:18" x14ac:dyDescent="0.35">
      <c r="J707" s="2501"/>
      <c r="K707" s="2871"/>
      <c r="L707" s="3020">
        <v>285</v>
      </c>
      <c r="M707" s="2501"/>
      <c r="N707" s="2501"/>
      <c r="O707" s="2871"/>
      <c r="P707" s="2501"/>
      <c r="Q707" s="2705"/>
    </row>
    <row r="708" spans="2:18" ht="72.5" x14ac:dyDescent="0.35">
      <c r="E708" s="2867" t="s">
        <v>11770</v>
      </c>
      <c r="F708" s="2538"/>
      <c r="G708" s="2888" t="s">
        <v>14383</v>
      </c>
      <c r="J708" s="2501"/>
      <c r="K708" s="2868">
        <v>170</v>
      </c>
      <c r="L708" s="3039"/>
      <c r="M708" s="2501"/>
      <c r="N708" s="2501"/>
      <c r="O708" s="2871"/>
      <c r="P708" s="2501"/>
      <c r="Q708" s="2705"/>
    </row>
    <row r="709" spans="2:18" ht="58" x14ac:dyDescent="0.35">
      <c r="D709" s="1" t="s">
        <v>11939</v>
      </c>
      <c r="E709" s="1" t="s">
        <v>11764</v>
      </c>
      <c r="J709" s="2705"/>
      <c r="K709" s="2868">
        <v>164</v>
      </c>
      <c r="L709" s="2705"/>
      <c r="M709" s="2705"/>
      <c r="N709" s="2705"/>
      <c r="O709" s="2868">
        <v>265</v>
      </c>
      <c r="P709" s="2705"/>
      <c r="Q709" s="2705"/>
    </row>
    <row r="710" spans="2:18" ht="60.5" x14ac:dyDescent="0.35">
      <c r="D710" s="1" t="s">
        <v>11941</v>
      </c>
      <c r="E710" s="2054" t="s">
        <v>11888</v>
      </c>
      <c r="F710" s="2538"/>
      <c r="G710" s="2888" t="s">
        <v>14375</v>
      </c>
      <c r="J710" s="2705"/>
      <c r="K710" s="2868">
        <v>172</v>
      </c>
      <c r="L710" s="2705"/>
      <c r="M710" s="2705"/>
      <c r="N710" s="2705"/>
      <c r="O710" s="2868">
        <v>127</v>
      </c>
      <c r="P710" s="2705"/>
      <c r="Q710" s="2705"/>
    </row>
    <row r="711" spans="2:18" ht="72.5" x14ac:dyDescent="0.35">
      <c r="D711" s="1" t="s">
        <v>12001</v>
      </c>
      <c r="E711" s="5" t="s">
        <v>11246</v>
      </c>
      <c r="F711" s="2538"/>
      <c r="G711" s="2888" t="s">
        <v>11745</v>
      </c>
      <c r="K711" s="2868">
        <v>160</v>
      </c>
      <c r="O711" s="2868">
        <v>65</v>
      </c>
    </row>
    <row r="712" spans="2:18" x14ac:dyDescent="0.35">
      <c r="K712" s="2868">
        <v>360</v>
      </c>
    </row>
    <row r="713" spans="2:18" x14ac:dyDescent="0.35">
      <c r="K713" s="2868">
        <v>151</v>
      </c>
    </row>
    <row r="714" spans="2:18" x14ac:dyDescent="0.35">
      <c r="B714" s="2871"/>
      <c r="C714" s="2871"/>
      <c r="D714" s="2871"/>
      <c r="E714" s="2868">
        <v>190</v>
      </c>
      <c r="H714" s="2868">
        <v>215</v>
      </c>
      <c r="I714" s="2871"/>
      <c r="J714" s="2871"/>
      <c r="K714" s="2868">
        <v>319.8</v>
      </c>
    </row>
    <row r="715" spans="2:18" x14ac:dyDescent="0.35">
      <c r="B715" s="2868">
        <v>228</v>
      </c>
      <c r="C715" s="2868">
        <v>100</v>
      </c>
      <c r="D715" s="2868">
        <v>185</v>
      </c>
      <c r="E715" s="2868">
        <v>136</v>
      </c>
      <c r="H715" s="2868">
        <v>310</v>
      </c>
      <c r="I715" s="2871"/>
      <c r="J715" s="2871"/>
      <c r="K715" s="2868">
        <v>147</v>
      </c>
    </row>
    <row r="716" spans="2:18" x14ac:dyDescent="0.35">
      <c r="B716" s="2871"/>
      <c r="C716" s="2868">
        <v>0</v>
      </c>
      <c r="D716" s="2871"/>
      <c r="E716" s="2868">
        <v>215</v>
      </c>
      <c r="H716" s="2868">
        <v>210</v>
      </c>
      <c r="I716" s="2868">
        <v>190</v>
      </c>
      <c r="J716" s="2871"/>
      <c r="K716" s="2868">
        <v>136</v>
      </c>
    </row>
    <row r="717" spans="2:18" x14ac:dyDescent="0.35">
      <c r="B717" s="2876"/>
      <c r="C717" s="2868">
        <v>180</v>
      </c>
      <c r="D717" s="2868">
        <v>160</v>
      </c>
      <c r="E717" s="2930">
        <v>30</v>
      </c>
      <c r="H717" s="2868">
        <f>24+1.4*120+10</f>
        <v>202</v>
      </c>
      <c r="I717" s="2868">
        <v>136</v>
      </c>
      <c r="J717" s="2868">
        <v>126</v>
      </c>
    </row>
    <row r="718" spans="2:18" x14ac:dyDescent="0.35">
      <c r="B718" s="2868">
        <v>310</v>
      </c>
      <c r="C718" s="2868">
        <v>310</v>
      </c>
      <c r="D718" s="2868">
        <v>0</v>
      </c>
      <c r="E718" s="2868">
        <v>110</v>
      </c>
      <c r="H718" s="2868">
        <v>136</v>
      </c>
      <c r="I718" s="2868">
        <v>215</v>
      </c>
      <c r="J718" s="2868">
        <v>160</v>
      </c>
    </row>
    <row r="719" spans="2:18" x14ac:dyDescent="0.35">
      <c r="B719" s="2871"/>
      <c r="C719" s="2868">
        <f>1.4*90+10</f>
        <v>136</v>
      </c>
      <c r="D719" s="2868">
        <v>260</v>
      </c>
      <c r="E719" s="2868">
        <v>136</v>
      </c>
      <c r="H719" s="2868">
        <v>172</v>
      </c>
      <c r="I719" s="2871"/>
      <c r="J719" s="2871"/>
    </row>
    <row r="720" spans="2:18" x14ac:dyDescent="0.35">
      <c r="B720" s="2868">
        <v>110</v>
      </c>
      <c r="C720" s="2868">
        <v>150</v>
      </c>
      <c r="D720" s="2868">
        <v>235</v>
      </c>
      <c r="E720" s="2868">
        <v>190</v>
      </c>
      <c r="H720" s="2868">
        <v>160</v>
      </c>
      <c r="I720" s="2868">
        <v>210</v>
      </c>
      <c r="J720" s="2871"/>
    </row>
    <row r="721" spans="2:11" x14ac:dyDescent="0.35">
      <c r="B721" s="2868">
        <v>190</v>
      </c>
      <c r="C721" s="2868">
        <v>178</v>
      </c>
      <c r="D721" s="2868">
        <v>215</v>
      </c>
      <c r="E721" s="2868">
        <f>0.85*(10+99)</f>
        <v>92.649999999999991</v>
      </c>
      <c r="H721" s="2868">
        <v>110</v>
      </c>
      <c r="I721" s="2868">
        <f>5*3+45+10</f>
        <v>70</v>
      </c>
      <c r="J721" s="2876"/>
      <c r="K721" s="2868">
        <v>110</v>
      </c>
    </row>
    <row r="722" spans="2:11" x14ac:dyDescent="0.35">
      <c r="B722" s="2871"/>
      <c r="C722" s="2868">
        <v>136</v>
      </c>
      <c r="D722" s="2868">
        <v>300</v>
      </c>
      <c r="E722" s="2871"/>
      <c r="H722" s="2868">
        <v>310</v>
      </c>
      <c r="I722" s="2868">
        <v>310</v>
      </c>
      <c r="J722" s="2871"/>
      <c r="K722" s="2868">
        <v>463</v>
      </c>
    </row>
    <row r="723" spans="2:11" x14ac:dyDescent="0.35">
      <c r="B723" s="2868">
        <v>310</v>
      </c>
      <c r="C723" s="2868">
        <v>325</v>
      </c>
      <c r="D723" s="2868">
        <v>136</v>
      </c>
      <c r="E723" s="2868">
        <v>100</v>
      </c>
      <c r="H723" s="2871"/>
      <c r="I723" s="2871"/>
      <c r="J723" s="2868">
        <v>310</v>
      </c>
      <c r="K723" s="2876"/>
    </row>
    <row r="724" spans="2:11" x14ac:dyDescent="0.35">
      <c r="B724" s="2868">
        <v>164.8</v>
      </c>
      <c r="C724" s="2868">
        <v>178</v>
      </c>
      <c r="D724" s="2871"/>
      <c r="E724" s="2871"/>
      <c r="H724" s="2871"/>
      <c r="I724" s="2868">
        <v>50</v>
      </c>
      <c r="J724" s="2868">
        <v>310</v>
      </c>
      <c r="K724" s="2868">
        <v>125</v>
      </c>
    </row>
    <row r="725" spans="2:11" x14ac:dyDescent="0.35">
      <c r="B725" s="2871"/>
      <c r="C725" s="2871"/>
      <c r="D725" s="2868">
        <v>30</v>
      </c>
      <c r="E725" s="2868">
        <v>139</v>
      </c>
      <c r="H725" s="2868">
        <v>349</v>
      </c>
      <c r="I725" s="2868">
        <f>350+36</f>
        <v>386</v>
      </c>
      <c r="J725" s="2868">
        <v>228</v>
      </c>
      <c r="K725" s="2871"/>
    </row>
    <row r="726" spans="2:11" x14ac:dyDescent="0.35">
      <c r="B726" s="2868">
        <v>136</v>
      </c>
      <c r="C726" s="2868">
        <f>1.4*90+10</f>
        <v>136</v>
      </c>
      <c r="D726" s="2868">
        <f>90*1.4+27*4+10</f>
        <v>244</v>
      </c>
      <c r="E726" s="2868">
        <v>132</v>
      </c>
      <c r="H726" s="2868">
        <v>260</v>
      </c>
      <c r="I726" s="2868">
        <v>214</v>
      </c>
      <c r="J726" s="2876"/>
      <c r="K726" s="2868">
        <v>460</v>
      </c>
    </row>
    <row r="727" spans="2:11" x14ac:dyDescent="0.35">
      <c r="B727" s="2868">
        <v>280</v>
      </c>
      <c r="C727" s="2868">
        <v>260</v>
      </c>
      <c r="D727" s="2871"/>
      <c r="E727" s="2868">
        <v>136</v>
      </c>
      <c r="H727" s="2868">
        <v>160</v>
      </c>
      <c r="I727" s="2871"/>
      <c r="J727" s="2868">
        <f>10+100+5*15</f>
        <v>185</v>
      </c>
      <c r="K727" s="2931"/>
    </row>
    <row r="728" spans="2:11" x14ac:dyDescent="0.35">
      <c r="B728" s="2871"/>
      <c r="C728" s="2868">
        <v>136</v>
      </c>
      <c r="D728" s="2868">
        <f>90*1.4+10</f>
        <v>136</v>
      </c>
      <c r="E728" s="2868">
        <v>262</v>
      </c>
      <c r="H728" s="2868">
        <v>160</v>
      </c>
      <c r="I728" s="2868">
        <v>310</v>
      </c>
      <c r="J728" s="2868">
        <v>82</v>
      </c>
      <c r="K728" s="2931"/>
    </row>
    <row r="729" spans="2:11" x14ac:dyDescent="0.35">
      <c r="I729" s="2871"/>
      <c r="K729" s="2868">
        <f>70*2.5+1.4*120</f>
        <v>343</v>
      </c>
    </row>
    <row r="730" spans="2:11" x14ac:dyDescent="0.35">
      <c r="I730" s="2871"/>
      <c r="K730" s="2871"/>
    </row>
    <row r="731" spans="2:11" x14ac:dyDescent="0.35">
      <c r="K731" s="2868">
        <v>110</v>
      </c>
    </row>
    <row r="732" spans="2:11" x14ac:dyDescent="0.35">
      <c r="C732" s="2868">
        <v>213</v>
      </c>
      <c r="D732" s="2871"/>
      <c r="E732" s="2868">
        <v>172</v>
      </c>
      <c r="K732" s="2868">
        <v>168</v>
      </c>
    </row>
    <row r="733" spans="2:11" x14ac:dyDescent="0.35">
      <c r="C733" s="2868">
        <f>100/2*3+10</f>
        <v>160</v>
      </c>
      <c r="D733" s="2868">
        <v>260</v>
      </c>
      <c r="E733" s="2871"/>
      <c r="K733" s="2871"/>
    </row>
    <row r="734" spans="2:11" x14ac:dyDescent="0.35">
      <c r="C734" s="2930">
        <f>226</f>
        <v>226</v>
      </c>
      <c r="D734" s="2868">
        <v>310</v>
      </c>
      <c r="E734" s="2871"/>
      <c r="K734" s="2868">
        <v>110</v>
      </c>
    </row>
    <row r="735" spans="2:11" x14ac:dyDescent="0.35">
      <c r="C735" s="2871"/>
      <c r="D735" s="2868">
        <v>190</v>
      </c>
      <c r="E735" s="2871"/>
      <c r="I735" s="2868">
        <v>126</v>
      </c>
      <c r="K735" s="2871"/>
    </row>
    <row r="736" spans="2:11" x14ac:dyDescent="0.35">
      <c r="C736" s="2868">
        <v>136</v>
      </c>
      <c r="D736" s="2868">
        <v>190</v>
      </c>
      <c r="E736" s="2871"/>
      <c r="I736" s="2868">
        <v>215</v>
      </c>
      <c r="J736" s="2868">
        <v>190</v>
      </c>
    </row>
    <row r="737" spans="3:14" x14ac:dyDescent="0.35">
      <c r="C737" s="2868">
        <v>110</v>
      </c>
      <c r="D737" s="2868">
        <v>205</v>
      </c>
      <c r="E737" s="2868">
        <v>126</v>
      </c>
      <c r="I737" s="2868">
        <v>164.8</v>
      </c>
      <c r="J737" s="2868">
        <v>136</v>
      </c>
    </row>
    <row r="738" spans="3:14" x14ac:dyDescent="0.35">
      <c r="C738" s="2868">
        <v>310</v>
      </c>
      <c r="D738" s="2871"/>
      <c r="E738" s="2868">
        <v>178</v>
      </c>
      <c r="I738" s="2871"/>
      <c r="J738" s="2868">
        <v>215</v>
      </c>
      <c r="L738" s="2871"/>
    </row>
    <row r="739" spans="3:14" x14ac:dyDescent="0.35">
      <c r="C739" s="2871"/>
      <c r="D739" s="2868">
        <v>310</v>
      </c>
      <c r="E739" s="2868">
        <f>1.8*150+10</f>
        <v>280</v>
      </c>
      <c r="I739" s="2871"/>
      <c r="J739" s="2871"/>
      <c r="L739" s="2868">
        <v>342</v>
      </c>
    </row>
    <row r="740" spans="3:14" x14ac:dyDescent="0.35">
      <c r="C740" s="2868">
        <v>190</v>
      </c>
      <c r="D740" s="2785">
        <v>480</v>
      </c>
      <c r="E740" s="2871"/>
      <c r="I740" s="2868">
        <v>178</v>
      </c>
      <c r="J740" s="2868">
        <v>210</v>
      </c>
      <c r="L740" s="2868">
        <v>310</v>
      </c>
    </row>
    <row r="741" spans="3:14" x14ac:dyDescent="0.35">
      <c r="C741" s="2868">
        <f>1.4*90+10</f>
        <v>136</v>
      </c>
      <c r="D741" s="2871"/>
      <c r="E741" s="2868">
        <v>136</v>
      </c>
      <c r="I741" s="2871"/>
      <c r="J741" s="2868">
        <f>5*3+45+10</f>
        <v>70</v>
      </c>
      <c r="L741" s="2871"/>
    </row>
    <row r="742" spans="3:14" x14ac:dyDescent="0.35">
      <c r="C742" s="2868">
        <v>100</v>
      </c>
      <c r="D742" s="2868">
        <v>310</v>
      </c>
      <c r="E742" s="2868">
        <v>304</v>
      </c>
      <c r="I742" s="2868">
        <v>0</v>
      </c>
      <c r="J742" s="2868">
        <v>310</v>
      </c>
      <c r="L742" s="2868">
        <v>260</v>
      </c>
    </row>
    <row r="743" spans="3:14" x14ac:dyDescent="0.35">
      <c r="C743" s="2868">
        <v>172</v>
      </c>
      <c r="D743" s="2871"/>
      <c r="E743" s="2868">
        <v>610</v>
      </c>
      <c r="I743" s="2868">
        <v>235</v>
      </c>
      <c r="J743" s="2871"/>
      <c r="L743" s="2871"/>
    </row>
    <row r="744" spans="3:14" x14ac:dyDescent="0.35">
      <c r="C744" s="2868">
        <v>190</v>
      </c>
      <c r="D744" s="2868">
        <v>310</v>
      </c>
      <c r="E744" s="2868">
        <v>190</v>
      </c>
      <c r="I744" s="2868">
        <v>218</v>
      </c>
      <c r="J744" s="2868">
        <v>50</v>
      </c>
      <c r="L744" s="2871"/>
    </row>
    <row r="745" spans="3:14" x14ac:dyDescent="0.35">
      <c r="C745" s="2868">
        <v>290</v>
      </c>
      <c r="D745" s="2868">
        <v>86</v>
      </c>
      <c r="E745" s="2868">
        <v>178</v>
      </c>
      <c r="I745" s="2868">
        <v>136</v>
      </c>
      <c r="J745" s="2868">
        <f>350+36</f>
        <v>386</v>
      </c>
      <c r="L745" s="2868">
        <f>90*1.4+10</f>
        <v>136</v>
      </c>
    </row>
    <row r="746" spans="3:14" x14ac:dyDescent="0.35">
      <c r="C746" s="2871"/>
      <c r="D746" s="2868">
        <v>310</v>
      </c>
      <c r="E746" s="2871"/>
      <c r="I746" s="2871"/>
      <c r="J746" s="2868">
        <v>214</v>
      </c>
      <c r="L746" s="2868">
        <v>205</v>
      </c>
    </row>
    <row r="747" spans="3:14" x14ac:dyDescent="0.35">
      <c r="C747" s="2868">
        <v>436</v>
      </c>
      <c r="D747" s="2871"/>
      <c r="I747" s="2871"/>
      <c r="J747" s="2871"/>
      <c r="L747" s="2868">
        <v>136</v>
      </c>
    </row>
    <row r="748" spans="3:14" x14ac:dyDescent="0.35">
      <c r="C748" s="2876"/>
      <c r="D748" s="2868">
        <v>310</v>
      </c>
      <c r="I748" s="2871"/>
      <c r="J748" s="2868">
        <v>310</v>
      </c>
      <c r="L748" s="2868">
        <v>190</v>
      </c>
    </row>
    <row r="749" spans="3:14" x14ac:dyDescent="0.35">
      <c r="C749" s="2871"/>
      <c r="D749" s="2868">
        <v>190</v>
      </c>
      <c r="E749" s="2868">
        <v>160</v>
      </c>
      <c r="I749" s="2871"/>
      <c r="J749" s="2871"/>
      <c r="L749" s="2868">
        <f>180+1.8*100+100+10</f>
        <v>470</v>
      </c>
    </row>
    <row r="750" spans="3:14" x14ac:dyDescent="0.35">
      <c r="C750" s="2868">
        <v>338.6</v>
      </c>
      <c r="D750" s="2868">
        <f>125+97-25</f>
        <v>197</v>
      </c>
      <c r="E750" s="2871"/>
      <c r="J750" s="2871"/>
      <c r="L750" s="2871"/>
      <c r="N750" s="1">
        <f>90*6</f>
        <v>540</v>
      </c>
    </row>
    <row r="751" spans="3:14" x14ac:dyDescent="0.35">
      <c r="C751" s="2871"/>
      <c r="D751" s="2868">
        <v>160</v>
      </c>
      <c r="E751" s="2868">
        <v>310</v>
      </c>
      <c r="L751" s="2868">
        <v>190</v>
      </c>
    </row>
    <row r="752" spans="3:14" x14ac:dyDescent="0.35">
      <c r="C752" s="2868">
        <v>280</v>
      </c>
      <c r="D752" s="2871"/>
      <c r="E752" s="2871"/>
      <c r="L752" s="2868">
        <v>136</v>
      </c>
    </row>
    <row r="753" spans="3:12" x14ac:dyDescent="0.35">
      <c r="C753" s="2868">
        <v>109</v>
      </c>
      <c r="D753" s="2868">
        <v>310</v>
      </c>
      <c r="E753" s="2868">
        <v>235</v>
      </c>
      <c r="L753" s="2868">
        <v>310</v>
      </c>
    </row>
    <row r="754" spans="3:12" x14ac:dyDescent="0.35">
      <c r="C754" s="2868">
        <v>346</v>
      </c>
      <c r="D754" s="2871"/>
      <c r="E754" s="2871"/>
    </row>
    <row r="755" spans="3:12" x14ac:dyDescent="0.35">
      <c r="C755" s="2868">
        <v>253</v>
      </c>
      <c r="D755" s="2868">
        <v>235</v>
      </c>
      <c r="E755" s="2868">
        <v>230</v>
      </c>
      <c r="J755" s="2868">
        <v>0</v>
      </c>
    </row>
    <row r="756" spans="3:12" x14ac:dyDescent="0.35">
      <c r="C756" s="2868">
        <v>215</v>
      </c>
      <c r="D756" s="2871"/>
      <c r="E756" s="2868">
        <v>131</v>
      </c>
      <c r="J756" s="2868">
        <f>0.8*(5*19+15+99+10)</f>
        <v>175.20000000000002</v>
      </c>
    </row>
    <row r="757" spans="3:12" x14ac:dyDescent="0.35">
      <c r="C757" s="2868">
        <v>226</v>
      </c>
      <c r="D757" s="2868">
        <v>230</v>
      </c>
      <c r="E757" s="2868">
        <v>136</v>
      </c>
      <c r="J757" s="2871"/>
    </row>
    <row r="758" spans="3:12" x14ac:dyDescent="0.35">
      <c r="C758" s="2868">
        <v>412</v>
      </c>
      <c r="D758" s="2868">
        <v>131</v>
      </c>
      <c r="E758" s="2868">
        <f>388-25</f>
        <v>363</v>
      </c>
      <c r="J758" s="2871"/>
    </row>
    <row r="759" spans="3:12" x14ac:dyDescent="0.35">
      <c r="D759" s="2868">
        <v>136</v>
      </c>
      <c r="E759" s="2868">
        <f>1.8*150+25</f>
        <v>295</v>
      </c>
      <c r="J759" s="2868">
        <v>250</v>
      </c>
    </row>
    <row r="760" spans="3:12" x14ac:dyDescent="0.35">
      <c r="D760" s="2868">
        <f>388-25</f>
        <v>363</v>
      </c>
      <c r="E760" s="2868">
        <v>136</v>
      </c>
      <c r="J760" s="2868">
        <v>310</v>
      </c>
    </row>
    <row r="761" spans="3:12" x14ac:dyDescent="0.35">
      <c r="D761" s="2868">
        <f>1.8*150+25</f>
        <v>295</v>
      </c>
      <c r="E761" s="2868">
        <v>260</v>
      </c>
      <c r="J761" s="2868">
        <f>310+270</f>
        <v>580</v>
      </c>
    </row>
    <row r="762" spans="3:12" x14ac:dyDescent="0.35">
      <c r="D762" s="2868">
        <v>136</v>
      </c>
      <c r="E762" s="2868">
        <v>215</v>
      </c>
      <c r="J762" s="2868">
        <v>310</v>
      </c>
    </row>
    <row r="763" spans="3:12" x14ac:dyDescent="0.35">
      <c r="D763" s="2868">
        <v>260</v>
      </c>
      <c r="E763" s="2868">
        <v>310</v>
      </c>
      <c r="J763" s="2871"/>
    </row>
    <row r="764" spans="3:12" x14ac:dyDescent="0.35">
      <c r="D764" s="2868">
        <v>215</v>
      </c>
      <c r="E764" s="2868">
        <v>210</v>
      </c>
      <c r="J764" s="2868">
        <v>172</v>
      </c>
    </row>
    <row r="765" spans="3:12" x14ac:dyDescent="0.35">
      <c r="D765" s="2868">
        <v>310</v>
      </c>
      <c r="E765" s="2868">
        <v>178</v>
      </c>
      <c r="J765" s="2868">
        <v>110</v>
      </c>
    </row>
    <row r="766" spans="3:12" x14ac:dyDescent="0.35">
      <c r="D766" s="2868">
        <v>210</v>
      </c>
      <c r="J766" s="2871"/>
    </row>
    <row r="767" spans="3:12" x14ac:dyDescent="0.35">
      <c r="D767" s="2868">
        <v>178</v>
      </c>
      <c r="J767" s="2868">
        <v>215</v>
      </c>
      <c r="L767" s="2868"/>
    </row>
    <row r="768" spans="3:12" x14ac:dyDescent="0.35">
      <c r="J768" s="2868">
        <v>293</v>
      </c>
      <c r="L768" s="2864"/>
    </row>
    <row r="769" spans="5:12" x14ac:dyDescent="0.35">
      <c r="J769" s="2868">
        <f>149*1.4+90*1.4+20</f>
        <v>354.59999999999997</v>
      </c>
      <c r="L769" s="2868"/>
    </row>
    <row r="770" spans="5:12" x14ac:dyDescent="0.35">
      <c r="L770" s="2871"/>
    </row>
    <row r="771" spans="5:12" x14ac:dyDescent="0.35">
      <c r="E771" s="2868">
        <f>2.5*90+10</f>
        <v>235</v>
      </c>
      <c r="L771" s="2868"/>
    </row>
    <row r="772" spans="5:12" x14ac:dyDescent="0.35">
      <c r="E772" s="2871"/>
      <c r="L772" s="2868"/>
    </row>
    <row r="773" spans="5:12" x14ac:dyDescent="0.35">
      <c r="E773" s="2871"/>
      <c r="L773" s="2785">
        <v>460</v>
      </c>
    </row>
    <row r="774" spans="5:12" x14ac:dyDescent="0.35">
      <c r="E774" s="2868">
        <v>310</v>
      </c>
      <c r="L774" s="2785">
        <f>0.7*(10+150*2.4)</f>
        <v>259</v>
      </c>
    </row>
    <row r="775" spans="5:12" x14ac:dyDescent="0.35">
      <c r="E775" s="2868">
        <f>1.8*90+10</f>
        <v>172</v>
      </c>
      <c r="L775" s="2868"/>
    </row>
    <row r="776" spans="5:12" x14ac:dyDescent="0.35">
      <c r="E776" s="2868">
        <f>1.4*129+10</f>
        <v>190.6</v>
      </c>
      <c r="L776" s="2868"/>
    </row>
    <row r="777" spans="5:12" x14ac:dyDescent="0.35">
      <c r="E777" s="2930">
        <v>30</v>
      </c>
      <c r="L777" s="2871">
        <v>151</v>
      </c>
    </row>
    <row r="778" spans="5:12" x14ac:dyDescent="0.35">
      <c r="E778" s="2868">
        <v>410</v>
      </c>
      <c r="L778" s="2865">
        <v>236</v>
      </c>
    </row>
    <row r="779" spans="5:12" x14ac:dyDescent="0.35">
      <c r="E779" s="2868">
        <v>72</v>
      </c>
      <c r="L779" s="2868"/>
    </row>
    <row r="780" spans="5:12" x14ac:dyDescent="0.35">
      <c r="E780" s="2868">
        <v>310</v>
      </c>
      <c r="L780" s="2868"/>
    </row>
    <row r="781" spans="5:12" x14ac:dyDescent="0.35">
      <c r="E781" s="2868">
        <f>2*15+2*15+4*12+35</f>
        <v>143</v>
      </c>
      <c r="L781" s="2868"/>
    </row>
    <row r="782" spans="5:12" x14ac:dyDescent="0.35">
      <c r="L782" s="2876"/>
    </row>
    <row r="783" spans="5:12" x14ac:dyDescent="0.35">
      <c r="L783" s="2868"/>
    </row>
    <row r="784" spans="5:12" x14ac:dyDescent="0.35">
      <c r="L784" s="2785">
        <v>450</v>
      </c>
    </row>
    <row r="785" spans="1:23" x14ac:dyDescent="0.35">
      <c r="L785" s="2876">
        <v>476</v>
      </c>
    </row>
    <row r="787" spans="1:23" ht="43.5" x14ac:dyDescent="0.35">
      <c r="E787" s="1" t="s">
        <v>11948</v>
      </c>
    </row>
    <row r="788" spans="1:23" ht="87" x14ac:dyDescent="0.35">
      <c r="E788" s="1" t="s">
        <v>11947</v>
      </c>
    </row>
    <row r="789" spans="1:23" ht="72.5" x14ac:dyDescent="0.35">
      <c r="E789" s="1" t="s">
        <v>11949</v>
      </c>
    </row>
    <row r="794" spans="1:23" ht="43.5" x14ac:dyDescent="0.35">
      <c r="L794" s="1" t="s">
        <v>12248</v>
      </c>
    </row>
    <row r="798" spans="1:23" s="2863" customFormat="1" x14ac:dyDescent="0.35">
      <c r="A798" s="1"/>
      <c r="B798" s="2761"/>
      <c r="C798" s="2928"/>
      <c r="D798" s="1"/>
      <c r="E798" s="1"/>
      <c r="F798" s="2886"/>
      <c r="G798" s="2891"/>
      <c r="H798" s="2891"/>
      <c r="I798" s="1"/>
      <c r="J798" s="1"/>
      <c r="K798" s="1"/>
      <c r="L798" s="1"/>
      <c r="M798" s="1"/>
      <c r="N798" s="1"/>
      <c r="O798" s="2761"/>
      <c r="P798" s="1"/>
      <c r="Q798" s="1"/>
      <c r="S798" s="1"/>
      <c r="T798" s="1843"/>
      <c r="W798" s="2674"/>
    </row>
    <row r="800" spans="1:23" s="2863" customFormat="1" x14ac:dyDescent="0.35">
      <c r="A800" s="1"/>
      <c r="B800" s="2761"/>
      <c r="C800" s="2928"/>
      <c r="D800" s="1"/>
      <c r="E800" s="1"/>
      <c r="F800" s="2886"/>
      <c r="G800" s="2891"/>
      <c r="H800" s="2891"/>
      <c r="I800" s="1"/>
      <c r="J800" s="1"/>
      <c r="K800" s="1"/>
      <c r="L800" s="1"/>
      <c r="M800" s="1"/>
      <c r="N800" s="1"/>
      <c r="O800" s="2761"/>
      <c r="P800" s="1"/>
      <c r="Q800" s="1"/>
      <c r="S800" s="1"/>
      <c r="T800" s="1843"/>
      <c r="W800" s="2674"/>
    </row>
    <row r="801" spans="1:23" ht="43.5" x14ac:dyDescent="0.35">
      <c r="E801" s="5" t="s">
        <v>11846</v>
      </c>
    </row>
    <row r="802" spans="1:23" s="2863" customFormat="1" x14ac:dyDescent="0.35">
      <c r="A802" s="1"/>
      <c r="B802" s="2761"/>
      <c r="C802" s="2928"/>
      <c r="D802" s="1"/>
      <c r="E802" s="2054" t="s">
        <v>11848</v>
      </c>
      <c r="F802" s="2886"/>
      <c r="G802" s="2891"/>
      <c r="H802" s="2891"/>
      <c r="I802" s="1"/>
      <c r="J802" s="1"/>
      <c r="K802" s="1"/>
      <c r="L802" s="1"/>
      <c r="M802" s="1"/>
      <c r="N802" s="1"/>
      <c r="O802" s="2761"/>
      <c r="P802" s="1"/>
      <c r="Q802" s="1"/>
      <c r="S802" s="1"/>
      <c r="T802" s="1843"/>
      <c r="W802" s="2674"/>
    </row>
    <row r="803" spans="1:23" ht="29" x14ac:dyDescent="0.35">
      <c r="E803" s="2054" t="s">
        <v>11850</v>
      </c>
    </row>
    <row r="804" spans="1:23" ht="43.5" x14ac:dyDescent="0.35">
      <c r="E804" s="2867" t="s">
        <v>11847</v>
      </c>
    </row>
    <row r="821" spans="5:5" ht="72.5" x14ac:dyDescent="0.35">
      <c r="E821" s="2054" t="s">
        <v>11884</v>
      </c>
    </row>
    <row r="822" spans="5:5" ht="72.5" x14ac:dyDescent="0.35">
      <c r="E822" s="2054" t="s">
        <v>11885</v>
      </c>
    </row>
    <row r="823" spans="5:5" ht="72.5" x14ac:dyDescent="0.35">
      <c r="E823" s="2054" t="s">
        <v>11886</v>
      </c>
    </row>
    <row r="824" spans="5:5" ht="58" x14ac:dyDescent="0.35">
      <c r="E824" s="2054" t="s">
        <v>11887</v>
      </c>
    </row>
    <row r="830" spans="5:5" x14ac:dyDescent="0.35">
      <c r="E830" s="2863"/>
    </row>
    <row r="831" spans="5:5" x14ac:dyDescent="0.35">
      <c r="E831" s="2863"/>
    </row>
    <row r="832" spans="5:5" x14ac:dyDescent="0.35">
      <c r="E832" s="2863"/>
    </row>
    <row r="833" spans="1:23" x14ac:dyDescent="0.35">
      <c r="E833" s="2863"/>
    </row>
    <row r="834" spans="1:23" x14ac:dyDescent="0.35">
      <c r="E834" s="2863"/>
    </row>
    <row r="835" spans="1:23" x14ac:dyDescent="0.35">
      <c r="E835" s="2863"/>
    </row>
    <row r="836" spans="1:23" x14ac:dyDescent="0.35">
      <c r="E836" s="2863"/>
    </row>
    <row r="837" spans="1:23" x14ac:dyDescent="0.35">
      <c r="E837" s="2863"/>
    </row>
    <row r="838" spans="1:23" s="2863" customFormat="1" x14ac:dyDescent="0.35">
      <c r="A838" s="1"/>
      <c r="B838" s="2761"/>
      <c r="C838" s="2928"/>
      <c r="D838" s="1"/>
      <c r="E838" s="1"/>
      <c r="F838" s="2886"/>
      <c r="G838" s="2891"/>
      <c r="H838" s="2891"/>
      <c r="I838" s="1"/>
      <c r="J838" s="1"/>
      <c r="K838" s="1"/>
      <c r="L838" s="1"/>
      <c r="M838" s="1"/>
      <c r="N838" s="1"/>
      <c r="O838" s="2761"/>
      <c r="P838" s="1"/>
      <c r="Q838" s="1"/>
      <c r="S838" s="1"/>
      <c r="T838" s="1843"/>
      <c r="W838" s="2674"/>
    </row>
    <row r="842" spans="1:23" x14ac:dyDescent="0.35">
      <c r="S842" s="2863"/>
    </row>
    <row r="844" spans="1:23" ht="29" x14ac:dyDescent="0.35">
      <c r="E844" s="1" t="s">
        <v>11903</v>
      </c>
      <c r="S844" s="2863"/>
    </row>
    <row r="845" spans="1:23" ht="43.5" x14ac:dyDescent="0.35">
      <c r="E845" s="2867" t="s">
        <v>11901</v>
      </c>
    </row>
    <row r="846" spans="1:23" x14ac:dyDescent="0.35">
      <c r="A846" s="2863"/>
      <c r="D846" s="2863"/>
      <c r="E846" s="2867" t="s">
        <v>11904</v>
      </c>
      <c r="I846" s="2863"/>
      <c r="J846" s="2863"/>
      <c r="K846" s="2863"/>
      <c r="L846" s="2863"/>
      <c r="M846" s="2863"/>
      <c r="N846" s="2863"/>
      <c r="P846" s="2863"/>
      <c r="Q846" s="2863"/>
      <c r="S846" s="2863"/>
    </row>
    <row r="847" spans="1:23" ht="43.5" x14ac:dyDescent="0.35">
      <c r="E847" s="2054" t="s">
        <v>11888</v>
      </c>
    </row>
    <row r="848" spans="1:23" x14ac:dyDescent="0.35">
      <c r="A848" s="2863"/>
      <c r="D848" s="2863"/>
      <c r="E848" s="2054" t="s">
        <v>11905</v>
      </c>
      <c r="I848" s="2863"/>
      <c r="J848" s="2863"/>
      <c r="K848" s="2863"/>
      <c r="L848" s="2863"/>
      <c r="M848" s="2863"/>
      <c r="N848" s="2863"/>
      <c r="P848" s="2863"/>
      <c r="Q848" s="2863"/>
    </row>
    <row r="849" spans="1:17" ht="43.5" x14ac:dyDescent="0.35">
      <c r="E849" s="2867" t="s">
        <v>11902</v>
      </c>
    </row>
    <row r="850" spans="1:17" x14ac:dyDescent="0.35">
      <c r="A850" s="2863"/>
      <c r="D850" s="2863"/>
      <c r="E850" s="2867" t="s">
        <v>11906</v>
      </c>
      <c r="I850" s="2863"/>
      <c r="J850" s="2863"/>
      <c r="K850" s="2863"/>
      <c r="L850" s="2863"/>
      <c r="M850" s="2863"/>
      <c r="N850" s="2863"/>
      <c r="P850" s="2863"/>
      <c r="Q850" s="2863"/>
    </row>
    <row r="851" spans="1:17" ht="29" x14ac:dyDescent="0.35">
      <c r="E851" s="5" t="s">
        <v>11873</v>
      </c>
    </row>
    <row r="856" spans="1:17" x14ac:dyDescent="0.35">
      <c r="E856" s="1" t="s">
        <v>12218</v>
      </c>
    </row>
    <row r="858" spans="1:17" x14ac:dyDescent="0.35">
      <c r="E858" s="1" t="s">
        <v>12217</v>
      </c>
    </row>
    <row r="859" spans="1:17" x14ac:dyDescent="0.35">
      <c r="E859" s="1" t="s">
        <v>12219</v>
      </c>
    </row>
    <row r="860" spans="1:17" x14ac:dyDescent="0.35">
      <c r="E860" s="1" t="s">
        <v>12220</v>
      </c>
    </row>
    <row r="861" spans="1:17" x14ac:dyDescent="0.35">
      <c r="E861" s="1" t="s">
        <v>12221</v>
      </c>
    </row>
    <row r="862" spans="1:17" x14ac:dyDescent="0.35">
      <c r="E862" s="1" t="s">
        <v>12222</v>
      </c>
    </row>
    <row r="863" spans="1:17" x14ac:dyDescent="0.35">
      <c r="E863" s="1" t="s">
        <v>12223</v>
      </c>
    </row>
    <row r="864" spans="1:17" x14ac:dyDescent="0.35">
      <c r="E864" s="1" t="s">
        <v>12224</v>
      </c>
    </row>
    <row r="865" spans="5:5" x14ac:dyDescent="0.35">
      <c r="E865" s="1" t="s">
        <v>12225</v>
      </c>
    </row>
    <row r="866" spans="5:5" x14ac:dyDescent="0.35">
      <c r="E866" s="1" t="s">
        <v>12226</v>
      </c>
    </row>
    <row r="867" spans="5:5" x14ac:dyDescent="0.35">
      <c r="E867" s="1" t="s">
        <v>12227</v>
      </c>
    </row>
    <row r="868" spans="5:5" x14ac:dyDescent="0.35">
      <c r="E868" s="1" t="s">
        <v>12228</v>
      </c>
    </row>
    <row r="869" spans="5:5" x14ac:dyDescent="0.35">
      <c r="E869" s="1" t="s">
        <v>12235</v>
      </c>
    </row>
    <row r="871" spans="5:5" x14ac:dyDescent="0.35">
      <c r="E871" s="1" t="s">
        <v>12229</v>
      </c>
    </row>
    <row r="872" spans="5:5" x14ac:dyDescent="0.35">
      <c r="E872" s="1" t="s">
        <v>12230</v>
      </c>
    </row>
    <row r="874" spans="5:5" x14ac:dyDescent="0.35">
      <c r="E874" s="1" t="s">
        <v>12231</v>
      </c>
    </row>
    <row r="875" spans="5:5" x14ac:dyDescent="0.35">
      <c r="E875" s="1" t="s">
        <v>12232</v>
      </c>
    </row>
    <row r="876" spans="5:5" x14ac:dyDescent="0.35">
      <c r="E876" s="1" t="s">
        <v>12233</v>
      </c>
    </row>
    <row r="877" spans="5:5" x14ac:dyDescent="0.35">
      <c r="E877" s="1" t="s">
        <v>12234</v>
      </c>
    </row>
    <row r="878" spans="5:5" x14ac:dyDescent="0.35">
      <c r="E878" s="1" t="s">
        <v>12236</v>
      </c>
    </row>
    <row r="880" spans="5:5" x14ac:dyDescent="0.35">
      <c r="E880" s="1" t="s">
        <v>12237</v>
      </c>
    </row>
    <row r="881" spans="1:19" x14ac:dyDescent="0.35">
      <c r="E881" s="1" t="s">
        <v>12238</v>
      </c>
      <c r="S881" s="2863"/>
    </row>
    <row r="882" spans="1:19" x14ac:dyDescent="0.35">
      <c r="E882" s="1" t="s">
        <v>12239</v>
      </c>
    </row>
    <row r="883" spans="1:19" x14ac:dyDescent="0.35">
      <c r="E883" s="1" t="s">
        <v>12240</v>
      </c>
    </row>
    <row r="884" spans="1:19" x14ac:dyDescent="0.35">
      <c r="E884" s="1" t="s">
        <v>12241</v>
      </c>
    </row>
    <row r="885" spans="1:19" x14ac:dyDescent="0.35">
      <c r="A885" s="2863"/>
      <c r="D885" s="2863"/>
      <c r="E885" s="2863" t="s">
        <v>12242</v>
      </c>
      <c r="I885" s="2863"/>
      <c r="J885" s="2863"/>
      <c r="K885" s="2863"/>
      <c r="L885" s="2863"/>
      <c r="M885" s="2863"/>
      <c r="N885" s="2863"/>
      <c r="P885" s="2863"/>
      <c r="Q885" s="2863"/>
    </row>
    <row r="886" spans="1:19" x14ac:dyDescent="0.35">
      <c r="E886" s="1" t="s">
        <v>12244</v>
      </c>
    </row>
    <row r="888" spans="1:19" x14ac:dyDescent="0.35">
      <c r="E888" s="1" t="s">
        <v>12243</v>
      </c>
    </row>
    <row r="892" spans="1:19" x14ac:dyDescent="0.35">
      <c r="E892" s="1" t="s">
        <v>12248</v>
      </c>
    </row>
    <row r="894" spans="1:19" x14ac:dyDescent="0.35">
      <c r="E894" s="1" t="s">
        <v>12217</v>
      </c>
    </row>
    <row r="895" spans="1:19" x14ac:dyDescent="0.35">
      <c r="E895" s="2980" t="s">
        <v>12249</v>
      </c>
    </row>
    <row r="896" spans="1:19" x14ac:dyDescent="0.35">
      <c r="E896" s="1" t="s">
        <v>12250</v>
      </c>
    </row>
    <row r="897" spans="5:5" x14ac:dyDescent="0.35">
      <c r="E897" s="1" t="s">
        <v>12251</v>
      </c>
    </row>
    <row r="898" spans="5:5" x14ac:dyDescent="0.35">
      <c r="E898" s="1" t="s">
        <v>12252</v>
      </c>
    </row>
    <row r="900" spans="5:5" x14ac:dyDescent="0.35">
      <c r="E900" s="1" t="s">
        <v>12253</v>
      </c>
    </row>
    <row r="901" spans="5:5" x14ac:dyDescent="0.35">
      <c r="E901" s="1" t="s">
        <v>12254</v>
      </c>
    </row>
    <row r="902" spans="5:5" x14ac:dyDescent="0.35">
      <c r="E902" s="1" t="s">
        <v>12255</v>
      </c>
    </row>
    <row r="904" spans="5:5" x14ac:dyDescent="0.35">
      <c r="E904" s="1" t="s">
        <v>12256</v>
      </c>
    </row>
    <row r="905" spans="5:5" x14ac:dyDescent="0.35">
      <c r="E905" s="1" t="s">
        <v>12257</v>
      </c>
    </row>
    <row r="906" spans="5:5" x14ac:dyDescent="0.35">
      <c r="E906" s="1" t="s">
        <v>12258</v>
      </c>
    </row>
    <row r="908" spans="5:5" x14ac:dyDescent="0.35">
      <c r="E908" s="1" t="s">
        <v>12259</v>
      </c>
    </row>
  </sheetData>
  <dataConsolidate/>
  <phoneticPr fontId="150" type="noConversion"/>
  <dataValidations count="1">
    <dataValidation type="list" allowBlank="1" showInputMessage="1" showErrorMessage="1" sqref="F702:F704 F708 F710:F711 F696:F700 F692:F694 F683:F690 F3:F210 F212:F680" xr:uid="{B539915D-C667-4834-9012-7F9D19056D04}">
      <formula1>produse_ls</formula1>
    </dataValidation>
  </dataValidations>
  <printOptions horizontalCentered="1" verticalCentered="1"/>
  <pageMargins left="0" right="0" top="0" bottom="0" header="0" footer="0"/>
  <pageSetup paperSize="9" scale="57"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pageSetUpPr fitToPage="1"/>
  </sheetPr>
  <dimension ref="A1:O320"/>
  <sheetViews>
    <sheetView topLeftCell="A28" zoomScale="70" zoomScaleNormal="70" workbookViewId="0">
      <selection activeCell="C50" sqref="C50"/>
    </sheetView>
  </sheetViews>
  <sheetFormatPr defaultColWidth="8.90625" defaultRowHeight="14.5" x14ac:dyDescent="0.35"/>
  <cols>
    <col min="1" max="1" width="12.54296875" style="1" customWidth="1"/>
    <col min="2" max="2" width="24.08984375" style="1" customWidth="1"/>
    <col min="3" max="3" width="40.453125" style="1" customWidth="1"/>
    <col min="4" max="4" width="13.08984375" style="1" customWidth="1"/>
    <col min="5" max="5" width="25.90625" style="1" customWidth="1"/>
    <col min="6" max="6" width="8.90625" style="1" customWidth="1"/>
    <col min="7" max="8" width="8.90625" style="1"/>
    <col min="9" max="9" width="18" style="1" customWidth="1"/>
    <col min="10" max="10" width="16.54296875" style="1" customWidth="1"/>
    <col min="11" max="11" width="8.90625" style="1"/>
    <col min="12" max="12" width="18.90625" style="1" customWidth="1"/>
    <col min="13" max="14" width="8.90625" style="1"/>
    <col min="15" max="15" width="11.453125" style="1" bestFit="1" customWidth="1"/>
    <col min="16" max="16384" width="8.90625" style="1"/>
  </cols>
  <sheetData>
    <row r="1" spans="1:15" x14ac:dyDescent="0.35">
      <c r="A1" s="2633" t="s">
        <v>6818</v>
      </c>
      <c r="B1" s="2634" t="s">
        <v>1</v>
      </c>
      <c r="C1" s="2634" t="s">
        <v>2</v>
      </c>
      <c r="D1" s="2634" t="s">
        <v>3</v>
      </c>
      <c r="E1" s="2634" t="s">
        <v>2081</v>
      </c>
      <c r="F1" s="2634" t="s">
        <v>5</v>
      </c>
      <c r="G1" s="2634" t="s">
        <v>6</v>
      </c>
      <c r="H1" s="2634" t="s">
        <v>7</v>
      </c>
      <c r="I1" s="2634" t="s">
        <v>8</v>
      </c>
      <c r="J1" s="2634" t="s">
        <v>9</v>
      </c>
      <c r="K1" s="2634" t="s">
        <v>10</v>
      </c>
      <c r="L1" s="2634" t="s">
        <v>11</v>
      </c>
      <c r="M1" s="2635" t="s">
        <v>6064</v>
      </c>
      <c r="N1" s="2652" t="s">
        <v>2078</v>
      </c>
      <c r="O1" s="1">
        <f>SUM(I1:I156)/4.8</f>
        <v>6586.2541666666666</v>
      </c>
    </row>
    <row r="2" spans="1:15" ht="101.5" x14ac:dyDescent="0.35">
      <c r="A2" s="2149">
        <v>43859</v>
      </c>
      <c r="B2" s="817" t="s">
        <v>6425</v>
      </c>
      <c r="C2" s="5" t="s">
        <v>7082</v>
      </c>
      <c r="D2" s="2486">
        <v>43891</v>
      </c>
      <c r="E2" s="824" t="s">
        <v>6032</v>
      </c>
      <c r="F2" s="6">
        <v>0.5</v>
      </c>
      <c r="G2" s="6">
        <v>0.625</v>
      </c>
      <c r="H2" s="6">
        <v>0.625</v>
      </c>
      <c r="I2" s="1630">
        <v>540</v>
      </c>
      <c r="J2" s="5" t="s">
        <v>7086</v>
      </c>
      <c r="K2" s="5" t="s">
        <v>15</v>
      </c>
      <c r="L2" s="5" t="s">
        <v>22</v>
      </c>
      <c r="M2" s="807" t="s">
        <v>5367</v>
      </c>
      <c r="N2" s="2650"/>
    </row>
    <row r="3" spans="1:15" ht="203" x14ac:dyDescent="0.35">
      <c r="A3" s="2485">
        <v>43879</v>
      </c>
      <c r="B3" s="5" t="s">
        <v>6825</v>
      </c>
      <c r="C3" s="5" t="s">
        <v>6822</v>
      </c>
      <c r="D3" s="2486">
        <v>43891</v>
      </c>
      <c r="E3" s="824" t="s">
        <v>5367</v>
      </c>
      <c r="F3" s="6">
        <v>0.60416666666666663</v>
      </c>
      <c r="G3" s="6">
        <v>0.60416666666666663</v>
      </c>
      <c r="H3" s="6">
        <v>0.60416666666666663</v>
      </c>
      <c r="I3" s="1678">
        <v>0</v>
      </c>
      <c r="J3" s="5" t="s">
        <v>6821</v>
      </c>
      <c r="K3" s="5" t="s">
        <v>15</v>
      </c>
      <c r="L3" s="5" t="s">
        <v>17</v>
      </c>
      <c r="M3" s="5" t="s">
        <v>6034</v>
      </c>
      <c r="N3" s="2649"/>
    </row>
    <row r="4" spans="1:15" ht="232" x14ac:dyDescent="0.35">
      <c r="A4" s="2149">
        <v>43886</v>
      </c>
      <c r="B4" s="817" t="s">
        <v>4548</v>
      </c>
      <c r="C4" s="817" t="s">
        <v>6961</v>
      </c>
      <c r="D4" s="1814">
        <v>43891</v>
      </c>
      <c r="E4" s="1571" t="s">
        <v>7059</v>
      </c>
      <c r="F4" s="2629">
        <v>0.5</v>
      </c>
      <c r="G4" s="2629">
        <v>0.53472222222222221</v>
      </c>
      <c r="H4" s="2629">
        <v>0.53472222222222221</v>
      </c>
      <c r="I4" s="1956">
        <f>65*3.5*4.8</f>
        <v>1092</v>
      </c>
      <c r="J4" s="817" t="s">
        <v>4808</v>
      </c>
      <c r="K4" s="817" t="s">
        <v>119</v>
      </c>
      <c r="L4" s="817" t="s">
        <v>17</v>
      </c>
      <c r="M4" s="817" t="s">
        <v>6827</v>
      </c>
      <c r="N4" s="2649"/>
    </row>
    <row r="5" spans="1:15" ht="101.5" x14ac:dyDescent="0.35">
      <c r="A5" s="2145">
        <v>43887</v>
      </c>
      <c r="B5" s="1733" t="s">
        <v>6990</v>
      </c>
      <c r="C5" s="1733" t="s">
        <v>7049</v>
      </c>
      <c r="D5" s="2146">
        <v>43891</v>
      </c>
      <c r="E5" s="2150" t="s">
        <v>6991</v>
      </c>
      <c r="F5" s="1756">
        <v>0.39583333333333331</v>
      </c>
      <c r="G5" s="1756">
        <v>0.45833333333333331</v>
      </c>
      <c r="H5" s="6">
        <v>0.45833333333333331</v>
      </c>
      <c r="I5" s="1630">
        <v>390</v>
      </c>
      <c r="J5" s="817" t="s">
        <v>6992</v>
      </c>
      <c r="K5" s="817" t="s">
        <v>119</v>
      </c>
      <c r="L5" s="817" t="s">
        <v>17</v>
      </c>
      <c r="M5" s="839" t="s">
        <v>6041</v>
      </c>
      <c r="N5" s="2649"/>
    </row>
    <row r="6" spans="1:15" ht="58" x14ac:dyDescent="0.35">
      <c r="A6" s="2485">
        <v>43887</v>
      </c>
      <c r="B6" s="5" t="s">
        <v>7015</v>
      </c>
      <c r="C6" s="5" t="s">
        <v>7016</v>
      </c>
      <c r="D6" s="2486">
        <v>43891</v>
      </c>
      <c r="E6" s="824" t="s">
        <v>5494</v>
      </c>
      <c r="F6" s="6">
        <v>0.5</v>
      </c>
      <c r="G6" s="6">
        <v>0.5</v>
      </c>
      <c r="H6" s="6">
        <v>0.5</v>
      </c>
      <c r="I6" s="1630">
        <f>(1.2+1.8)*80</f>
        <v>240</v>
      </c>
      <c r="J6" s="817" t="s">
        <v>7017</v>
      </c>
      <c r="K6" s="817" t="s">
        <v>15</v>
      </c>
      <c r="L6" s="817" t="s">
        <v>17</v>
      </c>
      <c r="M6" s="839" t="s">
        <v>5367</v>
      </c>
      <c r="N6" s="2649"/>
    </row>
    <row r="7" spans="1:15" ht="188.5" x14ac:dyDescent="0.35">
      <c r="A7" s="2149">
        <v>43890</v>
      </c>
      <c r="B7" s="817" t="s">
        <v>7071</v>
      </c>
      <c r="C7" s="817" t="s">
        <v>7074</v>
      </c>
      <c r="D7" s="1814">
        <v>43891</v>
      </c>
      <c r="E7" s="1149" t="s">
        <v>7072</v>
      </c>
      <c r="F7" s="2629">
        <v>0.39583333333333331</v>
      </c>
      <c r="G7" s="2629">
        <v>0.41666666666666669</v>
      </c>
      <c r="H7" s="2629">
        <v>0.41666666666666669</v>
      </c>
      <c r="I7" s="1956">
        <f>1.8*200</f>
        <v>360</v>
      </c>
      <c r="J7" s="817" t="s">
        <v>7073</v>
      </c>
      <c r="K7" s="817" t="s">
        <v>119</v>
      </c>
      <c r="L7" s="817" t="s">
        <v>17</v>
      </c>
      <c r="M7" s="839" t="s">
        <v>6053</v>
      </c>
      <c r="N7" s="2649"/>
    </row>
    <row r="8" spans="1:15" ht="43.5" x14ac:dyDescent="0.35">
      <c r="A8" s="2149">
        <v>43890</v>
      </c>
      <c r="B8" s="817" t="s">
        <v>7063</v>
      </c>
      <c r="C8" s="817" t="s">
        <v>7064</v>
      </c>
      <c r="D8" s="1814">
        <v>43891</v>
      </c>
      <c r="E8" s="1149" t="s">
        <v>7065</v>
      </c>
      <c r="F8" s="2629">
        <v>0.5</v>
      </c>
      <c r="G8" s="2629">
        <v>0.66666666666666663</v>
      </c>
      <c r="H8" s="2629"/>
      <c r="I8" s="1809">
        <v>0</v>
      </c>
      <c r="J8" s="817" t="s">
        <v>7066</v>
      </c>
      <c r="K8" s="817" t="s">
        <v>119</v>
      </c>
      <c r="L8" s="817" t="s">
        <v>17</v>
      </c>
      <c r="M8" s="839" t="s">
        <v>6061</v>
      </c>
      <c r="N8" s="2649"/>
    </row>
    <row r="9" spans="1:15" ht="72.5" x14ac:dyDescent="0.35">
      <c r="A9" s="2149">
        <v>43890</v>
      </c>
      <c r="B9" s="817" t="s">
        <v>7060</v>
      </c>
      <c r="C9" s="817" t="s">
        <v>7061</v>
      </c>
      <c r="D9" s="1814">
        <v>43891</v>
      </c>
      <c r="E9" s="1149" t="s">
        <v>5367</v>
      </c>
      <c r="F9" s="2629">
        <v>0.5</v>
      </c>
      <c r="G9" s="2629">
        <v>0.5</v>
      </c>
      <c r="H9" s="2629">
        <v>0.5</v>
      </c>
      <c r="I9" s="1809">
        <v>0</v>
      </c>
      <c r="J9" s="817" t="s">
        <v>16</v>
      </c>
      <c r="K9" s="817" t="s">
        <v>15</v>
      </c>
      <c r="L9" s="817" t="s">
        <v>17</v>
      </c>
      <c r="M9" s="839" t="s">
        <v>5367</v>
      </c>
      <c r="N9" s="2649"/>
    </row>
    <row r="10" spans="1:15" ht="203" x14ac:dyDescent="0.35">
      <c r="A10" s="2485">
        <v>43890</v>
      </c>
      <c r="B10" s="5" t="s">
        <v>7062</v>
      </c>
      <c r="C10" s="5" t="s">
        <v>6981</v>
      </c>
      <c r="D10" s="2486">
        <v>43891</v>
      </c>
      <c r="E10" s="824" t="s">
        <v>5367</v>
      </c>
      <c r="F10" s="6">
        <v>0.5625</v>
      </c>
      <c r="G10" s="6">
        <v>0.5625</v>
      </c>
      <c r="H10" s="6">
        <v>0.5625</v>
      </c>
      <c r="I10" s="1678">
        <v>0</v>
      </c>
      <c r="J10" s="817" t="s">
        <v>16</v>
      </c>
      <c r="K10" s="817" t="s">
        <v>15</v>
      </c>
      <c r="L10" s="817" t="s">
        <v>17</v>
      </c>
      <c r="M10" s="839" t="s">
        <v>6034</v>
      </c>
      <c r="N10" s="2649"/>
    </row>
    <row r="11" spans="1:15" ht="29" x14ac:dyDescent="0.35">
      <c r="A11" s="2485">
        <v>43886</v>
      </c>
      <c r="B11" s="2545" t="s">
        <v>6072</v>
      </c>
      <c r="C11" s="2545" t="s">
        <v>6966</v>
      </c>
      <c r="D11" s="2486">
        <v>43892</v>
      </c>
      <c r="E11" s="2545" t="s">
        <v>6072</v>
      </c>
      <c r="F11" s="2598">
        <v>0.375</v>
      </c>
      <c r="G11" s="2598">
        <v>0.375</v>
      </c>
      <c r="H11" s="2598">
        <v>0.375</v>
      </c>
      <c r="I11" s="2597">
        <f>12*40+12*70</f>
        <v>1320</v>
      </c>
      <c r="J11" s="2629" t="s">
        <v>4060</v>
      </c>
      <c r="K11" s="2629" t="s">
        <v>15</v>
      </c>
      <c r="L11" s="817" t="s">
        <v>17</v>
      </c>
      <c r="M11" s="2569" t="s">
        <v>6034</v>
      </c>
      <c r="N11" s="2649"/>
    </row>
    <row r="12" spans="1:15" ht="29" x14ac:dyDescent="0.35">
      <c r="A12" s="2149">
        <v>43886</v>
      </c>
      <c r="B12" s="2596" t="s">
        <v>6967</v>
      </c>
      <c r="C12" s="2596" t="s">
        <v>6968</v>
      </c>
      <c r="D12" s="1814">
        <v>43892</v>
      </c>
      <c r="E12" s="2596" t="s">
        <v>1445</v>
      </c>
      <c r="F12" s="2599">
        <v>0.375</v>
      </c>
      <c r="G12" s="2599">
        <v>0.375</v>
      </c>
      <c r="H12" s="2599">
        <v>0.375</v>
      </c>
      <c r="I12" s="2613">
        <f>0.7*(3*40+3*70)</f>
        <v>230.99999999999997</v>
      </c>
      <c r="J12" s="2629" t="s">
        <v>1493</v>
      </c>
      <c r="K12" s="2629" t="s">
        <v>15</v>
      </c>
      <c r="L12" s="817" t="s">
        <v>17</v>
      </c>
      <c r="M12" s="2569" t="s">
        <v>6053</v>
      </c>
      <c r="N12" s="2649"/>
    </row>
    <row r="13" spans="1:15" ht="72.5" x14ac:dyDescent="0.35">
      <c r="A13" s="2149">
        <v>43886</v>
      </c>
      <c r="B13" s="2596" t="s">
        <v>6969</v>
      </c>
      <c r="C13" s="2596" t="s">
        <v>6965</v>
      </c>
      <c r="D13" s="1814">
        <v>43892</v>
      </c>
      <c r="E13" s="2596" t="s">
        <v>6970</v>
      </c>
      <c r="F13" s="2599">
        <v>0.41666666666666669</v>
      </c>
      <c r="G13" s="2599">
        <v>0.45833333333333331</v>
      </c>
      <c r="H13" s="2599">
        <v>0.45833333333333331</v>
      </c>
      <c r="I13" s="2613">
        <f>3*99+3*10+4*12+70</f>
        <v>445</v>
      </c>
      <c r="J13" s="2629" t="s">
        <v>6971</v>
      </c>
      <c r="K13" s="817" t="s">
        <v>140</v>
      </c>
      <c r="L13" s="817" t="s">
        <v>17</v>
      </c>
      <c r="M13" s="2569" t="s">
        <v>6053</v>
      </c>
      <c r="N13" s="2649"/>
    </row>
    <row r="14" spans="1:15" ht="29" x14ac:dyDescent="0.35">
      <c r="A14" s="2485">
        <v>43887</v>
      </c>
      <c r="B14" s="5" t="s">
        <v>615</v>
      </c>
      <c r="C14" s="5" t="s">
        <v>6996</v>
      </c>
      <c r="D14" s="2486">
        <v>43892</v>
      </c>
      <c r="E14" s="824" t="s">
        <v>2034</v>
      </c>
      <c r="F14" s="6">
        <v>0.41666666666666669</v>
      </c>
      <c r="G14" s="6">
        <v>0.60416666666666663</v>
      </c>
      <c r="H14" s="6">
        <v>0.60416666666666663</v>
      </c>
      <c r="I14" s="1678">
        <f>1.6*80*4</f>
        <v>512</v>
      </c>
      <c r="J14" s="5" t="s">
        <v>7001</v>
      </c>
      <c r="K14" s="817" t="s">
        <v>140</v>
      </c>
      <c r="L14" s="5" t="s">
        <v>17</v>
      </c>
      <c r="M14" s="807" t="s">
        <v>6053</v>
      </c>
      <c r="N14" s="2649"/>
    </row>
    <row r="15" spans="1:15" ht="29" x14ac:dyDescent="0.35">
      <c r="A15" s="2149">
        <v>43887</v>
      </c>
      <c r="B15" s="817" t="s">
        <v>615</v>
      </c>
      <c r="C15" s="817" t="s">
        <v>6996</v>
      </c>
      <c r="D15" s="1814">
        <v>43892</v>
      </c>
      <c r="E15" s="1149" t="s">
        <v>6997</v>
      </c>
      <c r="F15" s="2629">
        <v>0.5</v>
      </c>
      <c r="G15" s="2629">
        <v>0.5</v>
      </c>
      <c r="H15" s="2629">
        <v>0.5</v>
      </c>
      <c r="I15" s="1809">
        <v>0</v>
      </c>
      <c r="J15" s="817" t="s">
        <v>6998</v>
      </c>
      <c r="K15" s="817" t="s">
        <v>15</v>
      </c>
      <c r="L15" s="817" t="s">
        <v>17</v>
      </c>
      <c r="M15" s="839" t="s">
        <v>6053</v>
      </c>
      <c r="N15" s="2649"/>
    </row>
    <row r="16" spans="1:15" ht="29" x14ac:dyDescent="0.35">
      <c r="A16" s="2485">
        <v>43888</v>
      </c>
      <c r="B16" s="5" t="s">
        <v>136</v>
      </c>
      <c r="C16" s="5" t="s">
        <v>7032</v>
      </c>
      <c r="D16" s="2486">
        <v>43892</v>
      </c>
      <c r="E16" s="2486" t="s">
        <v>5494</v>
      </c>
      <c r="F16" s="6">
        <v>0.41666666666666669</v>
      </c>
      <c r="G16" s="6">
        <v>0.41666666666666669</v>
      </c>
      <c r="H16" s="6">
        <v>0.41666666666666669</v>
      </c>
      <c r="I16" s="1630">
        <f>12*40</f>
        <v>480</v>
      </c>
      <c r="J16" s="817" t="s">
        <v>7033</v>
      </c>
      <c r="K16" s="817" t="s">
        <v>15</v>
      </c>
      <c r="L16" s="817" t="s">
        <v>17</v>
      </c>
      <c r="M16" s="839" t="s">
        <v>6053</v>
      </c>
      <c r="N16" s="2649"/>
    </row>
    <row r="17" spans="1:14" ht="101.5" x14ac:dyDescent="0.35">
      <c r="A17" s="2149">
        <v>43888</v>
      </c>
      <c r="B17" s="817" t="s">
        <v>7027</v>
      </c>
      <c r="C17" s="817" t="s">
        <v>7029</v>
      </c>
      <c r="D17" s="1814">
        <v>43892</v>
      </c>
      <c r="E17" s="1814" t="s">
        <v>7030</v>
      </c>
      <c r="F17" s="2629">
        <v>0.41666666666666669</v>
      </c>
      <c r="G17" s="2629">
        <v>0.52083333333333337</v>
      </c>
      <c r="H17" s="2629">
        <v>0.52083333333333337</v>
      </c>
      <c r="I17" s="1809">
        <v>0</v>
      </c>
      <c r="J17" s="817" t="s">
        <v>6944</v>
      </c>
      <c r="K17" s="817" t="s">
        <v>140</v>
      </c>
      <c r="L17" s="817" t="s">
        <v>17</v>
      </c>
      <c r="M17" s="839" t="s">
        <v>17</v>
      </c>
      <c r="N17" s="2649"/>
    </row>
    <row r="18" spans="1:14" ht="43.5" x14ac:dyDescent="0.35">
      <c r="A18" s="2149">
        <v>43889</v>
      </c>
      <c r="B18" s="817" t="s">
        <v>7083</v>
      </c>
      <c r="C18" s="817" t="s">
        <v>7084</v>
      </c>
      <c r="D18" s="1814">
        <v>43892</v>
      </c>
      <c r="E18" s="1149" t="s">
        <v>7085</v>
      </c>
      <c r="F18" s="2599">
        <v>0.41666666666666669</v>
      </c>
      <c r="G18" s="2617">
        <v>0.56944444444444442</v>
      </c>
      <c r="H18" s="2617">
        <v>0.56944444444444442</v>
      </c>
      <c r="I18" s="1956">
        <v>300</v>
      </c>
      <c r="J18" s="817" t="s">
        <v>7097</v>
      </c>
      <c r="K18" s="817" t="s">
        <v>140</v>
      </c>
      <c r="L18" s="817" t="s">
        <v>22</v>
      </c>
      <c r="M18" s="839" t="s">
        <v>6096</v>
      </c>
      <c r="N18" s="2649"/>
    </row>
    <row r="19" spans="1:14" ht="29" x14ac:dyDescent="0.35">
      <c r="A19" s="2149">
        <v>43890</v>
      </c>
      <c r="B19" s="817" t="s">
        <v>7067</v>
      </c>
      <c r="C19" s="817" t="s">
        <v>7081</v>
      </c>
      <c r="D19" s="1814">
        <v>43892</v>
      </c>
      <c r="E19" s="1149" t="s">
        <v>7068</v>
      </c>
      <c r="F19" s="2629">
        <v>0.41666666666666669</v>
      </c>
      <c r="G19" s="2629">
        <v>0.41666666666666669</v>
      </c>
      <c r="H19" s="2629">
        <v>0.41666666666666669</v>
      </c>
      <c r="I19" s="1956">
        <f>0.7*(70+40)</f>
        <v>77</v>
      </c>
      <c r="J19" s="817" t="s">
        <v>257</v>
      </c>
      <c r="K19" s="817" t="s">
        <v>15</v>
      </c>
      <c r="L19" s="817" t="s">
        <v>17</v>
      </c>
      <c r="M19" s="839" t="s">
        <v>7069</v>
      </c>
      <c r="N19" s="2649"/>
    </row>
    <row r="20" spans="1:14" ht="29" x14ac:dyDescent="0.35">
      <c r="A20" s="2485">
        <v>43890</v>
      </c>
      <c r="B20" s="5" t="s">
        <v>4055</v>
      </c>
      <c r="C20" s="5" t="s">
        <v>7080</v>
      </c>
      <c r="D20" s="2486">
        <v>43892</v>
      </c>
      <c r="E20" s="824" t="s">
        <v>5494</v>
      </c>
      <c r="F20" s="6">
        <v>0.5</v>
      </c>
      <c r="G20" s="6">
        <v>0.5</v>
      </c>
      <c r="H20" s="6">
        <v>0.5</v>
      </c>
      <c r="I20" s="1630">
        <v>99</v>
      </c>
      <c r="J20" s="817" t="s">
        <v>7077</v>
      </c>
      <c r="K20" s="817" t="s">
        <v>15</v>
      </c>
      <c r="L20" s="817" t="s">
        <v>17</v>
      </c>
      <c r="M20" s="839" t="s">
        <v>5367</v>
      </c>
      <c r="N20" s="2649"/>
    </row>
    <row r="21" spans="1:14" ht="116" x14ac:dyDescent="0.35">
      <c r="A21" s="2485">
        <v>43891</v>
      </c>
      <c r="B21" s="5" t="s">
        <v>7098</v>
      </c>
      <c r="C21" s="5" t="s">
        <v>7099</v>
      </c>
      <c r="D21" s="2486">
        <v>43892</v>
      </c>
      <c r="E21" s="824" t="s">
        <v>7072</v>
      </c>
      <c r="F21" s="6">
        <v>0.41666666666666669</v>
      </c>
      <c r="G21" s="6">
        <v>0.4861111111111111</v>
      </c>
      <c r="H21" s="6">
        <v>0.4861111111111111</v>
      </c>
      <c r="I21" s="1630">
        <v>460</v>
      </c>
      <c r="J21" s="817" t="s">
        <v>7089</v>
      </c>
      <c r="K21" s="817" t="s">
        <v>140</v>
      </c>
      <c r="L21" s="817" t="s">
        <v>17</v>
      </c>
      <c r="M21" s="839" t="s">
        <v>6053</v>
      </c>
      <c r="N21" s="2649"/>
    </row>
    <row r="22" spans="1:14" ht="29" x14ac:dyDescent="0.35">
      <c r="A22" s="2485">
        <v>43891</v>
      </c>
      <c r="B22" s="5" t="s">
        <v>6718</v>
      </c>
      <c r="C22" s="5" t="s">
        <v>7096</v>
      </c>
      <c r="D22" s="2486">
        <v>43892</v>
      </c>
      <c r="E22" s="824" t="s">
        <v>5807</v>
      </c>
      <c r="F22" s="2598">
        <v>0.41666666666666669</v>
      </c>
      <c r="G22" s="6">
        <v>0.54166666666666663</v>
      </c>
      <c r="H22" s="6">
        <v>0.54166666666666663</v>
      </c>
      <c r="I22" s="1630">
        <v>60</v>
      </c>
      <c r="J22" s="817" t="s">
        <v>2043</v>
      </c>
      <c r="K22" s="817" t="s">
        <v>140</v>
      </c>
      <c r="L22" s="817" t="s">
        <v>17</v>
      </c>
      <c r="M22" s="839" t="s">
        <v>6121</v>
      </c>
      <c r="N22" s="2649"/>
    </row>
    <row r="23" spans="1:14" ht="43.5" x14ac:dyDescent="0.35">
      <c r="A23" s="2485">
        <v>43891</v>
      </c>
      <c r="B23" s="5" t="s">
        <v>615</v>
      </c>
      <c r="C23" s="5" t="s">
        <v>7090</v>
      </c>
      <c r="D23" s="2486">
        <v>43892</v>
      </c>
      <c r="E23" s="824" t="s">
        <v>126</v>
      </c>
      <c r="F23" s="6">
        <v>0.41666666666666669</v>
      </c>
      <c r="G23" s="6">
        <v>0.60416666666666663</v>
      </c>
      <c r="H23" s="6">
        <v>0.60416666666666663</v>
      </c>
      <c r="I23" s="1678">
        <v>0</v>
      </c>
      <c r="J23" s="817" t="s">
        <v>7091</v>
      </c>
      <c r="K23" s="817" t="s">
        <v>140</v>
      </c>
      <c r="L23" s="817" t="s">
        <v>17</v>
      </c>
      <c r="M23" s="839" t="s">
        <v>289</v>
      </c>
      <c r="N23" s="2649"/>
    </row>
    <row r="24" spans="1:14" ht="101.5" x14ac:dyDescent="0.35">
      <c r="A24" s="2149">
        <v>43891</v>
      </c>
      <c r="B24" s="817" t="s">
        <v>7095</v>
      </c>
      <c r="C24" s="1390" t="s">
        <v>7094</v>
      </c>
      <c r="D24" s="1814">
        <v>43892</v>
      </c>
      <c r="E24" s="1149" t="s">
        <v>7092</v>
      </c>
      <c r="F24" s="2629">
        <v>0.41666666666666669</v>
      </c>
      <c r="G24" s="2629">
        <v>0.64583333333333337</v>
      </c>
      <c r="H24" s="2629">
        <v>0.64583333333333337</v>
      </c>
      <c r="I24" s="1630">
        <v>199</v>
      </c>
      <c r="J24" s="817" t="s">
        <v>7093</v>
      </c>
      <c r="K24" s="817" t="s">
        <v>140</v>
      </c>
      <c r="L24" s="817" t="s">
        <v>17</v>
      </c>
      <c r="M24" s="839" t="s">
        <v>2084</v>
      </c>
      <c r="N24" s="2649"/>
    </row>
    <row r="25" spans="1:14" ht="101.5" x14ac:dyDescent="0.35">
      <c r="A25" s="2149">
        <v>43882</v>
      </c>
      <c r="B25" s="817" t="s">
        <v>6905</v>
      </c>
      <c r="C25" s="5" t="s">
        <v>6904</v>
      </c>
      <c r="D25" s="2486">
        <v>43893</v>
      </c>
      <c r="E25" s="824" t="s">
        <v>6908</v>
      </c>
      <c r="F25" s="6">
        <v>0.5625</v>
      </c>
      <c r="G25" s="6">
        <v>0.66666666666666663</v>
      </c>
      <c r="H25" s="6">
        <v>0.66666666666666663</v>
      </c>
      <c r="I25" s="1630">
        <v>200</v>
      </c>
      <c r="J25" s="1430" t="s">
        <v>6906</v>
      </c>
      <c r="K25" s="817" t="s">
        <v>140</v>
      </c>
      <c r="L25" s="817" t="s">
        <v>974</v>
      </c>
      <c r="M25" s="839" t="s">
        <v>6907</v>
      </c>
      <c r="N25" s="2649"/>
    </row>
    <row r="26" spans="1:14" ht="43.5" x14ac:dyDescent="0.35">
      <c r="A26" s="2149">
        <v>43891</v>
      </c>
      <c r="B26" s="817" t="s">
        <v>911</v>
      </c>
      <c r="C26" s="817" t="s">
        <v>7088</v>
      </c>
      <c r="D26" s="1814">
        <v>43893</v>
      </c>
      <c r="E26" s="1149" t="s">
        <v>48</v>
      </c>
      <c r="F26" s="2629">
        <v>0.5625</v>
      </c>
      <c r="G26" s="2629">
        <v>0.60416666666666663</v>
      </c>
      <c r="H26" s="2629">
        <v>0.60416666666666663</v>
      </c>
      <c r="I26" s="1809">
        <v>0</v>
      </c>
      <c r="J26" s="817" t="s">
        <v>7066</v>
      </c>
      <c r="K26" s="817" t="s">
        <v>140</v>
      </c>
      <c r="L26" s="817" t="s">
        <v>17</v>
      </c>
      <c r="M26" s="839" t="s">
        <v>6061</v>
      </c>
      <c r="N26" s="2649"/>
    </row>
    <row r="27" spans="1:14" ht="72.5" x14ac:dyDescent="0.35">
      <c r="A27" s="2149">
        <v>43893</v>
      </c>
      <c r="B27" s="817" t="s">
        <v>7154</v>
      </c>
      <c r="C27" s="817" t="s">
        <v>7153</v>
      </c>
      <c r="D27" s="1814">
        <v>43893</v>
      </c>
      <c r="E27" s="1149" t="s">
        <v>7151</v>
      </c>
      <c r="F27" s="2629">
        <v>0.5</v>
      </c>
      <c r="G27" s="2617">
        <v>0.54166666666666663</v>
      </c>
      <c r="H27" s="2617">
        <v>0.54166666666666663</v>
      </c>
      <c r="I27" s="1956">
        <f>0.7*70</f>
        <v>49</v>
      </c>
      <c r="J27" s="2629" t="s">
        <v>7152</v>
      </c>
      <c r="K27" s="2629" t="s">
        <v>119</v>
      </c>
      <c r="L27" s="817" t="s">
        <v>17</v>
      </c>
      <c r="M27" s="839" t="s">
        <v>6053</v>
      </c>
      <c r="N27" s="2649"/>
    </row>
    <row r="28" spans="1:14" ht="159.5" x14ac:dyDescent="0.35">
      <c r="A28" s="2149">
        <v>43893</v>
      </c>
      <c r="B28" s="817" t="s">
        <v>7148</v>
      </c>
      <c r="C28" s="817" t="s">
        <v>7149</v>
      </c>
      <c r="D28" s="1814">
        <v>43894</v>
      </c>
      <c r="E28" s="1149" t="s">
        <v>5494</v>
      </c>
      <c r="F28" s="2629">
        <v>0.65625</v>
      </c>
      <c r="G28" s="2629">
        <v>0.65625</v>
      </c>
      <c r="H28" s="2629">
        <v>0.65625</v>
      </c>
      <c r="I28" s="1956">
        <f>1.6*80</f>
        <v>128</v>
      </c>
      <c r="J28" s="2629" t="s">
        <v>7150</v>
      </c>
      <c r="K28" s="2629" t="s">
        <v>15</v>
      </c>
      <c r="L28" s="817" t="s">
        <v>17</v>
      </c>
      <c r="M28" s="839" t="s">
        <v>5367</v>
      </c>
      <c r="N28" s="2649"/>
    </row>
    <row r="29" spans="1:14" ht="130.5" x14ac:dyDescent="0.35">
      <c r="A29" s="2152">
        <v>43893</v>
      </c>
      <c r="B29" s="1850" t="s">
        <v>7136</v>
      </c>
      <c r="C29" s="1850" t="s">
        <v>7137</v>
      </c>
      <c r="D29" s="1999">
        <v>43894</v>
      </c>
      <c r="E29" s="2000" t="s">
        <v>5494</v>
      </c>
      <c r="F29" s="2629">
        <v>0.75</v>
      </c>
      <c r="G29" s="2629">
        <v>0.75</v>
      </c>
      <c r="H29" s="2629">
        <v>0.75</v>
      </c>
      <c r="I29" s="1956">
        <v>160</v>
      </c>
      <c r="J29" s="817" t="s">
        <v>7138</v>
      </c>
      <c r="K29" s="817" t="s">
        <v>15</v>
      </c>
      <c r="L29" s="817" t="s">
        <v>17</v>
      </c>
      <c r="M29" s="839" t="s">
        <v>5367</v>
      </c>
      <c r="N29" s="2649"/>
    </row>
    <row r="30" spans="1:14" ht="29" x14ac:dyDescent="0.35">
      <c r="A30" s="2149">
        <v>43893</v>
      </c>
      <c r="B30" s="817" t="s">
        <v>20</v>
      </c>
      <c r="C30" s="817" t="s">
        <v>7147</v>
      </c>
      <c r="D30" s="1814">
        <v>43894</v>
      </c>
      <c r="E30" s="1149" t="s">
        <v>20</v>
      </c>
      <c r="F30" s="2629" t="s">
        <v>15</v>
      </c>
      <c r="G30" s="2629" t="s">
        <v>15</v>
      </c>
      <c r="H30" s="2629" t="s">
        <v>15</v>
      </c>
      <c r="I30" s="1809">
        <v>0</v>
      </c>
      <c r="J30" s="2629" t="s">
        <v>15</v>
      </c>
      <c r="K30" s="2629" t="s">
        <v>15</v>
      </c>
      <c r="L30" s="817" t="s">
        <v>17</v>
      </c>
      <c r="M30" s="839" t="s">
        <v>20</v>
      </c>
      <c r="N30" s="2649"/>
    </row>
    <row r="31" spans="1:14" x14ac:dyDescent="0.35">
      <c r="A31" s="2149">
        <v>43885</v>
      </c>
      <c r="B31" s="2596" t="s">
        <v>20</v>
      </c>
      <c r="C31" s="2596" t="s">
        <v>6929</v>
      </c>
      <c r="D31" s="1814">
        <v>43895</v>
      </c>
      <c r="E31" s="1149" t="s">
        <v>15</v>
      </c>
      <c r="F31" s="2596" t="s">
        <v>15</v>
      </c>
      <c r="G31" s="2596" t="s">
        <v>15</v>
      </c>
      <c r="H31" s="2596" t="s">
        <v>15</v>
      </c>
      <c r="I31" s="2596">
        <v>0</v>
      </c>
      <c r="J31" s="817" t="s">
        <v>15</v>
      </c>
      <c r="K31" s="817" t="s">
        <v>15</v>
      </c>
      <c r="L31" s="817" t="s">
        <v>17</v>
      </c>
      <c r="M31" s="839" t="s">
        <v>20</v>
      </c>
      <c r="N31" s="2649"/>
    </row>
    <row r="32" spans="1:14" ht="29" x14ac:dyDescent="0.35">
      <c r="A32" s="2485">
        <v>43887</v>
      </c>
      <c r="B32" s="2545" t="s">
        <v>7011</v>
      </c>
      <c r="C32" s="2545" t="s">
        <v>7012</v>
      </c>
      <c r="D32" s="2486">
        <v>43895</v>
      </c>
      <c r="E32" s="2545" t="s">
        <v>5494</v>
      </c>
      <c r="F32" s="2598">
        <v>0.70833333333333337</v>
      </c>
      <c r="G32" s="2598">
        <v>0.70833333333333337</v>
      </c>
      <c r="H32" s="2598">
        <v>0.70833333333333337</v>
      </c>
      <c r="I32" s="2545">
        <v>0</v>
      </c>
      <c r="J32" s="817" t="s">
        <v>7013</v>
      </c>
      <c r="K32" s="817" t="s">
        <v>15</v>
      </c>
      <c r="L32" s="817" t="s">
        <v>22</v>
      </c>
      <c r="M32" s="839" t="s">
        <v>6034</v>
      </c>
      <c r="N32" s="2649"/>
    </row>
    <row r="33" spans="1:14" ht="29" x14ac:dyDescent="0.35">
      <c r="A33" s="2149">
        <v>43890</v>
      </c>
      <c r="B33" s="817" t="s">
        <v>20</v>
      </c>
      <c r="C33" s="817" t="s">
        <v>7078</v>
      </c>
      <c r="D33" s="1814">
        <v>43895</v>
      </c>
      <c r="E33" s="1149" t="s">
        <v>15</v>
      </c>
      <c r="F33" s="2629" t="s">
        <v>15</v>
      </c>
      <c r="G33" s="2629" t="s">
        <v>15</v>
      </c>
      <c r="H33" s="2629" t="s">
        <v>15</v>
      </c>
      <c r="I33" s="1809">
        <v>0</v>
      </c>
      <c r="J33" s="2629" t="s">
        <v>15</v>
      </c>
      <c r="K33" s="2629" t="s">
        <v>15</v>
      </c>
      <c r="L33" s="817" t="s">
        <v>17</v>
      </c>
      <c r="M33" s="839" t="s">
        <v>6034</v>
      </c>
      <c r="N33" s="2649"/>
    </row>
    <row r="34" spans="1:14" ht="232" x14ac:dyDescent="0.35">
      <c r="A34" s="2149">
        <v>43892</v>
      </c>
      <c r="B34" s="817" t="s">
        <v>7120</v>
      </c>
      <c r="C34" s="817" t="s">
        <v>7183</v>
      </c>
      <c r="D34" s="1814">
        <v>43895</v>
      </c>
      <c r="E34" s="1149" t="s">
        <v>7121</v>
      </c>
      <c r="F34" s="2629">
        <v>0.375</v>
      </c>
      <c r="G34" s="2629">
        <v>0.40625</v>
      </c>
      <c r="H34" s="2629">
        <v>0.40625</v>
      </c>
      <c r="I34" s="1956">
        <v>2275.92</v>
      </c>
      <c r="J34" s="817" t="s">
        <v>7122</v>
      </c>
      <c r="K34" s="817" t="s">
        <v>119</v>
      </c>
      <c r="L34" s="817" t="s">
        <v>6046</v>
      </c>
      <c r="M34" s="839" t="s">
        <v>6053</v>
      </c>
      <c r="N34" s="2649"/>
    </row>
    <row r="35" spans="1:14" ht="101.5" x14ac:dyDescent="0.35">
      <c r="A35" s="2149">
        <v>43892</v>
      </c>
      <c r="B35" s="817" t="s">
        <v>7109</v>
      </c>
      <c r="C35" s="817" t="s">
        <v>7108</v>
      </c>
      <c r="D35" s="1814">
        <v>43895</v>
      </c>
      <c r="E35" s="1149" t="s">
        <v>7107</v>
      </c>
      <c r="F35" s="2617">
        <v>0.45833333333333331</v>
      </c>
      <c r="G35" s="2617">
        <v>0.58333333333333337</v>
      </c>
      <c r="H35" s="2617">
        <v>0.58333333333333337</v>
      </c>
      <c r="I35" s="1809">
        <v>0</v>
      </c>
      <c r="J35" s="817" t="s">
        <v>16</v>
      </c>
      <c r="K35" s="817" t="s">
        <v>119</v>
      </c>
      <c r="L35" s="817" t="s">
        <v>17</v>
      </c>
      <c r="M35" s="839" t="s">
        <v>5489</v>
      </c>
      <c r="N35" s="2649"/>
    </row>
    <row r="36" spans="1:14" ht="72.5" x14ac:dyDescent="0.35">
      <c r="A36" s="2149">
        <v>43893</v>
      </c>
      <c r="B36" s="817" t="s">
        <v>7139</v>
      </c>
      <c r="C36" s="817" t="s">
        <v>7140</v>
      </c>
      <c r="D36" s="1814">
        <v>43895</v>
      </c>
      <c r="E36" s="1149" t="s">
        <v>7141</v>
      </c>
      <c r="F36" s="2617">
        <v>0.45833333333333331</v>
      </c>
      <c r="G36" s="2610">
        <v>0.54166666666666663</v>
      </c>
      <c r="H36" s="2610">
        <v>0.54166666666666663</v>
      </c>
      <c r="I36" s="1956">
        <f>(1.6+1.2)*80</f>
        <v>224</v>
      </c>
      <c r="J36" s="817" t="s">
        <v>257</v>
      </c>
      <c r="K36" s="817" t="s">
        <v>119</v>
      </c>
      <c r="L36" s="817" t="s">
        <v>17</v>
      </c>
      <c r="M36" s="839" t="s">
        <v>6053</v>
      </c>
      <c r="N36" s="2649"/>
    </row>
    <row r="37" spans="1:14" ht="43.5" x14ac:dyDescent="0.35">
      <c r="A37" s="1994">
        <v>43894</v>
      </c>
      <c r="B37" s="7" t="s">
        <v>7166</v>
      </c>
      <c r="C37" s="7" t="s">
        <v>7165</v>
      </c>
      <c r="D37" s="1899">
        <v>43895</v>
      </c>
      <c r="E37" s="881" t="s">
        <v>7167</v>
      </c>
      <c r="F37" s="836">
        <v>0.375</v>
      </c>
      <c r="G37" s="2629">
        <v>0.3888888888888889</v>
      </c>
      <c r="H37" s="2629">
        <v>0.3888888888888889</v>
      </c>
      <c r="I37" s="1956">
        <v>44</v>
      </c>
      <c r="J37" s="817" t="s">
        <v>257</v>
      </c>
      <c r="K37" s="817" t="s">
        <v>119</v>
      </c>
      <c r="L37" s="817" t="s">
        <v>17</v>
      </c>
      <c r="M37" s="839" t="s">
        <v>2084</v>
      </c>
      <c r="N37" s="2649"/>
    </row>
    <row r="38" spans="1:14" ht="174" x14ac:dyDescent="0.35">
      <c r="A38" s="2149">
        <v>43894</v>
      </c>
      <c r="B38" s="817" t="s">
        <v>7180</v>
      </c>
      <c r="C38" s="5" t="s">
        <v>7179</v>
      </c>
      <c r="D38" s="2486">
        <v>43895</v>
      </c>
      <c r="E38" s="824" t="s">
        <v>7181</v>
      </c>
      <c r="F38" s="6">
        <v>0.45833333333333331</v>
      </c>
      <c r="G38" s="2617">
        <v>0.5</v>
      </c>
      <c r="H38" s="2617">
        <v>0.5</v>
      </c>
      <c r="I38" s="1809">
        <v>0</v>
      </c>
      <c r="J38" s="817" t="s">
        <v>16</v>
      </c>
      <c r="K38" s="817" t="s">
        <v>119</v>
      </c>
      <c r="L38" s="817" t="s">
        <v>17</v>
      </c>
      <c r="M38" s="839" t="s">
        <v>6034</v>
      </c>
      <c r="N38" s="2649"/>
    </row>
    <row r="39" spans="1:14" ht="72.5" x14ac:dyDescent="0.35">
      <c r="A39" s="2149">
        <v>43894</v>
      </c>
      <c r="B39" s="817" t="s">
        <v>7182</v>
      </c>
      <c r="C39" s="817" t="s">
        <v>7108</v>
      </c>
      <c r="D39" s="2486">
        <v>43895</v>
      </c>
      <c r="E39" s="824" t="s">
        <v>5494</v>
      </c>
      <c r="F39" s="6">
        <v>0.79166666666666663</v>
      </c>
      <c r="G39" s="2629">
        <v>0.79166666666666663</v>
      </c>
      <c r="H39" s="2629">
        <v>0.79166666666666663</v>
      </c>
      <c r="I39" s="1809">
        <v>0</v>
      </c>
      <c r="J39" s="817" t="s">
        <v>16</v>
      </c>
      <c r="K39" s="817" t="s">
        <v>15</v>
      </c>
      <c r="L39" s="817" t="s">
        <v>17</v>
      </c>
      <c r="M39" s="839" t="s">
        <v>6034</v>
      </c>
      <c r="N39" s="2649"/>
    </row>
    <row r="40" spans="1:14" ht="58" x14ac:dyDescent="0.35">
      <c r="A40" s="2149">
        <v>43866</v>
      </c>
      <c r="B40" s="817" t="s">
        <v>6496</v>
      </c>
      <c r="C40" s="817" t="s">
        <v>7087</v>
      </c>
      <c r="D40" s="1814">
        <v>43896</v>
      </c>
      <c r="E40" s="1149" t="s">
        <v>5489</v>
      </c>
      <c r="F40" s="2629">
        <v>0.40625</v>
      </c>
      <c r="G40" s="2629">
        <v>0.47222222222222227</v>
      </c>
      <c r="H40" s="2629">
        <v>0.47222222222222227</v>
      </c>
      <c r="I40" s="1956">
        <f>6*90</f>
        <v>540</v>
      </c>
      <c r="J40" s="2629" t="s">
        <v>6501</v>
      </c>
      <c r="K40" s="817" t="s">
        <v>140</v>
      </c>
      <c r="L40" s="817" t="s">
        <v>17</v>
      </c>
      <c r="M40" s="839" t="s">
        <v>5489</v>
      </c>
      <c r="N40" s="2649"/>
    </row>
    <row r="41" spans="1:14" ht="87" x14ac:dyDescent="0.35">
      <c r="A41" s="2485">
        <v>43885</v>
      </c>
      <c r="B41" s="5" t="s">
        <v>6920</v>
      </c>
      <c r="C41" s="5" t="s">
        <v>6943</v>
      </c>
      <c r="D41" s="2486">
        <v>43896</v>
      </c>
      <c r="E41" s="824" t="s">
        <v>6919</v>
      </c>
      <c r="F41" s="6">
        <v>0.33333333333333331</v>
      </c>
      <c r="G41" s="6">
        <v>0.35416666666666669</v>
      </c>
      <c r="H41" s="6">
        <v>0.35416666666666669</v>
      </c>
      <c r="I41" s="1678">
        <v>0</v>
      </c>
      <c r="J41" s="817" t="s">
        <v>6944</v>
      </c>
      <c r="K41" s="817" t="s">
        <v>140</v>
      </c>
      <c r="L41" s="817" t="s">
        <v>6046</v>
      </c>
      <c r="M41" s="839" t="s">
        <v>6942</v>
      </c>
      <c r="N41" s="2649"/>
    </row>
    <row r="42" spans="1:14" ht="43.5" x14ac:dyDescent="0.35">
      <c r="A42" s="2149">
        <v>43887</v>
      </c>
      <c r="B42" s="2596" t="s">
        <v>7011</v>
      </c>
      <c r="C42" s="2596" t="s">
        <v>7117</v>
      </c>
      <c r="D42" s="1814">
        <v>43896</v>
      </c>
      <c r="E42" s="2596" t="s">
        <v>5494</v>
      </c>
      <c r="F42" s="2599">
        <v>0.66666666666666663</v>
      </c>
      <c r="G42" s="2599">
        <v>0.66666666666666663</v>
      </c>
      <c r="H42" s="2599">
        <v>0.66666666666666663</v>
      </c>
      <c r="I42" s="2596">
        <v>0</v>
      </c>
      <c r="J42" s="817" t="s">
        <v>7013</v>
      </c>
      <c r="K42" s="817" t="s">
        <v>15</v>
      </c>
      <c r="L42" s="817" t="s">
        <v>22</v>
      </c>
      <c r="M42" s="839" t="s">
        <v>6053</v>
      </c>
      <c r="N42" s="2649"/>
    </row>
    <row r="43" spans="1:14" ht="29" x14ac:dyDescent="0.35">
      <c r="A43" s="2149">
        <v>43890</v>
      </c>
      <c r="B43" s="817" t="s">
        <v>7075</v>
      </c>
      <c r="C43" s="817" t="s">
        <v>7079</v>
      </c>
      <c r="D43" s="1814">
        <v>43896</v>
      </c>
      <c r="E43" s="1149" t="s">
        <v>5494</v>
      </c>
      <c r="F43" s="2629">
        <v>0.625</v>
      </c>
      <c r="G43" s="2629">
        <v>0.625</v>
      </c>
      <c r="H43" s="2629">
        <v>0.625</v>
      </c>
      <c r="I43" s="1956">
        <v>120</v>
      </c>
      <c r="J43" s="817" t="s">
        <v>7077</v>
      </c>
      <c r="K43" s="817" t="s">
        <v>15</v>
      </c>
      <c r="L43" s="817" t="s">
        <v>17</v>
      </c>
      <c r="M43" s="839" t="s">
        <v>5367</v>
      </c>
      <c r="N43" s="2649"/>
    </row>
    <row r="44" spans="1:14" ht="188.5" x14ac:dyDescent="0.35">
      <c r="A44" s="2149">
        <v>43892</v>
      </c>
      <c r="B44" s="7" t="s">
        <v>7125</v>
      </c>
      <c r="C44" s="7" t="s">
        <v>7232</v>
      </c>
      <c r="D44" s="1899">
        <v>43896</v>
      </c>
      <c r="E44" s="881" t="s">
        <v>7126</v>
      </c>
      <c r="F44" s="836">
        <v>0.66666666666666663</v>
      </c>
      <c r="G44" s="2617">
        <v>0.70833333333333337</v>
      </c>
      <c r="H44" s="2617">
        <v>0.70833333333333337</v>
      </c>
      <c r="I44" s="1956">
        <f>8*15+4*5</f>
        <v>140</v>
      </c>
      <c r="J44" s="817" t="s">
        <v>6501</v>
      </c>
      <c r="K44" s="817" t="s">
        <v>140</v>
      </c>
      <c r="L44" s="817" t="s">
        <v>17</v>
      </c>
      <c r="M44" s="839" t="s">
        <v>17</v>
      </c>
      <c r="N44" s="2649"/>
    </row>
    <row r="45" spans="1:14" ht="72.5" x14ac:dyDescent="0.35">
      <c r="A45" s="1994">
        <v>43894</v>
      </c>
      <c r="B45" s="7" t="s">
        <v>7161</v>
      </c>
      <c r="C45" s="7" t="s">
        <v>7162</v>
      </c>
      <c r="D45" s="1899">
        <v>43896</v>
      </c>
      <c r="E45" s="881" t="s">
        <v>7163</v>
      </c>
      <c r="F45" s="836">
        <v>0.40625</v>
      </c>
      <c r="G45" s="836">
        <v>0.43055555555555558</v>
      </c>
      <c r="H45" s="836">
        <v>0.43055555555555558</v>
      </c>
      <c r="I45" s="1630">
        <f>2.5*200</f>
        <v>500</v>
      </c>
      <c r="J45" s="7" t="s">
        <v>7164</v>
      </c>
      <c r="K45" s="817" t="s">
        <v>140</v>
      </c>
      <c r="L45" s="7" t="s">
        <v>17</v>
      </c>
      <c r="M45" s="809" t="s">
        <v>2084</v>
      </c>
      <c r="N45" s="2649"/>
    </row>
    <row r="46" spans="1:14" ht="72.5" x14ac:dyDescent="0.35">
      <c r="A46" s="2149">
        <v>43894</v>
      </c>
      <c r="B46" s="817" t="s">
        <v>4951</v>
      </c>
      <c r="C46" s="817" t="s">
        <v>7171</v>
      </c>
      <c r="D46" s="1899">
        <v>43896</v>
      </c>
      <c r="E46" s="1149" t="s">
        <v>1080</v>
      </c>
      <c r="F46" s="836">
        <v>0.40625</v>
      </c>
      <c r="G46" s="836">
        <v>0.47222222222222227</v>
      </c>
      <c r="H46" s="836">
        <v>0.47222222222222227</v>
      </c>
      <c r="I46" s="1630">
        <v>250</v>
      </c>
      <c r="J46" s="817" t="s">
        <v>7119</v>
      </c>
      <c r="K46" s="817" t="s">
        <v>140</v>
      </c>
      <c r="L46" s="817" t="s">
        <v>17</v>
      </c>
      <c r="M46" s="839" t="s">
        <v>5489</v>
      </c>
      <c r="N46" s="2649"/>
    </row>
    <row r="47" spans="1:14" ht="43.5" x14ac:dyDescent="0.35">
      <c r="A47" s="2485">
        <v>43895</v>
      </c>
      <c r="B47" s="5" t="s">
        <v>5436</v>
      </c>
      <c r="C47" s="5" t="s">
        <v>7190</v>
      </c>
      <c r="D47" s="2486">
        <v>43896</v>
      </c>
      <c r="E47" s="824" t="s">
        <v>5494</v>
      </c>
      <c r="F47" s="6">
        <v>0.45833333333333331</v>
      </c>
      <c r="G47" s="2629">
        <v>0.45833333333333331</v>
      </c>
      <c r="H47" s="2629">
        <v>0.45833333333333331</v>
      </c>
      <c r="I47" s="1956">
        <f>108*7</f>
        <v>756</v>
      </c>
      <c r="J47" s="2629" t="s">
        <v>7191</v>
      </c>
      <c r="K47" s="2629" t="s">
        <v>15</v>
      </c>
      <c r="L47" s="817" t="s">
        <v>17</v>
      </c>
      <c r="M47" s="839" t="s">
        <v>6053</v>
      </c>
      <c r="N47" s="2649"/>
    </row>
    <row r="48" spans="1:14" ht="101.5" x14ac:dyDescent="0.35">
      <c r="A48" s="2149">
        <v>43880</v>
      </c>
      <c r="B48" s="817" t="s">
        <v>6883</v>
      </c>
      <c r="C48" s="817" t="s">
        <v>6824</v>
      </c>
      <c r="D48" s="1814">
        <v>43897</v>
      </c>
      <c r="E48" s="1149" t="s">
        <v>5367</v>
      </c>
      <c r="F48" s="2629" t="s">
        <v>15</v>
      </c>
      <c r="G48" s="2629">
        <v>0.6875</v>
      </c>
      <c r="H48" s="2629">
        <v>0.6875</v>
      </c>
      <c r="I48" s="1809">
        <v>0</v>
      </c>
      <c r="J48" s="817" t="s">
        <v>6034</v>
      </c>
      <c r="K48" s="817" t="s">
        <v>15</v>
      </c>
      <c r="L48" s="817" t="s">
        <v>17</v>
      </c>
      <c r="M48" s="839" t="s">
        <v>6034</v>
      </c>
      <c r="N48" s="2649"/>
    </row>
    <row r="49" spans="1:14" ht="87" x14ac:dyDescent="0.35">
      <c r="A49" s="2149">
        <v>43885</v>
      </c>
      <c r="B49" s="817" t="s">
        <v>6920</v>
      </c>
      <c r="C49" s="817" t="s">
        <v>6945</v>
      </c>
      <c r="D49" s="1814">
        <v>43897</v>
      </c>
      <c r="E49" s="1149" t="s">
        <v>6919</v>
      </c>
      <c r="F49" s="2629">
        <v>0.3888888888888889</v>
      </c>
      <c r="G49" s="2629">
        <v>0.41666666666666669</v>
      </c>
      <c r="H49" s="2629">
        <v>0.41666666666666669</v>
      </c>
      <c r="I49" s="1809">
        <v>0</v>
      </c>
      <c r="J49" s="817" t="s">
        <v>6944</v>
      </c>
      <c r="K49" s="817" t="s">
        <v>140</v>
      </c>
      <c r="L49" s="817" t="s">
        <v>6046</v>
      </c>
      <c r="M49" s="839" t="s">
        <v>6942</v>
      </c>
      <c r="N49" s="2649"/>
    </row>
    <row r="50" spans="1:14" ht="87" x14ac:dyDescent="0.35">
      <c r="A50" s="1830">
        <v>43885</v>
      </c>
      <c r="B50" s="2555" t="s">
        <v>663</v>
      </c>
      <c r="C50" s="2555" t="s">
        <v>6928</v>
      </c>
      <c r="D50" s="1808">
        <v>43897</v>
      </c>
      <c r="E50" s="2555" t="s">
        <v>6927</v>
      </c>
      <c r="F50" s="2598">
        <v>0.3888888888888889</v>
      </c>
      <c r="G50" s="2598">
        <v>0.45833333333333331</v>
      </c>
      <c r="H50" s="2598">
        <v>0.45833333333333331</v>
      </c>
      <c r="I50" s="2597">
        <v>660</v>
      </c>
      <c r="J50" s="817" t="s">
        <v>7132</v>
      </c>
      <c r="K50" s="817" t="s">
        <v>140</v>
      </c>
      <c r="L50" s="817" t="s">
        <v>17</v>
      </c>
      <c r="M50" s="839" t="s">
        <v>6041</v>
      </c>
      <c r="N50" s="2649"/>
    </row>
    <row r="51" spans="1:14" ht="72.5" x14ac:dyDescent="0.35">
      <c r="A51" s="1830">
        <v>43890</v>
      </c>
      <c r="B51" s="10" t="s">
        <v>7075</v>
      </c>
      <c r="C51" s="10" t="s">
        <v>7076</v>
      </c>
      <c r="D51" s="1808">
        <v>43897</v>
      </c>
      <c r="E51" s="823" t="s">
        <v>5502</v>
      </c>
      <c r="F51" s="6" t="s">
        <v>15</v>
      </c>
      <c r="G51" s="6">
        <v>0.5</v>
      </c>
      <c r="H51" s="6">
        <v>0.5</v>
      </c>
      <c r="I51" s="1630">
        <v>607</v>
      </c>
      <c r="J51" s="817" t="s">
        <v>7077</v>
      </c>
      <c r="K51" s="817" t="s">
        <v>15</v>
      </c>
      <c r="L51" s="817" t="s">
        <v>17</v>
      </c>
      <c r="M51" s="839" t="s">
        <v>5367</v>
      </c>
      <c r="N51" s="2649"/>
    </row>
    <row r="52" spans="1:14" ht="101.5" x14ac:dyDescent="0.35">
      <c r="A52" s="2149">
        <v>43892</v>
      </c>
      <c r="B52" s="817" t="s">
        <v>7110</v>
      </c>
      <c r="C52" s="817" t="s">
        <v>7113</v>
      </c>
      <c r="D52" s="1814">
        <v>43897</v>
      </c>
      <c r="E52" s="1149" t="s">
        <v>7111</v>
      </c>
      <c r="F52" s="2629">
        <v>0.54166666666666663</v>
      </c>
      <c r="G52" s="2629">
        <v>0.5625</v>
      </c>
      <c r="H52" s="2629">
        <v>0.5625</v>
      </c>
      <c r="I52" s="1956">
        <v>165</v>
      </c>
      <c r="J52" s="817" t="s">
        <v>7112</v>
      </c>
      <c r="K52" s="817" t="s">
        <v>140</v>
      </c>
      <c r="L52" s="817" t="s">
        <v>17</v>
      </c>
      <c r="M52" s="839" t="s">
        <v>2084</v>
      </c>
      <c r="N52" s="2649"/>
    </row>
    <row r="53" spans="1:14" ht="217.5" x14ac:dyDescent="0.35">
      <c r="A53" s="2152">
        <v>43893</v>
      </c>
      <c r="B53" s="1850" t="s">
        <v>7143</v>
      </c>
      <c r="C53" s="1850" t="s">
        <v>7144</v>
      </c>
      <c r="D53" s="1999">
        <v>43897</v>
      </c>
      <c r="E53" s="1149" t="s">
        <v>7145</v>
      </c>
      <c r="F53" s="2629">
        <v>0.3888888888888889</v>
      </c>
      <c r="G53" s="2629">
        <v>0.5</v>
      </c>
      <c r="H53" s="2629">
        <v>0.5</v>
      </c>
      <c r="I53" s="1956">
        <f>6*130+90*2</f>
        <v>960</v>
      </c>
      <c r="J53" s="2629" t="s">
        <v>7146</v>
      </c>
      <c r="K53" s="817" t="s">
        <v>140</v>
      </c>
      <c r="L53" s="817" t="s">
        <v>17</v>
      </c>
      <c r="M53" s="839" t="s">
        <v>5367</v>
      </c>
      <c r="N53" s="2649"/>
    </row>
    <row r="54" spans="1:14" ht="145" x14ac:dyDescent="0.35">
      <c r="A54" s="2149">
        <v>43894</v>
      </c>
      <c r="B54" s="817" t="s">
        <v>7158</v>
      </c>
      <c r="C54" s="817" t="s">
        <v>7159</v>
      </c>
      <c r="D54" s="1814">
        <v>43897</v>
      </c>
      <c r="E54" s="1149" t="s">
        <v>2960</v>
      </c>
      <c r="F54" s="2629">
        <v>0.54166666666666663</v>
      </c>
      <c r="G54" s="2629">
        <v>0.58333333333333337</v>
      </c>
      <c r="H54" s="2629">
        <v>0.58333333333333337</v>
      </c>
      <c r="I54" s="1956">
        <v>400</v>
      </c>
      <c r="J54" s="817" t="s">
        <v>7160</v>
      </c>
      <c r="K54" s="817" t="s">
        <v>140</v>
      </c>
      <c r="L54" s="817" t="s">
        <v>17</v>
      </c>
      <c r="M54" s="839" t="s">
        <v>2960</v>
      </c>
      <c r="N54" s="2649"/>
    </row>
    <row r="55" spans="1:14" ht="203" x14ac:dyDescent="0.35">
      <c r="A55" s="2485">
        <v>43894</v>
      </c>
      <c r="B55" s="5" t="s">
        <v>7184</v>
      </c>
      <c r="C55" s="5" t="s">
        <v>6822</v>
      </c>
      <c r="D55" s="2486">
        <v>43897</v>
      </c>
      <c r="E55" s="824" t="s">
        <v>5367</v>
      </c>
      <c r="F55" s="6">
        <v>0.61458333333333337</v>
      </c>
      <c r="G55" s="6">
        <v>0.625</v>
      </c>
      <c r="H55" s="6">
        <v>0.625</v>
      </c>
      <c r="I55" s="1678">
        <v>0</v>
      </c>
      <c r="J55" s="5" t="s">
        <v>6821</v>
      </c>
      <c r="K55" s="5" t="s">
        <v>15</v>
      </c>
      <c r="L55" s="5" t="s">
        <v>17</v>
      </c>
      <c r="M55" s="807" t="s">
        <v>6034</v>
      </c>
      <c r="N55" s="2649"/>
    </row>
    <row r="56" spans="1:14" ht="29" x14ac:dyDescent="0.35">
      <c r="A56" s="1994">
        <v>43895</v>
      </c>
      <c r="B56" s="7" t="s">
        <v>7188</v>
      </c>
      <c r="C56" s="7" t="s">
        <v>7189</v>
      </c>
      <c r="D56" s="1899">
        <v>43897</v>
      </c>
      <c r="E56" s="881" t="s">
        <v>5494</v>
      </c>
      <c r="F56" s="836">
        <v>0.4375</v>
      </c>
      <c r="G56" s="836">
        <v>0.4375</v>
      </c>
      <c r="H56" s="836">
        <v>0.4375</v>
      </c>
      <c r="I56" s="1630">
        <f>1.2*80</f>
        <v>96</v>
      </c>
      <c r="J56" s="7" t="s">
        <v>257</v>
      </c>
      <c r="K56" s="817" t="s">
        <v>15</v>
      </c>
      <c r="L56" s="7" t="s">
        <v>17</v>
      </c>
      <c r="M56" s="809" t="s">
        <v>2084</v>
      </c>
      <c r="N56" s="2649"/>
    </row>
    <row r="57" spans="1:14" ht="58" x14ac:dyDescent="0.35">
      <c r="A57" s="1994">
        <v>43895</v>
      </c>
      <c r="B57" s="7" t="s">
        <v>7209</v>
      </c>
      <c r="C57" s="7" t="s">
        <v>7211</v>
      </c>
      <c r="D57" s="1899">
        <v>43897</v>
      </c>
      <c r="E57" s="881" t="s">
        <v>5494</v>
      </c>
      <c r="F57" s="836">
        <v>0.5</v>
      </c>
      <c r="G57" s="2629">
        <v>0.5</v>
      </c>
      <c r="H57" s="2629">
        <v>0.5</v>
      </c>
      <c r="I57" s="1956">
        <v>160</v>
      </c>
      <c r="J57" s="817" t="s">
        <v>7210</v>
      </c>
      <c r="K57" s="817" t="s">
        <v>15</v>
      </c>
      <c r="L57" s="817" t="s">
        <v>17</v>
      </c>
      <c r="M57" s="839" t="s">
        <v>5367</v>
      </c>
      <c r="N57" s="2649"/>
    </row>
    <row r="58" spans="1:14" ht="203" x14ac:dyDescent="0.35">
      <c r="A58" s="1994">
        <v>43895</v>
      </c>
      <c r="B58" s="7" t="s">
        <v>7194</v>
      </c>
      <c r="C58" s="5" t="s">
        <v>6822</v>
      </c>
      <c r="D58" s="2486">
        <v>43897</v>
      </c>
      <c r="E58" s="824" t="s">
        <v>5367</v>
      </c>
      <c r="F58" s="6">
        <v>0.53472222222222221</v>
      </c>
      <c r="G58" s="6">
        <v>0.54166666666666663</v>
      </c>
      <c r="H58" s="6">
        <v>0.54166666666666663</v>
      </c>
      <c r="I58" s="1678">
        <v>0</v>
      </c>
      <c r="J58" s="5" t="s">
        <v>6821</v>
      </c>
      <c r="K58" s="5" t="s">
        <v>15</v>
      </c>
      <c r="L58" s="5" t="s">
        <v>17</v>
      </c>
      <c r="M58" s="807" t="s">
        <v>6034</v>
      </c>
      <c r="N58" s="2649"/>
    </row>
    <row r="59" spans="1:14" ht="101.5" x14ac:dyDescent="0.35">
      <c r="A59" s="2145">
        <v>43895</v>
      </c>
      <c r="B59" s="1733" t="s">
        <v>7229</v>
      </c>
      <c r="C59" s="1733" t="s">
        <v>7203</v>
      </c>
      <c r="D59" s="2146">
        <v>43897</v>
      </c>
      <c r="E59" s="881" t="s">
        <v>7201</v>
      </c>
      <c r="F59" s="836">
        <v>0.54166666666666663</v>
      </c>
      <c r="G59" s="2629">
        <v>0.625</v>
      </c>
      <c r="H59" s="2629">
        <v>0.625</v>
      </c>
      <c r="I59" s="1956">
        <v>250</v>
      </c>
      <c r="J59" s="817" t="s">
        <v>7202</v>
      </c>
      <c r="K59" s="817" t="s">
        <v>140</v>
      </c>
      <c r="L59" s="817" t="s">
        <v>17</v>
      </c>
      <c r="M59" s="839" t="s">
        <v>5367</v>
      </c>
      <c r="N59" s="2649"/>
    </row>
    <row r="60" spans="1:14" ht="87" x14ac:dyDescent="0.35">
      <c r="A60" s="2149">
        <v>43892</v>
      </c>
      <c r="B60" s="7" t="s">
        <v>7123</v>
      </c>
      <c r="C60" s="7" t="s">
        <v>7247</v>
      </c>
      <c r="D60" s="1899">
        <v>43898</v>
      </c>
      <c r="E60" s="881" t="s">
        <v>7248</v>
      </c>
      <c r="F60" s="836">
        <v>0.44791666666666669</v>
      </c>
      <c r="G60" s="836">
        <v>0.47916666666666669</v>
      </c>
      <c r="H60" s="836">
        <v>0.47916666666666669</v>
      </c>
      <c r="I60" s="1630">
        <f>0.7*(1.5*90+40)</f>
        <v>122.49999999999999</v>
      </c>
      <c r="J60" s="817" t="s">
        <v>7124</v>
      </c>
      <c r="K60" s="817" t="s">
        <v>140</v>
      </c>
      <c r="L60" s="817" t="s">
        <v>17</v>
      </c>
      <c r="M60" s="839" t="s">
        <v>6053</v>
      </c>
      <c r="N60" s="2649"/>
    </row>
    <row r="61" spans="1:14" ht="101.5" x14ac:dyDescent="0.35">
      <c r="A61" s="2149">
        <v>43892</v>
      </c>
      <c r="B61" s="817" t="s">
        <v>4951</v>
      </c>
      <c r="C61" s="817" t="s">
        <v>7118</v>
      </c>
      <c r="D61" s="1814">
        <v>43898</v>
      </c>
      <c r="E61" s="1149" t="s">
        <v>1080</v>
      </c>
      <c r="F61" s="2629">
        <v>0.44791666666666669</v>
      </c>
      <c r="G61" s="2629">
        <v>0.51041666666666663</v>
      </c>
      <c r="H61" s="2629">
        <v>0.51041666666666663</v>
      </c>
      <c r="I61" s="1956">
        <v>300</v>
      </c>
      <c r="J61" s="817" t="s">
        <v>7119</v>
      </c>
      <c r="K61" s="817" t="s">
        <v>140</v>
      </c>
      <c r="L61" s="817" t="s">
        <v>17</v>
      </c>
      <c r="M61" s="839" t="s">
        <v>5489</v>
      </c>
      <c r="N61" s="2649"/>
    </row>
    <row r="62" spans="1:14" ht="130.5" x14ac:dyDescent="0.35">
      <c r="A62" s="1994">
        <v>43894</v>
      </c>
      <c r="B62" s="7" t="s">
        <v>7168</v>
      </c>
      <c r="C62" s="7" t="s">
        <v>7169</v>
      </c>
      <c r="D62" s="1899">
        <v>43898</v>
      </c>
      <c r="E62" s="881" t="s">
        <v>5494</v>
      </c>
      <c r="F62" s="836">
        <v>0.5</v>
      </c>
      <c r="G62" s="2617">
        <v>0.5</v>
      </c>
      <c r="H62" s="2617">
        <v>0.5</v>
      </c>
      <c r="I62" s="1956">
        <f>1.5*80</f>
        <v>120</v>
      </c>
      <c r="J62" s="817" t="s">
        <v>7170</v>
      </c>
      <c r="K62" s="817" t="s">
        <v>15</v>
      </c>
      <c r="L62" s="817" t="s">
        <v>17</v>
      </c>
      <c r="M62" s="839" t="s">
        <v>5367</v>
      </c>
      <c r="N62" s="2649"/>
    </row>
    <row r="63" spans="1:14" ht="58" x14ac:dyDescent="0.35">
      <c r="A63" s="1994">
        <v>43895</v>
      </c>
      <c r="B63" s="7" t="s">
        <v>7237</v>
      </c>
      <c r="C63" s="7" t="s">
        <v>2721</v>
      </c>
      <c r="D63" s="1899">
        <v>43898</v>
      </c>
      <c r="E63" s="881" t="s">
        <v>5494</v>
      </c>
      <c r="F63" s="836">
        <v>0.45833333333333331</v>
      </c>
      <c r="G63" s="2629">
        <v>0.45833333333333331</v>
      </c>
      <c r="H63" s="2629">
        <v>0.45833333333333331</v>
      </c>
      <c r="I63" s="1956">
        <f>199*2</f>
        <v>398</v>
      </c>
      <c r="J63" s="817" t="s">
        <v>7238</v>
      </c>
      <c r="K63" s="817" t="s">
        <v>15</v>
      </c>
      <c r="L63" s="817" t="s">
        <v>17</v>
      </c>
      <c r="M63" s="839" t="s">
        <v>2084</v>
      </c>
      <c r="N63" s="2649"/>
    </row>
    <row r="64" spans="1:14" ht="43.5" x14ac:dyDescent="0.35">
      <c r="A64" s="1994">
        <v>43895</v>
      </c>
      <c r="B64" s="7" t="s">
        <v>7206</v>
      </c>
      <c r="C64" s="7" t="s">
        <v>7207</v>
      </c>
      <c r="D64" s="1899">
        <v>43898</v>
      </c>
      <c r="E64" s="881" t="s">
        <v>5494</v>
      </c>
      <c r="F64" s="836">
        <v>0.66666666666666663</v>
      </c>
      <c r="G64" s="2610">
        <v>0.66666666666666663</v>
      </c>
      <c r="H64" s="2610">
        <v>0.66666666666666663</v>
      </c>
      <c r="I64" s="1956">
        <f>1.6*3*80</f>
        <v>384.00000000000006</v>
      </c>
      <c r="J64" s="2064" t="s">
        <v>108</v>
      </c>
      <c r="K64" s="817" t="s">
        <v>15</v>
      </c>
      <c r="L64" s="817" t="s">
        <v>17</v>
      </c>
      <c r="M64" s="839" t="s">
        <v>7208</v>
      </c>
      <c r="N64" s="2649"/>
    </row>
    <row r="65" spans="1:14" ht="29" x14ac:dyDescent="0.35">
      <c r="A65" s="2149">
        <v>43896</v>
      </c>
      <c r="B65" s="817" t="s">
        <v>7235</v>
      </c>
      <c r="C65" s="817" t="s">
        <v>7236</v>
      </c>
      <c r="D65" s="1814">
        <v>43898</v>
      </c>
      <c r="E65" s="1149" t="s">
        <v>115</v>
      </c>
      <c r="F65" s="2610">
        <v>0.5</v>
      </c>
      <c r="G65" s="2610">
        <v>0.5</v>
      </c>
      <c r="H65" s="2610">
        <v>0.5</v>
      </c>
      <c r="I65" s="1956">
        <f>1.2*80</f>
        <v>96</v>
      </c>
      <c r="J65" s="817" t="s">
        <v>257</v>
      </c>
      <c r="K65" s="817" t="s">
        <v>15</v>
      </c>
      <c r="L65" s="817" t="s">
        <v>17</v>
      </c>
      <c r="M65" s="839" t="s">
        <v>6053</v>
      </c>
      <c r="N65" s="2649"/>
    </row>
    <row r="66" spans="1:14" ht="58" x14ac:dyDescent="0.35">
      <c r="A66" s="2149">
        <v>43897</v>
      </c>
      <c r="B66" s="817" t="s">
        <v>7244</v>
      </c>
      <c r="C66" s="817" t="s">
        <v>7245</v>
      </c>
      <c r="D66" s="1814">
        <v>43898</v>
      </c>
      <c r="E66" s="1149" t="s">
        <v>115</v>
      </c>
      <c r="F66" s="2629">
        <v>0.54166666666666663</v>
      </c>
      <c r="G66" s="2629">
        <v>0.54166666666666663</v>
      </c>
      <c r="H66" s="2629">
        <v>0.54166666666666663</v>
      </c>
      <c r="I66" s="1956">
        <v>243</v>
      </c>
      <c r="J66" s="817" t="s">
        <v>7246</v>
      </c>
      <c r="K66" s="817" t="s">
        <v>15</v>
      </c>
      <c r="L66" s="817" t="s">
        <v>17</v>
      </c>
      <c r="M66" s="839" t="s">
        <v>5367</v>
      </c>
      <c r="N66" s="2649"/>
    </row>
    <row r="67" spans="1:14" x14ac:dyDescent="0.35">
      <c r="A67" s="2149">
        <v>43898</v>
      </c>
      <c r="B67" s="817" t="s">
        <v>7263</v>
      </c>
      <c r="C67" s="817" t="s">
        <v>7264</v>
      </c>
      <c r="D67" s="1814">
        <v>43898</v>
      </c>
      <c r="E67" s="1149" t="s">
        <v>15</v>
      </c>
      <c r="F67" s="1149" t="s">
        <v>15</v>
      </c>
      <c r="G67" s="1149" t="s">
        <v>15</v>
      </c>
      <c r="H67" s="1149" t="s">
        <v>15</v>
      </c>
      <c r="I67" s="1956">
        <v>120</v>
      </c>
      <c r="J67" s="817" t="s">
        <v>257</v>
      </c>
      <c r="K67" s="817" t="s">
        <v>140</v>
      </c>
      <c r="L67" s="817" t="s">
        <v>17</v>
      </c>
      <c r="M67" s="839" t="s">
        <v>6041</v>
      </c>
      <c r="N67" s="2649"/>
    </row>
    <row r="68" spans="1:14" ht="101.5" x14ac:dyDescent="0.35">
      <c r="A68" s="1994">
        <v>43888</v>
      </c>
      <c r="B68" s="7" t="s">
        <v>7034</v>
      </c>
      <c r="C68" s="7" t="s">
        <v>7249</v>
      </c>
      <c r="D68" s="1899">
        <v>43899</v>
      </c>
      <c r="E68" s="1899" t="s">
        <v>7036</v>
      </c>
      <c r="F68" s="836">
        <v>0.45833333333333331</v>
      </c>
      <c r="G68" s="836">
        <v>0.59722222222222221</v>
      </c>
      <c r="H68" s="836">
        <v>0.59722222222222221</v>
      </c>
      <c r="I68" s="1630">
        <v>1179</v>
      </c>
      <c r="J68" s="7" t="s">
        <v>7250</v>
      </c>
      <c r="K68" s="7" t="s">
        <v>119</v>
      </c>
      <c r="L68" s="7" t="s">
        <v>17</v>
      </c>
      <c r="M68" s="809" t="s">
        <v>6121</v>
      </c>
      <c r="N68" s="2649"/>
    </row>
    <row r="69" spans="1:14" ht="43.5" x14ac:dyDescent="0.35">
      <c r="A69" s="1994">
        <v>43893</v>
      </c>
      <c r="B69" s="7" t="s">
        <v>4820</v>
      </c>
      <c r="C69" s="7" t="s">
        <v>7129</v>
      </c>
      <c r="D69" s="1899">
        <v>43899</v>
      </c>
      <c r="E69" s="881" t="s">
        <v>7130</v>
      </c>
      <c r="F69" s="836">
        <v>0.45833333333333331</v>
      </c>
      <c r="G69" s="836">
        <v>0.48958333333333331</v>
      </c>
      <c r="H69" s="836">
        <v>0.48958333333333331</v>
      </c>
      <c r="I69" s="1630">
        <v>180</v>
      </c>
      <c r="J69" s="7" t="s">
        <v>5651</v>
      </c>
      <c r="K69" s="817" t="s">
        <v>119</v>
      </c>
      <c r="L69" s="7" t="s">
        <v>17</v>
      </c>
      <c r="M69" s="809" t="s">
        <v>6041</v>
      </c>
      <c r="N69" s="2649"/>
    </row>
    <row r="70" spans="1:14" ht="29" x14ac:dyDescent="0.35">
      <c r="A70" s="1994">
        <v>43893</v>
      </c>
      <c r="B70" s="7" t="s">
        <v>5412</v>
      </c>
      <c r="C70" s="7" t="s">
        <v>7128</v>
      </c>
      <c r="D70" s="1899">
        <v>43899</v>
      </c>
      <c r="E70" s="881" t="s">
        <v>7127</v>
      </c>
      <c r="F70" s="836">
        <v>0.45833333333333331</v>
      </c>
      <c r="G70" s="836">
        <v>0.55208333333333337</v>
      </c>
      <c r="H70" s="836">
        <v>0.55208333333333337</v>
      </c>
      <c r="I70" s="1630">
        <v>240</v>
      </c>
      <c r="J70" s="7" t="s">
        <v>294</v>
      </c>
      <c r="K70" s="7" t="s">
        <v>119</v>
      </c>
      <c r="L70" s="7" t="s">
        <v>17</v>
      </c>
      <c r="M70" s="809" t="s">
        <v>6041</v>
      </c>
      <c r="N70" s="2649"/>
    </row>
    <row r="71" spans="1:14" ht="72.5" x14ac:dyDescent="0.35">
      <c r="A71" s="1994">
        <v>43895</v>
      </c>
      <c r="B71" s="7" t="s">
        <v>7200</v>
      </c>
      <c r="C71" s="7" t="s">
        <v>7205</v>
      </c>
      <c r="D71" s="1899">
        <v>43899</v>
      </c>
      <c r="E71" s="881" t="s">
        <v>7204</v>
      </c>
      <c r="F71" s="836">
        <v>0.39583333333333331</v>
      </c>
      <c r="G71" s="2629">
        <v>0.41666666666666669</v>
      </c>
      <c r="H71" s="2629">
        <v>0.41666666666666669</v>
      </c>
      <c r="I71" s="1956">
        <v>120</v>
      </c>
      <c r="J71" s="817" t="s">
        <v>7160</v>
      </c>
      <c r="K71" s="817" t="s">
        <v>119</v>
      </c>
      <c r="L71" s="817" t="s">
        <v>17</v>
      </c>
      <c r="M71" s="839" t="s">
        <v>5367</v>
      </c>
      <c r="N71" s="2649"/>
    </row>
    <row r="72" spans="1:14" ht="43.5" x14ac:dyDescent="0.35">
      <c r="A72" s="2485">
        <v>43895</v>
      </c>
      <c r="B72" s="5" t="s">
        <v>5436</v>
      </c>
      <c r="C72" s="5" t="s">
        <v>7192</v>
      </c>
      <c r="D72" s="2486">
        <v>43899</v>
      </c>
      <c r="E72" s="824" t="s">
        <v>5494</v>
      </c>
      <c r="F72" s="6">
        <v>0.45833333333333331</v>
      </c>
      <c r="G72" s="2629">
        <v>0.45833333333333331</v>
      </c>
      <c r="H72" s="2629">
        <v>0.45833333333333331</v>
      </c>
      <c r="I72" s="1809">
        <v>0</v>
      </c>
      <c r="J72" s="2629" t="s">
        <v>7193</v>
      </c>
      <c r="K72" s="817" t="s">
        <v>15</v>
      </c>
      <c r="L72" s="817" t="s">
        <v>17</v>
      </c>
      <c r="M72" s="839" t="s">
        <v>6053</v>
      </c>
      <c r="N72" s="2649"/>
    </row>
    <row r="73" spans="1:14" ht="29" x14ac:dyDescent="0.35">
      <c r="A73" s="1994">
        <v>43896</v>
      </c>
      <c r="B73" s="7" t="s">
        <v>7212</v>
      </c>
      <c r="C73" s="7" t="s">
        <v>7213</v>
      </c>
      <c r="D73" s="1899">
        <v>43899</v>
      </c>
      <c r="E73" s="881" t="s">
        <v>7214</v>
      </c>
      <c r="F73" s="836">
        <v>0.45833333333333331</v>
      </c>
      <c r="G73" s="836">
        <v>0.52083333333333337</v>
      </c>
      <c r="H73" s="836">
        <v>0.52083333333333337</v>
      </c>
      <c r="I73" s="1630">
        <v>132</v>
      </c>
      <c r="J73" s="7" t="s">
        <v>257</v>
      </c>
      <c r="K73" s="7" t="s">
        <v>119</v>
      </c>
      <c r="L73" s="7" t="s">
        <v>22</v>
      </c>
      <c r="M73" s="809" t="s">
        <v>6096</v>
      </c>
      <c r="N73" s="2649"/>
    </row>
    <row r="74" spans="1:14" ht="87" x14ac:dyDescent="0.35">
      <c r="A74" s="1994">
        <v>43896</v>
      </c>
      <c r="B74" s="7" t="s">
        <v>7241</v>
      </c>
      <c r="C74" s="7" t="s">
        <v>7240</v>
      </c>
      <c r="D74" s="1899">
        <v>43899</v>
      </c>
      <c r="E74" s="881" t="s">
        <v>7239</v>
      </c>
      <c r="F74" s="836">
        <v>0.45833333333333331</v>
      </c>
      <c r="G74" s="836">
        <v>0.57291666666666663</v>
      </c>
      <c r="H74" s="836">
        <v>0.57291666666666663</v>
      </c>
      <c r="I74" s="1100">
        <v>0</v>
      </c>
      <c r="J74" s="7" t="s">
        <v>7242</v>
      </c>
      <c r="K74" s="7" t="s">
        <v>119</v>
      </c>
      <c r="L74" s="7" t="s">
        <v>17</v>
      </c>
      <c r="M74" s="809" t="s">
        <v>2084</v>
      </c>
      <c r="N74" s="2649"/>
    </row>
    <row r="75" spans="1:14" ht="58" x14ac:dyDescent="0.35">
      <c r="A75" s="1994">
        <v>43896</v>
      </c>
      <c r="B75" s="7" t="s">
        <v>697</v>
      </c>
      <c r="C75" s="7" t="s">
        <v>7254</v>
      </c>
      <c r="D75" s="1899">
        <v>43899</v>
      </c>
      <c r="E75" s="881" t="s">
        <v>126</v>
      </c>
      <c r="F75" s="836">
        <v>0.45833333333333331</v>
      </c>
      <c r="G75" s="836">
        <v>0.625</v>
      </c>
      <c r="H75" s="836">
        <v>0.625</v>
      </c>
      <c r="I75" s="1100">
        <v>0</v>
      </c>
      <c r="J75" s="7" t="s">
        <v>5716</v>
      </c>
      <c r="K75" s="7" t="s">
        <v>119</v>
      </c>
      <c r="L75" s="7" t="s">
        <v>17</v>
      </c>
      <c r="M75" s="809" t="s">
        <v>6053</v>
      </c>
      <c r="N75" s="2649"/>
    </row>
    <row r="76" spans="1:14" ht="72.5" x14ac:dyDescent="0.35">
      <c r="A76" s="1994">
        <v>43896</v>
      </c>
      <c r="B76" s="7" t="s">
        <v>7252</v>
      </c>
      <c r="C76" s="7" t="s">
        <v>7253</v>
      </c>
      <c r="D76" s="1899">
        <v>43899</v>
      </c>
      <c r="E76" s="824" t="s">
        <v>6668</v>
      </c>
      <c r="F76" s="836">
        <v>0.45833333333333331</v>
      </c>
      <c r="G76" s="2629">
        <v>0.66666666666666663</v>
      </c>
      <c r="H76" s="2629">
        <v>0.66666666666666663</v>
      </c>
      <c r="I76" s="1100">
        <v>0</v>
      </c>
      <c r="J76" s="817" t="s">
        <v>5171</v>
      </c>
      <c r="K76" s="817" t="s">
        <v>119</v>
      </c>
      <c r="L76" s="817" t="s">
        <v>17</v>
      </c>
      <c r="M76" s="839" t="s">
        <v>6053</v>
      </c>
      <c r="N76" s="2649"/>
    </row>
    <row r="77" spans="1:14" ht="43.5" x14ac:dyDescent="0.35">
      <c r="A77" s="1994">
        <v>43896</v>
      </c>
      <c r="B77" s="7" t="s">
        <v>7251</v>
      </c>
      <c r="C77" s="7" t="s">
        <v>7234</v>
      </c>
      <c r="D77" s="1899">
        <v>43899</v>
      </c>
      <c r="E77" s="881" t="s">
        <v>5494</v>
      </c>
      <c r="F77" s="836">
        <v>0.45833333333333331</v>
      </c>
      <c r="G77" s="836">
        <v>0.45833333333333331</v>
      </c>
      <c r="H77" s="836">
        <v>0.45833333333333331</v>
      </c>
      <c r="I77" s="1630">
        <v>150</v>
      </c>
      <c r="J77" s="870" t="s">
        <v>7233</v>
      </c>
      <c r="K77" s="7" t="s">
        <v>15</v>
      </c>
      <c r="L77" s="7" t="s">
        <v>974</v>
      </c>
      <c r="M77" s="809" t="s">
        <v>6096</v>
      </c>
      <c r="N77" s="2649"/>
    </row>
    <row r="78" spans="1:14" x14ac:dyDescent="0.35">
      <c r="A78" s="2149">
        <v>43899</v>
      </c>
      <c r="B78" s="817" t="s">
        <v>1486</v>
      </c>
      <c r="C78" s="817" t="s">
        <v>7265</v>
      </c>
      <c r="D78" s="1814">
        <v>43899</v>
      </c>
      <c r="E78" s="1149" t="s">
        <v>5494</v>
      </c>
      <c r="F78" s="2629">
        <v>0.75</v>
      </c>
      <c r="G78" s="2617">
        <v>0.75</v>
      </c>
      <c r="H78" s="2617">
        <v>0.75</v>
      </c>
      <c r="I78" s="1956">
        <v>65</v>
      </c>
      <c r="J78" s="817" t="s">
        <v>1493</v>
      </c>
      <c r="K78" s="817" t="s">
        <v>15</v>
      </c>
      <c r="L78" s="817" t="s">
        <v>17</v>
      </c>
      <c r="M78" s="839" t="s">
        <v>6053</v>
      </c>
      <c r="N78" s="2649"/>
    </row>
    <row r="79" spans="1:14" ht="29" x14ac:dyDescent="0.35">
      <c r="A79" s="2149">
        <v>43899</v>
      </c>
      <c r="B79" s="817" t="s">
        <v>7258</v>
      </c>
      <c r="C79" s="817" t="s">
        <v>7259</v>
      </c>
      <c r="D79" s="1814">
        <v>43899</v>
      </c>
      <c r="E79" s="1149" t="s">
        <v>5502</v>
      </c>
      <c r="F79" s="2629">
        <v>0.58333333333333337</v>
      </c>
      <c r="G79" s="2629">
        <v>0.58333333333333337</v>
      </c>
      <c r="H79" s="2629">
        <v>0.58333333333333337</v>
      </c>
      <c r="I79" s="1956">
        <f>99*10</f>
        <v>990</v>
      </c>
      <c r="J79" s="817" t="s">
        <v>7295</v>
      </c>
      <c r="K79" s="817" t="s">
        <v>15</v>
      </c>
      <c r="L79" s="817" t="s">
        <v>17</v>
      </c>
      <c r="M79" s="839" t="s">
        <v>6053</v>
      </c>
      <c r="N79" s="2649"/>
    </row>
    <row r="80" spans="1:14" ht="72.5" x14ac:dyDescent="0.35">
      <c r="A80" s="2149">
        <v>43893</v>
      </c>
      <c r="B80" s="817" t="s">
        <v>7270</v>
      </c>
      <c r="C80" s="817" t="s">
        <v>7155</v>
      </c>
      <c r="D80" s="1814">
        <v>43900</v>
      </c>
      <c r="E80" s="1149" t="s">
        <v>7156</v>
      </c>
      <c r="F80" s="2629">
        <v>0.3888888888888889</v>
      </c>
      <c r="G80" s="2617">
        <v>0.41666666666666669</v>
      </c>
      <c r="H80" s="2617">
        <v>0.41666666666666669</v>
      </c>
      <c r="I80" s="1956">
        <f>1.2*90</f>
        <v>108</v>
      </c>
      <c r="J80" s="817" t="s">
        <v>257</v>
      </c>
      <c r="K80" s="817" t="s">
        <v>140</v>
      </c>
      <c r="L80" s="817" t="s">
        <v>17</v>
      </c>
      <c r="M80" s="839" t="s">
        <v>7157</v>
      </c>
      <c r="N80" s="2649"/>
    </row>
    <row r="81" spans="1:14" ht="101.5" x14ac:dyDescent="0.35">
      <c r="A81" s="1994">
        <v>43896</v>
      </c>
      <c r="B81" s="7" t="s">
        <v>7243</v>
      </c>
      <c r="C81" s="7" t="s">
        <v>7274</v>
      </c>
      <c r="D81" s="1899">
        <v>43900</v>
      </c>
      <c r="E81" s="881" t="s">
        <v>126</v>
      </c>
      <c r="F81" s="836">
        <v>0.39583333333333331</v>
      </c>
      <c r="G81" s="2629">
        <v>0.4375</v>
      </c>
      <c r="H81" s="2629">
        <v>0.4375</v>
      </c>
      <c r="I81" s="1809">
        <v>0</v>
      </c>
      <c r="J81" s="817" t="s">
        <v>15</v>
      </c>
      <c r="K81" s="817" t="s">
        <v>140</v>
      </c>
      <c r="L81" s="817" t="s">
        <v>17</v>
      </c>
      <c r="M81" s="839" t="s">
        <v>6061</v>
      </c>
      <c r="N81" s="2649"/>
    </row>
    <row r="82" spans="1:14" ht="29" x14ac:dyDescent="0.35">
      <c r="A82" s="2149">
        <v>43899</v>
      </c>
      <c r="B82" s="817" t="s">
        <v>136</v>
      </c>
      <c r="C82" s="817" t="s">
        <v>7266</v>
      </c>
      <c r="D82" s="1814">
        <v>43900</v>
      </c>
      <c r="E82" s="1149" t="s">
        <v>7267</v>
      </c>
      <c r="F82" s="2629">
        <v>0.35416666666666669</v>
      </c>
      <c r="G82" s="2629">
        <v>0.35416666666666669</v>
      </c>
      <c r="H82" s="2629">
        <v>0.35416666666666669</v>
      </c>
      <c r="I82" s="1809">
        <v>0</v>
      </c>
      <c r="J82" s="817" t="s">
        <v>7091</v>
      </c>
      <c r="K82" s="817" t="s">
        <v>15</v>
      </c>
      <c r="L82" s="817" t="s">
        <v>17</v>
      </c>
      <c r="M82" s="839" t="s">
        <v>6053</v>
      </c>
      <c r="N82" s="2649"/>
    </row>
    <row r="83" spans="1:14" ht="58" x14ac:dyDescent="0.35">
      <c r="A83" s="2149">
        <v>43899</v>
      </c>
      <c r="B83" s="817" t="s">
        <v>3798</v>
      </c>
      <c r="C83" s="817" t="s">
        <v>7281</v>
      </c>
      <c r="D83" s="1814">
        <v>43900</v>
      </c>
      <c r="E83" s="1149" t="s">
        <v>7279</v>
      </c>
      <c r="F83" s="2629" t="s">
        <v>15</v>
      </c>
      <c r="G83" s="2629" t="s">
        <v>15</v>
      </c>
      <c r="H83" s="2629" t="s">
        <v>15</v>
      </c>
      <c r="I83" s="1809" t="s">
        <v>15</v>
      </c>
      <c r="J83" s="817" t="s">
        <v>15</v>
      </c>
      <c r="K83" s="817" t="s">
        <v>15</v>
      </c>
      <c r="L83" s="817" t="s">
        <v>22</v>
      </c>
      <c r="M83" s="839" t="s">
        <v>3798</v>
      </c>
      <c r="N83" s="2649"/>
    </row>
    <row r="84" spans="1:14" ht="72.5" x14ac:dyDescent="0.35">
      <c r="A84" s="2485">
        <v>43899</v>
      </c>
      <c r="B84" s="5" t="s">
        <v>7271</v>
      </c>
      <c r="C84" s="5" t="s">
        <v>7272</v>
      </c>
      <c r="D84" s="2486">
        <v>43900</v>
      </c>
      <c r="E84" s="824" t="s">
        <v>126</v>
      </c>
      <c r="F84" s="6">
        <v>0.39583333333333331</v>
      </c>
      <c r="G84" s="2629">
        <v>0.4375</v>
      </c>
      <c r="H84" s="2629">
        <v>0.4375</v>
      </c>
      <c r="I84" s="1956">
        <f>15*15*0.7</f>
        <v>157.5</v>
      </c>
      <c r="J84" s="2629" t="s">
        <v>7273</v>
      </c>
      <c r="K84" s="817" t="s">
        <v>140</v>
      </c>
      <c r="L84" s="817" t="s">
        <v>17</v>
      </c>
      <c r="M84" s="839" t="s">
        <v>6053</v>
      </c>
      <c r="N84" s="2649"/>
    </row>
    <row r="85" spans="1:14" ht="232" x14ac:dyDescent="0.35">
      <c r="A85" s="1994">
        <v>43895</v>
      </c>
      <c r="B85" s="7" t="s">
        <v>7197</v>
      </c>
      <c r="C85" s="7" t="s">
        <v>7198</v>
      </c>
      <c r="D85" s="1899">
        <v>43901</v>
      </c>
      <c r="E85" s="881" t="s">
        <v>7199</v>
      </c>
      <c r="F85" s="836">
        <v>0.4375</v>
      </c>
      <c r="G85" s="836">
        <v>0.54166666666666663</v>
      </c>
      <c r="H85" s="836">
        <v>0.54166666666666663</v>
      </c>
      <c r="I85" s="1100">
        <v>0</v>
      </c>
      <c r="J85" s="7" t="s">
        <v>6821</v>
      </c>
      <c r="K85" s="7" t="s">
        <v>119</v>
      </c>
      <c r="L85" s="7" t="s">
        <v>17</v>
      </c>
      <c r="M85" s="7" t="s">
        <v>6034</v>
      </c>
      <c r="N85" s="2649"/>
    </row>
    <row r="86" spans="1:14" ht="43.5" x14ac:dyDescent="0.35">
      <c r="A86" s="2485">
        <v>43899</v>
      </c>
      <c r="B86" s="5" t="s">
        <v>5795</v>
      </c>
      <c r="C86" s="5" t="s">
        <v>7280</v>
      </c>
      <c r="D86" s="2486">
        <v>43901</v>
      </c>
      <c r="E86" s="881" t="s">
        <v>6975</v>
      </c>
      <c r="F86" s="6">
        <v>0.4375</v>
      </c>
      <c r="G86" s="2629">
        <v>0.5</v>
      </c>
      <c r="H86" s="2629">
        <v>0.5</v>
      </c>
      <c r="I86" s="1956">
        <v>168</v>
      </c>
      <c r="J86" s="2611" t="s">
        <v>7297</v>
      </c>
      <c r="K86" s="817" t="s">
        <v>119</v>
      </c>
      <c r="L86" s="817" t="s">
        <v>22</v>
      </c>
      <c r="M86" s="839" t="s">
        <v>6096</v>
      </c>
      <c r="N86" s="2649"/>
    </row>
    <row r="87" spans="1:14" ht="101.5" x14ac:dyDescent="0.35">
      <c r="A87" s="1994">
        <v>43900</v>
      </c>
      <c r="B87" s="7" t="s">
        <v>5702</v>
      </c>
      <c r="C87" s="7" t="s">
        <v>7283</v>
      </c>
      <c r="D87" s="1899">
        <v>43901</v>
      </c>
      <c r="E87" s="881" t="s">
        <v>7282</v>
      </c>
      <c r="F87" s="836">
        <v>0.36458333333333331</v>
      </c>
      <c r="G87" s="836">
        <v>0.38541666666666669</v>
      </c>
      <c r="H87" s="2610">
        <v>0.38541666666666669</v>
      </c>
      <c r="I87" s="1956">
        <v>398</v>
      </c>
      <c r="J87" s="817" t="s">
        <v>5929</v>
      </c>
      <c r="K87" s="817" t="s">
        <v>119</v>
      </c>
      <c r="L87" s="817" t="s">
        <v>22</v>
      </c>
      <c r="M87" s="839" t="s">
        <v>7291</v>
      </c>
      <c r="N87" s="2649"/>
    </row>
    <row r="88" spans="1:14" ht="29" x14ac:dyDescent="0.35">
      <c r="A88" s="2485">
        <v>43900</v>
      </c>
      <c r="B88" s="5" t="s">
        <v>7275</v>
      </c>
      <c r="C88" s="5" t="s">
        <v>7277</v>
      </c>
      <c r="D88" s="2486">
        <v>43901</v>
      </c>
      <c r="E88" s="824" t="s">
        <v>7276</v>
      </c>
      <c r="F88" s="6">
        <v>0.4375</v>
      </c>
      <c r="G88" s="2629">
        <v>0.45833333333333331</v>
      </c>
      <c r="H88" s="2629">
        <v>0.45833333333333331</v>
      </c>
      <c r="I88" s="1956">
        <v>160</v>
      </c>
      <c r="J88" s="2629" t="s">
        <v>294</v>
      </c>
      <c r="K88" s="817" t="s">
        <v>119</v>
      </c>
      <c r="L88" s="817" t="s">
        <v>17</v>
      </c>
      <c r="M88" s="839" t="s">
        <v>5489</v>
      </c>
      <c r="N88" s="2649"/>
    </row>
    <row r="89" spans="1:14" ht="203" x14ac:dyDescent="0.35">
      <c r="A89" s="2485">
        <v>43880</v>
      </c>
      <c r="B89" s="5" t="s">
        <v>7070</v>
      </c>
      <c r="C89" s="5" t="s">
        <v>6822</v>
      </c>
      <c r="D89" s="2486">
        <v>43902</v>
      </c>
      <c r="E89" s="824" t="s">
        <v>5367</v>
      </c>
      <c r="F89" s="6">
        <v>0.79166666666666663</v>
      </c>
      <c r="G89" s="6">
        <v>0.79166666666666663</v>
      </c>
      <c r="H89" s="6">
        <v>0.79166666666666663</v>
      </c>
      <c r="I89" s="1678">
        <v>0</v>
      </c>
      <c r="J89" s="5" t="s">
        <v>6821</v>
      </c>
      <c r="K89" s="5" t="s">
        <v>15</v>
      </c>
      <c r="L89" s="5" t="s">
        <v>17</v>
      </c>
      <c r="M89" s="807" t="s">
        <v>6034</v>
      </c>
      <c r="N89" s="2649"/>
    </row>
    <row r="90" spans="1:14" ht="58" x14ac:dyDescent="0.35">
      <c r="A90" s="1994">
        <v>43896</v>
      </c>
      <c r="B90" s="7" t="s">
        <v>7230</v>
      </c>
      <c r="C90" s="2142" t="s">
        <v>7231</v>
      </c>
      <c r="D90" s="1899">
        <v>43902</v>
      </c>
      <c r="E90" s="881" t="s">
        <v>15</v>
      </c>
      <c r="F90" s="881" t="s">
        <v>15</v>
      </c>
      <c r="G90" s="881" t="s">
        <v>15</v>
      </c>
      <c r="H90" s="881" t="s">
        <v>15</v>
      </c>
      <c r="I90" s="1809">
        <v>0</v>
      </c>
      <c r="J90" s="881" t="s">
        <v>15</v>
      </c>
      <c r="K90" s="881" t="s">
        <v>15</v>
      </c>
      <c r="L90" s="881" t="s">
        <v>17</v>
      </c>
      <c r="M90" s="2609" t="s">
        <v>15</v>
      </c>
      <c r="N90" s="2649"/>
    </row>
    <row r="91" spans="1:14" ht="72.5" x14ac:dyDescent="0.35">
      <c r="A91" s="2149">
        <v>43899</v>
      </c>
      <c r="B91" s="817" t="s">
        <v>7268</v>
      </c>
      <c r="C91" s="817" t="s">
        <v>7269</v>
      </c>
      <c r="D91" s="1814">
        <v>43902</v>
      </c>
      <c r="E91" s="1149" t="s">
        <v>7307</v>
      </c>
      <c r="F91" s="2629">
        <v>0.60416666666666663</v>
      </c>
      <c r="G91" s="2629">
        <v>0.64583333333333337</v>
      </c>
      <c r="H91" s="2629">
        <v>0.64583333333333337</v>
      </c>
      <c r="I91" s="1956">
        <f>1.6*90</f>
        <v>144</v>
      </c>
      <c r="J91" s="817" t="s">
        <v>1493</v>
      </c>
      <c r="K91" s="817" t="s">
        <v>140</v>
      </c>
      <c r="L91" s="817" t="s">
        <v>17</v>
      </c>
      <c r="M91" s="839" t="s">
        <v>6121</v>
      </c>
      <c r="N91" s="2649"/>
    </row>
    <row r="92" spans="1:14" ht="174" x14ac:dyDescent="0.35">
      <c r="A92" s="2149">
        <v>43900</v>
      </c>
      <c r="B92" s="817" t="s">
        <v>7308</v>
      </c>
      <c r="C92" s="817" t="s">
        <v>7309</v>
      </c>
      <c r="D92" s="1814">
        <v>43902</v>
      </c>
      <c r="E92" s="1149" t="s">
        <v>7296</v>
      </c>
      <c r="F92" s="2617">
        <v>0.77083333333333337</v>
      </c>
      <c r="G92" s="2617">
        <v>0.79166666666666663</v>
      </c>
      <c r="H92" s="2617">
        <v>0.79166666666666663</v>
      </c>
      <c r="I92" s="1956">
        <v>310</v>
      </c>
      <c r="J92" s="817" t="s">
        <v>257</v>
      </c>
      <c r="K92" s="817" t="s">
        <v>140</v>
      </c>
      <c r="L92" s="817" t="s">
        <v>17</v>
      </c>
      <c r="M92" s="839" t="s">
        <v>2084</v>
      </c>
      <c r="N92" s="2649"/>
    </row>
    <row r="93" spans="1:14" ht="58" x14ac:dyDescent="0.35">
      <c r="A93" s="2149">
        <v>43901</v>
      </c>
      <c r="B93" s="2614" t="s">
        <v>7306</v>
      </c>
      <c r="C93" s="817" t="s">
        <v>7304</v>
      </c>
      <c r="D93" s="1814">
        <v>43902</v>
      </c>
      <c r="E93" s="1149" t="s">
        <v>7305</v>
      </c>
      <c r="F93" s="2629">
        <v>0.60416666666666663</v>
      </c>
      <c r="G93" s="2629">
        <v>0.625</v>
      </c>
      <c r="H93" s="2629">
        <v>0.625</v>
      </c>
      <c r="I93" s="1956">
        <v>120</v>
      </c>
      <c r="J93" s="817" t="s">
        <v>257</v>
      </c>
      <c r="K93" s="817" t="s">
        <v>140</v>
      </c>
      <c r="L93" s="817" t="s">
        <v>17</v>
      </c>
      <c r="M93" s="839" t="s">
        <v>6041</v>
      </c>
      <c r="N93" s="2649"/>
    </row>
    <row r="94" spans="1:14" ht="43.5" x14ac:dyDescent="0.35">
      <c r="A94" s="2149">
        <v>43901</v>
      </c>
      <c r="B94" s="817" t="s">
        <v>7299</v>
      </c>
      <c r="C94" s="817" t="s">
        <v>7300</v>
      </c>
      <c r="D94" s="1814">
        <v>43902</v>
      </c>
      <c r="E94" s="1149" t="s">
        <v>5494</v>
      </c>
      <c r="F94" s="2629">
        <v>0.83333333333333337</v>
      </c>
      <c r="G94" s="2617">
        <v>0.83333333333333337</v>
      </c>
      <c r="H94" s="2617">
        <v>0.83333333333333337</v>
      </c>
      <c r="I94" s="1956">
        <v>60</v>
      </c>
      <c r="J94" s="817" t="s">
        <v>7301</v>
      </c>
      <c r="K94" s="817" t="s">
        <v>15</v>
      </c>
      <c r="L94" s="817" t="s">
        <v>17</v>
      </c>
      <c r="M94" s="839" t="s">
        <v>5367</v>
      </c>
      <c r="N94" s="2649"/>
    </row>
    <row r="95" spans="1:14" ht="87" x14ac:dyDescent="0.35">
      <c r="A95" s="2149">
        <v>43882</v>
      </c>
      <c r="B95" s="817" t="s">
        <v>6905</v>
      </c>
      <c r="C95" s="5" t="s">
        <v>6909</v>
      </c>
      <c r="D95" s="2486">
        <v>43904</v>
      </c>
      <c r="E95" s="824" t="s">
        <v>5494</v>
      </c>
      <c r="F95" s="6">
        <v>0.5</v>
      </c>
      <c r="G95" s="6">
        <v>0.5</v>
      </c>
      <c r="H95" s="6">
        <v>0.5</v>
      </c>
      <c r="I95" s="1630">
        <v>400</v>
      </c>
      <c r="J95" s="1430" t="s">
        <v>3926</v>
      </c>
      <c r="K95" s="817" t="s">
        <v>140</v>
      </c>
      <c r="L95" s="817" t="s">
        <v>974</v>
      </c>
      <c r="M95" s="839" t="s">
        <v>6907</v>
      </c>
      <c r="N95" s="2649"/>
    </row>
    <row r="96" spans="1:14" ht="29" x14ac:dyDescent="0.35">
      <c r="A96" s="2149">
        <v>43903</v>
      </c>
      <c r="B96" s="817" t="s">
        <v>4113</v>
      </c>
      <c r="C96" s="5" t="s">
        <v>7322</v>
      </c>
      <c r="D96" s="2486">
        <v>43904</v>
      </c>
      <c r="E96" s="824" t="s">
        <v>7323</v>
      </c>
      <c r="F96" s="6">
        <v>0.66666666666666663</v>
      </c>
      <c r="G96" s="2629">
        <v>0.70833333333333337</v>
      </c>
      <c r="H96" s="2629">
        <v>0.70833333333333337</v>
      </c>
      <c r="I96" s="1956">
        <v>240</v>
      </c>
      <c r="J96" s="817" t="s">
        <v>257</v>
      </c>
      <c r="K96" s="817" t="s">
        <v>119</v>
      </c>
      <c r="L96" s="817" t="s">
        <v>974</v>
      </c>
      <c r="M96" s="839" t="s">
        <v>6096</v>
      </c>
      <c r="N96" s="2649"/>
    </row>
    <row r="97" spans="1:14" ht="72.5" x14ac:dyDescent="0.35">
      <c r="A97" s="2149">
        <v>43873</v>
      </c>
      <c r="B97" s="5" t="s">
        <v>7338</v>
      </c>
      <c r="C97" s="5" t="s">
        <v>7320</v>
      </c>
      <c r="D97" s="2486">
        <v>43905</v>
      </c>
      <c r="E97" s="824" t="s">
        <v>7319</v>
      </c>
      <c r="F97" s="6">
        <v>0.39583333333333331</v>
      </c>
      <c r="G97" s="2610">
        <v>0.54166666666666663</v>
      </c>
      <c r="H97" s="2610">
        <v>0.54166666666666663</v>
      </c>
      <c r="I97" s="1630">
        <v>224</v>
      </c>
      <c r="J97" s="2085" t="s">
        <v>7313</v>
      </c>
      <c r="K97" s="817" t="s">
        <v>119</v>
      </c>
      <c r="L97" s="817" t="s">
        <v>974</v>
      </c>
      <c r="M97" s="839" t="s">
        <v>6096</v>
      </c>
      <c r="N97" s="2649"/>
    </row>
    <row r="98" spans="1:14" ht="72.5" x14ac:dyDescent="0.35">
      <c r="A98" s="2149">
        <v>43901</v>
      </c>
      <c r="B98" s="817" t="s">
        <v>7302</v>
      </c>
      <c r="C98" s="817" t="s">
        <v>7321</v>
      </c>
      <c r="D98" s="1814">
        <v>43905</v>
      </c>
      <c r="E98" s="1149" t="s">
        <v>7303</v>
      </c>
      <c r="F98" s="2629">
        <v>0.39583333333333331</v>
      </c>
      <c r="G98" s="2629">
        <v>0.5</v>
      </c>
      <c r="H98" s="2629">
        <v>0.5</v>
      </c>
      <c r="I98" s="1956">
        <v>100</v>
      </c>
      <c r="J98" s="817" t="s">
        <v>257</v>
      </c>
      <c r="K98" s="817" t="s">
        <v>119</v>
      </c>
      <c r="L98" s="817" t="s">
        <v>17</v>
      </c>
      <c r="M98" s="839" t="s">
        <v>6041</v>
      </c>
      <c r="N98" s="2649"/>
    </row>
    <row r="99" spans="1:14" ht="43.5" x14ac:dyDescent="0.35">
      <c r="A99" s="2149">
        <v>43902</v>
      </c>
      <c r="B99" s="817" t="s">
        <v>805</v>
      </c>
      <c r="C99" s="817" t="s">
        <v>7310</v>
      </c>
      <c r="D99" s="1814">
        <v>43905</v>
      </c>
      <c r="E99" s="1149" t="s">
        <v>7311</v>
      </c>
      <c r="F99" s="2629">
        <v>0.39583333333333331</v>
      </c>
      <c r="G99" s="2629">
        <v>0.41666666666666669</v>
      </c>
      <c r="H99" s="2629">
        <v>0.41666666666666669</v>
      </c>
      <c r="I99" s="1956">
        <v>240</v>
      </c>
      <c r="J99" s="817" t="s">
        <v>7312</v>
      </c>
      <c r="K99" s="817" t="s">
        <v>119</v>
      </c>
      <c r="L99" s="817" t="s">
        <v>17</v>
      </c>
      <c r="M99" s="839" t="s">
        <v>6041</v>
      </c>
      <c r="N99" s="2649"/>
    </row>
    <row r="100" spans="1:14" ht="72.5" x14ac:dyDescent="0.35">
      <c r="A100" s="2149">
        <v>43904</v>
      </c>
      <c r="B100" s="817" t="s">
        <v>7337</v>
      </c>
      <c r="C100" s="5" t="s">
        <v>7335</v>
      </c>
      <c r="D100" s="2486">
        <v>43905</v>
      </c>
      <c r="E100" s="824" t="s">
        <v>7336</v>
      </c>
      <c r="F100" s="6">
        <v>0.39583333333333331</v>
      </c>
      <c r="G100" s="2606">
        <v>0.4375</v>
      </c>
      <c r="H100" s="2606">
        <v>0.4375</v>
      </c>
      <c r="I100" s="1956">
        <v>100</v>
      </c>
      <c r="J100" s="817" t="s">
        <v>1493</v>
      </c>
      <c r="K100" s="817" t="s">
        <v>119</v>
      </c>
      <c r="L100" s="817" t="s">
        <v>17</v>
      </c>
      <c r="M100" s="839" t="s">
        <v>17</v>
      </c>
      <c r="N100" s="2649"/>
    </row>
    <row r="101" spans="1:14" ht="87" x14ac:dyDescent="0.35">
      <c r="A101" s="2149">
        <v>43904</v>
      </c>
      <c r="B101" s="817" t="s">
        <v>7333</v>
      </c>
      <c r="C101" s="817" t="s">
        <v>7331</v>
      </c>
      <c r="D101" s="1814">
        <v>43905</v>
      </c>
      <c r="E101" s="1149" t="s">
        <v>7332</v>
      </c>
      <c r="F101" s="2629">
        <v>0.39583333333333331</v>
      </c>
      <c r="G101" s="2629">
        <v>0.47916666666666669</v>
      </c>
      <c r="H101" s="2629">
        <v>0.47916666666666669</v>
      </c>
      <c r="I101" s="1956">
        <f>1.2*120*0.9</f>
        <v>129.6</v>
      </c>
      <c r="J101" s="817" t="s">
        <v>7334</v>
      </c>
      <c r="K101" s="817" t="s">
        <v>119</v>
      </c>
      <c r="L101" s="817" t="s">
        <v>17</v>
      </c>
      <c r="M101" s="839" t="s">
        <v>6121</v>
      </c>
      <c r="N101" s="2649"/>
    </row>
    <row r="102" spans="1:14" ht="29" x14ac:dyDescent="0.35">
      <c r="A102" s="2149">
        <v>43904</v>
      </c>
      <c r="B102" s="817" t="s">
        <v>7330</v>
      </c>
      <c r="C102" s="817" t="s">
        <v>7329</v>
      </c>
      <c r="D102" s="1814">
        <v>43905</v>
      </c>
      <c r="E102" s="1149" t="s">
        <v>5494</v>
      </c>
      <c r="F102" s="2629">
        <v>0.5</v>
      </c>
      <c r="G102" s="2629">
        <v>0.5</v>
      </c>
      <c r="H102" s="2629">
        <v>0.5</v>
      </c>
      <c r="I102" s="1956">
        <f>1.6*80</f>
        <v>128</v>
      </c>
      <c r="J102" s="817" t="s">
        <v>257</v>
      </c>
      <c r="K102" s="817" t="s">
        <v>15</v>
      </c>
      <c r="L102" s="817" t="s">
        <v>17</v>
      </c>
      <c r="M102" s="839" t="s">
        <v>2084</v>
      </c>
      <c r="N102" s="2649"/>
    </row>
    <row r="103" spans="1:14" ht="72.5" x14ac:dyDescent="0.35">
      <c r="A103" s="1994">
        <v>43902</v>
      </c>
      <c r="B103" s="7" t="s">
        <v>7315</v>
      </c>
      <c r="C103" s="5" t="s">
        <v>7317</v>
      </c>
      <c r="D103" s="2486">
        <v>43906</v>
      </c>
      <c r="E103" s="824" t="s">
        <v>7316</v>
      </c>
      <c r="F103" s="6">
        <v>0.375</v>
      </c>
      <c r="G103" s="2610">
        <v>0.41666666666666669</v>
      </c>
      <c r="H103" s="2610">
        <v>0.41666666666666669</v>
      </c>
      <c r="I103" s="1809" t="s">
        <v>15</v>
      </c>
      <c r="J103" s="817" t="s">
        <v>7318</v>
      </c>
      <c r="K103" s="817" t="s">
        <v>15</v>
      </c>
      <c r="L103" s="817" t="s">
        <v>17</v>
      </c>
      <c r="M103" s="839" t="s">
        <v>6061</v>
      </c>
      <c r="N103" s="2649"/>
    </row>
    <row r="104" spans="1:14" ht="58" x14ac:dyDescent="0.35">
      <c r="A104" s="1994">
        <v>43916</v>
      </c>
      <c r="B104" s="7" t="s">
        <v>7511</v>
      </c>
      <c r="C104" s="7" t="s">
        <v>7453</v>
      </c>
      <c r="D104" s="1899">
        <v>43906</v>
      </c>
      <c r="E104" s="881" t="s">
        <v>7463</v>
      </c>
      <c r="F104" s="836" t="s">
        <v>15</v>
      </c>
      <c r="G104" s="836" t="s">
        <v>3213</v>
      </c>
      <c r="H104" s="836" t="s">
        <v>3213</v>
      </c>
      <c r="I104" s="2170">
        <v>100</v>
      </c>
      <c r="J104" s="7" t="s">
        <v>257</v>
      </c>
      <c r="K104" s="7" t="s">
        <v>15</v>
      </c>
      <c r="L104" s="7" t="s">
        <v>17</v>
      </c>
      <c r="M104" s="809" t="s">
        <v>7451</v>
      </c>
      <c r="N104" s="2649"/>
    </row>
    <row r="105" spans="1:14" ht="159.5" x14ac:dyDescent="0.35">
      <c r="A105" s="2485">
        <v>43904</v>
      </c>
      <c r="B105" s="1090" t="s">
        <v>7345</v>
      </c>
      <c r="C105" s="5" t="s">
        <v>7324</v>
      </c>
      <c r="D105" s="2486">
        <v>43907</v>
      </c>
      <c r="E105" s="824" t="s">
        <v>7325</v>
      </c>
      <c r="F105" s="6" t="s">
        <v>15</v>
      </c>
      <c r="G105" s="2629">
        <v>0.5</v>
      </c>
      <c r="H105" s="2629">
        <v>0.58333333333333337</v>
      </c>
      <c r="I105" s="1956">
        <v>100</v>
      </c>
      <c r="J105" s="2629" t="s">
        <v>257</v>
      </c>
      <c r="K105" s="2629" t="s">
        <v>7346</v>
      </c>
      <c r="L105" s="817" t="s">
        <v>17</v>
      </c>
      <c r="M105" s="839" t="s">
        <v>6450</v>
      </c>
      <c r="N105" s="2649"/>
    </row>
    <row r="106" spans="1:14" ht="58" x14ac:dyDescent="0.35">
      <c r="A106" s="1994">
        <v>43916</v>
      </c>
      <c r="B106" s="7" t="s">
        <v>7512</v>
      </c>
      <c r="C106" s="7" t="s">
        <v>7453</v>
      </c>
      <c r="D106" s="1899">
        <v>43907</v>
      </c>
      <c r="E106" s="881" t="s">
        <v>7464</v>
      </c>
      <c r="F106" s="836" t="s">
        <v>15</v>
      </c>
      <c r="G106" s="836" t="s">
        <v>3213</v>
      </c>
      <c r="H106" s="836" t="s">
        <v>3213</v>
      </c>
      <c r="I106" s="1630">
        <v>100</v>
      </c>
      <c r="J106" s="7" t="s">
        <v>257</v>
      </c>
      <c r="K106" s="7" t="s">
        <v>15</v>
      </c>
      <c r="L106" s="7" t="s">
        <v>17</v>
      </c>
      <c r="M106" s="809" t="s">
        <v>7451</v>
      </c>
      <c r="N106" s="2649"/>
    </row>
    <row r="107" spans="1:14" ht="72.5" x14ac:dyDescent="0.35">
      <c r="A107" s="2149">
        <v>43906</v>
      </c>
      <c r="B107" s="817" t="s">
        <v>7358</v>
      </c>
      <c r="C107" s="817" t="s">
        <v>7339</v>
      </c>
      <c r="D107" s="1814">
        <v>43908</v>
      </c>
      <c r="E107" s="1149" t="s">
        <v>126</v>
      </c>
      <c r="F107" s="2629">
        <v>0.5</v>
      </c>
      <c r="G107" s="2629">
        <v>0.54166666666666663</v>
      </c>
      <c r="H107" s="2629">
        <v>0.54166666666666663</v>
      </c>
      <c r="I107" s="1809">
        <v>0</v>
      </c>
      <c r="J107" s="817" t="s">
        <v>7341</v>
      </c>
      <c r="K107" s="817" t="s">
        <v>140</v>
      </c>
      <c r="L107" s="817" t="s">
        <v>17</v>
      </c>
      <c r="M107" s="839" t="s">
        <v>6053</v>
      </c>
      <c r="N107" s="2649"/>
    </row>
    <row r="108" spans="1:14" ht="72.5" x14ac:dyDescent="0.35">
      <c r="A108" s="2149">
        <v>43906</v>
      </c>
      <c r="B108" s="817" t="s">
        <v>7342</v>
      </c>
      <c r="C108" s="5" t="s">
        <v>7343</v>
      </c>
      <c r="D108" s="2486">
        <v>43908</v>
      </c>
      <c r="E108" s="824" t="s">
        <v>5494</v>
      </c>
      <c r="F108" s="6">
        <v>0.75</v>
      </c>
      <c r="G108" s="2629">
        <v>0.75</v>
      </c>
      <c r="H108" s="2629">
        <v>0.75</v>
      </c>
      <c r="I108" s="1956">
        <f>140+85+40</f>
        <v>265</v>
      </c>
      <c r="J108" s="817" t="s">
        <v>7344</v>
      </c>
      <c r="K108" s="817" t="s">
        <v>15</v>
      </c>
      <c r="L108" s="817" t="s">
        <v>17</v>
      </c>
      <c r="M108" s="839" t="s">
        <v>6053</v>
      </c>
      <c r="N108" s="2649"/>
    </row>
    <row r="109" spans="1:14" ht="87" x14ac:dyDescent="0.35">
      <c r="A109" s="2149">
        <v>43907</v>
      </c>
      <c r="B109" s="817" t="s">
        <v>7353</v>
      </c>
      <c r="C109" s="817" t="s">
        <v>7352</v>
      </c>
      <c r="D109" s="1814">
        <v>43908</v>
      </c>
      <c r="E109" s="1149" t="s">
        <v>5502</v>
      </c>
      <c r="F109" s="2629">
        <v>0.5</v>
      </c>
      <c r="G109" s="2610">
        <v>0.5</v>
      </c>
      <c r="H109" s="2610">
        <v>0.5</v>
      </c>
      <c r="I109" s="1956">
        <f>3*80+1.5*75</f>
        <v>352.5</v>
      </c>
      <c r="J109" s="817" t="s">
        <v>7349</v>
      </c>
      <c r="K109" s="817" t="s">
        <v>15</v>
      </c>
      <c r="L109" s="817" t="s">
        <v>17</v>
      </c>
      <c r="M109" s="839" t="s">
        <v>7208</v>
      </c>
      <c r="N109" s="2649"/>
    </row>
    <row r="110" spans="1:14" ht="58" x14ac:dyDescent="0.35">
      <c r="A110" s="2485">
        <v>43907</v>
      </c>
      <c r="B110" s="5" t="s">
        <v>7367</v>
      </c>
      <c r="C110" s="5" t="s">
        <v>7356</v>
      </c>
      <c r="D110" s="2486">
        <v>43909</v>
      </c>
      <c r="E110" s="824" t="s">
        <v>7357</v>
      </c>
      <c r="F110" s="6">
        <v>0.60416666666666663</v>
      </c>
      <c r="G110" s="2629">
        <v>0.625</v>
      </c>
      <c r="H110" s="2629">
        <v>0.625</v>
      </c>
      <c r="I110" s="1956">
        <f>105</f>
        <v>105</v>
      </c>
      <c r="J110" s="2629" t="s">
        <v>257</v>
      </c>
      <c r="K110" s="2629" t="s">
        <v>15</v>
      </c>
      <c r="L110" s="817" t="s">
        <v>17</v>
      </c>
      <c r="M110" s="839" t="s">
        <v>20</v>
      </c>
      <c r="N110" s="2649"/>
    </row>
    <row r="111" spans="1:14" ht="101.5" x14ac:dyDescent="0.35">
      <c r="A111" s="2149">
        <v>43908</v>
      </c>
      <c r="B111" s="817" t="s">
        <v>7362</v>
      </c>
      <c r="C111" s="817" t="s">
        <v>7366</v>
      </c>
      <c r="D111" s="1814">
        <v>43909</v>
      </c>
      <c r="E111" s="1149" t="s">
        <v>7361</v>
      </c>
      <c r="F111" s="2629">
        <v>0.60416666666666663</v>
      </c>
      <c r="G111" s="2610">
        <v>0.64583333333333337</v>
      </c>
      <c r="H111" s="2610">
        <v>0.64583333333333337</v>
      </c>
      <c r="I111" s="1956">
        <f>1.5*90</f>
        <v>135</v>
      </c>
      <c r="J111" s="1149" t="s">
        <v>7368</v>
      </c>
      <c r="K111" s="1149" t="s">
        <v>119</v>
      </c>
      <c r="L111" s="817" t="s">
        <v>17</v>
      </c>
      <c r="M111" s="839" t="s">
        <v>17</v>
      </c>
      <c r="N111" s="2649"/>
    </row>
    <row r="112" spans="1:14" ht="72.5" x14ac:dyDescent="0.35">
      <c r="A112" s="1830">
        <v>43900</v>
      </c>
      <c r="B112" s="10" t="s">
        <v>7376</v>
      </c>
      <c r="C112" s="10" t="s">
        <v>7278</v>
      </c>
      <c r="D112" s="1808">
        <v>43910</v>
      </c>
      <c r="E112" s="824" t="s">
        <v>7276</v>
      </c>
      <c r="F112" s="6" t="s">
        <v>3213</v>
      </c>
      <c r="G112" s="2617">
        <v>0.375</v>
      </c>
      <c r="H112" s="2617">
        <v>0.70833333333333337</v>
      </c>
      <c r="I112" s="1956">
        <v>80</v>
      </c>
      <c r="J112" s="2629" t="s">
        <v>294</v>
      </c>
      <c r="K112" s="817" t="s">
        <v>15</v>
      </c>
      <c r="L112" s="817" t="s">
        <v>17</v>
      </c>
      <c r="M112" s="839" t="s">
        <v>5489</v>
      </c>
      <c r="N112" s="2649"/>
    </row>
    <row r="113" spans="1:14" ht="43.5" x14ac:dyDescent="0.35">
      <c r="A113" s="2149">
        <v>43908</v>
      </c>
      <c r="B113" s="817" t="s">
        <v>7363</v>
      </c>
      <c r="C113" s="817" t="s">
        <v>7365</v>
      </c>
      <c r="D113" s="1814">
        <v>43910</v>
      </c>
      <c r="E113" s="1149" t="s">
        <v>5494</v>
      </c>
      <c r="F113" s="2629">
        <v>0.75</v>
      </c>
      <c r="G113" s="2610">
        <v>0.75</v>
      </c>
      <c r="H113" s="2610">
        <v>0.75</v>
      </c>
      <c r="I113" s="1956">
        <f>60*4</f>
        <v>240</v>
      </c>
      <c r="J113" s="1149" t="s">
        <v>7364</v>
      </c>
      <c r="K113" s="1149" t="s">
        <v>15</v>
      </c>
      <c r="L113" s="817" t="s">
        <v>17</v>
      </c>
      <c r="M113" s="839" t="s">
        <v>5367</v>
      </c>
      <c r="N113" s="2649"/>
    </row>
    <row r="114" spans="1:14" ht="72.5" x14ac:dyDescent="0.35">
      <c r="A114" s="1994">
        <v>43896</v>
      </c>
      <c r="B114" s="7" t="s">
        <v>7225</v>
      </c>
      <c r="C114" s="5" t="s">
        <v>7226</v>
      </c>
      <c r="D114" s="2486">
        <v>43911</v>
      </c>
      <c r="E114" s="824" t="s">
        <v>5494</v>
      </c>
      <c r="F114" s="6">
        <v>0.5</v>
      </c>
      <c r="G114" s="6">
        <v>0.5</v>
      </c>
      <c r="H114" s="6">
        <v>0.5</v>
      </c>
      <c r="I114" s="1956">
        <f>3*80</f>
        <v>240</v>
      </c>
      <c r="J114" s="817" t="s">
        <v>7227</v>
      </c>
      <c r="K114" s="817" t="s">
        <v>15</v>
      </c>
      <c r="L114" s="817" t="s">
        <v>17</v>
      </c>
      <c r="M114" s="839" t="s">
        <v>5367</v>
      </c>
      <c r="N114" s="2649"/>
    </row>
    <row r="115" spans="1:14" ht="58" x14ac:dyDescent="0.35">
      <c r="A115" s="2485">
        <v>43900</v>
      </c>
      <c r="B115" s="5" t="s">
        <v>7292</v>
      </c>
      <c r="C115" s="5" t="s">
        <v>7293</v>
      </c>
      <c r="D115" s="2486">
        <v>43911</v>
      </c>
      <c r="E115" s="2137" t="s">
        <v>5494</v>
      </c>
      <c r="F115" s="6">
        <v>0.5</v>
      </c>
      <c r="G115" s="2617">
        <v>0.5</v>
      </c>
      <c r="H115" s="2617">
        <v>0.5</v>
      </c>
      <c r="I115" s="1956">
        <v>240</v>
      </c>
      <c r="J115" s="817" t="s">
        <v>7294</v>
      </c>
      <c r="K115" s="817" t="s">
        <v>15</v>
      </c>
      <c r="L115" s="817" t="s">
        <v>4068</v>
      </c>
      <c r="M115" s="839" t="s">
        <v>5367</v>
      </c>
      <c r="N115" s="2649"/>
    </row>
    <row r="116" spans="1:14" ht="58" x14ac:dyDescent="0.35">
      <c r="A116" s="2149">
        <v>43907</v>
      </c>
      <c r="B116" s="817" t="s">
        <v>7347</v>
      </c>
      <c r="C116" s="817" t="s">
        <v>7348</v>
      </c>
      <c r="D116" s="1814">
        <v>43911</v>
      </c>
      <c r="E116" s="1149" t="s">
        <v>5502</v>
      </c>
      <c r="F116" s="2629">
        <v>0.54166666666666663</v>
      </c>
      <c r="G116" s="2629">
        <v>0.54166666666666663</v>
      </c>
      <c r="H116" s="2629">
        <v>0.54166666666666663</v>
      </c>
      <c r="I116" s="1956">
        <f>2*80</f>
        <v>160</v>
      </c>
      <c r="J116" s="817" t="s">
        <v>6984</v>
      </c>
      <c r="K116" s="817" t="s">
        <v>15</v>
      </c>
      <c r="L116" s="817" t="s">
        <v>17</v>
      </c>
      <c r="M116" s="839" t="s">
        <v>2084</v>
      </c>
      <c r="N116" s="2649"/>
    </row>
    <row r="117" spans="1:14" ht="72.5" x14ac:dyDescent="0.35">
      <c r="A117" s="2149">
        <v>43909</v>
      </c>
      <c r="B117" s="817" t="s">
        <v>7382</v>
      </c>
      <c r="C117" s="817" t="s">
        <v>7369</v>
      </c>
      <c r="D117" s="1814">
        <v>43911</v>
      </c>
      <c r="E117" s="1149" t="s">
        <v>7370</v>
      </c>
      <c r="F117" s="2629">
        <v>0.41666666666666669</v>
      </c>
      <c r="G117" s="2629">
        <v>0.41666666666666669</v>
      </c>
      <c r="H117" s="2629">
        <v>0.5</v>
      </c>
      <c r="I117" s="1956">
        <v>120</v>
      </c>
      <c r="J117" s="817" t="s">
        <v>257</v>
      </c>
      <c r="K117" s="817" t="s">
        <v>119</v>
      </c>
      <c r="L117" s="817" t="s">
        <v>17</v>
      </c>
      <c r="M117" s="839" t="s">
        <v>6121</v>
      </c>
      <c r="N117" s="2649"/>
    </row>
    <row r="118" spans="1:14" ht="58" x14ac:dyDescent="0.35">
      <c r="A118" s="2149">
        <v>43910</v>
      </c>
      <c r="B118" s="817" t="s">
        <v>7377</v>
      </c>
      <c r="C118" s="817" t="s">
        <v>7380</v>
      </c>
      <c r="D118" s="1814">
        <v>43912</v>
      </c>
      <c r="E118" s="1149" t="s">
        <v>7378</v>
      </c>
      <c r="F118" s="2629">
        <v>0.45833333333333331</v>
      </c>
      <c r="G118" s="2629">
        <v>0.5</v>
      </c>
      <c r="H118" s="2629">
        <v>0.5</v>
      </c>
      <c r="I118" s="1956">
        <v>99</v>
      </c>
      <c r="J118" s="2629" t="s">
        <v>7379</v>
      </c>
      <c r="K118" s="2629" t="s">
        <v>140</v>
      </c>
      <c r="L118" s="817" t="s">
        <v>17</v>
      </c>
      <c r="M118" s="839" t="s">
        <v>6041</v>
      </c>
      <c r="N118" s="2649" t="s">
        <v>1710</v>
      </c>
    </row>
    <row r="119" spans="1:14" ht="174" x14ac:dyDescent="0.35">
      <c r="A119" s="2149">
        <v>43912</v>
      </c>
      <c r="B119" s="817" t="s">
        <v>7383</v>
      </c>
      <c r="C119" s="817" t="s">
        <v>7385</v>
      </c>
      <c r="D119" s="1814">
        <v>43913</v>
      </c>
      <c r="E119" s="1149" t="s">
        <v>7384</v>
      </c>
      <c r="F119" s="2629">
        <v>0.61458333333333337</v>
      </c>
      <c r="G119" s="2610">
        <v>0.64583333333333337</v>
      </c>
      <c r="H119" s="2610">
        <v>0.64583333333333337</v>
      </c>
      <c r="I119" s="1956">
        <f>1.6*90+15+65+24</f>
        <v>248</v>
      </c>
      <c r="J119" s="817" t="s">
        <v>5187</v>
      </c>
      <c r="K119" s="817" t="s">
        <v>119</v>
      </c>
      <c r="L119" s="817" t="s">
        <v>17</v>
      </c>
      <c r="M119" s="839" t="s">
        <v>6121</v>
      </c>
      <c r="N119" s="817" t="s">
        <v>1710</v>
      </c>
    </row>
    <row r="120" spans="1:14" ht="58" x14ac:dyDescent="0.35">
      <c r="A120" s="2149">
        <v>43912</v>
      </c>
      <c r="B120" s="817" t="s">
        <v>7394</v>
      </c>
      <c r="C120" s="817" t="s">
        <v>7392</v>
      </c>
      <c r="D120" s="1814">
        <v>43913</v>
      </c>
      <c r="E120" s="1149" t="s">
        <v>7390</v>
      </c>
      <c r="F120" s="2629">
        <v>0.61458333333333337</v>
      </c>
      <c r="G120" s="2610" t="s">
        <v>972</v>
      </c>
      <c r="H120" s="2610" t="s">
        <v>972</v>
      </c>
      <c r="I120" s="1956">
        <v>126</v>
      </c>
      <c r="J120" s="1430" t="s">
        <v>7391</v>
      </c>
      <c r="K120" s="817" t="s">
        <v>119</v>
      </c>
      <c r="L120" s="817" t="s">
        <v>974</v>
      </c>
      <c r="M120" s="839" t="s">
        <v>6096</v>
      </c>
      <c r="N120" s="2649"/>
    </row>
    <row r="121" spans="1:14" ht="101.5" x14ac:dyDescent="0.35">
      <c r="A121" s="2149">
        <v>43909</v>
      </c>
      <c r="B121" s="817" t="s">
        <v>7405</v>
      </c>
      <c r="C121" s="817" t="s">
        <v>7371</v>
      </c>
      <c r="D121" s="1814">
        <v>43914</v>
      </c>
      <c r="E121" s="1149" t="s">
        <v>7372</v>
      </c>
      <c r="F121" s="2629">
        <v>0.4375</v>
      </c>
      <c r="G121" s="2629">
        <v>0.58333333333333337</v>
      </c>
      <c r="H121" s="2629">
        <v>0.58333333333333337</v>
      </c>
      <c r="I121" s="1956">
        <v>180</v>
      </c>
      <c r="J121" s="817" t="s">
        <v>7373</v>
      </c>
      <c r="K121" s="817" t="s">
        <v>15</v>
      </c>
      <c r="L121" s="817" t="s">
        <v>17</v>
      </c>
      <c r="M121" s="839" t="s">
        <v>17</v>
      </c>
      <c r="N121" s="2649"/>
    </row>
    <row r="122" spans="1:14" ht="72.5" x14ac:dyDescent="0.35">
      <c r="A122" s="2149">
        <v>43913</v>
      </c>
      <c r="B122" s="817" t="s">
        <v>5138</v>
      </c>
      <c r="C122" s="817" t="s">
        <v>7400</v>
      </c>
      <c r="D122" s="1814">
        <v>43914</v>
      </c>
      <c r="E122" s="1149" t="s">
        <v>7399</v>
      </c>
      <c r="F122" s="2629">
        <v>0.4375</v>
      </c>
      <c r="G122" s="2629">
        <v>0.45833333333333331</v>
      </c>
      <c r="H122" s="2629">
        <v>0.45833333333333331</v>
      </c>
      <c r="I122" s="1956">
        <v>100</v>
      </c>
      <c r="J122" s="817" t="s">
        <v>257</v>
      </c>
      <c r="K122" s="817" t="s">
        <v>15</v>
      </c>
      <c r="L122" s="817" t="s">
        <v>216</v>
      </c>
      <c r="M122" s="839" t="s">
        <v>2084</v>
      </c>
      <c r="N122" s="2649"/>
    </row>
    <row r="123" spans="1:14" ht="43.5" x14ac:dyDescent="0.35">
      <c r="A123" s="2149">
        <v>43913</v>
      </c>
      <c r="B123" s="817" t="s">
        <v>7395</v>
      </c>
      <c r="C123" s="817" t="s">
        <v>7398</v>
      </c>
      <c r="D123" s="1814">
        <v>43914</v>
      </c>
      <c r="E123" s="1149" t="s">
        <v>7396</v>
      </c>
      <c r="F123" s="2629">
        <v>0.4375</v>
      </c>
      <c r="G123" s="2629">
        <v>0.47916666666666669</v>
      </c>
      <c r="H123" s="2629">
        <v>0.47916666666666669</v>
      </c>
      <c r="I123" s="1956">
        <v>105</v>
      </c>
      <c r="J123" s="817" t="s">
        <v>7397</v>
      </c>
      <c r="K123" s="817" t="s">
        <v>15</v>
      </c>
      <c r="L123" s="817" t="s">
        <v>17</v>
      </c>
      <c r="M123" s="839" t="s">
        <v>6041</v>
      </c>
      <c r="N123" s="2649"/>
    </row>
    <row r="124" spans="1:14" ht="87" x14ac:dyDescent="0.35">
      <c r="A124" s="2149">
        <v>43913</v>
      </c>
      <c r="B124" s="817" t="s">
        <v>20</v>
      </c>
      <c r="C124" s="817" t="s">
        <v>7404</v>
      </c>
      <c r="D124" s="1814">
        <v>43914</v>
      </c>
      <c r="E124" s="1149" t="s">
        <v>20</v>
      </c>
      <c r="F124" s="2629" t="s">
        <v>15</v>
      </c>
      <c r="G124" s="2610" t="s">
        <v>15</v>
      </c>
      <c r="H124" s="2610" t="s">
        <v>15</v>
      </c>
      <c r="I124" s="1809">
        <v>0</v>
      </c>
      <c r="J124" s="2629" t="s">
        <v>15</v>
      </c>
      <c r="K124" s="2629" t="s">
        <v>15</v>
      </c>
      <c r="L124" s="817" t="s">
        <v>17</v>
      </c>
      <c r="M124" s="839" t="s">
        <v>330</v>
      </c>
      <c r="N124" s="2649"/>
    </row>
    <row r="125" spans="1:14" ht="29" x14ac:dyDescent="0.35">
      <c r="A125" s="2149">
        <v>43914</v>
      </c>
      <c r="B125" s="2631" t="s">
        <v>501</v>
      </c>
      <c r="C125" s="817" t="s">
        <v>7406</v>
      </c>
      <c r="D125" s="1814">
        <v>43914</v>
      </c>
      <c r="E125" s="1149" t="s">
        <v>7407</v>
      </c>
      <c r="F125" s="2629" t="s">
        <v>15</v>
      </c>
      <c r="G125" s="2629" t="s">
        <v>972</v>
      </c>
      <c r="H125" s="2629" t="s">
        <v>972</v>
      </c>
      <c r="I125" s="1956">
        <v>135</v>
      </c>
      <c r="J125" s="2629" t="s">
        <v>257</v>
      </c>
      <c r="K125" s="2629" t="s">
        <v>15</v>
      </c>
      <c r="L125" s="817" t="s">
        <v>22</v>
      </c>
      <c r="M125" s="839" t="s">
        <v>6096</v>
      </c>
      <c r="N125" s="2649"/>
    </row>
    <row r="126" spans="1:14" ht="29" x14ac:dyDescent="0.35">
      <c r="A126" s="2149">
        <v>43907</v>
      </c>
      <c r="B126" s="817" t="s">
        <v>20</v>
      </c>
      <c r="C126" s="817" t="s">
        <v>7355</v>
      </c>
      <c r="D126" s="1814">
        <v>43915</v>
      </c>
      <c r="E126" s="1149" t="s">
        <v>20</v>
      </c>
      <c r="F126" s="2629" t="s">
        <v>15</v>
      </c>
      <c r="G126" s="2617" t="s">
        <v>15</v>
      </c>
      <c r="H126" s="2617" t="s">
        <v>15</v>
      </c>
      <c r="I126" s="1809">
        <v>0</v>
      </c>
      <c r="J126" s="2629" t="s">
        <v>15</v>
      </c>
      <c r="K126" s="2629" t="s">
        <v>15</v>
      </c>
      <c r="L126" s="817" t="s">
        <v>17</v>
      </c>
      <c r="M126" s="839" t="s">
        <v>20</v>
      </c>
      <c r="N126" s="2649"/>
    </row>
    <row r="127" spans="1:14" ht="72.5" x14ac:dyDescent="0.35">
      <c r="A127" s="2149">
        <v>43910</v>
      </c>
      <c r="B127" s="817" t="s">
        <v>7381</v>
      </c>
      <c r="C127" s="817" t="s">
        <v>7393</v>
      </c>
      <c r="D127" s="1814">
        <v>43915</v>
      </c>
      <c r="E127" s="1149" t="s">
        <v>6670</v>
      </c>
      <c r="F127" s="2629">
        <v>0.625</v>
      </c>
      <c r="G127" s="2629">
        <v>0.64583333333333337</v>
      </c>
      <c r="H127" s="2629">
        <v>0.64583333333333337</v>
      </c>
      <c r="I127" s="1956">
        <f>24*12</f>
        <v>288</v>
      </c>
      <c r="J127" s="2629" t="s">
        <v>257</v>
      </c>
      <c r="K127" s="2629" t="s">
        <v>15</v>
      </c>
      <c r="L127" s="817" t="s">
        <v>17</v>
      </c>
      <c r="M127" s="839" t="s">
        <v>6053</v>
      </c>
      <c r="N127" s="817" t="s">
        <v>1710</v>
      </c>
    </row>
    <row r="128" spans="1:14" ht="203" x14ac:dyDescent="0.35">
      <c r="A128" s="2149">
        <v>43912</v>
      </c>
      <c r="B128" s="817" t="s">
        <v>7388</v>
      </c>
      <c r="C128" s="817" t="s">
        <v>7389</v>
      </c>
      <c r="D128" s="1814">
        <v>43915</v>
      </c>
      <c r="E128" s="1149" t="s">
        <v>7386</v>
      </c>
      <c r="F128" s="2629">
        <v>0.45833333333333331</v>
      </c>
      <c r="G128" s="2629">
        <v>0.5</v>
      </c>
      <c r="H128" s="2629">
        <v>0.5</v>
      </c>
      <c r="I128" s="1956">
        <f>1.6*90 +35</f>
        <v>179</v>
      </c>
      <c r="J128" s="817" t="s">
        <v>7387</v>
      </c>
      <c r="K128" s="817" t="s">
        <v>119</v>
      </c>
      <c r="L128" s="817" t="s">
        <v>17</v>
      </c>
      <c r="M128" s="839" t="s">
        <v>17</v>
      </c>
      <c r="N128" s="2649"/>
    </row>
    <row r="129" spans="1:14" ht="101.5" x14ac:dyDescent="0.35">
      <c r="A129" s="2149">
        <v>43914</v>
      </c>
      <c r="B129" s="817" t="s">
        <v>6243</v>
      </c>
      <c r="C129" s="817" t="s">
        <v>7411</v>
      </c>
      <c r="D129" s="1814">
        <v>43915</v>
      </c>
      <c r="E129" s="1149" t="s">
        <v>7410</v>
      </c>
      <c r="F129" s="2629">
        <v>0.625</v>
      </c>
      <c r="G129" s="2629">
        <v>0.67708333333333337</v>
      </c>
      <c r="H129" s="2629">
        <v>0.6777777777777777</v>
      </c>
      <c r="I129" s="1956">
        <f>65*5</f>
        <v>325</v>
      </c>
      <c r="J129" s="817" t="s">
        <v>7415</v>
      </c>
      <c r="K129" s="817" t="s">
        <v>15</v>
      </c>
      <c r="L129" s="817" t="s">
        <v>6046</v>
      </c>
      <c r="M129" s="839" t="s">
        <v>2084</v>
      </c>
      <c r="N129" s="2649"/>
    </row>
    <row r="130" spans="1:14" ht="29" x14ac:dyDescent="0.35">
      <c r="A130" s="2149">
        <v>43914</v>
      </c>
      <c r="B130" s="817" t="s">
        <v>6243</v>
      </c>
      <c r="C130" s="817" t="s">
        <v>7412</v>
      </c>
      <c r="D130" s="1814">
        <v>43915</v>
      </c>
      <c r="E130" s="1149" t="s">
        <v>7416</v>
      </c>
      <c r="F130" s="2629">
        <v>0.625</v>
      </c>
      <c r="G130" s="2626">
        <v>0.70833333333333337</v>
      </c>
      <c r="H130" s="2626">
        <v>0.70833333333333337</v>
      </c>
      <c r="I130" s="1809">
        <v>0</v>
      </c>
      <c r="J130" s="817" t="s">
        <v>7413</v>
      </c>
      <c r="K130" s="817" t="s">
        <v>15</v>
      </c>
      <c r="L130" s="817" t="s">
        <v>6046</v>
      </c>
      <c r="M130" s="839" t="s">
        <v>2084</v>
      </c>
      <c r="N130" s="2649"/>
    </row>
    <row r="131" spans="1:14" ht="58" x14ac:dyDescent="0.35">
      <c r="A131" s="2101">
        <v>43913</v>
      </c>
      <c r="B131" s="1412" t="s">
        <v>7401</v>
      </c>
      <c r="C131" s="1412" t="s">
        <v>7403</v>
      </c>
      <c r="D131" s="1957">
        <v>43916</v>
      </c>
      <c r="E131" s="1958" t="s">
        <v>7402</v>
      </c>
      <c r="F131" s="2629">
        <v>0.5</v>
      </c>
      <c r="G131" s="2626">
        <v>0.55208333333333337</v>
      </c>
      <c r="H131" s="2626">
        <v>0.55208333333333337</v>
      </c>
      <c r="I131" s="1956">
        <f>1.5*120</f>
        <v>180</v>
      </c>
      <c r="J131" s="817" t="s">
        <v>257</v>
      </c>
      <c r="K131" s="817" t="s">
        <v>140</v>
      </c>
      <c r="L131" s="817" t="s">
        <v>17</v>
      </c>
      <c r="M131" s="839" t="s">
        <v>330</v>
      </c>
      <c r="N131" s="2649"/>
    </row>
    <row r="132" spans="1:14" ht="58" x14ac:dyDescent="0.35">
      <c r="A132" s="2485">
        <v>43915</v>
      </c>
      <c r="B132" s="5" t="s">
        <v>7429</v>
      </c>
      <c r="C132" s="5" t="s">
        <v>7433</v>
      </c>
      <c r="D132" s="2486">
        <v>43916</v>
      </c>
      <c r="E132" s="824" t="s">
        <v>7428</v>
      </c>
      <c r="F132" s="6">
        <v>0.5</v>
      </c>
      <c r="G132" s="2626">
        <v>0.52083333333333337</v>
      </c>
      <c r="H132" s="2626">
        <v>0.52083333333333337</v>
      </c>
      <c r="I132" s="2627">
        <v>160</v>
      </c>
      <c r="J132" s="2629" t="s">
        <v>7430</v>
      </c>
      <c r="K132" s="817" t="s">
        <v>140</v>
      </c>
      <c r="L132" s="817" t="s">
        <v>17</v>
      </c>
      <c r="M132" s="839" t="s">
        <v>2084</v>
      </c>
      <c r="N132" s="2649"/>
    </row>
    <row r="133" spans="1:14" ht="116" x14ac:dyDescent="0.35">
      <c r="A133" s="2485">
        <v>43915</v>
      </c>
      <c r="B133" s="826" t="s">
        <v>7423</v>
      </c>
      <c r="C133" s="5" t="s">
        <v>7421</v>
      </c>
      <c r="D133" s="2486">
        <v>43916</v>
      </c>
      <c r="E133" s="872" t="s">
        <v>7422</v>
      </c>
      <c r="F133" s="6">
        <v>0.5</v>
      </c>
      <c r="G133" s="2629">
        <v>0.56944444444444442</v>
      </c>
      <c r="H133" s="2629">
        <v>0.56944444444444442</v>
      </c>
      <c r="I133" s="1956">
        <v>129</v>
      </c>
      <c r="J133" s="2629" t="s">
        <v>7424</v>
      </c>
      <c r="K133" s="817" t="s">
        <v>140</v>
      </c>
      <c r="L133" s="817" t="s">
        <v>17</v>
      </c>
      <c r="M133" s="839" t="s">
        <v>6041</v>
      </c>
      <c r="N133" s="2649"/>
    </row>
    <row r="134" spans="1:14" ht="159.5" x14ac:dyDescent="0.35">
      <c r="A134" s="2149">
        <v>43914</v>
      </c>
      <c r="B134" s="2630" t="s">
        <v>7444</v>
      </c>
      <c r="C134" s="817" t="s">
        <v>7408</v>
      </c>
      <c r="D134" s="1814">
        <v>43917</v>
      </c>
      <c r="E134" s="1149" t="s">
        <v>7409</v>
      </c>
      <c r="F134" s="2629">
        <v>0.43055555555555558</v>
      </c>
      <c r="G134" s="2617">
        <v>0.46875</v>
      </c>
      <c r="H134" s="2617">
        <v>0.46875</v>
      </c>
      <c r="I134" s="1956">
        <v>144</v>
      </c>
      <c r="J134" s="817" t="s">
        <v>7414</v>
      </c>
      <c r="K134" s="817" t="s">
        <v>119</v>
      </c>
      <c r="L134" s="817" t="s">
        <v>17</v>
      </c>
      <c r="M134" s="839" t="s">
        <v>2084</v>
      </c>
      <c r="N134" s="2649"/>
    </row>
    <row r="135" spans="1:14" ht="29" x14ac:dyDescent="0.35">
      <c r="A135" s="2485">
        <v>43916</v>
      </c>
      <c r="B135" s="5" t="s">
        <v>501</v>
      </c>
      <c r="C135" s="5" t="s">
        <v>7446</v>
      </c>
      <c r="D135" s="2486">
        <v>43917</v>
      </c>
      <c r="E135" s="824" t="s">
        <v>7447</v>
      </c>
      <c r="F135" s="6">
        <v>0.43055555555555558</v>
      </c>
      <c r="G135" s="2617">
        <v>0.5</v>
      </c>
      <c r="H135" s="2617">
        <v>0.5</v>
      </c>
      <c r="I135" s="1956">
        <v>200</v>
      </c>
      <c r="J135" s="817" t="s">
        <v>7437</v>
      </c>
      <c r="K135" s="817" t="s">
        <v>119</v>
      </c>
      <c r="L135" s="817" t="s">
        <v>22</v>
      </c>
      <c r="M135" s="839" t="s">
        <v>6096</v>
      </c>
      <c r="N135" s="2649"/>
    </row>
    <row r="136" spans="1:14" ht="58" x14ac:dyDescent="0.35">
      <c r="A136" s="2149">
        <v>43916</v>
      </c>
      <c r="B136" s="817" t="s">
        <v>7434</v>
      </c>
      <c r="C136" s="817" t="s">
        <v>7435</v>
      </c>
      <c r="D136" s="1814">
        <v>43917</v>
      </c>
      <c r="E136" s="1149" t="s">
        <v>7465</v>
      </c>
      <c r="F136" s="2629">
        <v>0.43055555555555558</v>
      </c>
      <c r="G136" s="2610">
        <v>0.52083333333333337</v>
      </c>
      <c r="H136" s="2610">
        <v>0.52083333333333337</v>
      </c>
      <c r="I136" s="1956">
        <v>207</v>
      </c>
      <c r="J136" s="817" t="s">
        <v>7437</v>
      </c>
      <c r="K136" s="817" t="s">
        <v>119</v>
      </c>
      <c r="L136" s="817" t="s">
        <v>17</v>
      </c>
      <c r="M136" s="839" t="s">
        <v>2084</v>
      </c>
      <c r="N136" s="2649"/>
    </row>
    <row r="137" spans="1:14" ht="58" x14ac:dyDescent="0.35">
      <c r="A137" s="1994">
        <v>43916</v>
      </c>
      <c r="B137" s="2632" t="s">
        <v>7466</v>
      </c>
      <c r="C137" s="7" t="s">
        <v>7456</v>
      </c>
      <c r="D137" s="1899">
        <v>43917</v>
      </c>
      <c r="E137" s="881" t="s">
        <v>7457</v>
      </c>
      <c r="F137" s="836">
        <v>0.54166666666666663</v>
      </c>
      <c r="G137" s="836">
        <v>0.58333333333333337</v>
      </c>
      <c r="H137" s="836">
        <v>0.58333333333333337</v>
      </c>
      <c r="I137" s="1630">
        <v>164</v>
      </c>
      <c r="J137" s="7" t="s">
        <v>7458</v>
      </c>
      <c r="K137" s="7" t="s">
        <v>119</v>
      </c>
      <c r="L137" s="7" t="s">
        <v>17</v>
      </c>
      <c r="M137" s="809" t="s">
        <v>6041</v>
      </c>
      <c r="N137" s="2649"/>
    </row>
    <row r="138" spans="1:14" ht="72.5" x14ac:dyDescent="0.35">
      <c r="A138" s="2152">
        <v>43907</v>
      </c>
      <c r="B138" s="1850" t="s">
        <v>7350</v>
      </c>
      <c r="C138" s="1850" t="s">
        <v>7354</v>
      </c>
      <c r="D138" s="1999">
        <v>43918</v>
      </c>
      <c r="E138" s="2000" t="s">
        <v>5502</v>
      </c>
      <c r="F138" s="1864">
        <v>0.41666666666666669</v>
      </c>
      <c r="G138" s="1864">
        <v>0.41666666666666669</v>
      </c>
      <c r="H138" s="2629">
        <v>0.41666666666666669</v>
      </c>
      <c r="I138" s="1956">
        <f>3.5*90</f>
        <v>315</v>
      </c>
      <c r="J138" s="817" t="s">
        <v>7617</v>
      </c>
      <c r="K138" s="817" t="s">
        <v>15</v>
      </c>
      <c r="L138" s="817" t="s">
        <v>17</v>
      </c>
      <c r="M138" s="839" t="s">
        <v>5367</v>
      </c>
      <c r="N138" s="2649"/>
    </row>
    <row r="139" spans="1:14" ht="145" x14ac:dyDescent="0.35">
      <c r="A139" s="1994">
        <v>43916</v>
      </c>
      <c r="B139" s="7" t="s">
        <v>7494</v>
      </c>
      <c r="C139" s="7" t="s">
        <v>7459</v>
      </c>
      <c r="D139" s="1899">
        <v>43918</v>
      </c>
      <c r="E139" s="881" t="s">
        <v>7462</v>
      </c>
      <c r="F139" s="836">
        <v>0.54166666666666663</v>
      </c>
      <c r="G139" s="836">
        <v>0.54861111111111105</v>
      </c>
      <c r="H139" s="836">
        <v>0.54861111111111105</v>
      </c>
      <c r="I139" s="1630">
        <f>2.5*90+90</f>
        <v>315</v>
      </c>
      <c r="J139" s="7" t="s">
        <v>257</v>
      </c>
      <c r="K139" s="7" t="s">
        <v>119</v>
      </c>
      <c r="L139" s="7" t="s">
        <v>17</v>
      </c>
      <c r="M139" s="809" t="s">
        <v>2084</v>
      </c>
      <c r="N139" s="2649"/>
    </row>
    <row r="140" spans="1:14" ht="72.5" x14ac:dyDescent="0.35">
      <c r="A140" s="1994">
        <v>43917</v>
      </c>
      <c r="B140" s="7" t="s">
        <v>7655</v>
      </c>
      <c r="C140" s="7" t="s">
        <v>7495</v>
      </c>
      <c r="D140" s="1899">
        <v>43918</v>
      </c>
      <c r="E140" s="881" t="s">
        <v>7475</v>
      </c>
      <c r="F140" s="836">
        <v>0.54166666666666663</v>
      </c>
      <c r="G140" s="836">
        <v>0.57291666666666663</v>
      </c>
      <c r="H140" s="836">
        <v>0.57291666666666663</v>
      </c>
      <c r="I140" s="1100">
        <v>0</v>
      </c>
      <c r="J140" s="7" t="s">
        <v>6944</v>
      </c>
      <c r="K140" s="7" t="s">
        <v>119</v>
      </c>
      <c r="L140" s="7" t="s">
        <v>17</v>
      </c>
      <c r="M140" s="809" t="s">
        <v>6041</v>
      </c>
      <c r="N140" s="2649"/>
    </row>
    <row r="141" spans="1:14" ht="72.5" x14ac:dyDescent="0.35">
      <c r="A141" s="1994">
        <v>43918</v>
      </c>
      <c r="B141" s="7" t="s">
        <v>7528</v>
      </c>
      <c r="C141" s="7" t="s">
        <v>7529</v>
      </c>
      <c r="D141" s="1899">
        <v>43919</v>
      </c>
      <c r="E141" s="881" t="s">
        <v>7462</v>
      </c>
      <c r="F141" s="836">
        <v>0.54166666666666663</v>
      </c>
      <c r="G141" s="2629">
        <v>0.55208333333333337</v>
      </c>
      <c r="H141" s="2629">
        <v>0.55208333333333337</v>
      </c>
      <c r="I141" s="1956">
        <f>1.2*70+90+0.25*60+0.3*70</f>
        <v>210</v>
      </c>
      <c r="J141" s="817" t="s">
        <v>257</v>
      </c>
      <c r="K141" s="7" t="s">
        <v>119</v>
      </c>
      <c r="L141" s="7" t="s">
        <v>17</v>
      </c>
      <c r="M141" s="809" t="s">
        <v>2084</v>
      </c>
      <c r="N141" s="2649"/>
    </row>
    <row r="142" spans="1:14" ht="130.5" x14ac:dyDescent="0.35">
      <c r="A142" s="1994">
        <v>43918</v>
      </c>
      <c r="B142" s="7" t="s">
        <v>7533</v>
      </c>
      <c r="C142" s="7" t="s">
        <v>7536</v>
      </c>
      <c r="D142" s="1899">
        <v>43919</v>
      </c>
      <c r="E142" s="881" t="s">
        <v>7530</v>
      </c>
      <c r="F142" s="836">
        <v>0.54166666666666663</v>
      </c>
      <c r="G142" s="2629">
        <v>0.58333333333333337</v>
      </c>
      <c r="H142" s="2629">
        <v>0.58333333333333337</v>
      </c>
      <c r="I142" s="1809">
        <v>0</v>
      </c>
      <c r="J142" s="817" t="s">
        <v>7531</v>
      </c>
      <c r="K142" s="817" t="s">
        <v>119</v>
      </c>
      <c r="L142" s="817" t="s">
        <v>17</v>
      </c>
      <c r="M142" s="839" t="s">
        <v>2084</v>
      </c>
      <c r="N142" s="2649"/>
    </row>
    <row r="143" spans="1:14" ht="58" x14ac:dyDescent="0.35">
      <c r="A143" s="2485">
        <v>43915</v>
      </c>
      <c r="B143" s="5" t="s">
        <v>7120</v>
      </c>
      <c r="C143" s="5" t="s">
        <v>7432</v>
      </c>
      <c r="D143" s="2486">
        <v>43920</v>
      </c>
      <c r="E143" s="824" t="s">
        <v>7550</v>
      </c>
      <c r="F143" s="6">
        <v>0.47222222222222227</v>
      </c>
      <c r="G143" s="2629">
        <v>0.5</v>
      </c>
      <c r="H143" s="2617">
        <v>0.5</v>
      </c>
      <c r="I143" s="1956">
        <f>1.6*80</f>
        <v>128</v>
      </c>
      <c r="J143" s="2629" t="s">
        <v>257</v>
      </c>
      <c r="K143" s="2629" t="s">
        <v>15</v>
      </c>
      <c r="L143" s="817" t="s">
        <v>17</v>
      </c>
      <c r="M143" s="839" t="s">
        <v>6849</v>
      </c>
      <c r="N143" s="2649"/>
    </row>
    <row r="144" spans="1:14" ht="58" x14ac:dyDescent="0.35">
      <c r="A144" s="1994">
        <v>43917</v>
      </c>
      <c r="B144" s="7" t="s">
        <v>7485</v>
      </c>
      <c r="C144" s="7" t="s">
        <v>7468</v>
      </c>
      <c r="D144" s="1899">
        <v>43920</v>
      </c>
      <c r="E144" s="881" t="s">
        <v>7467</v>
      </c>
      <c r="F144" s="836">
        <v>0.64583333333333337</v>
      </c>
      <c r="G144" s="836">
        <v>0.66666666666666663</v>
      </c>
      <c r="H144" s="836">
        <v>0.66666666666666663</v>
      </c>
      <c r="I144" s="1956">
        <v>100</v>
      </c>
      <c r="J144" s="7" t="s">
        <v>7458</v>
      </c>
      <c r="K144" s="7" t="s">
        <v>15</v>
      </c>
      <c r="L144" s="7" t="s">
        <v>17</v>
      </c>
      <c r="M144" s="809" t="s">
        <v>6041</v>
      </c>
      <c r="N144" s="2649"/>
    </row>
    <row r="145" spans="1:14" ht="58" x14ac:dyDescent="0.35">
      <c r="A145" s="2149">
        <v>43919</v>
      </c>
      <c r="B145" s="817" t="s">
        <v>7545</v>
      </c>
      <c r="C145" s="817" t="s">
        <v>7546</v>
      </c>
      <c r="D145" s="1814">
        <v>43920</v>
      </c>
      <c r="E145" s="1149" t="s">
        <v>7544</v>
      </c>
      <c r="F145" s="2629">
        <v>0.64583333333333337</v>
      </c>
      <c r="G145" s="2628">
        <v>0.70833333333333337</v>
      </c>
      <c r="H145" s="2628">
        <v>0.70833333333333337</v>
      </c>
      <c r="I145" s="2627">
        <v>100</v>
      </c>
      <c r="J145" s="1149" t="s">
        <v>257</v>
      </c>
      <c r="K145" s="1149" t="s">
        <v>15</v>
      </c>
      <c r="L145" s="1149" t="s">
        <v>17</v>
      </c>
      <c r="M145" s="2636" t="s">
        <v>6041</v>
      </c>
      <c r="N145" s="2649"/>
    </row>
    <row r="146" spans="1:14" ht="29" x14ac:dyDescent="0.35">
      <c r="A146" s="2149">
        <v>43919</v>
      </c>
      <c r="B146" s="817" t="s">
        <v>1271</v>
      </c>
      <c r="C146" s="817" t="s">
        <v>7549</v>
      </c>
      <c r="D146" s="1814">
        <v>43920</v>
      </c>
      <c r="E146" s="1149" t="s">
        <v>15</v>
      </c>
      <c r="F146" s="1149" t="s">
        <v>15</v>
      </c>
      <c r="G146" s="1149" t="s">
        <v>15</v>
      </c>
      <c r="H146" s="1149" t="s">
        <v>15</v>
      </c>
      <c r="I146" s="1149" t="s">
        <v>15</v>
      </c>
      <c r="J146" s="1149" t="s">
        <v>15</v>
      </c>
      <c r="K146" s="1149" t="s">
        <v>15</v>
      </c>
      <c r="L146" s="1149" t="s">
        <v>15</v>
      </c>
      <c r="M146" s="2636" t="s">
        <v>15</v>
      </c>
      <c r="N146" s="2649"/>
    </row>
    <row r="147" spans="1:14" ht="58" x14ac:dyDescent="0.35">
      <c r="A147" s="1994">
        <v>43920</v>
      </c>
      <c r="B147" s="7" t="s">
        <v>7556</v>
      </c>
      <c r="C147" s="7" t="s">
        <v>7551</v>
      </c>
      <c r="D147" s="1899">
        <v>43921</v>
      </c>
      <c r="E147" s="881" t="s">
        <v>7552</v>
      </c>
      <c r="F147" s="836">
        <v>0.3888888888888889</v>
      </c>
      <c r="G147" s="836">
        <v>0.40625</v>
      </c>
      <c r="H147" s="836">
        <v>0.40625</v>
      </c>
      <c r="I147" s="1630">
        <v>120</v>
      </c>
      <c r="J147" s="7" t="s">
        <v>257</v>
      </c>
      <c r="K147" s="7" t="s">
        <v>15</v>
      </c>
      <c r="L147" s="7" t="s">
        <v>17</v>
      </c>
      <c r="M147" s="809" t="s">
        <v>6041</v>
      </c>
      <c r="N147" s="2649"/>
    </row>
    <row r="148" spans="1:14" ht="174" x14ac:dyDescent="0.35">
      <c r="A148" s="1994">
        <v>43916</v>
      </c>
      <c r="B148" s="7" t="s">
        <v>7445</v>
      </c>
      <c r="C148" s="7" t="s">
        <v>7442</v>
      </c>
      <c r="D148" s="1899">
        <v>43921</v>
      </c>
      <c r="E148" s="881" t="s">
        <v>7441</v>
      </c>
      <c r="F148" s="836">
        <v>0.3888888888888889</v>
      </c>
      <c r="G148" s="836">
        <v>0.42708333333333331</v>
      </c>
      <c r="H148" s="836">
        <v>0.44791666666666669</v>
      </c>
      <c r="I148" s="1630">
        <f>1.5*120</f>
        <v>180</v>
      </c>
      <c r="J148" s="7" t="s">
        <v>7443</v>
      </c>
      <c r="K148" s="7" t="s">
        <v>15</v>
      </c>
      <c r="L148" s="7" t="s">
        <v>17</v>
      </c>
      <c r="M148" s="809" t="s">
        <v>6045</v>
      </c>
      <c r="N148" s="2649"/>
    </row>
    <row r="149" spans="1:14" ht="58" x14ac:dyDescent="0.35">
      <c r="A149" s="2152">
        <v>43915</v>
      </c>
      <c r="B149" s="1850" t="s">
        <v>7417</v>
      </c>
      <c r="C149" s="1850" t="s">
        <v>7418</v>
      </c>
      <c r="D149" s="1999">
        <v>43921</v>
      </c>
      <c r="E149" s="2000" t="s">
        <v>7419</v>
      </c>
      <c r="F149" s="836">
        <v>0.39583333333333331</v>
      </c>
      <c r="G149" s="836">
        <v>0.44791666666666669</v>
      </c>
      <c r="H149" s="836">
        <v>0.44791666666666669</v>
      </c>
      <c r="I149" s="1956">
        <v>150</v>
      </c>
      <c r="J149" s="870" t="s">
        <v>7420</v>
      </c>
      <c r="K149" s="7"/>
      <c r="L149" s="7" t="s">
        <v>22</v>
      </c>
      <c r="M149" s="809" t="s">
        <v>6096</v>
      </c>
      <c r="N149" s="2649"/>
    </row>
    <row r="150" spans="1:14" ht="101.5" x14ac:dyDescent="0.35">
      <c r="A150" s="1994">
        <v>43919</v>
      </c>
      <c r="B150" s="7" t="s">
        <v>7547</v>
      </c>
      <c r="C150" s="7" t="s">
        <v>7560</v>
      </c>
      <c r="D150" s="1899">
        <v>43921</v>
      </c>
      <c r="E150" s="881" t="s">
        <v>7548</v>
      </c>
      <c r="F150" s="836">
        <v>0.47916666666666669</v>
      </c>
      <c r="G150" s="836">
        <v>0.5</v>
      </c>
      <c r="H150" s="836">
        <v>0.5</v>
      </c>
      <c r="I150" s="1956">
        <f>180+40*1.5</f>
        <v>240</v>
      </c>
      <c r="J150" s="881" t="s">
        <v>7561</v>
      </c>
      <c r="K150" s="881" t="s">
        <v>15</v>
      </c>
      <c r="L150" s="881" t="s">
        <v>17</v>
      </c>
      <c r="M150" s="2609" t="s">
        <v>6041</v>
      </c>
      <c r="N150" s="2649"/>
    </row>
    <row r="151" spans="1:14" s="1592" customFormat="1" ht="58" x14ac:dyDescent="0.35">
      <c r="A151" s="1994">
        <v>43920</v>
      </c>
      <c r="B151" s="7" t="s">
        <v>7586</v>
      </c>
      <c r="C151" s="7" t="s">
        <v>7588</v>
      </c>
      <c r="D151" s="1899">
        <v>43921</v>
      </c>
      <c r="E151" s="881" t="s">
        <v>7587</v>
      </c>
      <c r="F151" s="836">
        <v>0.47916666666666669</v>
      </c>
      <c r="G151" s="836">
        <v>0.52083333333333337</v>
      </c>
      <c r="H151" s="836">
        <v>0.52083333333333337</v>
      </c>
      <c r="I151" s="1956">
        <v>160</v>
      </c>
      <c r="J151" s="7" t="s">
        <v>7589</v>
      </c>
      <c r="K151" s="7" t="s">
        <v>15</v>
      </c>
      <c r="L151" s="7" t="s">
        <v>17</v>
      </c>
      <c r="M151" s="809" t="s">
        <v>2084</v>
      </c>
      <c r="N151" s="2649"/>
    </row>
    <row r="152" spans="1:14" s="1592" customFormat="1" ht="87" x14ac:dyDescent="0.35">
      <c r="A152" s="1994">
        <v>43920</v>
      </c>
      <c r="B152" s="7" t="s">
        <v>7584</v>
      </c>
      <c r="C152" s="7" t="s">
        <v>7583</v>
      </c>
      <c r="D152" s="1899">
        <v>43921</v>
      </c>
      <c r="E152" s="881" t="s">
        <v>7585</v>
      </c>
      <c r="F152" s="836">
        <v>0.47916666666666669</v>
      </c>
      <c r="G152" s="836">
        <v>0.54166666666666663</v>
      </c>
      <c r="H152" s="836">
        <v>0.54166666666666663</v>
      </c>
      <c r="I152" s="1630">
        <v>180</v>
      </c>
      <c r="J152" s="7" t="s">
        <v>257</v>
      </c>
      <c r="K152" s="7" t="s">
        <v>15</v>
      </c>
      <c r="L152" s="7" t="s">
        <v>17</v>
      </c>
      <c r="M152" s="809" t="s">
        <v>6041</v>
      </c>
      <c r="N152" s="2649"/>
    </row>
    <row r="153" spans="1:14" s="1592" customFormat="1" ht="377" x14ac:dyDescent="0.35">
      <c r="A153" s="2152">
        <v>43916</v>
      </c>
      <c r="B153" s="1850" t="s">
        <v>7251</v>
      </c>
      <c r="C153" s="1850" t="s">
        <v>7604</v>
      </c>
      <c r="D153" s="1999">
        <v>43921</v>
      </c>
      <c r="E153" s="2000" t="s">
        <v>7603</v>
      </c>
      <c r="F153" s="836">
        <v>0.47916666666666669</v>
      </c>
      <c r="G153" s="836">
        <v>0.58333333333333337</v>
      </c>
      <c r="H153" s="836">
        <v>0.58333333333333337</v>
      </c>
      <c r="I153" s="1956">
        <v>450</v>
      </c>
      <c r="J153" s="870" t="s">
        <v>7391</v>
      </c>
      <c r="K153" s="7"/>
      <c r="L153" s="7" t="s">
        <v>974</v>
      </c>
      <c r="M153" s="809" t="s">
        <v>6096</v>
      </c>
      <c r="N153" s="2649"/>
    </row>
    <row r="154" spans="1:14" s="1592" customFormat="1" ht="29" x14ac:dyDescent="0.35">
      <c r="A154" s="1994">
        <v>43920</v>
      </c>
      <c r="B154" s="7" t="s">
        <v>1271</v>
      </c>
      <c r="C154" s="7" t="s">
        <v>7592</v>
      </c>
      <c r="D154" s="1899">
        <v>43921</v>
      </c>
      <c r="E154" s="1899" t="s">
        <v>15</v>
      </c>
      <c r="F154" s="1899" t="s">
        <v>15</v>
      </c>
      <c r="G154" s="1899" t="s">
        <v>15</v>
      </c>
      <c r="H154" s="1899" t="s">
        <v>15</v>
      </c>
      <c r="I154" s="1899" t="s">
        <v>15</v>
      </c>
      <c r="J154" s="1899" t="s">
        <v>15</v>
      </c>
      <c r="K154" s="1899" t="s">
        <v>15</v>
      </c>
      <c r="L154" s="1899" t="s">
        <v>15</v>
      </c>
      <c r="M154" s="2639" t="s">
        <v>15</v>
      </c>
      <c r="N154" s="2649"/>
    </row>
    <row r="155" spans="1:14" s="1592" customFormat="1" ht="29" x14ac:dyDescent="0.35">
      <c r="A155" s="1994">
        <v>43920</v>
      </c>
      <c r="B155" s="7" t="s">
        <v>1271</v>
      </c>
      <c r="C155" s="7" t="s">
        <v>7566</v>
      </c>
      <c r="D155" s="1899">
        <v>43921</v>
      </c>
      <c r="E155" s="881" t="s">
        <v>15</v>
      </c>
      <c r="F155" s="881" t="s">
        <v>15</v>
      </c>
      <c r="G155" s="881" t="s">
        <v>15</v>
      </c>
      <c r="H155" s="881" t="s">
        <v>15</v>
      </c>
      <c r="I155" s="881" t="s">
        <v>15</v>
      </c>
      <c r="J155" s="881" t="s">
        <v>15</v>
      </c>
      <c r="K155" s="881" t="s">
        <v>15</v>
      </c>
      <c r="L155" s="881" t="s">
        <v>15</v>
      </c>
      <c r="M155" s="2609" t="s">
        <v>15</v>
      </c>
      <c r="N155" s="2649"/>
    </row>
    <row r="156" spans="1:14" ht="29" x14ac:dyDescent="0.35">
      <c r="A156" s="2149">
        <v>43921</v>
      </c>
      <c r="B156" s="817" t="s">
        <v>7644</v>
      </c>
      <c r="C156" s="817" t="s">
        <v>7645</v>
      </c>
      <c r="D156" s="1814">
        <v>43921</v>
      </c>
      <c r="E156" s="1149" t="s">
        <v>15</v>
      </c>
      <c r="F156" s="2640" t="s">
        <v>15</v>
      </c>
      <c r="G156" s="2640" t="s">
        <v>15</v>
      </c>
      <c r="H156" s="2640" t="s">
        <v>15</v>
      </c>
      <c r="I156" s="1956">
        <v>243</v>
      </c>
      <c r="J156" s="817" t="s">
        <v>7424</v>
      </c>
      <c r="K156" s="817" t="s">
        <v>15</v>
      </c>
      <c r="L156" s="817" t="s">
        <v>17</v>
      </c>
      <c r="M156" s="839" t="s">
        <v>6041</v>
      </c>
      <c r="N156" s="2649"/>
    </row>
    <row r="157" spans="1:14" ht="58" x14ac:dyDescent="0.35">
      <c r="A157" s="1994">
        <v>43918</v>
      </c>
      <c r="B157" s="7" t="s">
        <v>7498</v>
      </c>
      <c r="C157" s="7" t="s">
        <v>7499</v>
      </c>
      <c r="D157" s="1899">
        <v>43922</v>
      </c>
      <c r="E157" s="881" t="s">
        <v>7500</v>
      </c>
      <c r="F157" s="836">
        <v>0.45833333333333331</v>
      </c>
      <c r="G157" s="836">
        <v>0.48958333333333331</v>
      </c>
      <c r="H157" s="836">
        <v>0.48958333333333331</v>
      </c>
      <c r="I157" s="1100">
        <v>159</v>
      </c>
      <c r="J157" s="836" t="s">
        <v>257</v>
      </c>
      <c r="K157" s="817" t="s">
        <v>140</v>
      </c>
      <c r="L157" s="7" t="s">
        <v>17</v>
      </c>
      <c r="M157" s="809" t="s">
        <v>2084</v>
      </c>
      <c r="N157" s="2649"/>
    </row>
    <row r="158" spans="1:14" ht="87" x14ac:dyDescent="0.35">
      <c r="A158" s="2149">
        <v>43916</v>
      </c>
      <c r="B158" s="817" t="s">
        <v>7664</v>
      </c>
      <c r="C158" s="817" t="s">
        <v>7605</v>
      </c>
      <c r="D158" s="1814">
        <v>43922</v>
      </c>
      <c r="E158" s="1149" t="s">
        <v>7449</v>
      </c>
      <c r="F158" s="2640">
        <v>0.45833333333333331</v>
      </c>
      <c r="G158" s="2640">
        <v>0.52083333333333337</v>
      </c>
      <c r="H158" s="2640">
        <v>0.52083333333333337</v>
      </c>
      <c r="I158" s="1956">
        <v>150</v>
      </c>
      <c r="J158" s="870" t="s">
        <v>7391</v>
      </c>
      <c r="K158" s="817" t="s">
        <v>140</v>
      </c>
      <c r="L158" s="817" t="s">
        <v>974</v>
      </c>
      <c r="M158" s="839" t="s">
        <v>6096</v>
      </c>
      <c r="N158" s="2649"/>
    </row>
    <row r="159" spans="1:14" ht="72.5" x14ac:dyDescent="0.35">
      <c r="A159" s="2149">
        <v>43921</v>
      </c>
      <c r="B159" s="817" t="s">
        <v>7656</v>
      </c>
      <c r="C159" s="817" t="s">
        <v>7657</v>
      </c>
      <c r="D159" s="1814">
        <v>43922</v>
      </c>
      <c r="E159" s="1149" t="s">
        <v>7658</v>
      </c>
      <c r="F159" s="2640">
        <v>0.45833333333333331</v>
      </c>
      <c r="G159" s="2640">
        <v>0.55555555555555558</v>
      </c>
      <c r="H159" s="2640">
        <v>0.55555555555555558</v>
      </c>
      <c r="I159" s="1956">
        <v>200</v>
      </c>
      <c r="J159" s="870" t="s">
        <v>7659</v>
      </c>
      <c r="K159" s="817" t="s">
        <v>140</v>
      </c>
      <c r="L159" s="817" t="s">
        <v>974</v>
      </c>
      <c r="M159" s="839" t="s">
        <v>6096</v>
      </c>
      <c r="N159" s="2649"/>
    </row>
    <row r="160" spans="1:14" ht="29" x14ac:dyDescent="0.35">
      <c r="A160" s="2149">
        <v>43920</v>
      </c>
      <c r="B160" s="817" t="s">
        <v>7562</v>
      </c>
      <c r="C160" s="817" t="s">
        <v>7563</v>
      </c>
      <c r="D160" s="1814">
        <v>43922</v>
      </c>
      <c r="E160" s="1149" t="s">
        <v>7564</v>
      </c>
      <c r="F160" s="2640">
        <v>0.45833333333333331</v>
      </c>
      <c r="G160" s="2640">
        <v>0.58333333333333337</v>
      </c>
      <c r="H160" s="2640">
        <v>0.58333333333333337</v>
      </c>
      <c r="I160" s="1809">
        <v>90</v>
      </c>
      <c r="J160" s="817" t="s">
        <v>7565</v>
      </c>
      <c r="K160" s="817" t="s">
        <v>140</v>
      </c>
      <c r="L160" s="817" t="s">
        <v>17</v>
      </c>
      <c r="M160" s="839" t="s">
        <v>2084</v>
      </c>
      <c r="N160" s="2649"/>
    </row>
    <row r="161" spans="1:14" ht="58" x14ac:dyDescent="0.35">
      <c r="A161" s="2149">
        <v>43920</v>
      </c>
      <c r="B161" s="1814" t="s">
        <v>7595</v>
      </c>
      <c r="C161" s="817" t="s">
        <v>7590</v>
      </c>
      <c r="D161" s="1814">
        <v>43922</v>
      </c>
      <c r="E161" s="1149" t="s">
        <v>7591</v>
      </c>
      <c r="F161" s="2640">
        <v>0.75</v>
      </c>
      <c r="G161" s="2629">
        <v>0.79166666666666663</v>
      </c>
      <c r="H161" s="2629">
        <v>0.79166666666666663</v>
      </c>
      <c r="I161" s="1956">
        <v>120</v>
      </c>
      <c r="J161" s="817" t="s">
        <v>7424</v>
      </c>
      <c r="K161" s="817" t="s">
        <v>140</v>
      </c>
      <c r="L161" s="817" t="s">
        <v>17</v>
      </c>
      <c r="M161" s="839" t="s">
        <v>6041</v>
      </c>
      <c r="N161" s="2649"/>
    </row>
    <row r="162" spans="1:14" ht="29" x14ac:dyDescent="0.35">
      <c r="A162" s="1994">
        <v>43920</v>
      </c>
      <c r="B162" s="7" t="s">
        <v>20</v>
      </c>
      <c r="C162" s="7" t="s">
        <v>7578</v>
      </c>
      <c r="D162" s="1899">
        <v>43922</v>
      </c>
      <c r="E162" s="881" t="s">
        <v>20</v>
      </c>
      <c r="F162" s="836" t="s">
        <v>15</v>
      </c>
      <c r="G162" s="836" t="s">
        <v>15</v>
      </c>
      <c r="H162" s="836" t="s">
        <v>15</v>
      </c>
      <c r="I162" s="836" t="s">
        <v>15</v>
      </c>
      <c r="J162" s="836" t="s">
        <v>15</v>
      </c>
      <c r="K162" s="817" t="s">
        <v>15</v>
      </c>
      <c r="L162" s="836" t="s">
        <v>15</v>
      </c>
      <c r="M162" s="2112" t="s">
        <v>15</v>
      </c>
      <c r="N162" s="2649"/>
    </row>
    <row r="163" spans="1:14" ht="72.5" x14ac:dyDescent="0.35">
      <c r="A163" s="1994">
        <v>43921</v>
      </c>
      <c r="B163" s="7" t="s">
        <v>6386</v>
      </c>
      <c r="C163" s="7" t="s">
        <v>7606</v>
      </c>
      <c r="D163" s="1899">
        <v>43923</v>
      </c>
      <c r="E163" s="881" t="s">
        <v>7607</v>
      </c>
      <c r="F163" s="836"/>
      <c r="G163" s="2640" t="s">
        <v>7450</v>
      </c>
      <c r="H163" s="2640" t="s">
        <v>972</v>
      </c>
      <c r="I163" s="2121">
        <v>172.8</v>
      </c>
      <c r="J163" s="1390" t="s">
        <v>7608</v>
      </c>
      <c r="K163" s="817"/>
      <c r="L163" s="2640" t="s">
        <v>974</v>
      </c>
      <c r="M163" s="2569" t="s">
        <v>6096</v>
      </c>
      <c r="N163" s="2649"/>
    </row>
    <row r="164" spans="1:14" ht="43.5" x14ac:dyDescent="0.35">
      <c r="A164" s="2149">
        <v>43921</v>
      </c>
      <c r="B164" s="817" t="s">
        <v>7641</v>
      </c>
      <c r="C164" s="817" t="s">
        <v>7643</v>
      </c>
      <c r="D164" s="1814">
        <v>43923</v>
      </c>
      <c r="E164" s="1149" t="s">
        <v>7642</v>
      </c>
      <c r="F164" s="2640" t="s">
        <v>15</v>
      </c>
      <c r="G164" s="2640">
        <v>0.54166666666666663</v>
      </c>
      <c r="H164" s="2640">
        <v>0.54166666666666663</v>
      </c>
      <c r="I164" s="1956">
        <v>180</v>
      </c>
      <c r="J164" s="817" t="s">
        <v>7424</v>
      </c>
      <c r="K164" s="817" t="s">
        <v>15</v>
      </c>
      <c r="L164" s="817" t="s">
        <v>17</v>
      </c>
      <c r="M164" s="2636" t="s">
        <v>6041</v>
      </c>
      <c r="N164" s="2649"/>
    </row>
    <row r="165" spans="1:14" ht="58" x14ac:dyDescent="0.35">
      <c r="A165" s="2485">
        <v>43915</v>
      </c>
      <c r="B165" s="5" t="s">
        <v>7427</v>
      </c>
      <c r="C165" s="5" t="s">
        <v>7425</v>
      </c>
      <c r="D165" s="2486">
        <v>43924</v>
      </c>
      <c r="E165" s="824" t="s">
        <v>7426</v>
      </c>
      <c r="F165" s="6" t="s">
        <v>15</v>
      </c>
      <c r="G165" s="2640" t="s">
        <v>972</v>
      </c>
      <c r="H165" s="2640" t="s">
        <v>972</v>
      </c>
      <c r="I165" s="1809">
        <v>205</v>
      </c>
      <c r="J165" s="2640" t="s">
        <v>257</v>
      </c>
      <c r="K165" s="817" t="s">
        <v>119</v>
      </c>
      <c r="L165" s="817" t="s">
        <v>17</v>
      </c>
      <c r="M165" s="839" t="s">
        <v>6041</v>
      </c>
      <c r="N165" s="2649"/>
    </row>
    <row r="166" spans="1:14" ht="72.5" x14ac:dyDescent="0.35">
      <c r="A166" s="2145">
        <v>43920</v>
      </c>
      <c r="B166" s="1733" t="s">
        <v>7576</v>
      </c>
      <c r="C166" s="1733" t="s">
        <v>7575</v>
      </c>
      <c r="D166" s="2146">
        <v>43924</v>
      </c>
      <c r="E166" s="2150" t="s">
        <v>7574</v>
      </c>
      <c r="F166" s="836" t="s">
        <v>15</v>
      </c>
      <c r="G166" s="2640" t="s">
        <v>3213</v>
      </c>
      <c r="H166" s="2640" t="s">
        <v>3213</v>
      </c>
      <c r="I166" s="1809">
        <v>445</v>
      </c>
      <c r="J166" s="817" t="s">
        <v>7577</v>
      </c>
      <c r="K166" s="817" t="s">
        <v>15</v>
      </c>
      <c r="L166" s="817" t="s">
        <v>17</v>
      </c>
      <c r="M166" s="839" t="s">
        <v>2084</v>
      </c>
      <c r="N166" s="2649"/>
    </row>
    <row r="167" spans="1:14" ht="203" x14ac:dyDescent="0.35">
      <c r="A167" s="1994">
        <v>43895</v>
      </c>
      <c r="B167" s="7" t="s">
        <v>7195</v>
      </c>
      <c r="C167" s="5" t="s">
        <v>6822</v>
      </c>
      <c r="D167" s="2486">
        <v>43925</v>
      </c>
      <c r="E167" s="824" t="s">
        <v>5367</v>
      </c>
      <c r="F167" s="6">
        <v>0.58333333333333337</v>
      </c>
      <c r="G167" s="6">
        <v>0.58333333333333337</v>
      </c>
      <c r="H167" s="6">
        <v>0.58333333333333337</v>
      </c>
      <c r="I167" s="1678">
        <v>0</v>
      </c>
      <c r="J167" s="5" t="s">
        <v>6821</v>
      </c>
      <c r="K167" s="5" t="s">
        <v>15</v>
      </c>
      <c r="L167" s="5" t="s">
        <v>17</v>
      </c>
      <c r="M167" s="807" t="s">
        <v>6034</v>
      </c>
      <c r="N167" s="2649"/>
    </row>
    <row r="168" spans="1:14" ht="203" x14ac:dyDescent="0.35">
      <c r="A168" s="1994">
        <v>43902</v>
      </c>
      <c r="B168" s="7" t="s">
        <v>7314</v>
      </c>
      <c r="C168" s="5" t="s">
        <v>6822</v>
      </c>
      <c r="D168" s="2486">
        <v>43925</v>
      </c>
      <c r="E168" s="824" t="s">
        <v>5367</v>
      </c>
      <c r="F168" s="6">
        <v>0.54166666666666663</v>
      </c>
      <c r="G168" s="6">
        <v>0.54166666666666663</v>
      </c>
      <c r="H168" s="6">
        <v>0.54166666666666663</v>
      </c>
      <c r="I168" s="1678">
        <v>0</v>
      </c>
      <c r="J168" s="5" t="s">
        <v>6821</v>
      </c>
      <c r="K168" s="5" t="s">
        <v>15</v>
      </c>
      <c r="L168" s="5" t="s">
        <v>17</v>
      </c>
      <c r="M168" s="807" t="s">
        <v>6034</v>
      </c>
      <c r="N168" s="2649"/>
    </row>
    <row r="169" spans="1:14" ht="87" x14ac:dyDescent="0.35">
      <c r="A169" s="1994">
        <v>43917</v>
      </c>
      <c r="B169" s="7" t="s">
        <v>7268</v>
      </c>
      <c r="C169" s="7" t="s">
        <v>7493</v>
      </c>
      <c r="D169" s="1899">
        <v>43926</v>
      </c>
      <c r="E169" s="881" t="s">
        <v>7491</v>
      </c>
      <c r="F169" s="836" t="s">
        <v>15</v>
      </c>
      <c r="G169" s="836" t="s">
        <v>972</v>
      </c>
      <c r="H169" s="836" t="s">
        <v>972</v>
      </c>
      <c r="I169" s="1100">
        <v>150</v>
      </c>
      <c r="J169" s="7" t="s">
        <v>7492</v>
      </c>
      <c r="K169" s="7" t="s">
        <v>15</v>
      </c>
      <c r="L169" s="7" t="s">
        <v>17</v>
      </c>
      <c r="M169" s="809" t="s">
        <v>6121</v>
      </c>
      <c r="N169" s="2649"/>
    </row>
    <row r="170" spans="1:14" ht="72.5" x14ac:dyDescent="0.35">
      <c r="A170" s="1994">
        <v>43921</v>
      </c>
      <c r="B170" s="7" t="s">
        <v>7609</v>
      </c>
      <c r="C170" s="7" t="s">
        <v>7610</v>
      </c>
      <c r="D170" s="1899">
        <v>43926</v>
      </c>
      <c r="E170" s="881" t="s">
        <v>7611</v>
      </c>
      <c r="F170" s="836"/>
      <c r="G170" s="2640" t="s">
        <v>7450</v>
      </c>
      <c r="H170" s="2640">
        <v>0.66666666666666663</v>
      </c>
      <c r="I170" s="2121">
        <v>80</v>
      </c>
      <c r="J170" s="2085" t="s">
        <v>125</v>
      </c>
      <c r="K170" s="817"/>
      <c r="L170" s="817" t="s">
        <v>974</v>
      </c>
      <c r="M170" s="839" t="s">
        <v>6096</v>
      </c>
      <c r="N170" s="2649"/>
    </row>
    <row r="171" spans="1:14" ht="29" x14ac:dyDescent="0.35">
      <c r="A171" s="2573">
        <v>43921</v>
      </c>
      <c r="B171" s="1090" t="s">
        <v>5628</v>
      </c>
      <c r="C171" s="1090" t="s">
        <v>7616</v>
      </c>
      <c r="D171" s="2589">
        <v>43926</v>
      </c>
      <c r="E171" s="881"/>
      <c r="F171" s="836"/>
      <c r="G171" s="2640"/>
      <c r="H171" s="2640"/>
      <c r="I171" s="1809"/>
      <c r="J171" s="817"/>
      <c r="K171" s="817"/>
      <c r="L171" s="817" t="s">
        <v>974</v>
      </c>
      <c r="M171" s="839" t="s">
        <v>6096</v>
      </c>
      <c r="N171" s="2649"/>
    </row>
    <row r="172" spans="1:14" ht="203" x14ac:dyDescent="0.35">
      <c r="A172" s="1994">
        <v>43896</v>
      </c>
      <c r="B172" s="7" t="s">
        <v>7228</v>
      </c>
      <c r="C172" s="5" t="s">
        <v>6822</v>
      </c>
      <c r="D172" s="2486">
        <v>43931</v>
      </c>
      <c r="E172" s="824" t="s">
        <v>5367</v>
      </c>
      <c r="F172" s="6" t="s">
        <v>15</v>
      </c>
      <c r="G172" s="2607" t="s">
        <v>49</v>
      </c>
      <c r="H172" s="2607" t="s">
        <v>49</v>
      </c>
      <c r="I172" s="1678">
        <v>0</v>
      </c>
      <c r="J172" s="5" t="s">
        <v>7224</v>
      </c>
      <c r="K172" s="5" t="s">
        <v>15</v>
      </c>
      <c r="L172" s="5" t="s">
        <v>17</v>
      </c>
      <c r="M172" s="807" t="s">
        <v>6034</v>
      </c>
      <c r="N172" s="2649"/>
    </row>
    <row r="173" spans="1:14" ht="43.5" x14ac:dyDescent="0.35">
      <c r="A173" s="2149">
        <v>43917</v>
      </c>
      <c r="B173" s="817" t="s">
        <v>20</v>
      </c>
      <c r="C173" s="817" t="s">
        <v>7481</v>
      </c>
      <c r="D173" s="1814">
        <v>43931</v>
      </c>
      <c r="E173" s="1149" t="s">
        <v>20</v>
      </c>
      <c r="F173" s="836" t="s">
        <v>15</v>
      </c>
      <c r="G173" s="836" t="s">
        <v>15</v>
      </c>
      <c r="H173" s="836" t="s">
        <v>15</v>
      </c>
      <c r="I173" s="1809">
        <v>0</v>
      </c>
      <c r="J173" s="836" t="s">
        <v>15</v>
      </c>
      <c r="K173" s="836" t="s">
        <v>15</v>
      </c>
      <c r="L173" s="7" t="s">
        <v>17</v>
      </c>
      <c r="M173" s="809" t="s">
        <v>20</v>
      </c>
      <c r="N173" s="2649"/>
    </row>
    <row r="174" spans="1:14" ht="58" x14ac:dyDescent="0.35">
      <c r="A174" s="1994">
        <v>43918</v>
      </c>
      <c r="B174" s="7" t="s">
        <v>7501</v>
      </c>
      <c r="C174" s="7" t="s">
        <v>7502</v>
      </c>
      <c r="D174" s="1899">
        <v>43932</v>
      </c>
      <c r="E174" s="881" t="s">
        <v>7503</v>
      </c>
      <c r="F174" s="836" t="s">
        <v>15</v>
      </c>
      <c r="G174" s="836">
        <v>0.625</v>
      </c>
      <c r="H174" s="836">
        <v>0.625</v>
      </c>
      <c r="I174" s="1100">
        <v>120</v>
      </c>
      <c r="J174" s="836" t="s">
        <v>257</v>
      </c>
      <c r="K174" s="836" t="s">
        <v>15</v>
      </c>
      <c r="L174" s="7" t="s">
        <v>17</v>
      </c>
      <c r="M174" s="809" t="s">
        <v>6041</v>
      </c>
      <c r="N174" s="2649"/>
    </row>
    <row r="175" spans="1:14" ht="87" x14ac:dyDescent="0.35">
      <c r="A175" s="2152">
        <v>43917</v>
      </c>
      <c r="B175" s="1850" t="s">
        <v>7478</v>
      </c>
      <c r="C175" s="1850" t="s">
        <v>7480</v>
      </c>
      <c r="D175" s="1999">
        <v>43933</v>
      </c>
      <c r="E175" s="2000" t="s">
        <v>7477</v>
      </c>
      <c r="F175" s="836" t="s">
        <v>15</v>
      </c>
      <c r="G175" s="836" t="s">
        <v>972</v>
      </c>
      <c r="H175" s="836" t="s">
        <v>972</v>
      </c>
      <c r="I175" s="1956">
        <f>1.5*120</f>
        <v>180</v>
      </c>
      <c r="J175" s="7" t="s">
        <v>7479</v>
      </c>
      <c r="K175" s="7" t="s">
        <v>15</v>
      </c>
      <c r="L175" s="7" t="s">
        <v>17</v>
      </c>
      <c r="M175" s="809" t="s">
        <v>2084</v>
      </c>
      <c r="N175" s="2649"/>
    </row>
    <row r="176" spans="1:14" ht="58" x14ac:dyDescent="0.35">
      <c r="A176" s="1994">
        <v>43916</v>
      </c>
      <c r="B176" s="7" t="s">
        <v>7513</v>
      </c>
      <c r="C176" s="7" t="s">
        <v>7453</v>
      </c>
      <c r="D176" s="1899">
        <v>43937</v>
      </c>
      <c r="E176" s="881" t="s">
        <v>7452</v>
      </c>
      <c r="F176" s="836" t="s">
        <v>15</v>
      </c>
      <c r="G176" s="836" t="s">
        <v>3213</v>
      </c>
      <c r="H176" s="836" t="s">
        <v>3213</v>
      </c>
      <c r="I176" s="1100">
        <v>100</v>
      </c>
      <c r="J176" s="7" t="s">
        <v>6984</v>
      </c>
      <c r="K176" s="7" t="s">
        <v>15</v>
      </c>
      <c r="L176" s="7" t="s">
        <v>17</v>
      </c>
      <c r="M176" s="809" t="s">
        <v>7451</v>
      </c>
      <c r="N176" s="2649"/>
    </row>
    <row r="177" spans="1:14" ht="72.5" x14ac:dyDescent="0.35">
      <c r="A177" s="2485">
        <v>43926</v>
      </c>
      <c r="B177" s="5" t="s">
        <v>8063</v>
      </c>
      <c r="C177" s="5" t="s">
        <v>8064</v>
      </c>
      <c r="D177" s="2486">
        <v>43938</v>
      </c>
      <c r="E177" s="824" t="s">
        <v>8065</v>
      </c>
      <c r="F177" s="6" t="s">
        <v>15</v>
      </c>
      <c r="G177" s="2646" t="s">
        <v>972</v>
      </c>
      <c r="H177" s="2646" t="s">
        <v>972</v>
      </c>
      <c r="I177" s="1809">
        <v>100</v>
      </c>
      <c r="J177" s="2646" t="s">
        <v>257</v>
      </c>
      <c r="K177" s="817" t="s">
        <v>15</v>
      </c>
      <c r="L177" s="817" t="s">
        <v>17</v>
      </c>
      <c r="M177" s="839" t="s">
        <v>7451</v>
      </c>
      <c r="N177" s="817"/>
    </row>
    <row r="178" spans="1:14" ht="58" x14ac:dyDescent="0.35">
      <c r="A178" s="1994">
        <v>43916</v>
      </c>
      <c r="B178" s="7" t="s">
        <v>7514</v>
      </c>
      <c r="C178" s="7" t="s">
        <v>7455</v>
      </c>
      <c r="D178" s="1899">
        <v>43937</v>
      </c>
      <c r="E178" s="881" t="s">
        <v>7454</v>
      </c>
      <c r="F178" s="836" t="s">
        <v>15</v>
      </c>
      <c r="G178" s="836">
        <v>0.625</v>
      </c>
      <c r="H178" s="836" t="s">
        <v>3213</v>
      </c>
      <c r="I178" s="1100">
        <v>100</v>
      </c>
      <c r="J178" s="7" t="s">
        <v>6984</v>
      </c>
      <c r="K178" s="7" t="s">
        <v>15</v>
      </c>
      <c r="L178" s="7" t="s">
        <v>17</v>
      </c>
      <c r="M178" s="809" t="s">
        <v>7451</v>
      </c>
      <c r="N178" s="2649"/>
    </row>
    <row r="179" spans="1:14" ht="29" x14ac:dyDescent="0.35">
      <c r="A179" s="2149">
        <v>43919</v>
      </c>
      <c r="B179" s="817" t="s">
        <v>1271</v>
      </c>
      <c r="C179" s="817" t="s">
        <v>7540</v>
      </c>
      <c r="D179" s="1814">
        <v>43937</v>
      </c>
      <c r="E179" s="1149" t="s">
        <v>15</v>
      </c>
      <c r="F179" s="1149" t="s">
        <v>15</v>
      </c>
      <c r="G179" s="1149" t="s">
        <v>15</v>
      </c>
      <c r="H179" s="1149" t="s">
        <v>15</v>
      </c>
      <c r="I179" s="1149" t="s">
        <v>15</v>
      </c>
      <c r="J179" s="1149" t="s">
        <v>15</v>
      </c>
      <c r="K179" s="1149" t="s">
        <v>15</v>
      </c>
      <c r="L179" s="1149" t="s">
        <v>15</v>
      </c>
      <c r="M179" s="2636" t="s">
        <v>15</v>
      </c>
      <c r="N179" s="2649"/>
    </row>
    <row r="180" spans="1:14" ht="43.5" x14ac:dyDescent="0.35">
      <c r="A180" s="2149">
        <v>43921</v>
      </c>
      <c r="B180" s="817" t="s">
        <v>7618</v>
      </c>
      <c r="C180" s="817" t="s">
        <v>7619</v>
      </c>
      <c r="D180" s="1814">
        <v>43938</v>
      </c>
      <c r="E180" s="1149" t="s">
        <v>7620</v>
      </c>
      <c r="F180" s="1149" t="s">
        <v>15</v>
      </c>
      <c r="G180" s="2640" t="s">
        <v>3213</v>
      </c>
      <c r="H180" s="2640" t="s">
        <v>3213</v>
      </c>
      <c r="I180" s="1809">
        <v>100</v>
      </c>
      <c r="J180" s="1149" t="s">
        <v>257</v>
      </c>
      <c r="K180" s="1149" t="s">
        <v>15</v>
      </c>
      <c r="L180" s="1149" t="s">
        <v>17</v>
      </c>
      <c r="M180" s="2636" t="s">
        <v>7451</v>
      </c>
      <c r="N180" s="2649"/>
    </row>
    <row r="181" spans="1:14" ht="58" x14ac:dyDescent="0.35">
      <c r="A181" s="1994">
        <v>43921</v>
      </c>
      <c r="B181" s="7" t="s">
        <v>7623</v>
      </c>
      <c r="C181" s="817" t="s">
        <v>7627</v>
      </c>
      <c r="D181" s="1899">
        <v>43938</v>
      </c>
      <c r="E181" s="881" t="s">
        <v>7624</v>
      </c>
      <c r="F181" s="1149" t="s">
        <v>15</v>
      </c>
      <c r="G181" s="2640" t="s">
        <v>3213</v>
      </c>
      <c r="H181" s="2640" t="s">
        <v>3213</v>
      </c>
      <c r="I181" s="1809">
        <v>200</v>
      </c>
      <c r="J181" s="1149" t="s">
        <v>257</v>
      </c>
      <c r="K181" s="1149" t="s">
        <v>15</v>
      </c>
      <c r="L181" s="1149" t="s">
        <v>17</v>
      </c>
      <c r="M181" s="2636" t="s">
        <v>7451</v>
      </c>
      <c r="N181" s="2649"/>
    </row>
    <row r="182" spans="1:14" ht="43.5" x14ac:dyDescent="0.35">
      <c r="A182" s="1994">
        <v>43921</v>
      </c>
      <c r="B182" s="7" t="s">
        <v>7653</v>
      </c>
      <c r="C182" s="817" t="s">
        <v>7619</v>
      </c>
      <c r="D182" s="1899">
        <v>43938</v>
      </c>
      <c r="E182" s="881" t="s">
        <v>7654</v>
      </c>
      <c r="F182" s="1149" t="s">
        <v>98</v>
      </c>
      <c r="G182" s="2640" t="s">
        <v>3213</v>
      </c>
      <c r="H182" s="2640" t="s">
        <v>3213</v>
      </c>
      <c r="I182" s="1809">
        <v>100</v>
      </c>
      <c r="J182" s="1149" t="s">
        <v>257</v>
      </c>
      <c r="K182" s="1149" t="s">
        <v>15</v>
      </c>
      <c r="L182" s="1149" t="s">
        <v>17</v>
      </c>
      <c r="M182" s="2636" t="s">
        <v>7451</v>
      </c>
      <c r="N182" s="2649"/>
    </row>
    <row r="183" spans="1:14" ht="72.5" x14ac:dyDescent="0.35">
      <c r="A183" s="2485">
        <v>43909</v>
      </c>
      <c r="B183" s="5" t="s">
        <v>7375</v>
      </c>
      <c r="C183" s="5" t="s">
        <v>7374</v>
      </c>
      <c r="D183" s="2486">
        <v>43938</v>
      </c>
      <c r="E183" s="824" t="s">
        <v>7248</v>
      </c>
      <c r="F183" s="6" t="s">
        <v>15</v>
      </c>
      <c r="G183" s="2640" t="s">
        <v>3115</v>
      </c>
      <c r="H183" s="2640" t="s">
        <v>3115</v>
      </c>
      <c r="I183" s="1809">
        <f>0.7*(65+75+75)</f>
        <v>150.5</v>
      </c>
      <c r="J183" s="2640" t="s">
        <v>1493</v>
      </c>
      <c r="K183" s="2640" t="s">
        <v>15</v>
      </c>
      <c r="L183" s="817" t="s">
        <v>17</v>
      </c>
      <c r="M183" s="817" t="s">
        <v>6053</v>
      </c>
      <c r="N183" s="2649"/>
    </row>
    <row r="184" spans="1:14" ht="58" x14ac:dyDescent="0.35">
      <c r="A184" s="1994">
        <v>43916</v>
      </c>
      <c r="B184" s="7" t="s">
        <v>7516</v>
      </c>
      <c r="C184" s="7" t="s">
        <v>7453</v>
      </c>
      <c r="D184" s="1899">
        <v>43938</v>
      </c>
      <c r="E184" s="881" t="s">
        <v>4384</v>
      </c>
      <c r="F184" s="836"/>
      <c r="G184" s="836" t="s">
        <v>1557</v>
      </c>
      <c r="H184" s="836" t="s">
        <v>1557</v>
      </c>
      <c r="I184" s="1630">
        <v>100</v>
      </c>
      <c r="J184" s="870" t="s">
        <v>7448</v>
      </c>
      <c r="K184" s="7" t="s">
        <v>15</v>
      </c>
      <c r="L184" s="7" t="s">
        <v>22</v>
      </c>
      <c r="M184" s="809" t="s">
        <v>7451</v>
      </c>
      <c r="N184" s="2649"/>
    </row>
    <row r="185" spans="1:14" ht="58" x14ac:dyDescent="0.35">
      <c r="A185" s="1994">
        <v>43916</v>
      </c>
      <c r="B185" s="7" t="s">
        <v>7517</v>
      </c>
      <c r="C185" s="7" t="s">
        <v>7439</v>
      </c>
      <c r="D185" s="1899">
        <v>43938</v>
      </c>
      <c r="E185" s="881" t="s">
        <v>1279</v>
      </c>
      <c r="F185" s="836" t="s">
        <v>15</v>
      </c>
      <c r="G185" s="836" t="s">
        <v>3213</v>
      </c>
      <c r="H185" s="836" t="s">
        <v>3213</v>
      </c>
      <c r="I185" s="1100">
        <v>100</v>
      </c>
      <c r="J185" s="7" t="s">
        <v>7440</v>
      </c>
      <c r="K185" s="7" t="s">
        <v>119</v>
      </c>
      <c r="L185" s="7" t="s">
        <v>17</v>
      </c>
      <c r="M185" s="809" t="s">
        <v>7451</v>
      </c>
      <c r="N185" s="2649"/>
    </row>
    <row r="186" spans="1:14" ht="58" x14ac:dyDescent="0.35">
      <c r="A186" s="1994">
        <v>43917</v>
      </c>
      <c r="B186" s="7" t="s">
        <v>7486</v>
      </c>
      <c r="C186" s="7" t="s">
        <v>7473</v>
      </c>
      <c r="D186" s="1899">
        <v>43938</v>
      </c>
      <c r="E186" s="881" t="s">
        <v>7482</v>
      </c>
      <c r="F186" s="836" t="s">
        <v>15</v>
      </c>
      <c r="G186" s="836" t="s">
        <v>972</v>
      </c>
      <c r="H186" s="836" t="s">
        <v>972</v>
      </c>
      <c r="I186" s="1956">
        <v>100</v>
      </c>
      <c r="J186" s="7" t="s">
        <v>7458</v>
      </c>
      <c r="K186" s="7" t="s">
        <v>15</v>
      </c>
      <c r="L186" s="7" t="s">
        <v>17</v>
      </c>
      <c r="M186" s="809" t="s">
        <v>7451</v>
      </c>
      <c r="N186" s="2649"/>
    </row>
    <row r="187" spans="1:14" ht="58" x14ac:dyDescent="0.35">
      <c r="A187" s="1994">
        <v>43917</v>
      </c>
      <c r="B187" s="7" t="s">
        <v>7487</v>
      </c>
      <c r="C187" s="7" t="s">
        <v>7473</v>
      </c>
      <c r="D187" s="1899">
        <v>43938</v>
      </c>
      <c r="E187" s="881" t="s">
        <v>7488</v>
      </c>
      <c r="F187" s="836" t="s">
        <v>15</v>
      </c>
      <c r="G187" s="836" t="s">
        <v>972</v>
      </c>
      <c r="H187" s="836" t="s">
        <v>972</v>
      </c>
      <c r="I187" s="1956">
        <v>100</v>
      </c>
      <c r="J187" s="7" t="s">
        <v>7458</v>
      </c>
      <c r="K187" s="7" t="s">
        <v>15</v>
      </c>
      <c r="L187" s="7" t="s">
        <v>17</v>
      </c>
      <c r="M187" s="809" t="s">
        <v>7451</v>
      </c>
      <c r="N187" s="2649"/>
    </row>
    <row r="188" spans="1:14" ht="58" x14ac:dyDescent="0.35">
      <c r="A188" s="1994">
        <v>43917</v>
      </c>
      <c r="B188" s="7" t="s">
        <v>7521</v>
      </c>
      <c r="C188" s="7" t="s">
        <v>7473</v>
      </c>
      <c r="D188" s="1899">
        <v>43938</v>
      </c>
      <c r="E188" s="881" t="s">
        <v>7491</v>
      </c>
      <c r="F188" s="836" t="s">
        <v>15</v>
      </c>
      <c r="G188" s="836" t="s">
        <v>972</v>
      </c>
      <c r="H188" s="836" t="s">
        <v>972</v>
      </c>
      <c r="I188" s="1100">
        <v>100</v>
      </c>
      <c r="J188" s="7" t="s">
        <v>7492</v>
      </c>
      <c r="K188" s="7" t="s">
        <v>15</v>
      </c>
      <c r="L188" s="7" t="s">
        <v>17</v>
      </c>
      <c r="M188" s="809" t="s">
        <v>7451</v>
      </c>
      <c r="N188" s="2649"/>
    </row>
    <row r="189" spans="1:14" ht="72.5" x14ac:dyDescent="0.35">
      <c r="A189" s="2485">
        <v>43918</v>
      </c>
      <c r="B189" s="5" t="s">
        <v>7527</v>
      </c>
      <c r="C189" s="7" t="s">
        <v>7453</v>
      </c>
      <c r="D189" s="2486">
        <v>43938</v>
      </c>
      <c r="E189" s="824" t="s">
        <v>7526</v>
      </c>
      <c r="F189" s="6" t="s">
        <v>15</v>
      </c>
      <c r="G189" s="2640" t="s">
        <v>3213</v>
      </c>
      <c r="H189" s="836" t="s">
        <v>3213</v>
      </c>
      <c r="I189" s="1100">
        <v>100</v>
      </c>
      <c r="J189" s="7" t="s">
        <v>257</v>
      </c>
      <c r="K189" s="7" t="s">
        <v>15</v>
      </c>
      <c r="L189" s="7" t="s">
        <v>17</v>
      </c>
      <c r="M189" s="809" t="s">
        <v>7451</v>
      </c>
      <c r="N189" s="2649"/>
    </row>
    <row r="190" spans="1:14" ht="58" x14ac:dyDescent="0.35">
      <c r="A190" s="1994">
        <v>43918</v>
      </c>
      <c r="B190" s="7" t="s">
        <v>7524</v>
      </c>
      <c r="C190" s="7" t="s">
        <v>7506</v>
      </c>
      <c r="D190" s="1899">
        <v>43938</v>
      </c>
      <c r="E190" s="881" t="s">
        <v>7507</v>
      </c>
      <c r="F190" s="836" t="s">
        <v>15</v>
      </c>
      <c r="G190" s="836" t="s">
        <v>972</v>
      </c>
      <c r="H190" s="836" t="s">
        <v>972</v>
      </c>
      <c r="I190" s="1809">
        <v>100</v>
      </c>
      <c r="J190" s="836" t="s">
        <v>257</v>
      </c>
      <c r="K190" s="836" t="s">
        <v>15</v>
      </c>
      <c r="L190" s="7" t="s">
        <v>17</v>
      </c>
      <c r="M190" s="809" t="s">
        <v>7451</v>
      </c>
      <c r="N190" s="2649"/>
    </row>
    <row r="191" spans="1:14" ht="87" x14ac:dyDescent="0.35">
      <c r="A191" s="2149">
        <v>43919</v>
      </c>
      <c r="B191" s="817" t="s">
        <v>7538</v>
      </c>
      <c r="C191" s="817" t="s">
        <v>7537</v>
      </c>
      <c r="D191" s="1814">
        <v>43938</v>
      </c>
      <c r="E191" s="1149" t="s">
        <v>7539</v>
      </c>
      <c r="F191" s="2640" t="s">
        <v>15</v>
      </c>
      <c r="G191" s="2640" t="s">
        <v>3213</v>
      </c>
      <c r="H191" s="2640" t="s">
        <v>3213</v>
      </c>
      <c r="I191" s="1809">
        <v>190</v>
      </c>
      <c r="J191" s="817" t="s">
        <v>257</v>
      </c>
      <c r="K191" s="817" t="s">
        <v>15</v>
      </c>
      <c r="L191" s="817" t="s">
        <v>17</v>
      </c>
      <c r="M191" s="839" t="s">
        <v>7451</v>
      </c>
      <c r="N191" s="2649"/>
    </row>
    <row r="192" spans="1:14" ht="58" x14ac:dyDescent="0.35">
      <c r="A192" s="2149">
        <v>43920</v>
      </c>
      <c r="B192" s="817" t="s">
        <v>7596</v>
      </c>
      <c r="C192" s="817" t="s">
        <v>7593</v>
      </c>
      <c r="D192" s="1814">
        <v>43938</v>
      </c>
      <c r="E192" s="1814" t="s">
        <v>7594</v>
      </c>
      <c r="F192" s="1814" t="s">
        <v>15</v>
      </c>
      <c r="G192" s="2640" t="s">
        <v>15</v>
      </c>
      <c r="H192" s="2640" t="s">
        <v>15</v>
      </c>
      <c r="I192" s="1956">
        <v>200</v>
      </c>
      <c r="J192" s="817" t="s">
        <v>7424</v>
      </c>
      <c r="K192" s="817" t="s">
        <v>15</v>
      </c>
      <c r="L192" s="817" t="s">
        <v>17</v>
      </c>
      <c r="M192" s="839" t="s">
        <v>7451</v>
      </c>
      <c r="N192" s="2649"/>
    </row>
    <row r="193" spans="1:14" ht="87" x14ac:dyDescent="0.35">
      <c r="A193" s="2149">
        <v>43920</v>
      </c>
      <c r="B193" s="817" t="s">
        <v>7557</v>
      </c>
      <c r="C193" s="817" t="s">
        <v>7558</v>
      </c>
      <c r="D193" s="1814">
        <v>43938</v>
      </c>
      <c r="E193" s="1149" t="s">
        <v>7559</v>
      </c>
      <c r="F193" s="2640" t="s">
        <v>15</v>
      </c>
      <c r="G193" s="2629" t="s">
        <v>3213</v>
      </c>
      <c r="H193" s="2629" t="s">
        <v>3213</v>
      </c>
      <c r="I193" s="1809">
        <v>220</v>
      </c>
      <c r="J193" s="817" t="s">
        <v>257</v>
      </c>
      <c r="K193" s="817" t="s">
        <v>15</v>
      </c>
      <c r="L193" s="817" t="s">
        <v>17</v>
      </c>
      <c r="M193" s="839" t="s">
        <v>7451</v>
      </c>
      <c r="N193" s="2649"/>
    </row>
    <row r="194" spans="1:14" ht="72.5" x14ac:dyDescent="0.35">
      <c r="A194" s="2149">
        <v>43920</v>
      </c>
      <c r="B194" s="817" t="s">
        <v>7555</v>
      </c>
      <c r="C194" s="817" t="s">
        <v>7553</v>
      </c>
      <c r="D194" s="1814">
        <v>43938</v>
      </c>
      <c r="E194" s="1149" t="s">
        <v>7554</v>
      </c>
      <c r="F194" s="2640" t="s">
        <v>15</v>
      </c>
      <c r="G194" s="2629" t="s">
        <v>3213</v>
      </c>
      <c r="H194" s="2629" t="s">
        <v>3213</v>
      </c>
      <c r="I194" s="1809">
        <v>365</v>
      </c>
      <c r="J194" s="817" t="s">
        <v>257</v>
      </c>
      <c r="K194" s="817" t="s">
        <v>15</v>
      </c>
      <c r="L194" s="817" t="s">
        <v>17</v>
      </c>
      <c r="M194" s="839" t="s">
        <v>7451</v>
      </c>
      <c r="N194" s="2649"/>
    </row>
    <row r="195" spans="1:14" ht="43.5" x14ac:dyDescent="0.35">
      <c r="A195" s="2149">
        <v>43921</v>
      </c>
      <c r="B195" s="817" t="s">
        <v>7641</v>
      </c>
      <c r="C195" s="817" t="s">
        <v>7473</v>
      </c>
      <c r="D195" s="1814">
        <v>43938</v>
      </c>
      <c r="E195" s="1149" t="s">
        <v>7642</v>
      </c>
      <c r="F195" s="2629" t="s">
        <v>15</v>
      </c>
      <c r="G195" s="2629" t="s">
        <v>3213</v>
      </c>
      <c r="H195" s="2629" t="s">
        <v>3213</v>
      </c>
      <c r="I195" s="1956">
        <v>100</v>
      </c>
      <c r="J195" s="817" t="s">
        <v>7424</v>
      </c>
      <c r="K195" s="817" t="s">
        <v>15</v>
      </c>
      <c r="L195" s="817" t="s">
        <v>17</v>
      </c>
      <c r="M195" s="2636" t="s">
        <v>7451</v>
      </c>
      <c r="N195" s="2649"/>
    </row>
    <row r="196" spans="1:14" ht="43.5" x14ac:dyDescent="0.35">
      <c r="A196" s="2149">
        <v>43921</v>
      </c>
      <c r="B196" s="817" t="s">
        <v>7639</v>
      </c>
      <c r="C196" s="817" t="s">
        <v>7473</v>
      </c>
      <c r="D196" s="1814">
        <v>43938</v>
      </c>
      <c r="E196" s="1149" t="s">
        <v>7640</v>
      </c>
      <c r="F196" s="2629" t="s">
        <v>15</v>
      </c>
      <c r="G196" s="2629" t="s">
        <v>3213</v>
      </c>
      <c r="H196" s="2629" t="s">
        <v>3213</v>
      </c>
      <c r="I196" s="1809">
        <v>100</v>
      </c>
      <c r="J196" s="817" t="s">
        <v>257</v>
      </c>
      <c r="K196" s="817" t="s">
        <v>15</v>
      </c>
      <c r="L196" s="817" t="s">
        <v>17</v>
      </c>
      <c r="M196" s="2636" t="s">
        <v>7451</v>
      </c>
      <c r="N196" s="2649"/>
    </row>
    <row r="197" spans="1:14" ht="43.5" x14ac:dyDescent="0.35">
      <c r="A197" s="2149">
        <v>43921</v>
      </c>
      <c r="B197" s="817" t="s">
        <v>7637</v>
      </c>
      <c r="C197" s="817" t="s">
        <v>7473</v>
      </c>
      <c r="D197" s="1814">
        <v>43938</v>
      </c>
      <c r="E197" s="1149" t="s">
        <v>7638</v>
      </c>
      <c r="F197" s="2640" t="s">
        <v>15</v>
      </c>
      <c r="G197" s="2640" t="s">
        <v>3213</v>
      </c>
      <c r="H197" s="2640" t="s">
        <v>3213</v>
      </c>
      <c r="I197" s="1809">
        <v>100</v>
      </c>
      <c r="J197" s="817" t="s">
        <v>257</v>
      </c>
      <c r="K197" s="817" t="s">
        <v>15</v>
      </c>
      <c r="L197" s="817" t="s">
        <v>17</v>
      </c>
      <c r="M197" s="2636" t="s">
        <v>7451</v>
      </c>
      <c r="N197" s="2649"/>
    </row>
    <row r="198" spans="1:14" ht="43.5" x14ac:dyDescent="0.35">
      <c r="A198" s="2149">
        <v>43921</v>
      </c>
      <c r="B198" s="817" t="s">
        <v>7635</v>
      </c>
      <c r="C198" s="817" t="s">
        <v>7473</v>
      </c>
      <c r="D198" s="1814">
        <v>43938</v>
      </c>
      <c r="E198" s="1149" t="s">
        <v>7636</v>
      </c>
      <c r="F198" s="2629" t="s">
        <v>15</v>
      </c>
      <c r="G198" s="2629" t="s">
        <v>3213</v>
      </c>
      <c r="H198" s="2629" t="s">
        <v>3213</v>
      </c>
      <c r="I198" s="1956">
        <v>100</v>
      </c>
      <c r="J198" s="817" t="s">
        <v>7634</v>
      </c>
      <c r="K198" s="817" t="s">
        <v>15</v>
      </c>
      <c r="L198" s="817" t="s">
        <v>17</v>
      </c>
      <c r="M198" s="2636" t="s">
        <v>7451</v>
      </c>
      <c r="N198" s="2649"/>
    </row>
    <row r="199" spans="1:14" ht="58" x14ac:dyDescent="0.35">
      <c r="A199" s="2149">
        <v>43921</v>
      </c>
      <c r="B199" s="817" t="s">
        <v>7660</v>
      </c>
      <c r="C199" s="817" t="s">
        <v>7661</v>
      </c>
      <c r="D199" s="1814">
        <v>43939</v>
      </c>
      <c r="E199" s="1149" t="s">
        <v>7662</v>
      </c>
      <c r="F199" s="2640" t="s">
        <v>15</v>
      </c>
      <c r="G199" s="2640" t="s">
        <v>972</v>
      </c>
      <c r="H199" s="2640" t="s">
        <v>972</v>
      </c>
      <c r="I199" s="1809">
        <v>100</v>
      </c>
      <c r="J199" s="817" t="s">
        <v>257</v>
      </c>
      <c r="K199" s="817" t="s">
        <v>15</v>
      </c>
      <c r="L199" s="817" t="s">
        <v>17</v>
      </c>
      <c r="M199" s="839" t="s">
        <v>7663</v>
      </c>
      <c r="N199" s="2649"/>
    </row>
    <row r="200" spans="1:14" ht="43.5" x14ac:dyDescent="0.35">
      <c r="A200" s="1994">
        <v>43921</v>
      </c>
      <c r="B200" s="7" t="s">
        <v>7621</v>
      </c>
      <c r="C200" s="817" t="s">
        <v>7619</v>
      </c>
      <c r="D200" s="1899">
        <v>43939</v>
      </c>
      <c r="E200" s="881" t="s">
        <v>7622</v>
      </c>
      <c r="F200" s="1149" t="s">
        <v>15</v>
      </c>
      <c r="G200" s="2640" t="s">
        <v>3213</v>
      </c>
      <c r="H200" s="2640" t="s">
        <v>3213</v>
      </c>
      <c r="I200" s="1809">
        <v>100</v>
      </c>
      <c r="J200" s="1149" t="s">
        <v>257</v>
      </c>
      <c r="K200" s="1149" t="s">
        <v>15</v>
      </c>
      <c r="L200" s="1149" t="s">
        <v>17</v>
      </c>
      <c r="M200" s="2636" t="s">
        <v>7451</v>
      </c>
      <c r="N200" s="2649"/>
    </row>
    <row r="201" spans="1:14" ht="43.5" x14ac:dyDescent="0.35">
      <c r="A201" s="1994">
        <v>43921</v>
      </c>
      <c r="B201" s="7" t="s">
        <v>7625</v>
      </c>
      <c r="C201" s="7" t="s">
        <v>7626</v>
      </c>
      <c r="D201" s="1899">
        <v>43939</v>
      </c>
      <c r="E201" s="881" t="s">
        <v>7628</v>
      </c>
      <c r="F201" s="1149" t="s">
        <v>15</v>
      </c>
      <c r="G201" s="2640" t="s">
        <v>3213</v>
      </c>
      <c r="H201" s="2640" t="s">
        <v>3213</v>
      </c>
      <c r="I201" s="1809">
        <v>200</v>
      </c>
      <c r="J201" s="1149" t="s">
        <v>257</v>
      </c>
      <c r="K201" s="1149" t="s">
        <v>15</v>
      </c>
      <c r="L201" s="1149" t="s">
        <v>17</v>
      </c>
      <c r="M201" s="2636" t="s">
        <v>7451</v>
      </c>
      <c r="N201" s="2649"/>
    </row>
    <row r="202" spans="1:14" ht="43.5" x14ac:dyDescent="0.35">
      <c r="A202" s="1994">
        <v>43921</v>
      </c>
      <c r="B202" s="7" t="s">
        <v>7629</v>
      </c>
      <c r="C202" s="7" t="s">
        <v>7473</v>
      </c>
      <c r="D202" s="1899">
        <v>43939</v>
      </c>
      <c r="E202" s="881" t="s">
        <v>7630</v>
      </c>
      <c r="F202" s="1149" t="s">
        <v>15</v>
      </c>
      <c r="G202" s="2640" t="s">
        <v>3213</v>
      </c>
      <c r="H202" s="2640" t="s">
        <v>3213</v>
      </c>
      <c r="I202" s="1809">
        <v>100</v>
      </c>
      <c r="J202" s="1149" t="s">
        <v>257</v>
      </c>
      <c r="K202" s="1149" t="s">
        <v>15</v>
      </c>
      <c r="L202" s="1149" t="s">
        <v>17</v>
      </c>
      <c r="M202" s="2636" t="s">
        <v>7451</v>
      </c>
      <c r="N202" s="2649"/>
    </row>
    <row r="203" spans="1:14" ht="43.5" x14ac:dyDescent="0.35">
      <c r="A203" s="2149">
        <v>43921</v>
      </c>
      <c r="B203" s="817" t="s">
        <v>7612</v>
      </c>
      <c r="C203" s="817" t="s">
        <v>7473</v>
      </c>
      <c r="D203" s="1814">
        <v>43939</v>
      </c>
      <c r="E203" s="1149" t="s">
        <v>7613</v>
      </c>
      <c r="F203" s="2640" t="s">
        <v>15</v>
      </c>
      <c r="G203" s="2640" t="s">
        <v>3213</v>
      </c>
      <c r="H203" s="2640" t="s">
        <v>3213</v>
      </c>
      <c r="I203" s="1809">
        <v>100</v>
      </c>
      <c r="J203" s="817" t="s">
        <v>257</v>
      </c>
      <c r="K203" s="817" t="s">
        <v>15</v>
      </c>
      <c r="L203" s="817" t="s">
        <v>22</v>
      </c>
      <c r="M203" s="2636" t="s">
        <v>7451</v>
      </c>
      <c r="N203" s="2649"/>
    </row>
    <row r="204" spans="1:14" ht="87" x14ac:dyDescent="0.35">
      <c r="A204" s="2149">
        <v>43921</v>
      </c>
      <c r="B204" s="817" t="s">
        <v>7649</v>
      </c>
      <c r="C204" s="817" t="s">
        <v>7650</v>
      </c>
      <c r="D204" s="1814">
        <v>43939</v>
      </c>
      <c r="E204" s="1149" t="s">
        <v>7651</v>
      </c>
      <c r="F204" s="2640" t="s">
        <v>15</v>
      </c>
      <c r="G204" s="2640" t="s">
        <v>3213</v>
      </c>
      <c r="H204" s="2640" t="s">
        <v>3213</v>
      </c>
      <c r="I204" s="1809">
        <v>300</v>
      </c>
      <c r="J204" s="817" t="s">
        <v>7652</v>
      </c>
      <c r="K204" s="817" t="s">
        <v>15</v>
      </c>
      <c r="L204" s="817" t="s">
        <v>17</v>
      </c>
      <c r="M204" s="2636" t="s">
        <v>7451</v>
      </c>
      <c r="N204" s="2649"/>
    </row>
    <row r="205" spans="1:14" ht="130.5" x14ac:dyDescent="0.35">
      <c r="A205" s="2149">
        <v>43921</v>
      </c>
      <c r="B205" s="817" t="s">
        <v>7631</v>
      </c>
      <c r="C205" s="817" t="s">
        <v>7632</v>
      </c>
      <c r="D205" s="1814">
        <v>43939</v>
      </c>
      <c r="E205" s="1149" t="s">
        <v>7633</v>
      </c>
      <c r="F205" s="2640" t="s">
        <v>15</v>
      </c>
      <c r="G205" s="2640" t="s">
        <v>3213</v>
      </c>
      <c r="H205" s="2640" t="s">
        <v>3213</v>
      </c>
      <c r="I205" s="1956">
        <v>145</v>
      </c>
      <c r="J205" s="817" t="s">
        <v>7634</v>
      </c>
      <c r="K205" s="817" t="s">
        <v>15</v>
      </c>
      <c r="L205" s="817" t="s">
        <v>17</v>
      </c>
      <c r="M205" s="2636" t="s">
        <v>7451</v>
      </c>
      <c r="N205" s="2649"/>
    </row>
    <row r="206" spans="1:14" ht="43.5" x14ac:dyDescent="0.35">
      <c r="A206" s="2149">
        <v>43921</v>
      </c>
      <c r="B206" s="817" t="s">
        <v>7646</v>
      </c>
      <c r="C206" s="817" t="s">
        <v>7648</v>
      </c>
      <c r="D206" s="1814">
        <v>43939</v>
      </c>
      <c r="E206" s="1149" t="s">
        <v>7647</v>
      </c>
      <c r="F206" s="2640" t="s">
        <v>15</v>
      </c>
      <c r="G206" s="2640" t="s">
        <v>3213</v>
      </c>
      <c r="H206" s="2640" t="s">
        <v>3213</v>
      </c>
      <c r="I206" s="1809">
        <v>200</v>
      </c>
      <c r="J206" s="817" t="s">
        <v>257</v>
      </c>
      <c r="K206" s="817" t="s">
        <v>15</v>
      </c>
      <c r="L206" s="817" t="s">
        <v>17</v>
      </c>
      <c r="M206" s="2636" t="s">
        <v>7451</v>
      </c>
      <c r="N206" s="2649"/>
    </row>
    <row r="207" spans="1:14" ht="43.5" x14ac:dyDescent="0.35">
      <c r="A207" s="2149">
        <v>43921</v>
      </c>
      <c r="B207" s="817" t="s">
        <v>7614</v>
      </c>
      <c r="C207" s="817" t="s">
        <v>7473</v>
      </c>
      <c r="D207" s="1814">
        <v>43939</v>
      </c>
      <c r="E207" s="1149" t="s">
        <v>7615</v>
      </c>
      <c r="F207" s="2629" t="s">
        <v>15</v>
      </c>
      <c r="G207" s="2629" t="s">
        <v>3213</v>
      </c>
      <c r="H207" s="2629" t="s">
        <v>3213</v>
      </c>
      <c r="I207" s="1809">
        <v>100</v>
      </c>
      <c r="J207" s="817" t="s">
        <v>257</v>
      </c>
      <c r="K207" s="817" t="s">
        <v>15</v>
      </c>
      <c r="L207" s="817" t="s">
        <v>22</v>
      </c>
      <c r="M207" s="2636" t="s">
        <v>7451</v>
      </c>
      <c r="N207" s="2649"/>
    </row>
    <row r="208" spans="1:14" ht="43.5" x14ac:dyDescent="0.35">
      <c r="A208" s="2149">
        <v>43920</v>
      </c>
      <c r="B208" s="817" t="s">
        <v>7600</v>
      </c>
      <c r="C208" s="817" t="s">
        <v>7601</v>
      </c>
      <c r="D208" s="1814">
        <v>43939</v>
      </c>
      <c r="E208" s="1149" t="s">
        <v>7602</v>
      </c>
      <c r="F208" s="1149" t="s">
        <v>15</v>
      </c>
      <c r="G208" s="2629" t="s">
        <v>3213</v>
      </c>
      <c r="H208" s="2629" t="s">
        <v>3213</v>
      </c>
      <c r="I208" s="1809">
        <v>100</v>
      </c>
      <c r="J208" s="1149" t="s">
        <v>257</v>
      </c>
      <c r="K208" s="1149" t="s">
        <v>15</v>
      </c>
      <c r="L208" s="1149" t="s">
        <v>17</v>
      </c>
      <c r="M208" s="2636" t="s">
        <v>7451</v>
      </c>
      <c r="N208" s="2649"/>
    </row>
    <row r="209" spans="1:14" ht="58" x14ac:dyDescent="0.35">
      <c r="A209" s="2149">
        <v>43916</v>
      </c>
      <c r="B209" s="817" t="s">
        <v>7518</v>
      </c>
      <c r="C209" s="817" t="s">
        <v>7460</v>
      </c>
      <c r="D209" s="1814">
        <v>43939</v>
      </c>
      <c r="E209" s="1149" t="s">
        <v>7461</v>
      </c>
      <c r="F209" s="2629" t="s">
        <v>15</v>
      </c>
      <c r="G209" s="2629" t="s">
        <v>972</v>
      </c>
      <c r="H209" s="2629" t="s">
        <v>972</v>
      </c>
      <c r="I209" s="1956">
        <v>100</v>
      </c>
      <c r="J209" s="817" t="s">
        <v>7476</v>
      </c>
      <c r="K209" s="817" t="s">
        <v>15</v>
      </c>
      <c r="L209" s="817" t="s">
        <v>17</v>
      </c>
      <c r="M209" s="839" t="s">
        <v>7451</v>
      </c>
      <c r="N209" s="2649"/>
    </row>
    <row r="210" spans="1:14" ht="58" x14ac:dyDescent="0.35">
      <c r="A210" s="1994">
        <v>43917</v>
      </c>
      <c r="B210" s="7" t="s">
        <v>7470</v>
      </c>
      <c r="C210" s="7" t="s">
        <v>7472</v>
      </c>
      <c r="D210" s="1899">
        <v>43939</v>
      </c>
      <c r="E210" s="881" t="s">
        <v>7469</v>
      </c>
      <c r="F210" s="836" t="s">
        <v>15</v>
      </c>
      <c r="G210" s="836" t="s">
        <v>972</v>
      </c>
      <c r="H210" s="836" t="s">
        <v>972</v>
      </c>
      <c r="I210" s="1100">
        <v>165</v>
      </c>
      <c r="J210" s="7" t="s">
        <v>7437</v>
      </c>
      <c r="K210" s="7" t="s">
        <v>15</v>
      </c>
      <c r="L210" s="7" t="s">
        <v>17</v>
      </c>
      <c r="M210" s="809" t="s">
        <v>7451</v>
      </c>
      <c r="N210" s="2649"/>
    </row>
    <row r="211" spans="1:14" ht="58" x14ac:dyDescent="0.35">
      <c r="A211" s="1994">
        <v>43917</v>
      </c>
      <c r="B211" s="7" t="s">
        <v>7483</v>
      </c>
      <c r="C211" s="7" t="s">
        <v>7473</v>
      </c>
      <c r="D211" s="1899">
        <v>43939</v>
      </c>
      <c r="E211" s="881" t="s">
        <v>7474</v>
      </c>
      <c r="F211" s="836" t="s">
        <v>15</v>
      </c>
      <c r="G211" s="836" t="s">
        <v>972</v>
      </c>
      <c r="H211" s="836" t="s">
        <v>972</v>
      </c>
      <c r="I211" s="1100">
        <v>100</v>
      </c>
      <c r="J211" s="7" t="s">
        <v>257</v>
      </c>
      <c r="K211" s="7" t="s">
        <v>15</v>
      </c>
      <c r="L211" s="7" t="s">
        <v>17</v>
      </c>
      <c r="M211" s="809" t="s">
        <v>7451</v>
      </c>
      <c r="N211" s="2649"/>
    </row>
    <row r="212" spans="1:14" ht="58" x14ac:dyDescent="0.35">
      <c r="A212" s="1994">
        <v>43917</v>
      </c>
      <c r="B212" s="7" t="s">
        <v>7519</v>
      </c>
      <c r="C212" s="7" t="s">
        <v>7473</v>
      </c>
      <c r="D212" s="1899">
        <v>43939</v>
      </c>
      <c r="E212" s="881" t="s">
        <v>7489</v>
      </c>
      <c r="F212" s="836" t="s">
        <v>15</v>
      </c>
      <c r="G212" s="836" t="s">
        <v>972</v>
      </c>
      <c r="H212" s="836" t="s">
        <v>972</v>
      </c>
      <c r="I212" s="1100">
        <v>100</v>
      </c>
      <c r="J212" s="7" t="s">
        <v>257</v>
      </c>
      <c r="K212" s="7" t="s">
        <v>15</v>
      </c>
      <c r="L212" s="7" t="s">
        <v>17</v>
      </c>
      <c r="M212" s="809" t="s">
        <v>7451</v>
      </c>
      <c r="N212" s="2649"/>
    </row>
    <row r="213" spans="1:14" ht="72.5" x14ac:dyDescent="0.35">
      <c r="A213" s="1994">
        <v>43917</v>
      </c>
      <c r="B213" s="7" t="s">
        <v>7520</v>
      </c>
      <c r="C213" s="7" t="s">
        <v>7473</v>
      </c>
      <c r="D213" s="1899">
        <v>43939</v>
      </c>
      <c r="E213" s="881" t="s">
        <v>7490</v>
      </c>
      <c r="F213" s="836" t="s">
        <v>15</v>
      </c>
      <c r="G213" s="836" t="s">
        <v>972</v>
      </c>
      <c r="H213" s="836" t="s">
        <v>972</v>
      </c>
      <c r="I213" s="1100">
        <v>100</v>
      </c>
      <c r="J213" s="7" t="s">
        <v>257</v>
      </c>
      <c r="K213" s="7" t="s">
        <v>15</v>
      </c>
      <c r="L213" s="7" t="s">
        <v>17</v>
      </c>
      <c r="M213" s="809" t="s">
        <v>7451</v>
      </c>
      <c r="N213" s="2649"/>
    </row>
    <row r="214" spans="1:14" ht="58" x14ac:dyDescent="0.35">
      <c r="A214" s="1994">
        <v>43917</v>
      </c>
      <c r="B214" s="7" t="s">
        <v>7484</v>
      </c>
      <c r="C214" s="7" t="s">
        <v>7473</v>
      </c>
      <c r="D214" s="1899">
        <v>43939</v>
      </c>
      <c r="E214" s="881" t="s">
        <v>7471</v>
      </c>
      <c r="F214" s="836" t="s">
        <v>15</v>
      </c>
      <c r="G214" s="836" t="s">
        <v>972</v>
      </c>
      <c r="H214" s="836" t="s">
        <v>972</v>
      </c>
      <c r="I214" s="1100">
        <v>100</v>
      </c>
      <c r="J214" s="7" t="s">
        <v>257</v>
      </c>
      <c r="K214" s="7" t="s">
        <v>15</v>
      </c>
      <c r="L214" s="7" t="s">
        <v>17</v>
      </c>
      <c r="M214" s="809" t="s">
        <v>7451</v>
      </c>
      <c r="N214" s="2649"/>
    </row>
    <row r="215" spans="1:14" ht="72.5" x14ac:dyDescent="0.35">
      <c r="A215" s="1994">
        <v>43918</v>
      </c>
      <c r="B215" s="7" t="s">
        <v>7532</v>
      </c>
      <c r="C215" s="7" t="s">
        <v>7534</v>
      </c>
      <c r="D215" s="1899">
        <v>43939</v>
      </c>
      <c r="E215" s="881" t="s">
        <v>7535</v>
      </c>
      <c r="F215" s="836" t="s">
        <v>15</v>
      </c>
      <c r="G215" s="2629" t="s">
        <v>3213</v>
      </c>
      <c r="H215" s="2629" t="s">
        <v>3213</v>
      </c>
      <c r="I215" s="1809">
        <v>100</v>
      </c>
      <c r="J215" s="817" t="s">
        <v>257</v>
      </c>
      <c r="K215" s="817" t="s">
        <v>15</v>
      </c>
      <c r="L215" s="817" t="s">
        <v>17</v>
      </c>
      <c r="M215" s="839" t="s">
        <v>7451</v>
      </c>
      <c r="N215" s="2649"/>
    </row>
    <row r="216" spans="1:14" s="1592" customFormat="1" ht="58" x14ac:dyDescent="0.35">
      <c r="A216" s="1994">
        <v>43918</v>
      </c>
      <c r="B216" s="7" t="s">
        <v>7515</v>
      </c>
      <c r="C216" s="7" t="s">
        <v>7453</v>
      </c>
      <c r="D216" s="1899">
        <v>43939</v>
      </c>
      <c r="E216" s="881" t="s">
        <v>7510</v>
      </c>
      <c r="F216" s="836" t="s">
        <v>15</v>
      </c>
      <c r="G216" s="836" t="s">
        <v>3213</v>
      </c>
      <c r="H216" s="836" t="s">
        <v>3213</v>
      </c>
      <c r="I216" s="1100">
        <v>100</v>
      </c>
      <c r="J216" s="7" t="s">
        <v>257</v>
      </c>
      <c r="K216" s="7" t="s">
        <v>15</v>
      </c>
      <c r="L216" s="7" t="s">
        <v>17</v>
      </c>
      <c r="M216" s="7" t="s">
        <v>7451</v>
      </c>
      <c r="N216" s="2649"/>
    </row>
    <row r="217" spans="1:14" s="1592" customFormat="1" ht="203" x14ac:dyDescent="0.35">
      <c r="A217" s="1994">
        <v>43918</v>
      </c>
      <c r="B217" s="7" t="s">
        <v>7496</v>
      </c>
      <c r="C217" s="7" t="s">
        <v>7569</v>
      </c>
      <c r="D217" s="1899">
        <v>43939</v>
      </c>
      <c r="E217" s="881" t="s">
        <v>7497</v>
      </c>
      <c r="F217" s="836" t="s">
        <v>15</v>
      </c>
      <c r="G217" s="836" t="s">
        <v>972</v>
      </c>
      <c r="H217" s="836" t="s">
        <v>972</v>
      </c>
      <c r="I217" s="1100">
        <f>100+4*90</f>
        <v>460</v>
      </c>
      <c r="J217" s="836" t="s">
        <v>257</v>
      </c>
      <c r="K217" s="836" t="s">
        <v>15</v>
      </c>
      <c r="L217" s="7" t="s">
        <v>17</v>
      </c>
      <c r="M217" s="809" t="s">
        <v>7451</v>
      </c>
      <c r="N217" s="2649"/>
    </row>
    <row r="218" spans="1:14" ht="58" x14ac:dyDescent="0.35">
      <c r="A218" s="1994">
        <v>43918</v>
      </c>
      <c r="B218" s="7" t="s">
        <v>7522</v>
      </c>
      <c r="C218" s="7" t="s">
        <v>7506</v>
      </c>
      <c r="D218" s="1899">
        <v>43939</v>
      </c>
      <c r="E218" s="881" t="s">
        <v>7509</v>
      </c>
      <c r="F218" s="836" t="s">
        <v>15</v>
      </c>
      <c r="G218" s="836" t="s">
        <v>972</v>
      </c>
      <c r="H218" s="836" t="s">
        <v>972</v>
      </c>
      <c r="I218" s="1100">
        <f>100+2*90</f>
        <v>280</v>
      </c>
      <c r="J218" s="836" t="s">
        <v>257</v>
      </c>
      <c r="K218" s="836" t="s">
        <v>15</v>
      </c>
      <c r="L218" s="7" t="s">
        <v>17</v>
      </c>
      <c r="M218" s="809" t="s">
        <v>7451</v>
      </c>
      <c r="N218" s="2649"/>
    </row>
    <row r="219" spans="1:14" ht="58" x14ac:dyDescent="0.35">
      <c r="A219" s="1994">
        <v>43918</v>
      </c>
      <c r="B219" s="7" t="s">
        <v>7523</v>
      </c>
      <c r="C219" s="7" t="s">
        <v>7506</v>
      </c>
      <c r="D219" s="1899">
        <v>43939</v>
      </c>
      <c r="E219" s="881" t="s">
        <v>7508</v>
      </c>
      <c r="F219" s="836" t="s">
        <v>15</v>
      </c>
      <c r="G219" s="836" t="s">
        <v>972</v>
      </c>
      <c r="H219" s="836" t="s">
        <v>972</v>
      </c>
      <c r="I219" s="1809">
        <v>100</v>
      </c>
      <c r="J219" s="836" t="s">
        <v>257</v>
      </c>
      <c r="K219" s="836" t="s">
        <v>15</v>
      </c>
      <c r="L219" s="7" t="s">
        <v>17</v>
      </c>
      <c r="M219" s="809" t="s">
        <v>7451</v>
      </c>
      <c r="N219" s="2649"/>
    </row>
    <row r="220" spans="1:14" ht="58" x14ac:dyDescent="0.35">
      <c r="A220" s="1994">
        <v>43918</v>
      </c>
      <c r="B220" s="7" t="s">
        <v>7525</v>
      </c>
      <c r="C220" s="7" t="s">
        <v>7504</v>
      </c>
      <c r="D220" s="1899">
        <v>43939</v>
      </c>
      <c r="E220" s="881" t="s">
        <v>7505</v>
      </c>
      <c r="F220" s="836" t="s">
        <v>15</v>
      </c>
      <c r="G220" s="836" t="s">
        <v>972</v>
      </c>
      <c r="H220" s="836" t="s">
        <v>972</v>
      </c>
      <c r="I220" s="1809">
        <v>100</v>
      </c>
      <c r="J220" s="836" t="s">
        <v>257</v>
      </c>
      <c r="K220" s="836" t="s">
        <v>15</v>
      </c>
      <c r="L220" s="7" t="s">
        <v>17</v>
      </c>
      <c r="M220" s="809" t="s">
        <v>7451</v>
      </c>
      <c r="N220" s="2649"/>
    </row>
    <row r="221" spans="1:14" ht="72.5" x14ac:dyDescent="0.35">
      <c r="A221" s="2149">
        <v>43919</v>
      </c>
      <c r="B221" s="817" t="s">
        <v>7543</v>
      </c>
      <c r="C221" s="817" t="s">
        <v>7542</v>
      </c>
      <c r="D221" s="1814">
        <v>43939</v>
      </c>
      <c r="E221" s="1149" t="s">
        <v>7541</v>
      </c>
      <c r="F221" s="1149" t="s">
        <v>15</v>
      </c>
      <c r="G221" s="2629" t="s">
        <v>3213</v>
      </c>
      <c r="H221" s="2629" t="s">
        <v>3213</v>
      </c>
      <c r="I221" s="1809">
        <v>200</v>
      </c>
      <c r="J221" s="817" t="s">
        <v>257</v>
      </c>
      <c r="K221" s="817" t="s">
        <v>15</v>
      </c>
      <c r="L221" s="817" t="s">
        <v>17</v>
      </c>
      <c r="M221" s="839" t="s">
        <v>7451</v>
      </c>
      <c r="N221" s="2649"/>
    </row>
    <row r="222" spans="1:14" ht="58" x14ac:dyDescent="0.35">
      <c r="A222" s="2149">
        <v>43920</v>
      </c>
      <c r="B222" s="817" t="s">
        <v>7599</v>
      </c>
      <c r="C222" s="817" t="s">
        <v>7597</v>
      </c>
      <c r="D222" s="1814">
        <v>43939</v>
      </c>
      <c r="E222" s="1814" t="s">
        <v>7598</v>
      </c>
      <c r="F222" s="1814" t="s">
        <v>15</v>
      </c>
      <c r="G222" s="2629" t="s">
        <v>972</v>
      </c>
      <c r="H222" s="2629" t="s">
        <v>972</v>
      </c>
      <c r="I222" s="1809">
        <v>100</v>
      </c>
      <c r="J222" s="817" t="s">
        <v>257</v>
      </c>
      <c r="K222" s="817" t="s">
        <v>15</v>
      </c>
      <c r="L222" s="817" t="s">
        <v>17</v>
      </c>
      <c r="M222" s="839" t="s">
        <v>7451</v>
      </c>
      <c r="N222" s="2649"/>
    </row>
    <row r="223" spans="1:14" ht="58" x14ac:dyDescent="0.35">
      <c r="A223" s="2149">
        <v>43920</v>
      </c>
      <c r="B223" s="817" t="s">
        <v>7582</v>
      </c>
      <c r="C223" s="817" t="s">
        <v>7581</v>
      </c>
      <c r="D223" s="1814">
        <v>43939</v>
      </c>
      <c r="E223" s="1149" t="s">
        <v>7465</v>
      </c>
      <c r="F223" s="2629" t="s">
        <v>15</v>
      </c>
      <c r="G223" s="2629" t="s">
        <v>972</v>
      </c>
      <c r="H223" s="2629" t="s">
        <v>972</v>
      </c>
      <c r="I223" s="1809">
        <v>165</v>
      </c>
      <c r="J223" s="817" t="s">
        <v>257</v>
      </c>
      <c r="K223" s="817" t="s">
        <v>15</v>
      </c>
      <c r="L223" s="817" t="s">
        <v>17</v>
      </c>
      <c r="M223" s="839" t="s">
        <v>7451</v>
      </c>
      <c r="N223" s="2649"/>
    </row>
    <row r="224" spans="1:14" ht="101.5" x14ac:dyDescent="0.35">
      <c r="A224" s="2149">
        <v>43920</v>
      </c>
      <c r="B224" s="817" t="s">
        <v>7275</v>
      </c>
      <c r="C224" s="817" t="s">
        <v>7568</v>
      </c>
      <c r="D224" s="1814">
        <v>43939</v>
      </c>
      <c r="E224" s="1149" t="s">
        <v>7567</v>
      </c>
      <c r="F224" s="1149" t="s">
        <v>15</v>
      </c>
      <c r="G224" s="2629" t="s">
        <v>3213</v>
      </c>
      <c r="H224" s="2629" t="s">
        <v>3213</v>
      </c>
      <c r="I224" s="1809">
        <f>175</f>
        <v>175</v>
      </c>
      <c r="J224" s="817" t="s">
        <v>257</v>
      </c>
      <c r="K224" s="817" t="s">
        <v>15</v>
      </c>
      <c r="L224" s="817" t="s">
        <v>17</v>
      </c>
      <c r="M224" s="839" t="s">
        <v>7451</v>
      </c>
      <c r="N224" s="2649"/>
    </row>
    <row r="225" spans="1:14" ht="58" x14ac:dyDescent="0.35">
      <c r="A225" s="1994">
        <v>43920</v>
      </c>
      <c r="B225" s="7" t="s">
        <v>7576</v>
      </c>
      <c r="C225" s="7" t="s">
        <v>7579</v>
      </c>
      <c r="D225" s="1899">
        <v>43939</v>
      </c>
      <c r="E225" s="881" t="s">
        <v>7574</v>
      </c>
      <c r="F225" s="836" t="s">
        <v>15</v>
      </c>
      <c r="G225" s="2629" t="s">
        <v>3213</v>
      </c>
      <c r="H225" s="2629" t="s">
        <v>3213</v>
      </c>
      <c r="I225" s="1100">
        <v>0</v>
      </c>
      <c r="J225" s="7" t="s">
        <v>7580</v>
      </c>
      <c r="K225" s="7" t="s">
        <v>15</v>
      </c>
      <c r="L225" s="7" t="s">
        <v>17</v>
      </c>
      <c r="M225" s="809" t="s">
        <v>7451</v>
      </c>
      <c r="N225" s="2649"/>
    </row>
    <row r="226" spans="1:14" ht="174" x14ac:dyDescent="0.35">
      <c r="A226" s="1994">
        <v>43920</v>
      </c>
      <c r="B226" s="7" t="s">
        <v>7571</v>
      </c>
      <c r="C226" s="7" t="s">
        <v>7572</v>
      </c>
      <c r="D226" s="1899">
        <v>43939</v>
      </c>
      <c r="E226" s="881" t="s">
        <v>7570</v>
      </c>
      <c r="F226" s="836" t="s">
        <v>15</v>
      </c>
      <c r="G226" s="836" t="s">
        <v>972</v>
      </c>
      <c r="H226" s="836" t="s">
        <v>972</v>
      </c>
      <c r="I226" s="1100">
        <v>0</v>
      </c>
      <c r="J226" s="817" t="s">
        <v>7573</v>
      </c>
      <c r="K226" s="817" t="s">
        <v>15</v>
      </c>
      <c r="L226" s="7" t="s">
        <v>17</v>
      </c>
      <c r="M226" s="839" t="s">
        <v>2084</v>
      </c>
      <c r="N226" s="2649"/>
    </row>
    <row r="227" spans="1:14" s="1592" customFormat="1" ht="43.5" x14ac:dyDescent="0.35">
      <c r="A227" s="2149">
        <v>43893</v>
      </c>
      <c r="B227" s="817" t="s">
        <v>20</v>
      </c>
      <c r="C227" s="817" t="s">
        <v>7142</v>
      </c>
      <c r="D227" s="1814">
        <v>43943</v>
      </c>
      <c r="E227" s="1149" t="s">
        <v>20</v>
      </c>
      <c r="F227" s="2629" t="s">
        <v>15</v>
      </c>
      <c r="G227" s="2629" t="s">
        <v>15</v>
      </c>
      <c r="H227" s="2629" t="s">
        <v>15</v>
      </c>
      <c r="I227" s="1809">
        <v>0</v>
      </c>
      <c r="J227" s="2629" t="s">
        <v>15</v>
      </c>
      <c r="K227" s="2629" t="s">
        <v>15</v>
      </c>
      <c r="L227" s="817" t="s">
        <v>17</v>
      </c>
      <c r="M227" s="839" t="s">
        <v>20</v>
      </c>
      <c r="N227" s="2649"/>
    </row>
    <row r="228" spans="1:14" s="1592" customFormat="1" ht="188.5" x14ac:dyDescent="0.35">
      <c r="A228" s="2149">
        <v>43881</v>
      </c>
      <c r="B228" s="817" t="s">
        <v>6879</v>
      </c>
      <c r="C228" s="817" t="s">
        <v>6882</v>
      </c>
      <c r="D228" s="1814">
        <v>43946</v>
      </c>
      <c r="E228" s="2533" t="s">
        <v>6880</v>
      </c>
      <c r="F228" s="2629" t="s">
        <v>15</v>
      </c>
      <c r="G228" s="2629">
        <v>0.77083333333333337</v>
      </c>
      <c r="H228" s="2629">
        <v>0.77083333333333337</v>
      </c>
      <c r="I228" s="1809">
        <v>1238</v>
      </c>
      <c r="J228" s="2064" t="s">
        <v>6881</v>
      </c>
      <c r="K228" s="817" t="s">
        <v>15</v>
      </c>
      <c r="L228" s="817" t="s">
        <v>17</v>
      </c>
      <c r="M228" s="839" t="s">
        <v>6450</v>
      </c>
      <c r="N228" s="2649"/>
    </row>
    <row r="229" spans="1:14" s="1592" customFormat="1" ht="406" x14ac:dyDescent="0.35">
      <c r="A229" s="2152">
        <v>43893</v>
      </c>
      <c r="B229" s="1850" t="s">
        <v>7131</v>
      </c>
      <c r="C229" s="1850" t="s">
        <v>7134</v>
      </c>
      <c r="D229" s="1999">
        <v>43946</v>
      </c>
      <c r="E229" s="2435" t="s">
        <v>7133</v>
      </c>
      <c r="F229" s="2629" t="s">
        <v>15</v>
      </c>
      <c r="G229" s="2629">
        <v>0.64583333333333337</v>
      </c>
      <c r="H229" s="2629">
        <v>0.64583333333333337</v>
      </c>
      <c r="I229" s="1809">
        <f>1638+90*12</f>
        <v>2718</v>
      </c>
      <c r="J229" s="817" t="s">
        <v>7135</v>
      </c>
      <c r="K229" s="817" t="s">
        <v>15</v>
      </c>
      <c r="L229" s="817" t="s">
        <v>17</v>
      </c>
      <c r="M229" s="839" t="s">
        <v>6045</v>
      </c>
      <c r="N229" s="2649"/>
    </row>
    <row r="230" spans="1:14" s="1592" customFormat="1" ht="409.5" x14ac:dyDescent="0.35">
      <c r="A230" s="2485">
        <v>43886</v>
      </c>
      <c r="B230" s="5" t="s">
        <v>6947</v>
      </c>
      <c r="C230" s="5" t="s">
        <v>7114</v>
      </c>
      <c r="D230" s="2486">
        <v>43947</v>
      </c>
      <c r="E230" s="2533" t="s">
        <v>290</v>
      </c>
      <c r="F230" s="6"/>
      <c r="G230" s="6" t="s">
        <v>3071</v>
      </c>
      <c r="H230" s="6" t="s">
        <v>49</v>
      </c>
      <c r="I230" s="1678">
        <v>1600</v>
      </c>
      <c r="J230" s="817" t="s">
        <v>7115</v>
      </c>
      <c r="K230" s="817"/>
      <c r="L230" s="817" t="s">
        <v>974</v>
      </c>
      <c r="M230" s="839" t="s">
        <v>7116</v>
      </c>
      <c r="N230" s="2649"/>
    </row>
    <row r="231" spans="1:14" s="1592" customFormat="1" ht="348" x14ac:dyDescent="0.35">
      <c r="A231" s="1830">
        <v>43869</v>
      </c>
      <c r="B231" s="10" t="s">
        <v>6561</v>
      </c>
      <c r="C231" s="10" t="s">
        <v>6568</v>
      </c>
      <c r="D231" s="1808">
        <v>43953</v>
      </c>
      <c r="E231" s="1571" t="s">
        <v>6563</v>
      </c>
      <c r="F231" s="2629" t="s">
        <v>15</v>
      </c>
      <c r="G231" s="2629">
        <v>0.68055555555555547</v>
      </c>
      <c r="H231" s="2629">
        <v>0.68055555555555547</v>
      </c>
      <c r="I231" s="1809">
        <f>800+450+1000</f>
        <v>2250</v>
      </c>
      <c r="J231" s="817" t="s">
        <v>6564</v>
      </c>
      <c r="K231" s="817" t="s">
        <v>15</v>
      </c>
      <c r="L231" s="817" t="s">
        <v>17</v>
      </c>
      <c r="M231" s="839" t="s">
        <v>5367</v>
      </c>
      <c r="N231" s="2649"/>
    </row>
    <row r="232" spans="1:14" s="1592" customFormat="1" ht="217.5" x14ac:dyDescent="0.35">
      <c r="A232" s="2485">
        <v>43875</v>
      </c>
      <c r="B232" s="5" t="s">
        <v>6761</v>
      </c>
      <c r="C232" s="1090" t="s">
        <v>6762</v>
      </c>
      <c r="D232" s="2486">
        <v>43960</v>
      </c>
      <c r="E232" s="1571" t="s">
        <v>6763</v>
      </c>
      <c r="F232" s="6" t="s">
        <v>15</v>
      </c>
      <c r="G232" s="6">
        <v>0.76388888888888884</v>
      </c>
      <c r="H232" s="6">
        <v>0.76388888888888884</v>
      </c>
      <c r="I232" s="1630">
        <v>950</v>
      </c>
      <c r="J232" s="5" t="s">
        <v>6764</v>
      </c>
      <c r="K232" s="5" t="s">
        <v>15</v>
      </c>
      <c r="L232" s="5" t="s">
        <v>17</v>
      </c>
      <c r="M232" s="807" t="s">
        <v>6450</v>
      </c>
      <c r="N232" s="2649"/>
    </row>
    <row r="233" spans="1:14" s="1592" customFormat="1" ht="29" x14ac:dyDescent="0.35">
      <c r="A233" s="2485">
        <v>43895</v>
      </c>
      <c r="B233" s="5" t="s">
        <v>20</v>
      </c>
      <c r="C233" s="5" t="s">
        <v>7187</v>
      </c>
      <c r="D233" s="2486">
        <v>43965</v>
      </c>
      <c r="E233" s="824" t="s">
        <v>20</v>
      </c>
      <c r="F233" s="6" t="s">
        <v>15</v>
      </c>
      <c r="G233" s="6" t="s">
        <v>15</v>
      </c>
      <c r="H233" s="6" t="s">
        <v>15</v>
      </c>
      <c r="I233" s="1809">
        <v>0</v>
      </c>
      <c r="J233" s="6" t="s">
        <v>15</v>
      </c>
      <c r="K233" s="6" t="s">
        <v>15</v>
      </c>
      <c r="L233" s="817" t="s">
        <v>17</v>
      </c>
      <c r="M233" s="839" t="s">
        <v>20</v>
      </c>
      <c r="N233" s="2649"/>
    </row>
    <row r="234" spans="1:14" s="1592" customFormat="1" ht="174" x14ac:dyDescent="0.35">
      <c r="A234" s="2485">
        <v>43868</v>
      </c>
      <c r="B234" s="5" t="s">
        <v>6545</v>
      </c>
      <c r="C234" s="5" t="s">
        <v>6546</v>
      </c>
      <c r="D234" s="2486">
        <v>43967</v>
      </c>
      <c r="E234" s="824" t="s">
        <v>290</v>
      </c>
      <c r="F234" s="6"/>
      <c r="G234" s="6" t="s">
        <v>3071</v>
      </c>
      <c r="H234" s="6" t="s">
        <v>3071</v>
      </c>
      <c r="I234" s="1678">
        <v>1140</v>
      </c>
      <c r="J234" s="2629" t="s">
        <v>6548</v>
      </c>
      <c r="K234" s="2629"/>
      <c r="L234" s="817" t="s">
        <v>22</v>
      </c>
      <c r="M234" s="839" t="s">
        <v>6547</v>
      </c>
      <c r="N234" s="2649"/>
    </row>
    <row r="235" spans="1:14" s="1592" customFormat="1" ht="174" x14ac:dyDescent="0.35">
      <c r="A235" s="2149">
        <v>43879</v>
      </c>
      <c r="B235" s="817" t="s">
        <v>6834</v>
      </c>
      <c r="C235" s="817" t="s">
        <v>6835</v>
      </c>
      <c r="D235" s="1814">
        <v>43967</v>
      </c>
      <c r="E235" s="1571" t="s">
        <v>6836</v>
      </c>
      <c r="F235" s="2629" t="s">
        <v>15</v>
      </c>
      <c r="G235" s="2629">
        <v>0.76388888888888884</v>
      </c>
      <c r="H235" s="2629">
        <v>0.76388888888888884</v>
      </c>
      <c r="I235" s="1809">
        <v>1672</v>
      </c>
      <c r="J235" s="817" t="s">
        <v>6837</v>
      </c>
      <c r="K235" s="817" t="s">
        <v>15</v>
      </c>
      <c r="L235" s="817" t="s">
        <v>17</v>
      </c>
      <c r="M235" s="839" t="s">
        <v>6450</v>
      </c>
      <c r="N235" s="2649"/>
    </row>
    <row r="236" spans="1:14" ht="348" x14ac:dyDescent="0.35">
      <c r="A236" s="1830">
        <v>43895</v>
      </c>
      <c r="B236" s="10" t="s">
        <v>7062</v>
      </c>
      <c r="C236" s="1090" t="s">
        <v>7196</v>
      </c>
      <c r="D236" s="1808">
        <v>43967</v>
      </c>
      <c r="E236" s="1571" t="s">
        <v>7185</v>
      </c>
      <c r="F236" s="6" t="s">
        <v>15</v>
      </c>
      <c r="G236" s="2629">
        <v>0.78472222222222221</v>
      </c>
      <c r="H236" s="2629">
        <v>0.78472222222222221</v>
      </c>
      <c r="I236" s="1809">
        <f>5283+300</f>
        <v>5583</v>
      </c>
      <c r="J236" s="817" t="s">
        <v>7186</v>
      </c>
      <c r="K236" s="817" t="s">
        <v>15</v>
      </c>
      <c r="L236" s="817" t="s">
        <v>17</v>
      </c>
      <c r="M236" s="839" t="s">
        <v>6450</v>
      </c>
      <c r="N236" s="2649"/>
    </row>
    <row r="237" spans="1:14" ht="304.5" x14ac:dyDescent="0.35">
      <c r="A237" s="2152">
        <v>43851</v>
      </c>
      <c r="B237" s="1850" t="s">
        <v>6273</v>
      </c>
      <c r="C237" s="1090" t="s">
        <v>6476</v>
      </c>
      <c r="D237" s="2146">
        <v>43974</v>
      </c>
      <c r="E237" s="2428" t="s">
        <v>6275</v>
      </c>
      <c r="F237" s="2629" t="s">
        <v>15</v>
      </c>
      <c r="G237" s="1927" t="s">
        <v>49</v>
      </c>
      <c r="H237" s="1927" t="s">
        <v>49</v>
      </c>
      <c r="I237" s="1809">
        <f>36*75+400+300+150*3.5*4.76</f>
        <v>5899</v>
      </c>
      <c r="J237" s="817"/>
      <c r="K237" s="817"/>
      <c r="L237" s="817" t="s">
        <v>17</v>
      </c>
      <c r="M237" s="839" t="s">
        <v>6053</v>
      </c>
      <c r="N237" s="2649"/>
    </row>
    <row r="238" spans="1:14" ht="145" x14ac:dyDescent="0.35">
      <c r="A238" s="2485">
        <v>43881</v>
      </c>
      <c r="B238" s="5" t="s">
        <v>6875</v>
      </c>
      <c r="C238" s="5" t="s">
        <v>6876</v>
      </c>
      <c r="D238" s="2486">
        <v>43974</v>
      </c>
      <c r="E238" s="1571" t="s">
        <v>6877</v>
      </c>
      <c r="F238" s="6" t="s">
        <v>15</v>
      </c>
      <c r="G238" s="6">
        <v>0.72222222222222221</v>
      </c>
      <c r="H238" s="6">
        <v>0.72222222222222221</v>
      </c>
      <c r="I238" s="1678">
        <v>3200</v>
      </c>
      <c r="J238" s="2532" t="s">
        <v>6878</v>
      </c>
      <c r="K238" s="817" t="s">
        <v>15</v>
      </c>
      <c r="L238" s="817" t="s">
        <v>17</v>
      </c>
      <c r="M238" s="839" t="s">
        <v>6450</v>
      </c>
      <c r="N238" s="2649"/>
    </row>
    <row r="239" spans="1:14" ht="333.5" x14ac:dyDescent="0.35">
      <c r="A239" s="2149">
        <v>43889</v>
      </c>
      <c r="B239" s="817" t="s">
        <v>7051</v>
      </c>
      <c r="C239" s="817" t="s">
        <v>7053</v>
      </c>
      <c r="D239" s="1814">
        <v>43974</v>
      </c>
      <c r="E239" s="1571" t="s">
        <v>7052</v>
      </c>
      <c r="F239" s="2629" t="s">
        <v>15</v>
      </c>
      <c r="G239" s="2629">
        <v>0.68055555555555547</v>
      </c>
      <c r="H239" s="2629">
        <v>0.68055555555555547</v>
      </c>
      <c r="I239" s="1809">
        <f>3*50*4.8+3.5*150*4.8+20*65+400/1.09</f>
        <v>4906.9724770642206</v>
      </c>
      <c r="J239" s="817" t="s">
        <v>7050</v>
      </c>
      <c r="K239" s="817" t="s">
        <v>15</v>
      </c>
      <c r="L239" s="817" t="s">
        <v>17</v>
      </c>
      <c r="M239" s="839" t="s">
        <v>262</v>
      </c>
      <c r="N239" s="2649"/>
    </row>
    <row r="240" spans="1:14" ht="130.5" x14ac:dyDescent="0.35">
      <c r="A240" s="2101">
        <v>43854</v>
      </c>
      <c r="B240" s="1412" t="s">
        <v>6326</v>
      </c>
      <c r="C240" s="10" t="s">
        <v>6567</v>
      </c>
      <c r="D240" s="1808">
        <v>43981</v>
      </c>
      <c r="E240" s="823" t="s">
        <v>6327</v>
      </c>
      <c r="F240" s="10" t="s">
        <v>15</v>
      </c>
      <c r="G240" s="12">
        <v>0.83333333333333337</v>
      </c>
      <c r="H240" s="12">
        <v>0.83333333333333337</v>
      </c>
      <c r="I240" s="1678">
        <f>300+10*85</f>
        <v>1150</v>
      </c>
      <c r="J240" s="5" t="s">
        <v>6565</v>
      </c>
      <c r="K240" s="5" t="s">
        <v>15</v>
      </c>
      <c r="L240" s="5" t="s">
        <v>17</v>
      </c>
      <c r="M240" s="807" t="s">
        <v>5367</v>
      </c>
      <c r="N240" s="2649"/>
    </row>
    <row r="241" spans="1:14" ht="290" x14ac:dyDescent="0.35">
      <c r="A241" s="2101">
        <v>43899</v>
      </c>
      <c r="B241" s="1412" t="s">
        <v>6883</v>
      </c>
      <c r="C241" s="1412" t="s">
        <v>7262</v>
      </c>
      <c r="D241" s="1957">
        <v>43981</v>
      </c>
      <c r="E241" s="2435" t="s">
        <v>7260</v>
      </c>
      <c r="F241" s="2629">
        <v>0.75</v>
      </c>
      <c r="G241" s="2629">
        <v>0.75</v>
      </c>
      <c r="H241" s="2629">
        <v>0.75</v>
      </c>
      <c r="I241" s="1809">
        <v>1094</v>
      </c>
      <c r="J241" s="817" t="s">
        <v>7261</v>
      </c>
      <c r="K241" s="817" t="s">
        <v>15</v>
      </c>
      <c r="L241" s="817" t="s">
        <v>17</v>
      </c>
      <c r="M241" s="839" t="s">
        <v>6450</v>
      </c>
      <c r="N241" s="2649"/>
    </row>
    <row r="242" spans="1:14" ht="29" x14ac:dyDescent="0.35">
      <c r="A242" s="2149">
        <v>43875</v>
      </c>
      <c r="B242" s="817" t="s">
        <v>20</v>
      </c>
      <c r="C242" s="817" t="s">
        <v>6925</v>
      </c>
      <c r="D242" s="1814">
        <v>43992</v>
      </c>
      <c r="E242" s="1149" t="s">
        <v>20</v>
      </c>
      <c r="F242" s="817" t="s">
        <v>15</v>
      </c>
      <c r="G242" s="2629" t="s">
        <v>15</v>
      </c>
      <c r="H242" s="2629" t="s">
        <v>15</v>
      </c>
      <c r="I242" s="1809">
        <v>0</v>
      </c>
      <c r="J242" s="817" t="s">
        <v>20</v>
      </c>
      <c r="K242" s="817" t="s">
        <v>15</v>
      </c>
      <c r="L242" s="817" t="s">
        <v>17</v>
      </c>
      <c r="M242" s="839" t="s">
        <v>20</v>
      </c>
      <c r="N242" s="2649"/>
    </row>
    <row r="243" spans="1:14" ht="290" x14ac:dyDescent="0.35">
      <c r="A243" s="1830">
        <v>43875</v>
      </c>
      <c r="B243" s="10" t="s">
        <v>6739</v>
      </c>
      <c r="C243" s="10" t="s">
        <v>6923</v>
      </c>
      <c r="D243" s="1808">
        <v>43996</v>
      </c>
      <c r="E243" s="1571" t="s">
        <v>6924</v>
      </c>
      <c r="F243" s="2629" t="s">
        <v>15</v>
      </c>
      <c r="G243" s="2629">
        <v>0.74305555555555547</v>
      </c>
      <c r="H243" s="2629">
        <v>0.74305555555555547</v>
      </c>
      <c r="I243" s="1809">
        <v>5151</v>
      </c>
      <c r="J243" s="817" t="s">
        <v>6760</v>
      </c>
      <c r="K243" s="817" t="s">
        <v>15</v>
      </c>
      <c r="L243" s="817" t="s">
        <v>17</v>
      </c>
      <c r="M243" s="839" t="s">
        <v>6450</v>
      </c>
      <c r="N243" s="2649"/>
    </row>
    <row r="244" spans="1:14" ht="174" x14ac:dyDescent="0.35">
      <c r="A244" s="1994">
        <v>43888</v>
      </c>
      <c r="B244" s="7" t="s">
        <v>7023</v>
      </c>
      <c r="C244" s="10" t="s">
        <v>7172</v>
      </c>
      <c r="D244" s="1899">
        <v>43996</v>
      </c>
      <c r="E244" s="2533" t="s">
        <v>7025</v>
      </c>
      <c r="F244" s="6" t="s">
        <v>15</v>
      </c>
      <c r="G244" s="6">
        <v>0.73611111111111116</v>
      </c>
      <c r="H244" s="6">
        <v>0.73611111111111116</v>
      </c>
      <c r="I244" s="1678">
        <v>2394</v>
      </c>
      <c r="J244" s="817" t="s">
        <v>7173</v>
      </c>
      <c r="K244" s="817" t="s">
        <v>15</v>
      </c>
      <c r="L244" s="817" t="s">
        <v>17</v>
      </c>
      <c r="M244" s="839" t="s">
        <v>2084</v>
      </c>
      <c r="N244" s="2649"/>
    </row>
    <row r="245" spans="1:14" ht="29" x14ac:dyDescent="0.35">
      <c r="A245" s="2485">
        <v>43869</v>
      </c>
      <c r="B245" s="5" t="s">
        <v>20</v>
      </c>
      <c r="C245" s="5" t="s">
        <v>6577</v>
      </c>
      <c r="D245" s="2486">
        <v>44015</v>
      </c>
      <c r="E245" s="824" t="s">
        <v>20</v>
      </c>
      <c r="F245" s="6" t="s">
        <v>15</v>
      </c>
      <c r="G245" s="6" t="s">
        <v>15</v>
      </c>
      <c r="H245" s="6" t="s">
        <v>15</v>
      </c>
      <c r="I245" s="1678">
        <v>0</v>
      </c>
      <c r="J245" s="5" t="s">
        <v>20</v>
      </c>
      <c r="K245" s="5" t="s">
        <v>15</v>
      </c>
      <c r="L245" s="5" t="s">
        <v>17</v>
      </c>
      <c r="M245" s="839" t="s">
        <v>20</v>
      </c>
      <c r="N245" s="2649"/>
    </row>
    <row r="246" spans="1:14" ht="333.5" x14ac:dyDescent="0.35">
      <c r="A246" s="1830">
        <v>43900</v>
      </c>
      <c r="B246" s="10" t="s">
        <v>7288</v>
      </c>
      <c r="C246" s="10" t="s">
        <v>7290</v>
      </c>
      <c r="D246" s="1808">
        <v>44016</v>
      </c>
      <c r="E246" s="2612" t="s">
        <v>7298</v>
      </c>
      <c r="F246" s="836" t="s">
        <v>15</v>
      </c>
      <c r="G246" s="836">
        <v>0.77083333333333337</v>
      </c>
      <c r="H246" s="836">
        <v>0.77083333333333337</v>
      </c>
      <c r="I246" s="1100">
        <f>3553+300+170</f>
        <v>4023</v>
      </c>
      <c r="J246" s="7" t="s">
        <v>7289</v>
      </c>
      <c r="K246" s="7" t="s">
        <v>15</v>
      </c>
      <c r="L246" s="7" t="s">
        <v>17</v>
      </c>
      <c r="M246" s="809" t="s">
        <v>6450</v>
      </c>
      <c r="N246" s="2649"/>
    </row>
    <row r="247" spans="1:14" ht="261" x14ac:dyDescent="0.35">
      <c r="A247" s="2101">
        <v>43869</v>
      </c>
      <c r="B247" s="1412" t="s">
        <v>6512</v>
      </c>
      <c r="C247" s="10" t="s">
        <v>6575</v>
      </c>
      <c r="D247" s="1808">
        <v>44017</v>
      </c>
      <c r="E247" s="1571" t="s">
        <v>6576</v>
      </c>
      <c r="F247" s="12" t="s">
        <v>15</v>
      </c>
      <c r="G247" s="12">
        <v>0.72916666666666663</v>
      </c>
      <c r="H247" s="12">
        <v>0.72916666666666663</v>
      </c>
      <c r="I247" s="1809">
        <f>3500*0.85</f>
        <v>2975</v>
      </c>
      <c r="J247" s="817" t="s">
        <v>6643</v>
      </c>
      <c r="K247" s="817" t="s">
        <v>15</v>
      </c>
      <c r="L247" s="817" t="s">
        <v>17</v>
      </c>
      <c r="M247" s="839" t="s">
        <v>6053</v>
      </c>
      <c r="N247" s="2649"/>
    </row>
    <row r="248" spans="1:14" ht="290" x14ac:dyDescent="0.35">
      <c r="A248" s="2621">
        <v>43896</v>
      </c>
      <c r="B248" s="826" t="s">
        <v>7215</v>
      </c>
      <c r="C248" s="918" t="s">
        <v>7219</v>
      </c>
      <c r="D248" s="2622">
        <v>44017</v>
      </c>
      <c r="E248" s="1493" t="s">
        <v>7217</v>
      </c>
      <c r="F248" s="6"/>
      <c r="G248" s="2629">
        <v>0.75</v>
      </c>
      <c r="H248" s="2629">
        <v>0.75</v>
      </c>
      <c r="I248" s="1809">
        <v>4041</v>
      </c>
      <c r="J248" s="817" t="s">
        <v>7218</v>
      </c>
      <c r="K248" s="817"/>
      <c r="L248" s="817" t="s">
        <v>974</v>
      </c>
      <c r="M248" s="839" t="s">
        <v>7216</v>
      </c>
      <c r="N248" s="2649"/>
    </row>
    <row r="249" spans="1:14" ht="377" x14ac:dyDescent="0.35">
      <c r="A249" s="2615">
        <v>43869</v>
      </c>
      <c r="B249" s="819" t="s">
        <v>6558</v>
      </c>
      <c r="C249" s="819" t="s">
        <v>6566</v>
      </c>
      <c r="D249" s="2616">
        <v>44029</v>
      </c>
      <c r="E249" s="1493" t="s">
        <v>6560</v>
      </c>
      <c r="F249" s="6" t="s">
        <v>15</v>
      </c>
      <c r="G249" s="6">
        <v>0.76388888888888884</v>
      </c>
      <c r="H249" s="6">
        <v>0.76388888888888884</v>
      </c>
      <c r="I249" s="1678">
        <f>80*12+50+1000</f>
        <v>2010</v>
      </c>
      <c r="J249" s="817" t="s">
        <v>6559</v>
      </c>
      <c r="K249" s="817" t="s">
        <v>15</v>
      </c>
      <c r="L249" s="817" t="s">
        <v>17</v>
      </c>
      <c r="M249" s="839" t="s">
        <v>5367</v>
      </c>
      <c r="N249" s="2649"/>
    </row>
    <row r="250" spans="1:14" ht="203" x14ac:dyDescent="0.35">
      <c r="A250" s="1723">
        <v>43872</v>
      </c>
      <c r="B250" s="874" t="s">
        <v>6638</v>
      </c>
      <c r="C250" s="874" t="s">
        <v>6639</v>
      </c>
      <c r="D250" s="1738">
        <v>44037</v>
      </c>
      <c r="E250" s="1493" t="s">
        <v>6640</v>
      </c>
      <c r="F250" s="2629" t="s">
        <v>15</v>
      </c>
      <c r="G250" s="2629">
        <v>0.77083333333333337</v>
      </c>
      <c r="H250" s="2629">
        <v>0.77083333333333337</v>
      </c>
      <c r="I250" s="1809">
        <v>950</v>
      </c>
      <c r="J250" s="817" t="s">
        <v>6641</v>
      </c>
      <c r="K250" s="817" t="s">
        <v>15</v>
      </c>
      <c r="L250" s="817" t="s">
        <v>17</v>
      </c>
      <c r="M250" s="839" t="s">
        <v>6450</v>
      </c>
      <c r="N250" s="2649"/>
    </row>
    <row r="251" spans="1:14" ht="159.5" x14ac:dyDescent="0.35">
      <c r="A251" s="2615">
        <v>43872</v>
      </c>
      <c r="B251" s="819" t="s">
        <v>6652</v>
      </c>
      <c r="C251" s="819" t="s">
        <v>6653</v>
      </c>
      <c r="D251" s="2616">
        <v>44038</v>
      </c>
      <c r="E251" s="1493" t="s">
        <v>6654</v>
      </c>
      <c r="F251" s="865" t="s">
        <v>15</v>
      </c>
      <c r="G251" s="865" t="s">
        <v>15</v>
      </c>
      <c r="H251" s="865" t="s">
        <v>15</v>
      </c>
      <c r="I251" s="1678">
        <v>2682</v>
      </c>
      <c r="J251" s="2456" t="s">
        <v>6655</v>
      </c>
      <c r="K251" s="874" t="s">
        <v>15</v>
      </c>
      <c r="L251" s="817" t="s">
        <v>17</v>
      </c>
      <c r="M251" s="839" t="s">
        <v>6450</v>
      </c>
      <c r="N251" s="2649"/>
    </row>
    <row r="252" spans="1:14" ht="188.5" x14ac:dyDescent="0.35">
      <c r="A252" s="2623">
        <v>43872</v>
      </c>
      <c r="B252" s="976" t="s">
        <v>6630</v>
      </c>
      <c r="C252" s="819" t="s">
        <v>6631</v>
      </c>
      <c r="D252" s="2616">
        <v>44038</v>
      </c>
      <c r="E252" s="1148" t="s">
        <v>6632</v>
      </c>
      <c r="F252" s="913" t="s">
        <v>15</v>
      </c>
      <c r="G252" s="2057">
        <v>0.75</v>
      </c>
      <c r="H252" s="2057">
        <v>0.79166666666666663</v>
      </c>
      <c r="I252" s="2138">
        <v>2398</v>
      </c>
      <c r="J252" s="2629" t="s">
        <v>6633</v>
      </c>
      <c r="K252" s="2629" t="s">
        <v>15</v>
      </c>
      <c r="L252" s="817" t="s">
        <v>17</v>
      </c>
      <c r="M252" s="839" t="s">
        <v>6450</v>
      </c>
      <c r="N252" s="2649"/>
    </row>
    <row r="253" spans="1:14" ht="319" x14ac:dyDescent="0.35">
      <c r="A253" s="2623">
        <v>43865</v>
      </c>
      <c r="B253" s="976" t="s">
        <v>6347</v>
      </c>
      <c r="C253" s="2456" t="s">
        <v>6494</v>
      </c>
      <c r="D253" s="2624">
        <v>44059</v>
      </c>
      <c r="E253" s="2625" t="s">
        <v>6492</v>
      </c>
      <c r="F253" s="1016" t="s">
        <v>15</v>
      </c>
      <c r="G253" s="2629">
        <v>0.71875</v>
      </c>
      <c r="H253" s="2629">
        <v>0.71875</v>
      </c>
      <c r="I253" s="1809">
        <f>1000+400+38*120/1000*70</f>
        <v>1719.2</v>
      </c>
      <c r="J253" s="817" t="s">
        <v>6493</v>
      </c>
      <c r="K253" s="817" t="s">
        <v>15</v>
      </c>
      <c r="L253" s="817" t="s">
        <v>17</v>
      </c>
      <c r="M253" s="839" t="s">
        <v>6045</v>
      </c>
      <c r="N253" s="2649"/>
    </row>
    <row r="254" spans="1:14" ht="29" x14ac:dyDescent="0.35">
      <c r="A254" s="1723">
        <v>43869</v>
      </c>
      <c r="B254" s="874" t="s">
        <v>20</v>
      </c>
      <c r="C254" s="874" t="s">
        <v>6571</v>
      </c>
      <c r="D254" s="1738">
        <v>44062</v>
      </c>
      <c r="E254" s="1015" t="s">
        <v>20</v>
      </c>
      <c r="F254" s="1016" t="s">
        <v>15</v>
      </c>
      <c r="G254" s="1016" t="s">
        <v>15</v>
      </c>
      <c r="H254" s="1016" t="s">
        <v>15</v>
      </c>
      <c r="I254" s="1809">
        <v>0</v>
      </c>
      <c r="J254" s="874" t="s">
        <v>20</v>
      </c>
      <c r="K254" s="874" t="s">
        <v>15</v>
      </c>
      <c r="L254" s="817" t="s">
        <v>17</v>
      </c>
      <c r="M254" s="839" t="s">
        <v>20</v>
      </c>
      <c r="N254" s="2649"/>
    </row>
    <row r="255" spans="1:14" ht="29" x14ac:dyDescent="0.35">
      <c r="A255" s="1723">
        <v>43872</v>
      </c>
      <c r="B255" s="874" t="s">
        <v>20</v>
      </c>
      <c r="C255" s="874" t="s">
        <v>6647</v>
      </c>
      <c r="D255" s="1738">
        <v>44064</v>
      </c>
      <c r="E255" s="1015" t="s">
        <v>20</v>
      </c>
      <c r="F255" s="1016" t="s">
        <v>15</v>
      </c>
      <c r="G255" s="2629" t="s">
        <v>15</v>
      </c>
      <c r="H255" s="2629" t="s">
        <v>15</v>
      </c>
      <c r="I255" s="1809">
        <v>0</v>
      </c>
      <c r="J255" s="817" t="s">
        <v>20</v>
      </c>
      <c r="K255" s="817" t="s">
        <v>15</v>
      </c>
      <c r="L255" s="817" t="s">
        <v>17</v>
      </c>
      <c r="M255" s="839" t="s">
        <v>20</v>
      </c>
      <c r="N255" s="2649"/>
    </row>
    <row r="256" spans="1:14" ht="304.5" x14ac:dyDescent="0.35">
      <c r="A256" s="2615">
        <v>43869</v>
      </c>
      <c r="B256" s="819" t="s">
        <v>6569</v>
      </c>
      <c r="C256" s="819" t="s">
        <v>6589</v>
      </c>
      <c r="D256" s="2616">
        <v>44065</v>
      </c>
      <c r="E256" s="1148" t="s">
        <v>6570</v>
      </c>
      <c r="F256" s="865" t="s">
        <v>15</v>
      </c>
      <c r="G256" s="6">
        <v>0.74305555555555547</v>
      </c>
      <c r="H256" s="6">
        <v>0.74305555555555547</v>
      </c>
      <c r="I256" s="1678">
        <v>2506</v>
      </c>
      <c r="J256" s="2434" t="s">
        <v>6590</v>
      </c>
      <c r="K256" s="817" t="s">
        <v>15</v>
      </c>
      <c r="L256" s="817" t="s">
        <v>6046</v>
      </c>
      <c r="M256" s="839" t="s">
        <v>6450</v>
      </c>
      <c r="N256" s="2649"/>
    </row>
    <row r="257" spans="1:14" ht="116" x14ac:dyDescent="0.35">
      <c r="A257" s="2615">
        <v>43872</v>
      </c>
      <c r="B257" s="819" t="s">
        <v>6644</v>
      </c>
      <c r="C257" s="819" t="s">
        <v>6645</v>
      </c>
      <c r="D257" s="2616">
        <v>44066</v>
      </c>
      <c r="E257" s="867" t="s">
        <v>5489</v>
      </c>
      <c r="F257" s="865" t="s">
        <v>15</v>
      </c>
      <c r="G257" s="6" t="s">
        <v>15</v>
      </c>
      <c r="H257" s="6" t="s">
        <v>15</v>
      </c>
      <c r="I257" s="1678">
        <f>90*9</f>
        <v>810</v>
      </c>
      <c r="J257" s="2064" t="s">
        <v>6646</v>
      </c>
      <c r="K257" s="817" t="s">
        <v>15</v>
      </c>
      <c r="L257" s="817" t="s">
        <v>17</v>
      </c>
      <c r="M257" s="839" t="s">
        <v>5489</v>
      </c>
      <c r="N257" s="2649"/>
    </row>
    <row r="258" spans="1:14" ht="203" x14ac:dyDescent="0.35">
      <c r="A258" s="1723">
        <v>43872</v>
      </c>
      <c r="B258" s="874" t="s">
        <v>6656</v>
      </c>
      <c r="C258" s="2637" t="s">
        <v>6657</v>
      </c>
      <c r="D258" s="1738">
        <v>44066</v>
      </c>
      <c r="E258" s="2625" t="s">
        <v>6658</v>
      </c>
      <c r="F258" s="1016" t="s">
        <v>15</v>
      </c>
      <c r="G258" s="2629">
        <v>0.6875</v>
      </c>
      <c r="H258" s="2629">
        <v>0.6875</v>
      </c>
      <c r="I258" s="1809">
        <v>1528</v>
      </c>
      <c r="J258" s="1149" t="s">
        <v>6659</v>
      </c>
      <c r="K258" s="1149" t="s">
        <v>15</v>
      </c>
      <c r="L258" s="817" t="s">
        <v>17</v>
      </c>
      <c r="M258" s="839" t="s">
        <v>15</v>
      </c>
      <c r="N258" s="2649"/>
    </row>
    <row r="259" spans="1:14" ht="145" x14ac:dyDescent="0.35">
      <c r="A259" s="1723">
        <v>43908</v>
      </c>
      <c r="B259" s="874" t="s">
        <v>20</v>
      </c>
      <c r="C259" s="874" t="s">
        <v>7360</v>
      </c>
      <c r="D259" s="1738">
        <v>44076</v>
      </c>
      <c r="E259" s="1015" t="s">
        <v>15</v>
      </c>
      <c r="F259" s="1015" t="s">
        <v>15</v>
      </c>
      <c r="G259" s="1149" t="s">
        <v>15</v>
      </c>
      <c r="H259" s="1149" t="s">
        <v>15</v>
      </c>
      <c r="I259" s="1809">
        <v>0</v>
      </c>
      <c r="J259" s="1149" t="s">
        <v>15</v>
      </c>
      <c r="K259" s="1149" t="s">
        <v>15</v>
      </c>
      <c r="L259" s="817" t="s">
        <v>17</v>
      </c>
      <c r="M259" s="839" t="s">
        <v>20</v>
      </c>
      <c r="N259" s="2649"/>
    </row>
    <row r="260" spans="1:14" ht="391.5" x14ac:dyDescent="0.35">
      <c r="A260" s="2623">
        <v>43857</v>
      </c>
      <c r="B260" s="976" t="s">
        <v>6642</v>
      </c>
      <c r="C260" s="819" t="s">
        <v>6477</v>
      </c>
      <c r="D260" s="2616">
        <v>44079</v>
      </c>
      <c r="E260" s="867" t="s">
        <v>6351</v>
      </c>
      <c r="F260" s="913" t="s">
        <v>15</v>
      </c>
      <c r="G260" s="2629">
        <v>0.77083333333333337</v>
      </c>
      <c r="H260" s="2629">
        <v>0.77083333333333337</v>
      </c>
      <c r="I260" s="1809">
        <v>3800</v>
      </c>
      <c r="J260" s="817" t="s">
        <v>6352</v>
      </c>
      <c r="K260" s="817" t="s">
        <v>15</v>
      </c>
      <c r="L260" s="817" t="s">
        <v>17</v>
      </c>
      <c r="M260" s="839" t="s">
        <v>6045</v>
      </c>
      <c r="N260" s="2649"/>
    </row>
    <row r="261" spans="1:14" ht="409.5" x14ac:dyDescent="0.35">
      <c r="A261" s="2615">
        <v>43904</v>
      </c>
      <c r="B261" s="819" t="s">
        <v>7326</v>
      </c>
      <c r="C261" s="819" t="s">
        <v>7359</v>
      </c>
      <c r="D261" s="2616">
        <v>44079</v>
      </c>
      <c r="E261" s="1493" t="s">
        <v>7327</v>
      </c>
      <c r="F261" s="902" t="s">
        <v>15</v>
      </c>
      <c r="G261" s="836">
        <v>0.74305555555555547</v>
      </c>
      <c r="H261" s="836">
        <v>0.74305555555555547</v>
      </c>
      <c r="I261" s="1100">
        <v>5124</v>
      </c>
      <c r="J261" s="836" t="s">
        <v>7328</v>
      </c>
      <c r="K261" s="836" t="s">
        <v>15</v>
      </c>
      <c r="L261" s="7" t="s">
        <v>17</v>
      </c>
      <c r="M261" s="809" t="s">
        <v>6450</v>
      </c>
      <c r="N261" s="2649"/>
    </row>
    <row r="262" spans="1:14" s="1592" customFormat="1" ht="29" x14ac:dyDescent="0.35">
      <c r="A262" s="1723">
        <v>43869</v>
      </c>
      <c r="B262" s="874" t="s">
        <v>20</v>
      </c>
      <c r="C262" s="874" t="s">
        <v>6573</v>
      </c>
      <c r="D262" s="1738">
        <v>44083</v>
      </c>
      <c r="E262" s="1015" t="s">
        <v>20</v>
      </c>
      <c r="F262" s="1016" t="s">
        <v>15</v>
      </c>
      <c r="G262" s="2629" t="s">
        <v>15</v>
      </c>
      <c r="H262" s="2629" t="s">
        <v>15</v>
      </c>
      <c r="I262" s="1809">
        <v>0</v>
      </c>
      <c r="J262" s="817" t="s">
        <v>6034</v>
      </c>
      <c r="K262" s="817" t="s">
        <v>15</v>
      </c>
      <c r="L262" s="817" t="s">
        <v>17</v>
      </c>
      <c r="M262" s="839" t="s">
        <v>20</v>
      </c>
      <c r="N262" s="2649"/>
    </row>
    <row r="263" spans="1:14" s="1592" customFormat="1" ht="246.5" x14ac:dyDescent="0.35">
      <c r="A263" s="2623">
        <v>43869</v>
      </c>
      <c r="B263" s="2638" t="s">
        <v>6504</v>
      </c>
      <c r="C263" s="918" t="s">
        <v>6574</v>
      </c>
      <c r="D263" s="2616">
        <v>44086</v>
      </c>
      <c r="E263" s="867" t="s">
        <v>6572</v>
      </c>
      <c r="F263" s="913" t="s">
        <v>15</v>
      </c>
      <c r="G263" s="12">
        <v>0.77083333333333337</v>
      </c>
      <c r="H263" s="12">
        <v>0.77083333333333337</v>
      </c>
      <c r="I263" s="1809">
        <v>4824.1499999999996</v>
      </c>
      <c r="J263" s="2434" t="s">
        <v>6629</v>
      </c>
      <c r="K263" s="817" t="s">
        <v>15</v>
      </c>
      <c r="L263" s="817" t="s">
        <v>17</v>
      </c>
      <c r="M263" s="839" t="s">
        <v>6450</v>
      </c>
      <c r="N263" s="2649"/>
    </row>
    <row r="264" spans="1:14" s="1592" customFormat="1" ht="174" x14ac:dyDescent="0.35">
      <c r="A264" s="2621">
        <v>43872</v>
      </c>
      <c r="B264" s="826" t="s">
        <v>6634</v>
      </c>
      <c r="C264" s="826" t="s">
        <v>7105</v>
      </c>
      <c r="D264" s="2622">
        <v>44086</v>
      </c>
      <c r="E264" s="1493" t="s">
        <v>6635</v>
      </c>
      <c r="F264" s="865" t="s">
        <v>15</v>
      </c>
      <c r="G264" s="865">
        <v>0.76041666666666663</v>
      </c>
      <c r="H264" s="865">
        <v>0.76041666666666663</v>
      </c>
      <c r="I264" s="1767">
        <v>1672</v>
      </c>
      <c r="J264" s="2456" t="s">
        <v>6637</v>
      </c>
      <c r="K264" s="874" t="s">
        <v>15</v>
      </c>
      <c r="L264" s="874" t="s">
        <v>17</v>
      </c>
      <c r="M264" s="874" t="s">
        <v>6450</v>
      </c>
      <c r="N264" s="2649"/>
    </row>
    <row r="265" spans="1:14" s="1592" customFormat="1" ht="377" x14ac:dyDescent="0.35">
      <c r="A265" s="2623">
        <v>43874</v>
      </c>
      <c r="B265" s="976" t="s">
        <v>6727</v>
      </c>
      <c r="C265" s="2456" t="s">
        <v>7340</v>
      </c>
      <c r="D265" s="2624">
        <v>44086</v>
      </c>
      <c r="E265" s="2625" t="s">
        <v>6728</v>
      </c>
      <c r="F265" s="1016" t="s">
        <v>15</v>
      </c>
      <c r="G265" s="2629">
        <v>0.76041666666666663</v>
      </c>
      <c r="H265" s="2629">
        <v>0.76041666666666663</v>
      </c>
      <c r="I265" s="1809">
        <v>2372</v>
      </c>
      <c r="J265" s="817" t="s">
        <v>6729</v>
      </c>
      <c r="K265" s="817" t="s">
        <v>15</v>
      </c>
      <c r="L265" s="817" t="s">
        <v>17</v>
      </c>
      <c r="M265" s="839" t="s">
        <v>6450</v>
      </c>
      <c r="N265" s="2649"/>
    </row>
    <row r="266" spans="1:14" s="1592" customFormat="1" ht="246.5" x14ac:dyDescent="0.35">
      <c r="A266" s="1723">
        <v>43892</v>
      </c>
      <c r="B266" s="874" t="s">
        <v>7100</v>
      </c>
      <c r="C266" s="874" t="s">
        <v>7101</v>
      </c>
      <c r="D266" s="1738">
        <v>44086</v>
      </c>
      <c r="E266" s="1493" t="s">
        <v>7102</v>
      </c>
      <c r="F266" s="1016" t="s">
        <v>15</v>
      </c>
      <c r="G266" s="2629">
        <v>0.75</v>
      </c>
      <c r="H266" s="2629">
        <v>0.75</v>
      </c>
      <c r="I266" s="1809">
        <v>1672</v>
      </c>
      <c r="J266" s="817" t="s">
        <v>7103</v>
      </c>
      <c r="K266" s="817" t="s">
        <v>15</v>
      </c>
      <c r="L266" s="817" t="s">
        <v>17</v>
      </c>
      <c r="M266" s="839" t="s">
        <v>6450</v>
      </c>
      <c r="N266" s="2649"/>
    </row>
    <row r="267" spans="1:14" s="1592" customFormat="1" ht="290" x14ac:dyDescent="0.35">
      <c r="A267" s="1723">
        <v>43898</v>
      </c>
      <c r="B267" s="874" t="s">
        <v>7194</v>
      </c>
      <c r="C267" s="2456" t="s">
        <v>7257</v>
      </c>
      <c r="D267" s="1738">
        <v>44093</v>
      </c>
      <c r="E267" s="1015" t="s">
        <v>7255</v>
      </c>
      <c r="F267" s="1016" t="s">
        <v>15</v>
      </c>
      <c r="G267" s="2628">
        <v>0.70833333333333337</v>
      </c>
      <c r="H267" s="2628">
        <v>0.70833333333333337</v>
      </c>
      <c r="I267" s="1809">
        <f>(120*19*0.8+150*100/1000*(100-10.51))*0.95</f>
        <v>3008.0324999999998</v>
      </c>
      <c r="J267" s="817" t="s">
        <v>7256</v>
      </c>
      <c r="K267" s="817" t="s">
        <v>15</v>
      </c>
      <c r="L267" s="817" t="s">
        <v>17</v>
      </c>
      <c r="M267" s="839" t="s">
        <v>6450</v>
      </c>
      <c r="N267" s="2649"/>
    </row>
    <row r="268" spans="1:14" s="1592" customFormat="1" ht="159.5" x14ac:dyDescent="0.35">
      <c r="A268" s="1723">
        <v>43877</v>
      </c>
      <c r="B268" s="874" t="s">
        <v>6584</v>
      </c>
      <c r="C268" s="874" t="s">
        <v>6794</v>
      </c>
      <c r="D268" s="1738">
        <v>44101</v>
      </c>
      <c r="E268" s="1493" t="s">
        <v>6795</v>
      </c>
      <c r="F268" s="1016" t="s">
        <v>15</v>
      </c>
      <c r="G268" s="2628">
        <v>0.68055555555555547</v>
      </c>
      <c r="H268" s="2628">
        <v>0.68055555555555547</v>
      </c>
      <c r="I268" s="1809">
        <v>1960</v>
      </c>
      <c r="J268" s="817" t="s">
        <v>6793</v>
      </c>
      <c r="K268" s="817" t="s">
        <v>15</v>
      </c>
      <c r="L268" s="817" t="s">
        <v>17</v>
      </c>
      <c r="M268" s="839" t="s">
        <v>6450</v>
      </c>
      <c r="N268" s="2649"/>
    </row>
    <row r="269" spans="1:14" s="1592" customFormat="1" ht="174" x14ac:dyDescent="0.35">
      <c r="A269" s="1723">
        <v>43896</v>
      </c>
      <c r="B269" s="2456" t="s">
        <v>7220</v>
      </c>
      <c r="C269" s="2456" t="s">
        <v>7221</v>
      </c>
      <c r="D269" s="1738">
        <v>44115</v>
      </c>
      <c r="E269" s="1493" t="s">
        <v>290</v>
      </c>
      <c r="F269" s="1016"/>
      <c r="G269" s="2628"/>
      <c r="H269" s="2628"/>
      <c r="I269" s="1809">
        <v>1384</v>
      </c>
      <c r="J269" s="2575" t="s">
        <v>7222</v>
      </c>
      <c r="K269" s="817"/>
      <c r="L269" s="817" t="s">
        <v>974</v>
      </c>
      <c r="M269" s="839" t="s">
        <v>7223</v>
      </c>
      <c r="N269" s="2649"/>
    </row>
    <row r="270" spans="1:14" s="1592" customFormat="1" ht="362.5" x14ac:dyDescent="0.35">
      <c r="A270" s="2623">
        <v>43876</v>
      </c>
      <c r="B270" s="976" t="s">
        <v>6608</v>
      </c>
      <c r="C270" s="2456" t="s">
        <v>6782</v>
      </c>
      <c r="D270" s="2624">
        <v>44128</v>
      </c>
      <c r="E270" s="2625" t="s">
        <v>6781</v>
      </c>
      <c r="F270" s="1016" t="s">
        <v>15</v>
      </c>
      <c r="G270" s="2629">
        <v>0.72916666666666663</v>
      </c>
      <c r="H270" s="2629">
        <v>0.72916666666666663</v>
      </c>
      <c r="I270" s="1809">
        <v>3514</v>
      </c>
      <c r="J270" s="817" t="s">
        <v>6780</v>
      </c>
      <c r="K270" s="817" t="s">
        <v>15</v>
      </c>
      <c r="L270" s="817" t="s">
        <v>17</v>
      </c>
      <c r="M270" s="839" t="s">
        <v>6450</v>
      </c>
      <c r="N270" s="2649"/>
    </row>
    <row r="271" spans="1:14" s="1592" customFormat="1" ht="290" x14ac:dyDescent="0.35">
      <c r="A271" s="2618">
        <v>43873</v>
      </c>
      <c r="B271" s="2470" t="s">
        <v>6674</v>
      </c>
      <c r="C271" s="2434" t="s">
        <v>7106</v>
      </c>
      <c r="D271" s="2619">
        <v>44364</v>
      </c>
      <c r="E271" s="2472" t="s">
        <v>6676</v>
      </c>
      <c r="F271" s="2620" t="s">
        <v>15</v>
      </c>
      <c r="G271" s="2629">
        <v>0.77083333333333337</v>
      </c>
      <c r="H271" s="2629">
        <v>0.77083333333333337</v>
      </c>
      <c r="I271" s="1809">
        <v>6500</v>
      </c>
      <c r="J271" s="817" t="s">
        <v>6677</v>
      </c>
      <c r="K271" s="817" t="s">
        <v>15</v>
      </c>
      <c r="L271" s="817" t="s">
        <v>17</v>
      </c>
      <c r="M271" s="839" t="s">
        <v>6450</v>
      </c>
      <c r="N271" s="2649"/>
    </row>
    <row r="272" spans="1:14" s="1592" customFormat="1" ht="72.5" x14ac:dyDescent="0.35">
      <c r="A272" s="1723">
        <v>43862</v>
      </c>
      <c r="B272" s="2456" t="s">
        <v>6896</v>
      </c>
      <c r="C272" s="874" t="s">
        <v>6449</v>
      </c>
      <c r="D272" s="1738" t="s">
        <v>15</v>
      </c>
      <c r="E272" s="1015" t="s">
        <v>5367</v>
      </c>
      <c r="F272" s="1016" t="s">
        <v>15</v>
      </c>
      <c r="G272" s="2629">
        <v>0.625</v>
      </c>
      <c r="H272" s="2629">
        <v>0.625</v>
      </c>
      <c r="I272" s="1809">
        <v>0</v>
      </c>
      <c r="J272" s="817" t="s">
        <v>16</v>
      </c>
      <c r="K272" s="817" t="s">
        <v>15</v>
      </c>
      <c r="L272" s="817" t="s">
        <v>17</v>
      </c>
      <c r="M272" s="839" t="s">
        <v>6450</v>
      </c>
      <c r="N272" s="2649"/>
    </row>
    <row r="273" spans="1:14" s="1592" customFormat="1" ht="145" x14ac:dyDescent="0.35">
      <c r="A273" s="1723">
        <v>43873</v>
      </c>
      <c r="B273" s="874" t="s">
        <v>6684</v>
      </c>
      <c r="C273" s="874" t="s">
        <v>6683</v>
      </c>
      <c r="D273" s="1738" t="s">
        <v>15</v>
      </c>
      <c r="E273" s="1015" t="s">
        <v>49</v>
      </c>
      <c r="F273" s="1016" t="s">
        <v>49</v>
      </c>
      <c r="G273" s="2629" t="s">
        <v>49</v>
      </c>
      <c r="H273" s="2629" t="s">
        <v>49</v>
      </c>
      <c r="I273" s="1809">
        <v>0</v>
      </c>
      <c r="J273" s="817" t="s">
        <v>361</v>
      </c>
      <c r="K273" s="817" t="s">
        <v>15</v>
      </c>
      <c r="L273" s="817" t="s">
        <v>17</v>
      </c>
      <c r="M273" s="839" t="s">
        <v>17</v>
      </c>
      <c r="N273" s="2649"/>
    </row>
    <row r="274" spans="1:14" s="1592" customFormat="1" ht="159.5" x14ac:dyDescent="0.35">
      <c r="A274" s="1723">
        <v>43894</v>
      </c>
      <c r="B274" s="874" t="s">
        <v>7174</v>
      </c>
      <c r="C274" s="874" t="s">
        <v>7175</v>
      </c>
      <c r="D274" s="1738" t="s">
        <v>15</v>
      </c>
      <c r="E274" s="1015" t="s">
        <v>7176</v>
      </c>
      <c r="F274" s="1016" t="s">
        <v>15</v>
      </c>
      <c r="G274" s="2629">
        <v>0.66666666666666663</v>
      </c>
      <c r="H274" s="2629">
        <v>0.66666666666666663</v>
      </c>
      <c r="I274" s="1809">
        <v>0</v>
      </c>
      <c r="J274" s="817" t="s">
        <v>15</v>
      </c>
      <c r="K274" s="817" t="s">
        <v>140</v>
      </c>
      <c r="L274" s="817" t="s">
        <v>17</v>
      </c>
      <c r="M274" s="839" t="s">
        <v>6061</v>
      </c>
      <c r="N274" s="2649"/>
    </row>
    <row r="275" spans="1:14" s="1592" customFormat="1" ht="333.5" x14ac:dyDescent="0.35">
      <c r="A275" s="1723">
        <v>43894</v>
      </c>
      <c r="B275" s="874" t="s">
        <v>6366</v>
      </c>
      <c r="C275" s="874" t="s">
        <v>7177</v>
      </c>
      <c r="D275" s="1738" t="s">
        <v>15</v>
      </c>
      <c r="E275" s="1015" t="s">
        <v>7176</v>
      </c>
      <c r="F275" s="1016" t="s">
        <v>15</v>
      </c>
      <c r="G275" s="2629">
        <v>0.39583333333333331</v>
      </c>
      <c r="H275" s="2629">
        <v>0.39583333333333331</v>
      </c>
      <c r="I275" s="1809">
        <v>0</v>
      </c>
      <c r="J275" s="817" t="s">
        <v>15</v>
      </c>
      <c r="K275" s="817" t="s">
        <v>140</v>
      </c>
      <c r="L275" s="817" t="s">
        <v>17</v>
      </c>
      <c r="M275" s="839" t="s">
        <v>6061</v>
      </c>
      <c r="N275" s="2649"/>
    </row>
    <row r="276" spans="1:14" s="1592" customFormat="1" ht="348" x14ac:dyDescent="0.35">
      <c r="A276" s="1723">
        <v>43894</v>
      </c>
      <c r="B276" s="874" t="s">
        <v>6366</v>
      </c>
      <c r="C276" s="874" t="s">
        <v>7178</v>
      </c>
      <c r="D276" s="1738" t="s">
        <v>15</v>
      </c>
      <c r="E276" s="1015" t="s">
        <v>7176</v>
      </c>
      <c r="F276" s="1016" t="s">
        <v>15</v>
      </c>
      <c r="G276" s="2629">
        <v>0.39583333333333331</v>
      </c>
      <c r="H276" s="2629">
        <v>0.39583333333333331</v>
      </c>
      <c r="I276" s="1809">
        <v>0</v>
      </c>
      <c r="J276" s="817" t="s">
        <v>15</v>
      </c>
      <c r="K276" s="817" t="s">
        <v>140</v>
      </c>
      <c r="L276" s="817" t="s">
        <v>17</v>
      </c>
      <c r="M276" s="839" t="s">
        <v>6061</v>
      </c>
      <c r="N276" s="2649"/>
    </row>
    <row r="277" spans="1:14" s="1592" customFormat="1" ht="348" x14ac:dyDescent="0.35">
      <c r="A277" s="1723">
        <v>43894</v>
      </c>
      <c r="B277" s="874" t="s">
        <v>6366</v>
      </c>
      <c r="C277" s="874" t="s">
        <v>7178</v>
      </c>
      <c r="D277" s="1738" t="s">
        <v>15</v>
      </c>
      <c r="E277" s="1015" t="s">
        <v>7176</v>
      </c>
      <c r="F277" s="1016" t="s">
        <v>15</v>
      </c>
      <c r="G277" s="2629">
        <v>0.39583333333333331</v>
      </c>
      <c r="H277" s="2629">
        <v>0.39583333333333331</v>
      </c>
      <c r="I277" s="1809">
        <v>0</v>
      </c>
      <c r="J277" s="817" t="s">
        <v>15</v>
      </c>
      <c r="K277" s="817" t="s">
        <v>140</v>
      </c>
      <c r="L277" s="817" t="s">
        <v>17</v>
      </c>
      <c r="M277" s="839" t="s">
        <v>6061</v>
      </c>
      <c r="N277" s="2649"/>
    </row>
    <row r="278" spans="1:14" s="1592" customFormat="1" ht="29" x14ac:dyDescent="0.35">
      <c r="A278" s="2621">
        <v>43900</v>
      </c>
      <c r="B278" s="826" t="s">
        <v>20</v>
      </c>
      <c r="C278" s="826" t="s">
        <v>7287</v>
      </c>
      <c r="D278" s="2622" t="s">
        <v>15</v>
      </c>
      <c r="E278" s="872" t="s">
        <v>20</v>
      </c>
      <c r="F278" s="865" t="s">
        <v>15</v>
      </c>
      <c r="G278" s="6" t="s">
        <v>15</v>
      </c>
      <c r="H278" s="6" t="s">
        <v>15</v>
      </c>
      <c r="I278" s="1809">
        <v>0</v>
      </c>
      <c r="J278" s="6" t="s">
        <v>15</v>
      </c>
      <c r="K278" s="6" t="s">
        <v>15</v>
      </c>
      <c r="L278" s="817" t="s">
        <v>17</v>
      </c>
      <c r="M278" s="839" t="s">
        <v>20</v>
      </c>
      <c r="N278" s="2649"/>
    </row>
    <row r="279" spans="1:14" ht="101.5" x14ac:dyDescent="0.35">
      <c r="A279" s="2615">
        <v>43900</v>
      </c>
      <c r="B279" s="819" t="s">
        <v>7284</v>
      </c>
      <c r="C279" s="819" t="s">
        <v>7286</v>
      </c>
      <c r="D279" s="2616" t="s">
        <v>15</v>
      </c>
      <c r="E279" s="867" t="s">
        <v>2960</v>
      </c>
      <c r="F279" s="865" t="s">
        <v>15</v>
      </c>
      <c r="G279" s="1016">
        <v>0.72916666666666663</v>
      </c>
      <c r="H279" s="1016">
        <v>0.72916666666666663</v>
      </c>
      <c r="I279" s="1643">
        <v>360</v>
      </c>
      <c r="J279" s="874" t="s">
        <v>7285</v>
      </c>
      <c r="K279" s="874" t="s">
        <v>15</v>
      </c>
      <c r="L279" s="874" t="s">
        <v>17</v>
      </c>
      <c r="M279" s="875" t="s">
        <v>2960</v>
      </c>
      <c r="N279" s="2651"/>
    </row>
    <row r="287" spans="1:14" x14ac:dyDescent="0.35">
      <c r="M287" s="1">
        <f>15*4</f>
        <v>60</v>
      </c>
    </row>
    <row r="288" spans="1:14" ht="15" thickBot="1" x14ac:dyDescent="0.4">
      <c r="B288" s="2477" t="s">
        <v>2108</v>
      </c>
      <c r="C288" s="2478" t="s">
        <v>6699</v>
      </c>
      <c r="D288" s="2429"/>
      <c r="E288" s="2438" t="s">
        <v>6698</v>
      </c>
      <c r="F288" s="2581">
        <f ca="1">SUM(C289:C319)</f>
        <v>12410.906770833337</v>
      </c>
      <c r="M288" s="1">
        <f>4*15*2.6</f>
        <v>156</v>
      </c>
    </row>
    <row r="289" spans="2:9" x14ac:dyDescent="0.35">
      <c r="B289" s="2577">
        <v>43891</v>
      </c>
      <c r="C289" s="2578">
        <f t="shared" ref="C289:C319" ca="1" si="0">IF(B289&lt;=TODAY(),SUMIF($A$2:$A$498,B289,$I$2:$I$498)/4.8,"")</f>
        <v>149.79166666666669</v>
      </c>
      <c r="D289" s="2429"/>
      <c r="E289" s="2438"/>
      <c r="F289" s="2438"/>
    </row>
    <row r="290" spans="2:9" x14ac:dyDescent="0.35">
      <c r="B290" s="2579">
        <v>43892</v>
      </c>
      <c r="C290" s="2578">
        <f t="shared" ca="1" si="0"/>
        <v>974.04583333333335</v>
      </c>
      <c r="D290" s="2429"/>
      <c r="E290" s="2438" t="s">
        <v>6700</v>
      </c>
      <c r="F290" s="2581">
        <f ca="1">F288/(DATEDIF(B289,TODAY(),"d")+1)</f>
        <v>27.952492727102111</v>
      </c>
    </row>
    <row r="291" spans="2:9" x14ac:dyDescent="0.35">
      <c r="B291" s="2580">
        <v>43893</v>
      </c>
      <c r="C291" s="2578">
        <f t="shared" ca="1" si="0"/>
        <v>993.125</v>
      </c>
      <c r="D291" s="2438"/>
      <c r="E291" s="2438"/>
    </row>
    <row r="292" spans="2:9" x14ac:dyDescent="0.35">
      <c r="B292" s="2580">
        <v>43894</v>
      </c>
      <c r="C292" s="2578">
        <f t="shared" ca="1" si="0"/>
        <v>273.75</v>
      </c>
      <c r="D292" s="2438"/>
      <c r="E292" s="2438"/>
    </row>
    <row r="293" spans="2:9" x14ac:dyDescent="0.35">
      <c r="B293" s="2580">
        <v>43895</v>
      </c>
      <c r="C293" s="2578">
        <f t="shared" ca="1" si="0"/>
        <v>1613.9583333333335</v>
      </c>
      <c r="D293" s="2438"/>
      <c r="E293" s="2438"/>
    </row>
    <row r="294" spans="2:9" x14ac:dyDescent="0.35">
      <c r="B294" s="2580">
        <v>43896</v>
      </c>
      <c r="C294" s="2578">
        <f t="shared" ca="1" si="0"/>
        <v>1258.9583333333335</v>
      </c>
    </row>
    <row r="295" spans="2:9" x14ac:dyDescent="0.35">
      <c r="B295" s="2580">
        <v>43897</v>
      </c>
      <c r="C295" s="2578">
        <f t="shared" ca="1" si="0"/>
        <v>50.625</v>
      </c>
    </row>
    <row r="296" spans="2:9" x14ac:dyDescent="0.35">
      <c r="B296" s="2580">
        <v>43898</v>
      </c>
      <c r="C296" s="2578">
        <f t="shared" ca="1" si="0"/>
        <v>651.67343749999998</v>
      </c>
    </row>
    <row r="297" spans="2:9" x14ac:dyDescent="0.35">
      <c r="B297" s="2580">
        <v>43899</v>
      </c>
      <c r="C297" s="2578">
        <f t="shared" ca="1" si="0"/>
        <v>545.52083333333337</v>
      </c>
      <c r="D297" s="2440"/>
      <c r="E297" s="2440"/>
    </row>
    <row r="298" spans="2:9" x14ac:dyDescent="0.35">
      <c r="B298" s="2580">
        <v>43900</v>
      </c>
      <c r="C298" s="2578">
        <f t="shared" ca="1" si="0"/>
        <v>1160.625</v>
      </c>
      <c r="D298" s="2440"/>
      <c r="E298" s="2440"/>
    </row>
    <row r="299" spans="2:9" x14ac:dyDescent="0.35">
      <c r="B299" s="2580">
        <v>43901</v>
      </c>
      <c r="C299" s="2578">
        <f t="shared" ca="1" si="0"/>
        <v>58.333333333333336</v>
      </c>
      <c r="D299" s="2440"/>
      <c r="E299" s="2440"/>
    </row>
    <row r="300" spans="2:9" x14ac:dyDescent="0.35">
      <c r="B300" s="2580">
        <v>43902</v>
      </c>
      <c r="C300" s="2578">
        <f t="shared" ca="1" si="0"/>
        <v>50</v>
      </c>
      <c r="D300" s="2440"/>
      <c r="E300" s="2440"/>
    </row>
    <row r="301" spans="2:9" x14ac:dyDescent="0.35">
      <c r="B301" s="2580">
        <v>43903</v>
      </c>
      <c r="C301" s="2578">
        <f t="shared" ca="1" si="0"/>
        <v>50</v>
      </c>
      <c r="D301" s="2440"/>
      <c r="E301" s="2440"/>
    </row>
    <row r="302" spans="2:9" x14ac:dyDescent="0.35">
      <c r="B302" s="2580">
        <v>43904</v>
      </c>
      <c r="C302" s="2578">
        <f t="shared" ca="1" si="0"/>
        <v>1162.8333333333335</v>
      </c>
      <c r="D302" s="2440"/>
      <c r="E302" s="2440"/>
      <c r="I302" s="1809">
        <v>160</v>
      </c>
    </row>
    <row r="303" spans="2:9" x14ac:dyDescent="0.35">
      <c r="B303" s="2580">
        <v>43905</v>
      </c>
      <c r="C303" s="2578">
        <f t="shared" ca="1" si="0"/>
        <v>0</v>
      </c>
      <c r="D303" s="2501"/>
      <c r="E303" s="2440"/>
      <c r="I303" s="1809">
        <v>240</v>
      </c>
    </row>
    <row r="304" spans="2:9" x14ac:dyDescent="0.35">
      <c r="B304" s="2580">
        <v>43906</v>
      </c>
      <c r="C304" s="2578">
        <f t="shared" ca="1" si="0"/>
        <v>55.208333333333336</v>
      </c>
      <c r="D304" s="2501"/>
      <c r="E304" s="2440"/>
      <c r="I304" s="1809">
        <v>240</v>
      </c>
    </row>
    <row r="305" spans="2:9" x14ac:dyDescent="0.35">
      <c r="B305" s="2580">
        <v>43907</v>
      </c>
      <c r="C305" s="2578">
        <f t="shared" ca="1" si="0"/>
        <v>194.27083333333334</v>
      </c>
      <c r="D305" s="2501"/>
      <c r="E305" s="2440"/>
      <c r="I305" s="1809">
        <v>120</v>
      </c>
    </row>
    <row r="306" spans="2:9" x14ac:dyDescent="0.35">
      <c r="B306" s="2580">
        <v>43908</v>
      </c>
      <c r="C306" s="2578">
        <f t="shared" ca="1" si="0"/>
        <v>78.125</v>
      </c>
      <c r="D306" s="2501"/>
      <c r="E306" s="2440"/>
      <c r="I306" s="1956">
        <v>180</v>
      </c>
    </row>
    <row r="307" spans="2:9" x14ac:dyDescent="0.35">
      <c r="B307" s="2580">
        <v>43909</v>
      </c>
      <c r="C307" s="2578">
        <f t="shared" ca="1" si="0"/>
        <v>93.854166666666671</v>
      </c>
      <c r="D307" s="2501"/>
      <c r="E307" s="2440"/>
      <c r="I307" s="1809">
        <v>0</v>
      </c>
    </row>
    <row r="308" spans="2:9" x14ac:dyDescent="0.35">
      <c r="B308" s="2580">
        <v>43910</v>
      </c>
      <c r="C308" s="2578">
        <f t="shared" ca="1" si="0"/>
        <v>80.625</v>
      </c>
      <c r="D308" s="2501"/>
      <c r="E308" s="2440"/>
      <c r="I308" s="1809">
        <v>0</v>
      </c>
    </row>
    <row r="309" spans="2:9" x14ac:dyDescent="0.35">
      <c r="B309" s="2580">
        <v>43911</v>
      </c>
      <c r="C309" s="2578">
        <f t="shared" ca="1" si="0"/>
        <v>0</v>
      </c>
      <c r="D309" s="2501"/>
      <c r="E309" s="2440"/>
      <c r="I309" s="1809">
        <v>420</v>
      </c>
    </row>
    <row r="310" spans="2:9" x14ac:dyDescent="0.35">
      <c r="B310" s="2580">
        <v>43912</v>
      </c>
      <c r="C310" s="2578">
        <f t="shared" ca="1" si="0"/>
        <v>115.20833333333334</v>
      </c>
      <c r="D310" s="2501"/>
      <c r="E310" s="2440"/>
    </row>
    <row r="311" spans="2:9" x14ac:dyDescent="0.35">
      <c r="B311" s="2580">
        <v>43913</v>
      </c>
      <c r="C311" s="2578">
        <f t="shared" ca="1" si="0"/>
        <v>80.208333333333343</v>
      </c>
      <c r="D311" s="2440"/>
      <c r="E311" s="2440"/>
    </row>
    <row r="312" spans="2:9" x14ac:dyDescent="0.35">
      <c r="B312" s="2580">
        <v>43914</v>
      </c>
      <c r="C312" s="2578">
        <f t="shared" ca="1" si="0"/>
        <v>125.83333333333334</v>
      </c>
      <c r="D312" s="2440"/>
      <c r="E312" s="2440"/>
    </row>
    <row r="313" spans="2:9" x14ac:dyDescent="0.35">
      <c r="B313" s="2580">
        <v>43915</v>
      </c>
      <c r="C313" s="2578">
        <f t="shared" ca="1" si="0"/>
        <v>160.83333333333334</v>
      </c>
      <c r="D313" s="2440"/>
      <c r="E313" s="2438"/>
    </row>
    <row r="314" spans="2:9" x14ac:dyDescent="0.35">
      <c r="B314" s="2580">
        <v>43916</v>
      </c>
      <c r="C314" s="2578">
        <f t="shared" ca="1" si="0"/>
        <v>492.91666666666669</v>
      </c>
      <c r="D314" s="2501"/>
      <c r="E314" s="2438"/>
    </row>
    <row r="315" spans="2:9" x14ac:dyDescent="0.35">
      <c r="B315" s="2580">
        <v>43917</v>
      </c>
      <c r="C315" s="2578">
        <f t="shared" ca="1" si="0"/>
        <v>269.79166666666669</v>
      </c>
      <c r="D315" s="2501"/>
      <c r="E315" s="2438"/>
    </row>
    <row r="316" spans="2:9" x14ac:dyDescent="0.35">
      <c r="B316" s="2580">
        <v>43918</v>
      </c>
      <c r="C316" s="2578">
        <f t="shared" ca="1" si="0"/>
        <v>381.04166666666669</v>
      </c>
      <c r="D316" s="2501"/>
      <c r="E316" s="2440"/>
    </row>
    <row r="317" spans="2:9" x14ac:dyDescent="0.35">
      <c r="B317" s="2580">
        <v>43919</v>
      </c>
      <c r="C317" s="2466">
        <f t="shared" ca="1" si="0"/>
        <v>152.08333333333334</v>
      </c>
      <c r="D317" s="2442"/>
      <c r="E317" s="2441"/>
    </row>
    <row r="318" spans="2:9" x14ac:dyDescent="0.35">
      <c r="B318" s="2603">
        <v>43920</v>
      </c>
      <c r="C318" s="2604">
        <f t="shared" ca="1" si="0"/>
        <v>508.33333333333337</v>
      </c>
    </row>
    <row r="319" spans="2:9" x14ac:dyDescent="0.35">
      <c r="B319" s="2464">
        <v>43921</v>
      </c>
      <c r="C319" s="2605">
        <f t="shared" ca="1" si="0"/>
        <v>629.33333333333337</v>
      </c>
    </row>
    <row r="320" spans="2:9" x14ac:dyDescent="0.35">
      <c r="I320" s="1843">
        <f>SUM(I302:I307)-180</f>
        <v>760</v>
      </c>
    </row>
  </sheetData>
  <phoneticPr fontId="150" type="noConversion"/>
  <printOptions horizontalCentered="1" verticalCentered="1"/>
  <pageMargins left="0" right="0" top="0" bottom="0" header="0" footer="0"/>
  <pageSetup paperSize="9" scale="10" orientation="landscape"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R583"/>
  <sheetViews>
    <sheetView topLeftCell="A94" zoomScale="55" zoomScaleNormal="55" workbookViewId="0">
      <selection activeCell="E97" sqref="E97"/>
    </sheetView>
  </sheetViews>
  <sheetFormatPr defaultColWidth="8.90625" defaultRowHeight="14.5" x14ac:dyDescent="0.35"/>
  <cols>
    <col min="1" max="1" width="14.453125" style="2429" customWidth="1"/>
    <col min="2" max="2" width="16.90625" style="2429" customWidth="1"/>
    <col min="3" max="3" width="31.90625" style="2429" customWidth="1"/>
    <col min="4" max="4" width="12.90625" style="2429" customWidth="1"/>
    <col min="5" max="5" width="14.90625" style="2429" customWidth="1"/>
    <col min="6" max="6" width="8.90625" style="2429" customWidth="1"/>
    <col min="7" max="7" width="12.08984375" style="2429" customWidth="1"/>
    <col min="8" max="8" width="14.54296875" style="2429" customWidth="1"/>
    <col min="9" max="9" width="15.90625" style="2429" customWidth="1"/>
    <col min="10" max="10" width="15.08984375" style="2429" customWidth="1"/>
    <col min="11" max="11" width="8.90625" style="2429"/>
    <col min="12" max="12" width="18.453125" style="2429" customWidth="1"/>
    <col min="13" max="13" width="10.453125" style="2429" customWidth="1"/>
    <col min="14" max="14" width="6.54296875" style="2429" customWidth="1"/>
    <col min="15" max="15" width="9.08984375" style="2429" customWidth="1"/>
    <col min="16" max="16" width="10.90625" style="2429" customWidth="1"/>
    <col min="17" max="16384" width="8.90625" style="2429"/>
  </cols>
  <sheetData>
    <row r="1" spans="1:15" x14ac:dyDescent="0.35">
      <c r="A1" s="2419" t="s">
        <v>6818</v>
      </c>
      <c r="B1" s="2420" t="s">
        <v>1</v>
      </c>
      <c r="C1" s="2420" t="s">
        <v>2</v>
      </c>
      <c r="D1" s="2420" t="s">
        <v>3</v>
      </c>
      <c r="E1" s="2420" t="s">
        <v>2081</v>
      </c>
      <c r="F1" s="2443" t="s">
        <v>5</v>
      </c>
      <c r="G1" s="2443" t="s">
        <v>6</v>
      </c>
      <c r="H1" s="2443" t="s">
        <v>7</v>
      </c>
      <c r="I1" s="2443" t="s">
        <v>8</v>
      </c>
      <c r="J1" s="2420" t="s">
        <v>9</v>
      </c>
      <c r="K1" s="2420" t="s">
        <v>10</v>
      </c>
      <c r="L1" s="2420" t="s">
        <v>11</v>
      </c>
      <c r="M1" s="2421" t="s">
        <v>6064</v>
      </c>
      <c r="O1" s="2576">
        <f>SUM(I5:I221)/4.8</f>
        <v>12823.279513888889</v>
      </c>
    </row>
    <row r="2" spans="1:15" s="2399" customFormat="1" ht="246.5" x14ac:dyDescent="0.35">
      <c r="A2" s="1453">
        <v>43843</v>
      </c>
      <c r="B2" s="5" t="s">
        <v>6153</v>
      </c>
      <c r="C2" s="5" t="s">
        <v>6288</v>
      </c>
      <c r="D2" s="908">
        <v>43862</v>
      </c>
      <c r="E2" s="1571" t="s">
        <v>6161</v>
      </c>
      <c r="F2" s="2391">
        <v>0.64583333333333337</v>
      </c>
      <c r="G2" s="2391">
        <v>0.72916666666666663</v>
      </c>
      <c r="H2" s="2391">
        <v>0.72916666666666663</v>
      </c>
      <c r="I2" s="2389">
        <v>800</v>
      </c>
      <c r="J2" s="2062" t="s">
        <v>6154</v>
      </c>
      <c r="K2" s="5" t="s">
        <v>119</v>
      </c>
      <c r="L2" s="5" t="s">
        <v>17</v>
      </c>
      <c r="M2" s="807" t="s">
        <v>6045</v>
      </c>
      <c r="O2" s="2436"/>
    </row>
    <row r="3" spans="1:15" s="2399" customFormat="1" ht="87" x14ac:dyDescent="0.35">
      <c r="A3" s="1453">
        <v>43853</v>
      </c>
      <c r="B3" s="5" t="s">
        <v>6304</v>
      </c>
      <c r="C3" s="5" t="s">
        <v>6305</v>
      </c>
      <c r="D3" s="908">
        <v>43862</v>
      </c>
      <c r="E3" s="824" t="s">
        <v>6306</v>
      </c>
      <c r="F3" s="2391">
        <v>0.64583333333333337</v>
      </c>
      <c r="G3" s="2391">
        <v>0.66666666666666663</v>
      </c>
      <c r="H3" s="2391">
        <v>0.66666666666666663</v>
      </c>
      <c r="I3" s="2390">
        <v>270</v>
      </c>
      <c r="J3" s="5" t="s">
        <v>6437</v>
      </c>
      <c r="K3" s="5" t="s">
        <v>119</v>
      </c>
      <c r="L3" s="5" t="s">
        <v>17</v>
      </c>
      <c r="M3" s="807" t="s">
        <v>6053</v>
      </c>
      <c r="O3" s="2436"/>
    </row>
    <row r="4" spans="1:15" s="2399" customFormat="1" ht="217.5" x14ac:dyDescent="0.35">
      <c r="A4" s="852">
        <v>43853</v>
      </c>
      <c r="B4" s="817" t="s">
        <v>6317</v>
      </c>
      <c r="C4" s="817" t="s">
        <v>6413</v>
      </c>
      <c r="D4" s="1223">
        <v>43862</v>
      </c>
      <c r="E4" s="1571" t="s">
        <v>6440</v>
      </c>
      <c r="F4" s="2386">
        <v>0.64583333333333337</v>
      </c>
      <c r="G4" s="2386">
        <v>0.69791666666666663</v>
      </c>
      <c r="H4" s="2386">
        <v>0.69791666666666663</v>
      </c>
      <c r="I4" s="2387">
        <v>2068</v>
      </c>
      <c r="J4" s="2062" t="s">
        <v>6318</v>
      </c>
      <c r="K4" s="817" t="s">
        <v>119</v>
      </c>
      <c r="L4" s="817" t="s">
        <v>22</v>
      </c>
      <c r="M4" s="839" t="s">
        <v>6045</v>
      </c>
      <c r="O4" s="2436"/>
    </row>
    <row r="5" spans="1:15" s="2399" customFormat="1" ht="188.5" x14ac:dyDescent="0.35">
      <c r="A5" s="2422">
        <v>43854</v>
      </c>
      <c r="B5" s="1412" t="s">
        <v>6312</v>
      </c>
      <c r="C5" s="10" t="s">
        <v>6315</v>
      </c>
      <c r="D5" s="8">
        <v>43862</v>
      </c>
      <c r="E5" s="823" t="s">
        <v>6436</v>
      </c>
      <c r="F5" s="2388">
        <v>0.3888888888888889</v>
      </c>
      <c r="G5" s="2388">
        <v>0.45833333333333331</v>
      </c>
      <c r="H5" s="2388">
        <v>0.45833333333333331</v>
      </c>
      <c r="I5" s="2390">
        <f>5*120 + 80</f>
        <v>680</v>
      </c>
      <c r="J5" s="5" t="s">
        <v>6314</v>
      </c>
      <c r="K5" s="5" t="s">
        <v>119</v>
      </c>
      <c r="L5" s="5" t="s">
        <v>17</v>
      </c>
      <c r="M5" s="807" t="s">
        <v>5367</v>
      </c>
    </row>
    <row r="6" spans="1:15" s="2399" customFormat="1" ht="58" x14ac:dyDescent="0.35">
      <c r="A6" s="852">
        <v>43856</v>
      </c>
      <c r="B6" s="817" t="s">
        <v>6307</v>
      </c>
      <c r="C6" s="817" t="s">
        <v>6337</v>
      </c>
      <c r="D6" s="1223">
        <v>43862</v>
      </c>
      <c r="E6" s="1149" t="s">
        <v>6336</v>
      </c>
      <c r="F6" s="2386">
        <v>0.3888888888888889</v>
      </c>
      <c r="G6" s="2386">
        <v>0.60416666666666663</v>
      </c>
      <c r="H6" s="2386">
        <v>0.60416666666666663</v>
      </c>
      <c r="I6" s="2437">
        <f>3.5*120*0.7</f>
        <v>294</v>
      </c>
      <c r="J6" s="817" t="s">
        <v>6338</v>
      </c>
      <c r="K6" s="817" t="s">
        <v>119</v>
      </c>
      <c r="L6" s="817" t="s">
        <v>17</v>
      </c>
      <c r="M6" s="839" t="s">
        <v>20</v>
      </c>
    </row>
    <row r="7" spans="1:15" s="2399" customFormat="1" ht="58" x14ac:dyDescent="0.35">
      <c r="A7" s="852">
        <v>43857</v>
      </c>
      <c r="B7" s="817" t="s">
        <v>6361</v>
      </c>
      <c r="C7" s="817" t="s">
        <v>6369</v>
      </c>
      <c r="D7" s="1223">
        <v>43862</v>
      </c>
      <c r="E7" s="1149" t="s">
        <v>5494</v>
      </c>
      <c r="F7" s="2386">
        <v>0.45833333333333331</v>
      </c>
      <c r="G7" s="2386">
        <v>0.45833333333333331</v>
      </c>
      <c r="H7" s="2386">
        <v>0.45833333333333331</v>
      </c>
      <c r="I7" s="2437">
        <f>1.8*80</f>
        <v>144</v>
      </c>
      <c r="J7" s="817" t="s">
        <v>6360</v>
      </c>
      <c r="K7" s="817" t="s">
        <v>15</v>
      </c>
      <c r="L7" s="817" t="s">
        <v>17</v>
      </c>
      <c r="M7" s="839" t="s">
        <v>5367</v>
      </c>
    </row>
    <row r="8" spans="1:15" s="2432" customFormat="1" ht="362.5" x14ac:dyDescent="0.35">
      <c r="A8" s="852">
        <v>43858</v>
      </c>
      <c r="B8" s="817" t="s">
        <v>6366</v>
      </c>
      <c r="C8" s="5" t="s">
        <v>6409</v>
      </c>
      <c r="D8" s="908">
        <v>43862</v>
      </c>
      <c r="E8" s="824" t="s">
        <v>6366</v>
      </c>
      <c r="F8" s="2391">
        <v>0.32291666666666669</v>
      </c>
      <c r="G8" s="2391">
        <v>0.375</v>
      </c>
      <c r="H8" s="2391">
        <v>0.375</v>
      </c>
      <c r="I8" s="2389">
        <v>0</v>
      </c>
      <c r="J8" s="5" t="s">
        <v>15</v>
      </c>
      <c r="K8" s="5" t="s">
        <v>17</v>
      </c>
      <c r="L8" s="5" t="s">
        <v>17</v>
      </c>
      <c r="M8" s="807" t="s">
        <v>289</v>
      </c>
    </row>
    <row r="9" spans="1:15" s="2432" customFormat="1" ht="87" x14ac:dyDescent="0.35">
      <c r="A9" s="852">
        <v>43859</v>
      </c>
      <c r="B9" s="817" t="s">
        <v>131</v>
      </c>
      <c r="C9" s="817" t="s">
        <v>6478</v>
      </c>
      <c r="D9" s="1223">
        <v>43862</v>
      </c>
      <c r="E9" s="1149" t="s">
        <v>1731</v>
      </c>
      <c r="F9" s="2386">
        <v>0.3888888888888889</v>
      </c>
      <c r="G9" s="2386">
        <v>0.41666666666666669</v>
      </c>
      <c r="H9" s="2386">
        <v>0.41666666666666669</v>
      </c>
      <c r="I9" s="2387">
        <f>1.5*4.8*150</f>
        <v>1080</v>
      </c>
      <c r="J9" s="2062" t="s">
        <v>5376</v>
      </c>
      <c r="K9" s="817" t="s">
        <v>119</v>
      </c>
      <c r="L9" s="817" t="s">
        <v>17</v>
      </c>
      <c r="M9" s="839" t="s">
        <v>2077</v>
      </c>
    </row>
    <row r="10" spans="1:15" s="2399" customFormat="1" ht="159.5" x14ac:dyDescent="0.35">
      <c r="A10" s="852">
        <v>43859</v>
      </c>
      <c r="B10" s="817" t="s">
        <v>5280</v>
      </c>
      <c r="C10" s="817" t="s">
        <v>6433</v>
      </c>
      <c r="D10" s="1223">
        <v>43862</v>
      </c>
      <c r="E10" s="1149" t="s">
        <v>6428</v>
      </c>
      <c r="F10" s="2386">
        <v>0.3888888888888889</v>
      </c>
      <c r="G10" s="2386">
        <v>0.5</v>
      </c>
      <c r="H10" s="2386">
        <v>0.5</v>
      </c>
      <c r="I10" s="2390">
        <v>360</v>
      </c>
      <c r="J10" s="817" t="s">
        <v>6368</v>
      </c>
      <c r="K10" s="817" t="s">
        <v>119</v>
      </c>
      <c r="L10" s="817" t="s">
        <v>974</v>
      </c>
      <c r="M10" s="839" t="s">
        <v>4468</v>
      </c>
      <c r="N10" s="2432"/>
    </row>
    <row r="11" spans="1:15" s="2399" customFormat="1" ht="159.5" x14ac:dyDescent="0.35">
      <c r="A11" s="852">
        <v>43859</v>
      </c>
      <c r="B11" s="817" t="s">
        <v>6390</v>
      </c>
      <c r="C11" s="5" t="s">
        <v>6439</v>
      </c>
      <c r="D11" s="908">
        <v>43862</v>
      </c>
      <c r="E11" s="824" t="s">
        <v>6438</v>
      </c>
      <c r="F11" s="2391">
        <v>0.3888888888888889</v>
      </c>
      <c r="G11" s="2391">
        <v>0.54166666666666663</v>
      </c>
      <c r="H11" s="2391">
        <v>0.54166666666666663</v>
      </c>
      <c r="I11" s="2390">
        <v>400</v>
      </c>
      <c r="J11" s="2062" t="s">
        <v>6392</v>
      </c>
      <c r="K11" s="5" t="s">
        <v>119</v>
      </c>
      <c r="L11" s="5" t="s">
        <v>17</v>
      </c>
      <c r="M11" s="807" t="s">
        <v>6391</v>
      </c>
    </row>
    <row r="12" spans="1:15" s="2399" customFormat="1" ht="101.5" x14ac:dyDescent="0.35">
      <c r="A12" s="852">
        <v>43857</v>
      </c>
      <c r="B12" s="817" t="s">
        <v>6347</v>
      </c>
      <c r="C12" s="817" t="s">
        <v>6348</v>
      </c>
      <c r="D12" s="1223">
        <v>43863</v>
      </c>
      <c r="E12" s="1149" t="s">
        <v>5494</v>
      </c>
      <c r="F12" s="2386">
        <v>0.375</v>
      </c>
      <c r="G12" s="2386">
        <v>0.375</v>
      </c>
      <c r="H12" s="2386">
        <v>0.375</v>
      </c>
      <c r="I12" s="2437">
        <v>30</v>
      </c>
      <c r="J12" s="817" t="s">
        <v>257</v>
      </c>
      <c r="K12" s="817" t="s">
        <v>15</v>
      </c>
      <c r="L12" s="817" t="s">
        <v>17</v>
      </c>
      <c r="M12" s="839" t="s">
        <v>6045</v>
      </c>
    </row>
    <row r="13" spans="1:15" s="2399" customFormat="1" ht="362.5" x14ac:dyDescent="0.35">
      <c r="A13" s="852">
        <v>43858</v>
      </c>
      <c r="B13" s="817" t="s">
        <v>6366</v>
      </c>
      <c r="C13" s="5" t="s">
        <v>6409</v>
      </c>
      <c r="D13" s="908">
        <v>43863</v>
      </c>
      <c r="E13" s="824" t="s">
        <v>6366</v>
      </c>
      <c r="F13" s="2391">
        <v>0.3611111111111111</v>
      </c>
      <c r="G13" s="2391">
        <v>0.39583333333333331</v>
      </c>
      <c r="H13" s="2391">
        <v>0.39583333333333331</v>
      </c>
      <c r="I13" s="2389">
        <v>0</v>
      </c>
      <c r="J13" s="5" t="s">
        <v>15</v>
      </c>
      <c r="K13" s="5" t="s">
        <v>119</v>
      </c>
      <c r="L13" s="5" t="s">
        <v>17</v>
      </c>
      <c r="M13" s="807" t="s">
        <v>289</v>
      </c>
    </row>
    <row r="14" spans="1:15" s="2399" customFormat="1" ht="72.5" x14ac:dyDescent="0.35">
      <c r="A14" s="852">
        <v>43860</v>
      </c>
      <c r="B14" s="817" t="s">
        <v>6419</v>
      </c>
      <c r="C14" s="5" t="s">
        <v>6420</v>
      </c>
      <c r="D14" s="908">
        <v>43863</v>
      </c>
      <c r="E14" s="824" t="s">
        <v>5494</v>
      </c>
      <c r="F14" s="2391">
        <v>0.5</v>
      </c>
      <c r="G14" s="2391">
        <v>0.5</v>
      </c>
      <c r="H14" s="2391">
        <v>0.5</v>
      </c>
      <c r="I14" s="2390">
        <v>259</v>
      </c>
      <c r="J14" s="5" t="s">
        <v>6421</v>
      </c>
      <c r="K14" s="5" t="s">
        <v>15</v>
      </c>
      <c r="L14" s="5" t="s">
        <v>17</v>
      </c>
      <c r="M14" s="807" t="s">
        <v>5367</v>
      </c>
    </row>
    <row r="15" spans="1:15" s="2399" customFormat="1" ht="87" x14ac:dyDescent="0.35">
      <c r="A15" s="2423">
        <v>43860</v>
      </c>
      <c r="B15" s="2424" t="s">
        <v>6414</v>
      </c>
      <c r="C15" s="2425" t="s">
        <v>6415</v>
      </c>
      <c r="D15" s="2392">
        <v>43863</v>
      </c>
      <c r="E15" s="2426" t="s">
        <v>5494</v>
      </c>
      <c r="F15" s="2386">
        <v>0.5</v>
      </c>
      <c r="G15" s="2386">
        <v>0.5</v>
      </c>
      <c r="H15" s="2386">
        <v>0.5</v>
      </c>
      <c r="I15" s="2390">
        <v>455</v>
      </c>
      <c r="J15" s="817" t="s">
        <v>6416</v>
      </c>
      <c r="K15" s="817" t="s">
        <v>15</v>
      </c>
      <c r="L15" s="817" t="s">
        <v>17</v>
      </c>
      <c r="M15" s="839" t="s">
        <v>6041</v>
      </c>
    </row>
    <row r="16" spans="1:15" s="2399" customFormat="1" ht="58" x14ac:dyDescent="0.35">
      <c r="A16" s="852">
        <v>43862</v>
      </c>
      <c r="B16" s="817" t="s">
        <v>6441</v>
      </c>
      <c r="C16" s="817" t="s">
        <v>6442</v>
      </c>
      <c r="D16" s="1223">
        <v>43863</v>
      </c>
      <c r="E16" s="1149" t="s">
        <v>6443</v>
      </c>
      <c r="F16" s="2386">
        <v>0.3611111111111111</v>
      </c>
      <c r="G16" s="2386">
        <v>0.375</v>
      </c>
      <c r="H16" s="2386">
        <v>0.375</v>
      </c>
      <c r="I16" s="2437">
        <v>240</v>
      </c>
      <c r="J16" s="817" t="s">
        <v>257</v>
      </c>
      <c r="K16" s="817" t="s">
        <v>119</v>
      </c>
      <c r="L16" s="817" t="s">
        <v>17</v>
      </c>
      <c r="M16" s="839" t="s">
        <v>6041</v>
      </c>
    </row>
    <row r="17" spans="1:18" s="2399" customFormat="1" ht="43.5" x14ac:dyDescent="0.35">
      <c r="A17" s="852">
        <v>43862</v>
      </c>
      <c r="B17" s="817" t="s">
        <v>6445</v>
      </c>
      <c r="C17" s="5" t="s">
        <v>6446</v>
      </c>
      <c r="D17" s="908">
        <v>43863</v>
      </c>
      <c r="E17" s="824" t="s">
        <v>5367</v>
      </c>
      <c r="F17" s="2391">
        <v>0.66666666666666663</v>
      </c>
      <c r="G17" s="2391">
        <v>0.66666666666666663</v>
      </c>
      <c r="H17" s="2391">
        <v>0.66666666666666663</v>
      </c>
      <c r="I17" s="2390">
        <v>240</v>
      </c>
      <c r="J17" s="5" t="s">
        <v>6447</v>
      </c>
      <c r="K17" s="5" t="s">
        <v>15</v>
      </c>
      <c r="L17" s="5" t="s">
        <v>17</v>
      </c>
      <c r="M17" s="807" t="s">
        <v>5367</v>
      </c>
    </row>
    <row r="18" spans="1:18" s="2399" customFormat="1" ht="159.5" x14ac:dyDescent="0.35">
      <c r="A18" s="852">
        <v>43857</v>
      </c>
      <c r="B18" s="817" t="s">
        <v>6365</v>
      </c>
      <c r="C18" s="5" t="s">
        <v>6394</v>
      </c>
      <c r="D18" s="908">
        <v>43864</v>
      </c>
      <c r="E18" s="824" t="s">
        <v>6364</v>
      </c>
      <c r="F18" s="2391">
        <v>0.41666666666666669</v>
      </c>
      <c r="G18" s="2391">
        <v>0.54166666666666663</v>
      </c>
      <c r="H18" s="2391">
        <v>0.54166666666666663</v>
      </c>
      <c r="I18" s="2389">
        <v>0</v>
      </c>
      <c r="J18" s="824" t="s">
        <v>16</v>
      </c>
      <c r="K18" s="824" t="s">
        <v>140</v>
      </c>
      <c r="L18" s="5" t="s">
        <v>17</v>
      </c>
      <c r="M18" s="807" t="s">
        <v>6034</v>
      </c>
    </row>
    <row r="19" spans="1:18" s="2399" customFormat="1" ht="145" x14ac:dyDescent="0.35">
      <c r="A19" s="852">
        <v>43860</v>
      </c>
      <c r="B19" s="817" t="s">
        <v>6412</v>
      </c>
      <c r="C19" s="817" t="s">
        <v>6410</v>
      </c>
      <c r="D19" s="1223">
        <v>43864</v>
      </c>
      <c r="E19" s="1149" t="s">
        <v>6411</v>
      </c>
      <c r="F19" s="2386">
        <v>0.41666666666666669</v>
      </c>
      <c r="G19" s="2386">
        <v>0.45833333333333331</v>
      </c>
      <c r="H19" s="2386">
        <v>0.45833333333333331</v>
      </c>
      <c r="I19" s="2387">
        <v>0</v>
      </c>
      <c r="J19" s="817" t="s">
        <v>16</v>
      </c>
      <c r="K19" s="817" t="s">
        <v>140</v>
      </c>
      <c r="L19" s="817" t="s">
        <v>17</v>
      </c>
      <c r="M19" s="839" t="s">
        <v>6034</v>
      </c>
    </row>
    <row r="20" spans="1:18" s="2399" customFormat="1" ht="58" x14ac:dyDescent="0.35">
      <c r="A20" s="852">
        <v>43861</v>
      </c>
      <c r="B20" s="817" t="s">
        <v>5489</v>
      </c>
      <c r="C20" s="5" t="s">
        <v>6451</v>
      </c>
      <c r="D20" s="908">
        <v>43864</v>
      </c>
      <c r="E20" s="824" t="s">
        <v>5489</v>
      </c>
      <c r="F20" s="2391">
        <v>0.41666666666666669</v>
      </c>
      <c r="G20" s="2391">
        <v>0.5</v>
      </c>
      <c r="H20" s="2391">
        <v>0.5</v>
      </c>
      <c r="I20" s="2389">
        <v>0</v>
      </c>
      <c r="J20" s="824" t="s">
        <v>6034</v>
      </c>
      <c r="K20" s="824" t="s">
        <v>140</v>
      </c>
      <c r="L20" s="5" t="s">
        <v>17</v>
      </c>
      <c r="M20" s="807" t="s">
        <v>5489</v>
      </c>
      <c r="N20" s="2432"/>
      <c r="O20" s="2432"/>
      <c r="P20" s="2432"/>
      <c r="Q20" s="2432"/>
      <c r="R20" s="2432"/>
    </row>
    <row r="21" spans="1:18" s="2399" customFormat="1" ht="58" x14ac:dyDescent="0.35">
      <c r="A21" s="852">
        <v>43862</v>
      </c>
      <c r="B21" s="817" t="s">
        <v>6034</v>
      </c>
      <c r="C21" s="817" t="s">
        <v>6444</v>
      </c>
      <c r="D21" s="1223">
        <v>43864</v>
      </c>
      <c r="E21" s="1149" t="s">
        <v>5367</v>
      </c>
      <c r="F21" s="816" t="s">
        <v>15</v>
      </c>
      <c r="G21" s="2386" t="s">
        <v>15</v>
      </c>
      <c r="H21" s="2386" t="s">
        <v>15</v>
      </c>
      <c r="I21" s="2387">
        <v>0</v>
      </c>
      <c r="J21" s="817" t="s">
        <v>16</v>
      </c>
      <c r="K21" s="817" t="s">
        <v>15</v>
      </c>
      <c r="L21" s="817" t="s">
        <v>17</v>
      </c>
      <c r="M21" s="839" t="s">
        <v>6034</v>
      </c>
    </row>
    <row r="22" spans="1:18" s="2399" customFormat="1" ht="29" x14ac:dyDescent="0.35">
      <c r="A22" s="852">
        <v>43863</v>
      </c>
      <c r="B22" s="817" t="s">
        <v>615</v>
      </c>
      <c r="C22" s="817" t="s">
        <v>6453</v>
      </c>
      <c r="D22" s="1223">
        <v>43864</v>
      </c>
      <c r="E22" s="1149" t="s">
        <v>2034</v>
      </c>
      <c r="F22" s="2386" t="s">
        <v>15</v>
      </c>
      <c r="G22" s="2386">
        <v>0.41666666666666669</v>
      </c>
      <c r="H22" s="2386">
        <v>0.54166666666666663</v>
      </c>
      <c r="I22" s="2387">
        <v>0</v>
      </c>
      <c r="J22" s="1149" t="s">
        <v>6423</v>
      </c>
      <c r="K22" s="1149"/>
      <c r="L22" s="817" t="s">
        <v>22</v>
      </c>
      <c r="M22" s="839" t="s">
        <v>298</v>
      </c>
    </row>
    <row r="23" spans="1:18" s="2399" customFormat="1" ht="58" x14ac:dyDescent="0.35">
      <c r="A23" s="852">
        <v>43864</v>
      </c>
      <c r="B23" s="817" t="s">
        <v>6468</v>
      </c>
      <c r="C23" s="5" t="s">
        <v>6455</v>
      </c>
      <c r="D23" s="908">
        <v>43865</v>
      </c>
      <c r="E23" s="824" t="s">
        <v>6469</v>
      </c>
      <c r="F23" s="2391">
        <v>0.61805555555555558</v>
      </c>
      <c r="G23" s="2391">
        <v>0.64583333333333337</v>
      </c>
      <c r="H23" s="2391">
        <v>0.64583333333333337</v>
      </c>
      <c r="I23" s="2389">
        <v>0</v>
      </c>
      <c r="J23" s="824" t="s">
        <v>16</v>
      </c>
      <c r="K23" s="824" t="s">
        <v>119</v>
      </c>
      <c r="L23" s="5" t="s">
        <v>17</v>
      </c>
      <c r="M23" s="807" t="s">
        <v>6034</v>
      </c>
    </row>
    <row r="24" spans="1:18" s="2399" customFormat="1" ht="43.5" x14ac:dyDescent="0.35">
      <c r="A24" s="852">
        <v>43864</v>
      </c>
      <c r="B24" s="817" t="s">
        <v>6459</v>
      </c>
      <c r="C24" s="817" t="s">
        <v>6460</v>
      </c>
      <c r="D24" s="1223">
        <v>43865</v>
      </c>
      <c r="E24" s="1149" t="s">
        <v>6461</v>
      </c>
      <c r="F24" s="2386">
        <v>0.61805555555555558</v>
      </c>
      <c r="G24" s="2386">
        <v>0.5625</v>
      </c>
      <c r="H24" s="2386">
        <v>0.5625</v>
      </c>
      <c r="I24" s="2387">
        <v>0</v>
      </c>
      <c r="J24" s="817" t="s">
        <v>16</v>
      </c>
      <c r="K24" s="817" t="s">
        <v>15</v>
      </c>
      <c r="L24" s="817" t="s">
        <v>17</v>
      </c>
      <c r="M24" s="839" t="s">
        <v>6034</v>
      </c>
    </row>
    <row r="25" spans="1:18" s="2399" customFormat="1" ht="29" x14ac:dyDescent="0.35">
      <c r="A25" s="852">
        <v>43865</v>
      </c>
      <c r="B25" s="817" t="s">
        <v>6765</v>
      </c>
      <c r="C25" s="817" t="s">
        <v>15</v>
      </c>
      <c r="D25" s="1223">
        <v>43865</v>
      </c>
      <c r="E25" s="1149" t="s">
        <v>6461</v>
      </c>
      <c r="F25" s="2386">
        <v>0.61805555555555558</v>
      </c>
      <c r="G25" s="2386">
        <v>0.5625</v>
      </c>
      <c r="H25" s="2386">
        <v>0.5625</v>
      </c>
      <c r="I25" s="2437">
        <v>136</v>
      </c>
      <c r="J25" s="817" t="s">
        <v>257</v>
      </c>
      <c r="K25" s="817" t="s">
        <v>15</v>
      </c>
      <c r="L25" s="817" t="s">
        <v>17</v>
      </c>
      <c r="M25" s="839" t="s">
        <v>6552</v>
      </c>
    </row>
    <row r="26" spans="1:18" s="2399" customFormat="1" ht="43.5" x14ac:dyDescent="0.35">
      <c r="A26" s="852">
        <v>43864</v>
      </c>
      <c r="B26" s="817" t="s">
        <v>6463</v>
      </c>
      <c r="C26" s="5" t="s">
        <v>6464</v>
      </c>
      <c r="D26" s="908">
        <v>43865</v>
      </c>
      <c r="E26" s="824" t="s">
        <v>5494</v>
      </c>
      <c r="F26" s="2391">
        <v>0.41666666666666669</v>
      </c>
      <c r="G26" s="2391">
        <v>0.41666666666666669</v>
      </c>
      <c r="H26" s="2391">
        <v>0.41666666666666669</v>
      </c>
      <c r="I26" s="2390">
        <v>200</v>
      </c>
      <c r="J26" s="5" t="s">
        <v>257</v>
      </c>
      <c r="K26" s="5" t="s">
        <v>15</v>
      </c>
      <c r="L26" s="5" t="s">
        <v>17</v>
      </c>
      <c r="M26" s="807" t="s">
        <v>5367</v>
      </c>
    </row>
    <row r="27" spans="1:18" s="2399" customFormat="1" ht="29" x14ac:dyDescent="0.35">
      <c r="A27" s="852">
        <v>43842</v>
      </c>
      <c r="B27" s="817" t="s">
        <v>20</v>
      </c>
      <c r="C27" s="817" t="s">
        <v>6143</v>
      </c>
      <c r="D27" s="1223">
        <v>43866</v>
      </c>
      <c r="E27" s="1149" t="s">
        <v>20</v>
      </c>
      <c r="F27" s="816" t="s">
        <v>15</v>
      </c>
      <c r="G27" s="816" t="s">
        <v>15</v>
      </c>
      <c r="H27" s="816" t="s">
        <v>15</v>
      </c>
      <c r="I27" s="2387">
        <v>0</v>
      </c>
      <c r="J27" s="817" t="s">
        <v>15</v>
      </c>
      <c r="K27" s="817" t="s">
        <v>15</v>
      </c>
      <c r="L27" s="817" t="s">
        <v>17</v>
      </c>
      <c r="M27" s="839" t="s">
        <v>20</v>
      </c>
    </row>
    <row r="28" spans="1:18" s="2399" customFormat="1" ht="29" x14ac:dyDescent="0.35">
      <c r="A28" s="852">
        <v>43858</v>
      </c>
      <c r="B28" s="817" t="s">
        <v>20</v>
      </c>
      <c r="C28" s="5" t="s">
        <v>6373</v>
      </c>
      <c r="D28" s="908">
        <v>43866</v>
      </c>
      <c r="E28" s="824" t="s">
        <v>20</v>
      </c>
      <c r="F28" s="2391" t="s">
        <v>15</v>
      </c>
      <c r="G28" s="2391" t="s">
        <v>15</v>
      </c>
      <c r="H28" s="2391" t="s">
        <v>15</v>
      </c>
      <c r="I28" s="2389">
        <v>0</v>
      </c>
      <c r="J28" s="5" t="s">
        <v>15</v>
      </c>
      <c r="K28" s="5" t="s">
        <v>15</v>
      </c>
      <c r="L28" s="5" t="s">
        <v>17</v>
      </c>
      <c r="M28" s="807" t="s">
        <v>20</v>
      </c>
    </row>
    <row r="29" spans="1:18" s="2399" customFormat="1" ht="188.5" x14ac:dyDescent="0.35">
      <c r="A29" s="852">
        <v>43860</v>
      </c>
      <c r="B29" s="817" t="s">
        <v>6435</v>
      </c>
      <c r="C29" s="817" t="s">
        <v>6452</v>
      </c>
      <c r="D29" s="1223">
        <v>43866</v>
      </c>
      <c r="E29" s="1149" t="s">
        <v>6434</v>
      </c>
      <c r="F29" s="2386">
        <v>0.45833333333333331</v>
      </c>
      <c r="G29" s="2386">
        <v>0.60416666666666663</v>
      </c>
      <c r="H29" s="2386">
        <v>0.60416666666666663</v>
      </c>
      <c r="I29" s="2387">
        <v>0</v>
      </c>
      <c r="J29" s="1149" t="s">
        <v>16</v>
      </c>
      <c r="K29" s="1149" t="s">
        <v>140</v>
      </c>
      <c r="L29" s="817" t="s">
        <v>17</v>
      </c>
      <c r="M29" s="839" t="s">
        <v>5367</v>
      </c>
    </row>
    <row r="30" spans="1:18" s="2399" customFormat="1" ht="43.5" x14ac:dyDescent="0.35">
      <c r="A30" s="852">
        <v>43864</v>
      </c>
      <c r="B30" s="817" t="s">
        <v>131</v>
      </c>
      <c r="C30" s="817" t="s">
        <v>6462</v>
      </c>
      <c r="D30" s="1223">
        <v>43866</v>
      </c>
      <c r="E30" s="1149" t="s">
        <v>2077</v>
      </c>
      <c r="F30" s="2386">
        <v>0.45833333333333331</v>
      </c>
      <c r="G30" s="2386">
        <v>0.5</v>
      </c>
      <c r="H30" s="2386">
        <v>0.5</v>
      </c>
      <c r="I30" s="2387">
        <v>0</v>
      </c>
      <c r="J30" s="817" t="s">
        <v>16</v>
      </c>
      <c r="K30" s="817" t="s">
        <v>140</v>
      </c>
      <c r="L30" s="817" t="s">
        <v>17</v>
      </c>
      <c r="M30" s="839" t="s">
        <v>6034</v>
      </c>
    </row>
    <row r="31" spans="1:18" s="2399" customFormat="1" ht="58" x14ac:dyDescent="0.35">
      <c r="A31" s="1453">
        <v>43864</v>
      </c>
      <c r="B31" s="5" t="s">
        <v>6457</v>
      </c>
      <c r="C31" s="5" t="s">
        <v>6458</v>
      </c>
      <c r="D31" s="908">
        <v>43866</v>
      </c>
      <c r="E31" s="824" t="s">
        <v>5494</v>
      </c>
      <c r="F31" s="2391">
        <v>0.54166666666666663</v>
      </c>
      <c r="G31" s="2391">
        <v>0.54166666666666663</v>
      </c>
      <c r="H31" s="2391">
        <v>0.54166666666666663</v>
      </c>
      <c r="I31" s="2390">
        <v>100</v>
      </c>
      <c r="J31" s="5" t="s">
        <v>257</v>
      </c>
      <c r="K31" s="5" t="s">
        <v>15</v>
      </c>
      <c r="L31" s="5" t="s">
        <v>17</v>
      </c>
      <c r="M31" s="807" t="s">
        <v>5367</v>
      </c>
    </row>
    <row r="32" spans="1:18" s="2399" customFormat="1" ht="101.5" x14ac:dyDescent="0.35">
      <c r="A32" s="852">
        <v>43865</v>
      </c>
      <c r="B32" s="817" t="s">
        <v>6465</v>
      </c>
      <c r="C32" s="817" t="s">
        <v>6467</v>
      </c>
      <c r="D32" s="1223">
        <v>43866</v>
      </c>
      <c r="E32" s="1149" t="s">
        <v>6466</v>
      </c>
      <c r="F32" s="2386">
        <v>0.45833333333333331</v>
      </c>
      <c r="G32" s="2386">
        <v>0.54166666666666663</v>
      </c>
      <c r="H32" s="2386">
        <v>0.54166666666666663</v>
      </c>
      <c r="I32" s="2387">
        <v>0</v>
      </c>
      <c r="J32" s="817" t="s">
        <v>298</v>
      </c>
      <c r="K32" s="817" t="s">
        <v>140</v>
      </c>
      <c r="L32" s="817" t="s">
        <v>17</v>
      </c>
      <c r="M32" s="839" t="s">
        <v>5367</v>
      </c>
    </row>
    <row r="33" spans="1:13" s="2399" customFormat="1" ht="29" x14ac:dyDescent="0.35">
      <c r="A33" s="852">
        <v>43865</v>
      </c>
      <c r="B33" s="817" t="s">
        <v>6490</v>
      </c>
      <c r="C33" s="817" t="s">
        <v>6491</v>
      </c>
      <c r="D33" s="1223">
        <v>43866</v>
      </c>
      <c r="E33" s="1149" t="s">
        <v>5494</v>
      </c>
      <c r="F33" s="2386">
        <v>0.70833333333333337</v>
      </c>
      <c r="G33" s="2386">
        <v>0.70833333333333337</v>
      </c>
      <c r="H33" s="2386">
        <v>0.70833333333333337</v>
      </c>
      <c r="I33" s="2437">
        <v>98</v>
      </c>
      <c r="J33" s="817" t="s">
        <v>257</v>
      </c>
      <c r="K33" s="817" t="s">
        <v>15</v>
      </c>
      <c r="L33" s="817" t="s">
        <v>17</v>
      </c>
      <c r="M33" s="839" t="s">
        <v>5367</v>
      </c>
    </row>
    <row r="34" spans="1:13" s="2399" customFormat="1" ht="43.5" x14ac:dyDescent="0.35">
      <c r="A34" s="852">
        <v>43859</v>
      </c>
      <c r="B34" s="817" t="s">
        <v>20</v>
      </c>
      <c r="C34" s="5" t="s">
        <v>6393</v>
      </c>
      <c r="D34" s="908">
        <v>43867</v>
      </c>
      <c r="E34" s="824" t="s">
        <v>5489</v>
      </c>
      <c r="F34" s="2391" t="s">
        <v>15</v>
      </c>
      <c r="G34" s="2391" t="s">
        <v>15</v>
      </c>
      <c r="H34" s="2391" t="s">
        <v>15</v>
      </c>
      <c r="I34" s="2389">
        <v>0</v>
      </c>
      <c r="J34" s="824" t="s">
        <v>3798</v>
      </c>
      <c r="K34" s="824" t="s">
        <v>15</v>
      </c>
      <c r="L34" s="5" t="s">
        <v>17</v>
      </c>
      <c r="M34" s="807" t="s">
        <v>6034</v>
      </c>
    </row>
    <row r="35" spans="1:13" s="2399" customFormat="1" ht="29" x14ac:dyDescent="0.35">
      <c r="A35" s="882">
        <v>43865</v>
      </c>
      <c r="B35" s="7" t="s">
        <v>20</v>
      </c>
      <c r="C35" s="7" t="s">
        <v>6486</v>
      </c>
      <c r="D35" s="883">
        <v>43867</v>
      </c>
      <c r="E35" s="881" t="s">
        <v>20</v>
      </c>
      <c r="F35" s="2430" t="s">
        <v>15</v>
      </c>
      <c r="G35" s="2430" t="s">
        <v>15</v>
      </c>
      <c r="H35" s="2430" t="s">
        <v>15</v>
      </c>
      <c r="I35" s="2431">
        <v>0</v>
      </c>
      <c r="J35" s="2430" t="s">
        <v>15</v>
      </c>
      <c r="K35" s="2430" t="s">
        <v>15</v>
      </c>
      <c r="L35" s="7" t="s">
        <v>17</v>
      </c>
      <c r="M35" s="809" t="s">
        <v>20</v>
      </c>
    </row>
    <row r="36" spans="1:13" s="2399" customFormat="1" ht="87" x14ac:dyDescent="0.35">
      <c r="A36" s="1453">
        <v>43865</v>
      </c>
      <c r="B36" s="5" t="s">
        <v>4468</v>
      </c>
      <c r="C36" s="7" t="s">
        <v>6507</v>
      </c>
      <c r="D36" s="883">
        <v>43867</v>
      </c>
      <c r="E36" s="881" t="s">
        <v>6428</v>
      </c>
      <c r="F36" s="2430">
        <v>0.625</v>
      </c>
      <c r="G36" s="2430">
        <v>0.66666666666666663</v>
      </c>
      <c r="H36" s="2430">
        <v>0.66666666666666663</v>
      </c>
      <c r="I36" s="2389">
        <v>180</v>
      </c>
      <c r="J36" s="817" t="s">
        <v>4183</v>
      </c>
      <c r="K36" s="817" t="s">
        <v>119</v>
      </c>
      <c r="L36" s="817" t="s">
        <v>17</v>
      </c>
      <c r="M36" s="839" t="s">
        <v>4468</v>
      </c>
    </row>
    <row r="37" spans="1:13" s="2399" customFormat="1" ht="43.5" x14ac:dyDescent="0.35">
      <c r="A37" s="882">
        <v>43866</v>
      </c>
      <c r="B37" s="7" t="s">
        <v>20</v>
      </c>
      <c r="C37" s="7" t="s">
        <v>6520</v>
      </c>
      <c r="D37" s="883">
        <v>43867</v>
      </c>
      <c r="E37" s="881" t="s">
        <v>20</v>
      </c>
      <c r="F37" s="2430" t="s">
        <v>15</v>
      </c>
      <c r="G37" s="2430" t="s">
        <v>15</v>
      </c>
      <c r="H37" s="2430" t="s">
        <v>15</v>
      </c>
      <c r="I37" s="2431">
        <v>0</v>
      </c>
      <c r="J37" s="817" t="s">
        <v>20</v>
      </c>
      <c r="K37" s="817" t="s">
        <v>15</v>
      </c>
      <c r="L37" s="817" t="s">
        <v>17</v>
      </c>
      <c r="M37" s="839" t="s">
        <v>20</v>
      </c>
    </row>
    <row r="38" spans="1:13" s="2399" customFormat="1" ht="87" x14ac:dyDescent="0.35">
      <c r="A38" s="2422">
        <v>43854</v>
      </c>
      <c r="B38" s="1412" t="s">
        <v>6320</v>
      </c>
      <c r="C38" s="10" t="s">
        <v>6319</v>
      </c>
      <c r="D38" s="8">
        <v>43868</v>
      </c>
      <c r="E38" s="823" t="s">
        <v>5489</v>
      </c>
      <c r="F38" s="2430">
        <v>0.54166666666666663</v>
      </c>
      <c r="G38" s="2430">
        <v>0.58333333333333337</v>
      </c>
      <c r="H38" s="2430">
        <v>0.58333333333333337</v>
      </c>
      <c r="I38" s="2389">
        <v>600</v>
      </c>
      <c r="J38" s="2190" t="s">
        <v>6321</v>
      </c>
      <c r="K38" s="817" t="s">
        <v>140</v>
      </c>
      <c r="L38" s="5" t="s">
        <v>17</v>
      </c>
      <c r="M38" s="807" t="s">
        <v>5489</v>
      </c>
    </row>
    <row r="39" spans="1:13" s="2399" customFormat="1" ht="87" x14ac:dyDescent="0.35">
      <c r="A39" s="2422">
        <v>43858</v>
      </c>
      <c r="B39" s="1412" t="s">
        <v>6371</v>
      </c>
      <c r="C39" s="10" t="s">
        <v>6370</v>
      </c>
      <c r="D39" s="8">
        <v>43868</v>
      </c>
      <c r="E39" s="823" t="s">
        <v>6454</v>
      </c>
      <c r="F39" s="2430">
        <v>0.66666666666666663</v>
      </c>
      <c r="G39" s="2430">
        <v>0.70833333333333337</v>
      </c>
      <c r="H39" s="2430">
        <v>0.70833333333333337</v>
      </c>
      <c r="I39" s="2437">
        <f>4*120*0.9</f>
        <v>432</v>
      </c>
      <c r="J39" s="817" t="s">
        <v>6372</v>
      </c>
      <c r="K39" s="817" t="s">
        <v>140</v>
      </c>
      <c r="L39" s="817" t="s">
        <v>17</v>
      </c>
      <c r="M39" s="839" t="s">
        <v>6041</v>
      </c>
    </row>
    <row r="40" spans="1:13" s="2399" customFormat="1" ht="116" x14ac:dyDescent="0.35">
      <c r="A40" s="852">
        <v>43860</v>
      </c>
      <c r="B40" s="817" t="s">
        <v>6540</v>
      </c>
      <c r="C40" s="5" t="s">
        <v>6539</v>
      </c>
      <c r="D40" s="908">
        <v>43868</v>
      </c>
      <c r="E40" s="824" t="s">
        <v>6431</v>
      </c>
      <c r="F40" s="2391">
        <v>0.44791666666666669</v>
      </c>
      <c r="G40" s="2391">
        <v>0.45833333333333331</v>
      </c>
      <c r="H40" s="2391">
        <v>0.45833333333333331</v>
      </c>
      <c r="I40" s="2389">
        <v>0</v>
      </c>
      <c r="J40" s="824" t="s">
        <v>6538</v>
      </c>
      <c r="K40" s="824" t="s">
        <v>140</v>
      </c>
      <c r="L40" s="5" t="s">
        <v>22</v>
      </c>
      <c r="M40" s="807" t="s">
        <v>6034</v>
      </c>
    </row>
    <row r="41" spans="1:13" s="2399" customFormat="1" ht="246.5" x14ac:dyDescent="0.35">
      <c r="A41" s="852">
        <v>43867</v>
      </c>
      <c r="B41" s="817" t="s">
        <v>615</v>
      </c>
      <c r="C41" s="817" t="s">
        <v>6514</v>
      </c>
      <c r="D41" s="1223">
        <v>43868</v>
      </c>
      <c r="E41" s="1149" t="s">
        <v>126</v>
      </c>
      <c r="F41" s="2386">
        <v>0.44791666666666669</v>
      </c>
      <c r="G41" s="2386">
        <v>0.47916666666666669</v>
      </c>
      <c r="H41" s="2386">
        <v>0.47916666666666669</v>
      </c>
      <c r="I41" s="2387">
        <v>0</v>
      </c>
      <c r="J41" s="817" t="s">
        <v>16</v>
      </c>
      <c r="K41" s="817" t="s">
        <v>140</v>
      </c>
      <c r="L41" s="817" t="s">
        <v>17</v>
      </c>
      <c r="M41" s="839" t="s">
        <v>6034</v>
      </c>
    </row>
    <row r="42" spans="1:13" s="2399" customFormat="1" ht="174" x14ac:dyDescent="0.35">
      <c r="A42" s="882">
        <v>43867</v>
      </c>
      <c r="B42" s="7" t="s">
        <v>6530</v>
      </c>
      <c r="C42" s="7" t="s">
        <v>6534</v>
      </c>
      <c r="D42" s="883">
        <v>43868</v>
      </c>
      <c r="E42" s="881" t="s">
        <v>126</v>
      </c>
      <c r="F42" s="2430">
        <v>0.44791666666666669</v>
      </c>
      <c r="G42" s="2386">
        <v>0.47916666666666669</v>
      </c>
      <c r="H42" s="2386">
        <v>0.47916666666666669</v>
      </c>
      <c r="I42" s="2431">
        <v>0</v>
      </c>
      <c r="J42" s="817" t="s">
        <v>6531</v>
      </c>
      <c r="K42" s="817" t="s">
        <v>140</v>
      </c>
      <c r="L42" s="817" t="s">
        <v>17</v>
      </c>
      <c r="M42" s="839" t="s">
        <v>6053</v>
      </c>
    </row>
    <row r="43" spans="1:13" s="2399" customFormat="1" ht="58" x14ac:dyDescent="0.35">
      <c r="A43" s="882">
        <v>43867</v>
      </c>
      <c r="B43" s="7" t="s">
        <v>5497</v>
      </c>
      <c r="C43" s="7" t="s">
        <v>6522</v>
      </c>
      <c r="D43" s="883">
        <v>43868</v>
      </c>
      <c r="E43" s="881" t="s">
        <v>6521</v>
      </c>
      <c r="F43" s="2430">
        <v>0.44791666666666669</v>
      </c>
      <c r="G43" s="2430">
        <v>0.5</v>
      </c>
      <c r="H43" s="2430">
        <v>0.5</v>
      </c>
      <c r="I43" s="2390">
        <v>90</v>
      </c>
      <c r="J43" s="817" t="s">
        <v>257</v>
      </c>
      <c r="K43" s="817" t="s">
        <v>140</v>
      </c>
      <c r="L43" s="817" t="s">
        <v>17</v>
      </c>
      <c r="M43" s="839" t="s">
        <v>6041</v>
      </c>
    </row>
    <row r="44" spans="1:13" s="2399" customFormat="1" ht="246.5" x14ac:dyDescent="0.35">
      <c r="A44" s="882">
        <v>43867</v>
      </c>
      <c r="B44" s="7" t="s">
        <v>6537</v>
      </c>
      <c r="C44" s="7" t="s">
        <v>6495</v>
      </c>
      <c r="D44" s="883">
        <v>43868</v>
      </c>
      <c r="E44" s="881" t="s">
        <v>6536</v>
      </c>
      <c r="F44" s="2430">
        <v>0.44791666666666669</v>
      </c>
      <c r="G44" s="2430">
        <v>0.54166666666666663</v>
      </c>
      <c r="H44" s="2430">
        <v>0.54166666666666663</v>
      </c>
      <c r="I44" s="2431">
        <v>0</v>
      </c>
      <c r="J44" s="817" t="s">
        <v>16</v>
      </c>
      <c r="K44" s="817" t="s">
        <v>140</v>
      </c>
      <c r="L44" s="817" t="s">
        <v>17</v>
      </c>
      <c r="M44" s="839" t="s">
        <v>6034</v>
      </c>
    </row>
    <row r="45" spans="1:13" s="2399" customFormat="1" ht="145" x14ac:dyDescent="0.35">
      <c r="A45" s="806">
        <v>43867</v>
      </c>
      <c r="B45" s="10" t="s">
        <v>5489</v>
      </c>
      <c r="C45" s="10" t="s">
        <v>6518</v>
      </c>
      <c r="D45" s="8">
        <v>43868</v>
      </c>
      <c r="E45" s="823" t="s">
        <v>5489</v>
      </c>
      <c r="F45" s="2430">
        <v>0.54166666666666663</v>
      </c>
      <c r="G45" s="2430">
        <v>0.58333333333333337</v>
      </c>
      <c r="H45" s="2430">
        <v>0.58333333333333337</v>
      </c>
      <c r="I45" s="2389">
        <v>300</v>
      </c>
      <c r="J45" s="817" t="s">
        <v>6501</v>
      </c>
      <c r="K45" s="817" t="s">
        <v>140</v>
      </c>
      <c r="L45" s="817" t="s">
        <v>17</v>
      </c>
      <c r="M45" s="839" t="s">
        <v>5489</v>
      </c>
    </row>
    <row r="46" spans="1:13" s="2399" customFormat="1" ht="29" x14ac:dyDescent="0.35">
      <c r="A46" s="882">
        <v>43867</v>
      </c>
      <c r="B46" s="7" t="s">
        <v>20</v>
      </c>
      <c r="C46" s="7" t="s">
        <v>6529</v>
      </c>
      <c r="D46" s="883">
        <v>43868</v>
      </c>
      <c r="E46" s="881" t="s">
        <v>20</v>
      </c>
      <c r="F46" s="881" t="s">
        <v>15</v>
      </c>
      <c r="G46" s="881" t="s">
        <v>15</v>
      </c>
      <c r="H46" s="881" t="s">
        <v>20</v>
      </c>
      <c r="I46" s="2431">
        <v>0</v>
      </c>
      <c r="J46" s="817" t="s">
        <v>15</v>
      </c>
      <c r="K46" s="817" t="s">
        <v>15</v>
      </c>
      <c r="L46" s="817" t="s">
        <v>17</v>
      </c>
      <c r="M46" s="839" t="s">
        <v>20</v>
      </c>
    </row>
    <row r="47" spans="1:13" s="2399" customFormat="1" ht="409.5" x14ac:dyDescent="0.35">
      <c r="A47" s="2422">
        <v>43842</v>
      </c>
      <c r="B47" s="1412" t="s">
        <v>6141</v>
      </c>
      <c r="C47" s="10" t="s">
        <v>6475</v>
      </c>
      <c r="D47" s="8">
        <v>43869</v>
      </c>
      <c r="E47" s="1571" t="s">
        <v>6142</v>
      </c>
      <c r="F47" s="2430">
        <v>0.54166666666666663</v>
      </c>
      <c r="G47" s="2430">
        <v>0.60416666666666663</v>
      </c>
      <c r="H47" s="2430">
        <v>0.60416666666666663</v>
      </c>
      <c r="I47" s="2431">
        <v>2686</v>
      </c>
      <c r="J47" s="2190" t="s">
        <v>4501</v>
      </c>
      <c r="K47" s="5" t="s">
        <v>140</v>
      </c>
      <c r="L47" s="5" t="s">
        <v>17</v>
      </c>
      <c r="M47" s="807" t="s">
        <v>6053</v>
      </c>
    </row>
    <row r="48" spans="1:13" s="2399" customFormat="1" ht="130.5" x14ac:dyDescent="0.35">
      <c r="A48" s="2422">
        <v>43865</v>
      </c>
      <c r="B48" s="1412" t="s">
        <v>6471</v>
      </c>
      <c r="C48" s="10" t="s">
        <v>6473</v>
      </c>
      <c r="D48" s="8">
        <v>43869</v>
      </c>
      <c r="E48" s="823" t="s">
        <v>6470</v>
      </c>
      <c r="F48" s="2430">
        <v>0.375</v>
      </c>
      <c r="G48" s="2430">
        <v>0.3923611111111111</v>
      </c>
      <c r="H48" s="2430">
        <v>0.3923611111111111</v>
      </c>
      <c r="I48" s="2390">
        <v>390</v>
      </c>
      <c r="J48" s="817" t="s">
        <v>257</v>
      </c>
      <c r="K48" s="817" t="s">
        <v>140</v>
      </c>
      <c r="L48" s="817" t="s">
        <v>6046</v>
      </c>
      <c r="M48" s="839" t="s">
        <v>6472</v>
      </c>
    </row>
    <row r="49" spans="1:18" s="2399" customFormat="1" ht="174" x14ac:dyDescent="0.35">
      <c r="A49" s="2422">
        <v>43865</v>
      </c>
      <c r="B49" s="1412" t="s">
        <v>6483</v>
      </c>
      <c r="C49" s="10" t="s">
        <v>6484</v>
      </c>
      <c r="D49" s="8">
        <v>43869</v>
      </c>
      <c r="E49" s="823" t="s">
        <v>5494</v>
      </c>
      <c r="F49" s="2430">
        <v>0.5</v>
      </c>
      <c r="G49" s="2430">
        <v>0.5</v>
      </c>
      <c r="H49" s="2430">
        <v>0.5</v>
      </c>
      <c r="I49" s="2390">
        <f>2.5*130</f>
        <v>325</v>
      </c>
      <c r="J49" s="1149" t="s">
        <v>6485</v>
      </c>
      <c r="K49" s="1149" t="s">
        <v>15</v>
      </c>
      <c r="L49" s="817" t="s">
        <v>17</v>
      </c>
      <c r="M49" s="839" t="s">
        <v>5367</v>
      </c>
    </row>
    <row r="50" spans="1:18" s="2399" customFormat="1" ht="116" x14ac:dyDescent="0.35">
      <c r="A50" s="882">
        <v>43866</v>
      </c>
      <c r="B50" s="7" t="s">
        <v>5489</v>
      </c>
      <c r="C50" s="7" t="s">
        <v>6515</v>
      </c>
      <c r="D50" s="883">
        <v>43869</v>
      </c>
      <c r="E50" s="881" t="s">
        <v>5489</v>
      </c>
      <c r="F50" s="2430">
        <v>0.375</v>
      </c>
      <c r="G50" s="2430">
        <v>0.40972222222222227</v>
      </c>
      <c r="H50" s="2430">
        <v>0.40972222222222227</v>
      </c>
      <c r="I50" s="2431">
        <f>6*75+2*75</f>
        <v>600</v>
      </c>
      <c r="J50" s="7" t="s">
        <v>6516</v>
      </c>
      <c r="K50" s="7" t="s">
        <v>140</v>
      </c>
      <c r="L50" s="7" t="s">
        <v>17</v>
      </c>
      <c r="M50" s="809" t="s">
        <v>5489</v>
      </c>
    </row>
    <row r="51" spans="1:18" s="2399" customFormat="1" ht="87" x14ac:dyDescent="0.35">
      <c r="A51" s="1453">
        <v>43866</v>
      </c>
      <c r="B51" s="5" t="s">
        <v>131</v>
      </c>
      <c r="C51" s="7" t="s">
        <v>6506</v>
      </c>
      <c r="D51" s="883">
        <v>43869</v>
      </c>
      <c r="E51" s="881" t="s">
        <v>2077</v>
      </c>
      <c r="F51" s="2430">
        <v>0.54166666666666663</v>
      </c>
      <c r="G51" s="2430">
        <v>0.6875</v>
      </c>
      <c r="H51" s="2430">
        <v>0.6875</v>
      </c>
      <c r="I51" s="2431">
        <f>1.5*4.8*75</f>
        <v>540</v>
      </c>
      <c r="J51" s="2064" t="s">
        <v>6505</v>
      </c>
      <c r="K51" s="817" t="s">
        <v>140</v>
      </c>
      <c r="L51" s="817" t="s">
        <v>17</v>
      </c>
      <c r="M51" s="839" t="s">
        <v>2077</v>
      </c>
      <c r="R51" s="2389">
        <v>300</v>
      </c>
    </row>
    <row r="52" spans="1:18" s="2399" customFormat="1" ht="246.5" x14ac:dyDescent="0.35">
      <c r="A52" s="1453">
        <v>43866</v>
      </c>
      <c r="B52" s="5" t="s">
        <v>6504</v>
      </c>
      <c r="C52" s="7" t="s">
        <v>6495</v>
      </c>
      <c r="D52" s="883">
        <v>43869</v>
      </c>
      <c r="E52" s="881" t="s">
        <v>1271</v>
      </c>
      <c r="F52" s="2430">
        <v>0.64583333333333337</v>
      </c>
      <c r="G52" s="2430">
        <v>0.64583333333333337</v>
      </c>
      <c r="H52" s="2430">
        <v>0.64583333333333337</v>
      </c>
      <c r="I52" s="2431">
        <v>0</v>
      </c>
      <c r="J52" s="817" t="s">
        <v>16</v>
      </c>
      <c r="K52" s="817" t="s">
        <v>15</v>
      </c>
      <c r="L52" s="817" t="s">
        <v>17</v>
      </c>
      <c r="M52" s="839" t="s">
        <v>6034</v>
      </c>
    </row>
    <row r="53" spans="1:18" s="2399" customFormat="1" ht="116" x14ac:dyDescent="0.35">
      <c r="A53" s="806">
        <v>43867</v>
      </c>
      <c r="B53" s="10" t="s">
        <v>5489</v>
      </c>
      <c r="C53" s="10" t="s">
        <v>6541</v>
      </c>
      <c r="D53" s="8">
        <v>43869</v>
      </c>
      <c r="E53" s="823" t="s">
        <v>5489</v>
      </c>
      <c r="F53" s="2430">
        <v>0.375</v>
      </c>
      <c r="G53" s="2430">
        <v>0.40972222222222227</v>
      </c>
      <c r="H53" s="2430">
        <v>0.40972222222222227</v>
      </c>
      <c r="I53" s="2431">
        <v>250</v>
      </c>
      <c r="J53" s="817" t="s">
        <v>6501</v>
      </c>
      <c r="K53" s="817" t="s">
        <v>140</v>
      </c>
      <c r="L53" s="817" t="s">
        <v>17</v>
      </c>
      <c r="M53" s="839" t="s">
        <v>5489</v>
      </c>
    </row>
    <row r="54" spans="1:18" s="2399" customFormat="1" ht="87" x14ac:dyDescent="0.35">
      <c r="A54" s="806">
        <v>43867</v>
      </c>
      <c r="B54" s="10" t="s">
        <v>5489</v>
      </c>
      <c r="C54" s="10" t="s">
        <v>6519</v>
      </c>
      <c r="D54" s="8">
        <v>43869</v>
      </c>
      <c r="E54" s="823" t="s">
        <v>5489</v>
      </c>
      <c r="F54" s="2430">
        <v>0.375</v>
      </c>
      <c r="G54" s="2430">
        <v>0.40972222222222227</v>
      </c>
      <c r="H54" s="2430">
        <v>0.40972222222222227</v>
      </c>
      <c r="I54" s="2390">
        <v>280</v>
      </c>
      <c r="J54" s="7" t="s">
        <v>6501</v>
      </c>
      <c r="K54" s="7" t="s">
        <v>140</v>
      </c>
      <c r="L54" s="7" t="s">
        <v>17</v>
      </c>
      <c r="M54" s="809" t="s">
        <v>5489</v>
      </c>
    </row>
    <row r="55" spans="1:18" s="2399" customFormat="1" ht="58" x14ac:dyDescent="0.35">
      <c r="A55" s="882">
        <v>43867</v>
      </c>
      <c r="B55" s="7" t="s">
        <v>6523</v>
      </c>
      <c r="C55" s="7" t="s">
        <v>6524</v>
      </c>
      <c r="D55" s="883">
        <v>43869</v>
      </c>
      <c r="E55" s="881" t="s">
        <v>5494</v>
      </c>
      <c r="F55" s="2430">
        <v>0.4375</v>
      </c>
      <c r="G55" s="2430">
        <v>0.4375</v>
      </c>
      <c r="H55" s="2430">
        <v>0.4375</v>
      </c>
      <c r="I55" s="2390">
        <v>160</v>
      </c>
      <c r="J55" s="817" t="s">
        <v>6525</v>
      </c>
      <c r="K55" s="817" t="s">
        <v>15</v>
      </c>
      <c r="L55" s="817" t="s">
        <v>17</v>
      </c>
      <c r="M55" s="839" t="s">
        <v>6041</v>
      </c>
    </row>
    <row r="56" spans="1:18" s="2399" customFormat="1" ht="174" x14ac:dyDescent="0.35">
      <c r="A56" s="852">
        <v>43867</v>
      </c>
      <c r="B56" s="817" t="s">
        <v>6512</v>
      </c>
      <c r="C56" s="817" t="s">
        <v>6513</v>
      </c>
      <c r="D56" s="1223">
        <v>43869</v>
      </c>
      <c r="E56" s="1149" t="s">
        <v>5367</v>
      </c>
      <c r="F56" s="2386">
        <v>0.75</v>
      </c>
      <c r="G56" s="2386">
        <v>0.75</v>
      </c>
      <c r="H56" s="2386">
        <v>0.75</v>
      </c>
      <c r="I56" s="2387">
        <v>0</v>
      </c>
      <c r="J56" s="817" t="s">
        <v>298</v>
      </c>
      <c r="K56" s="817" t="s">
        <v>15</v>
      </c>
      <c r="L56" s="817" t="s">
        <v>17</v>
      </c>
      <c r="M56" s="839" t="s">
        <v>6034</v>
      </c>
    </row>
    <row r="57" spans="1:18" s="2399" customFormat="1" ht="58" x14ac:dyDescent="0.35">
      <c r="A57" s="806">
        <v>43868</v>
      </c>
      <c r="B57" s="10" t="s">
        <v>6542</v>
      </c>
      <c r="C57" s="10" t="s">
        <v>6544</v>
      </c>
      <c r="D57" s="8">
        <v>43869</v>
      </c>
      <c r="E57" s="823" t="s">
        <v>6543</v>
      </c>
      <c r="F57" s="836">
        <v>0.44444444444444442</v>
      </c>
      <c r="G57" s="836">
        <v>0.47916666666666669</v>
      </c>
      <c r="H57" s="836">
        <v>0.47916666666666669</v>
      </c>
      <c r="I57" s="2390">
        <v>396</v>
      </c>
      <c r="J57" s="817" t="s">
        <v>257</v>
      </c>
      <c r="K57" s="817" t="s">
        <v>140</v>
      </c>
      <c r="L57" s="817" t="s">
        <v>22</v>
      </c>
      <c r="M57" s="839" t="s">
        <v>2084</v>
      </c>
    </row>
    <row r="58" spans="1:18" s="2399" customFormat="1" ht="174" x14ac:dyDescent="0.35">
      <c r="A58" s="2422">
        <v>43859</v>
      </c>
      <c r="B58" s="1412" t="s">
        <v>6456</v>
      </c>
      <c r="C58" s="10" t="s">
        <v>6499</v>
      </c>
      <c r="D58" s="8">
        <v>43870</v>
      </c>
      <c r="E58" s="823" t="s">
        <v>5489</v>
      </c>
      <c r="F58" s="2386">
        <v>0.4513888888888889</v>
      </c>
      <c r="G58" s="2386">
        <v>0.47916666666666669</v>
      </c>
      <c r="H58" s="2386">
        <v>0.47916666666666669</v>
      </c>
      <c r="I58" s="2437">
        <f>95*9+10+108</f>
        <v>973</v>
      </c>
      <c r="J58" s="1149" t="s">
        <v>6500</v>
      </c>
      <c r="K58" s="1149" t="s">
        <v>140</v>
      </c>
      <c r="L58" s="817" t="s">
        <v>17</v>
      </c>
      <c r="M58" s="839" t="s">
        <v>5489</v>
      </c>
    </row>
    <row r="59" spans="1:18" s="2399" customFormat="1" ht="58" x14ac:dyDescent="0.35">
      <c r="A59" s="806">
        <v>43867</v>
      </c>
      <c r="B59" s="10" t="s">
        <v>6528</v>
      </c>
      <c r="C59" s="10" t="s">
        <v>6526</v>
      </c>
      <c r="D59" s="8">
        <v>43870</v>
      </c>
      <c r="E59" s="823" t="s">
        <v>5494</v>
      </c>
      <c r="F59" s="2430">
        <v>0.4375</v>
      </c>
      <c r="G59" s="2430">
        <v>0.4375</v>
      </c>
      <c r="H59" s="2430">
        <v>0.4375</v>
      </c>
      <c r="I59" s="2390">
        <f>104*3</f>
        <v>312</v>
      </c>
      <c r="J59" s="817" t="s">
        <v>6527</v>
      </c>
      <c r="K59" s="817" t="s">
        <v>15</v>
      </c>
      <c r="L59" s="817" t="s">
        <v>17</v>
      </c>
      <c r="M59" s="839" t="s">
        <v>2084</v>
      </c>
      <c r="R59" s="2389">
        <v>250</v>
      </c>
    </row>
    <row r="60" spans="1:18" s="2399" customFormat="1" ht="145" x14ac:dyDescent="0.35">
      <c r="A60" s="806">
        <v>43867</v>
      </c>
      <c r="B60" s="10" t="s">
        <v>5489</v>
      </c>
      <c r="C60" s="10" t="s">
        <v>6517</v>
      </c>
      <c r="D60" s="8">
        <v>43870</v>
      </c>
      <c r="E60" s="823" t="s">
        <v>5489</v>
      </c>
      <c r="F60" s="2430">
        <v>0.4513888888888889</v>
      </c>
      <c r="G60" s="2430">
        <v>0.47916666666666669</v>
      </c>
      <c r="H60" s="2430">
        <v>0.47916666666666669</v>
      </c>
      <c r="I60" s="2390">
        <v>250</v>
      </c>
      <c r="J60" s="817" t="s">
        <v>6501</v>
      </c>
      <c r="K60" s="817" t="s">
        <v>140</v>
      </c>
      <c r="L60" s="817" t="s">
        <v>17</v>
      </c>
      <c r="M60" s="839" t="s">
        <v>5489</v>
      </c>
      <c r="R60" s="2387">
        <v>280</v>
      </c>
    </row>
    <row r="61" spans="1:18" s="2399" customFormat="1" ht="43.5" x14ac:dyDescent="0.35">
      <c r="A61" s="852">
        <v>43869</v>
      </c>
      <c r="B61" s="817" t="s">
        <v>6581</v>
      </c>
      <c r="C61" s="7" t="s">
        <v>6582</v>
      </c>
      <c r="D61" s="883">
        <v>43870</v>
      </c>
      <c r="E61" s="881" t="s">
        <v>6583</v>
      </c>
      <c r="F61" s="2430">
        <v>0.4513888888888889</v>
      </c>
      <c r="G61" s="2430">
        <v>0.5</v>
      </c>
      <c r="H61" s="2430">
        <v>0.5</v>
      </c>
      <c r="I61" s="2431">
        <v>0</v>
      </c>
      <c r="J61" s="7" t="s">
        <v>15</v>
      </c>
      <c r="K61" s="7" t="s">
        <v>140</v>
      </c>
      <c r="L61" s="817" t="s">
        <v>17</v>
      </c>
      <c r="M61" s="839" t="s">
        <v>6061</v>
      </c>
    </row>
    <row r="62" spans="1:18" s="2399" customFormat="1" ht="246.5" x14ac:dyDescent="0.35">
      <c r="A62" s="1453">
        <v>43866</v>
      </c>
      <c r="B62" s="5" t="s">
        <v>6502</v>
      </c>
      <c r="C62" s="7" t="s">
        <v>6495</v>
      </c>
      <c r="D62" s="883">
        <v>43871</v>
      </c>
      <c r="E62" s="881" t="s">
        <v>1271</v>
      </c>
      <c r="F62" s="2430">
        <v>0.76041666666666663</v>
      </c>
      <c r="G62" s="2430">
        <v>0.76041666666666663</v>
      </c>
      <c r="H62" s="2430">
        <v>0.76041666666666663</v>
      </c>
      <c r="I62" s="2389">
        <v>0</v>
      </c>
      <c r="J62" s="817" t="s">
        <v>16</v>
      </c>
      <c r="K62" s="817" t="s">
        <v>15</v>
      </c>
      <c r="L62" s="817" t="s">
        <v>17</v>
      </c>
      <c r="M62" s="839" t="s">
        <v>6045</v>
      </c>
    </row>
    <row r="63" spans="1:18" s="2399" customFormat="1" ht="101.5" x14ac:dyDescent="0.35">
      <c r="A63" s="852">
        <v>43867</v>
      </c>
      <c r="B63" s="817" t="s">
        <v>6508</v>
      </c>
      <c r="C63" s="817" t="s">
        <v>6509</v>
      </c>
      <c r="D63" s="1223">
        <v>43871</v>
      </c>
      <c r="E63" s="1149" t="s">
        <v>6510</v>
      </c>
      <c r="F63" s="2386">
        <v>0.4375</v>
      </c>
      <c r="G63" s="2386">
        <v>0.52083333333333337</v>
      </c>
      <c r="H63" s="2386" t="s">
        <v>6596</v>
      </c>
      <c r="I63" s="2437">
        <f>199*0.9</f>
        <v>179.1</v>
      </c>
      <c r="J63" s="817" t="s">
        <v>6511</v>
      </c>
      <c r="K63" s="817" t="s">
        <v>119</v>
      </c>
      <c r="L63" s="817" t="s">
        <v>17</v>
      </c>
      <c r="M63" s="839" t="s">
        <v>6045</v>
      </c>
    </row>
    <row r="64" spans="1:18" s="2399" customFormat="1" ht="333.5" x14ac:dyDescent="0.35">
      <c r="A64" s="2447">
        <v>43869</v>
      </c>
      <c r="B64" s="1733" t="s">
        <v>6549</v>
      </c>
      <c r="C64" s="1733" t="s">
        <v>6603</v>
      </c>
      <c r="D64" s="2393">
        <v>43871</v>
      </c>
      <c r="E64" s="2150" t="s">
        <v>6550</v>
      </c>
      <c r="F64" s="2391">
        <v>0.4375</v>
      </c>
      <c r="G64" s="2391">
        <v>0.47916666666666669</v>
      </c>
      <c r="H64" s="2391">
        <v>0.47916666666666669</v>
      </c>
      <c r="I64" s="2431">
        <f>70*4.8*3</f>
        <v>1008</v>
      </c>
      <c r="J64" s="2064" t="s">
        <v>6551</v>
      </c>
      <c r="K64" s="817" t="s">
        <v>119</v>
      </c>
      <c r="L64" s="817" t="s">
        <v>17</v>
      </c>
      <c r="M64" s="839" t="s">
        <v>6552</v>
      </c>
      <c r="R64" s="2387">
        <f>95*9+10+108</f>
        <v>973</v>
      </c>
    </row>
    <row r="65" spans="1:18" s="2399" customFormat="1" ht="217.5" x14ac:dyDescent="0.35">
      <c r="A65" s="1453">
        <v>43869</v>
      </c>
      <c r="B65" s="5" t="s">
        <v>6557</v>
      </c>
      <c r="C65" s="7" t="s">
        <v>6819</v>
      </c>
      <c r="D65" s="883">
        <v>43871</v>
      </c>
      <c r="E65" s="881" t="s">
        <v>6556</v>
      </c>
      <c r="F65" s="2430">
        <v>0.4375</v>
      </c>
      <c r="G65" s="2430">
        <v>0.5625</v>
      </c>
      <c r="H65" s="2430">
        <v>0.5625</v>
      </c>
      <c r="I65" s="2431">
        <v>0</v>
      </c>
      <c r="J65" s="817" t="s">
        <v>16</v>
      </c>
      <c r="K65" s="817" t="s">
        <v>119</v>
      </c>
      <c r="L65" s="817" t="s">
        <v>17</v>
      </c>
      <c r="M65" s="839" t="s">
        <v>6034</v>
      </c>
    </row>
    <row r="66" spans="1:18" s="2399" customFormat="1" ht="29" x14ac:dyDescent="0.35">
      <c r="A66" s="1453">
        <v>43870</v>
      </c>
      <c r="B66" s="5" t="s">
        <v>6591</v>
      </c>
      <c r="C66" s="7" t="s">
        <v>6592</v>
      </c>
      <c r="D66" s="883">
        <v>43872</v>
      </c>
      <c r="E66" s="881" t="s">
        <v>5494</v>
      </c>
      <c r="F66" s="2430">
        <v>0.625</v>
      </c>
      <c r="G66" s="2430">
        <v>0.625</v>
      </c>
      <c r="H66" s="2430">
        <v>0.66666666666666663</v>
      </c>
      <c r="I66" s="2390">
        <v>96</v>
      </c>
      <c r="J66" s="2445" t="s">
        <v>257</v>
      </c>
      <c r="K66" s="817" t="s">
        <v>140</v>
      </c>
      <c r="L66" s="2445" t="s">
        <v>974</v>
      </c>
      <c r="M66" s="2446" t="s">
        <v>6096</v>
      </c>
      <c r="R66" s="2387">
        <v>250</v>
      </c>
    </row>
    <row r="67" spans="1:18" s="2399" customFormat="1" ht="58" x14ac:dyDescent="0.35">
      <c r="A67" s="1453">
        <v>43870</v>
      </c>
      <c r="B67" s="5" t="s">
        <v>6586</v>
      </c>
      <c r="C67" s="7" t="s">
        <v>6587</v>
      </c>
      <c r="D67" s="883">
        <v>43872</v>
      </c>
      <c r="E67" s="881" t="s">
        <v>5494</v>
      </c>
      <c r="F67" s="2430">
        <v>0.66666666666666663</v>
      </c>
      <c r="G67" s="2430">
        <v>0.66666666666666663</v>
      </c>
      <c r="H67" s="2430">
        <v>0.66666666666666663</v>
      </c>
      <c r="I67" s="2390">
        <f>3*80</f>
        <v>240</v>
      </c>
      <c r="J67" s="817" t="s">
        <v>6588</v>
      </c>
      <c r="K67" s="817" t="s">
        <v>140</v>
      </c>
      <c r="L67" s="817" t="s">
        <v>17</v>
      </c>
      <c r="M67" s="839" t="s">
        <v>5367</v>
      </c>
      <c r="R67" s="2436">
        <f>SUM(R51:R66)</f>
        <v>2053</v>
      </c>
    </row>
    <row r="68" spans="1:18" s="2399" customFormat="1" ht="58" x14ac:dyDescent="0.35">
      <c r="A68" s="1453">
        <v>43869</v>
      </c>
      <c r="B68" s="5" t="s">
        <v>20</v>
      </c>
      <c r="C68" s="5" t="s">
        <v>6555</v>
      </c>
      <c r="D68" s="908">
        <v>43873</v>
      </c>
      <c r="E68" s="824" t="s">
        <v>20</v>
      </c>
      <c r="F68" s="2391" t="s">
        <v>15</v>
      </c>
      <c r="G68" s="2391" t="s">
        <v>15</v>
      </c>
      <c r="H68" s="2391" t="s">
        <v>15</v>
      </c>
      <c r="I68" s="2431">
        <v>0</v>
      </c>
      <c r="J68" s="817" t="s">
        <v>20</v>
      </c>
      <c r="K68" s="817" t="s">
        <v>15</v>
      </c>
      <c r="L68" s="817" t="s">
        <v>17</v>
      </c>
      <c r="M68" s="839" t="s">
        <v>20</v>
      </c>
    </row>
    <row r="69" spans="1:18" s="2399" customFormat="1" ht="29" x14ac:dyDescent="0.35">
      <c r="A69" s="1453">
        <v>43871</v>
      </c>
      <c r="B69" s="5" t="s">
        <v>6619</v>
      </c>
      <c r="C69" s="7" t="s">
        <v>6622</v>
      </c>
      <c r="D69" s="883">
        <v>43873</v>
      </c>
      <c r="E69" s="881" t="s">
        <v>2156</v>
      </c>
      <c r="F69" s="2430">
        <v>0.41666666666666669</v>
      </c>
      <c r="G69" s="2430">
        <v>0.41666666666666669</v>
      </c>
      <c r="H69" s="2430">
        <v>0.41666666666666669</v>
      </c>
      <c r="I69" s="2431">
        <v>0</v>
      </c>
      <c r="J69" s="817" t="s">
        <v>6623</v>
      </c>
      <c r="K69" s="817" t="s">
        <v>15</v>
      </c>
      <c r="L69" s="817" t="s">
        <v>974</v>
      </c>
      <c r="M69" s="2453"/>
    </row>
    <row r="70" spans="1:18" s="2399" customFormat="1" ht="101.5" x14ac:dyDescent="0.35">
      <c r="A70" s="1453">
        <v>43871</v>
      </c>
      <c r="B70" s="5" t="s">
        <v>6619</v>
      </c>
      <c r="C70" s="7" t="s">
        <v>6624</v>
      </c>
      <c r="D70" s="883">
        <v>43873</v>
      </c>
      <c r="E70" s="881" t="s">
        <v>5560</v>
      </c>
      <c r="F70" s="2430">
        <v>0.41666666666666669</v>
      </c>
      <c r="G70" s="2430">
        <v>0.41666666666666669</v>
      </c>
      <c r="H70" s="2430">
        <v>0.41666666666666669</v>
      </c>
      <c r="I70" s="2431">
        <v>0</v>
      </c>
      <c r="J70" s="817" t="s">
        <v>6625</v>
      </c>
      <c r="K70" s="817" t="s">
        <v>15</v>
      </c>
      <c r="L70" s="817" t="s">
        <v>974</v>
      </c>
      <c r="M70" s="2453"/>
    </row>
    <row r="71" spans="1:18" s="2399" customFormat="1" ht="101.5" x14ac:dyDescent="0.35">
      <c r="A71" s="1453">
        <v>43871</v>
      </c>
      <c r="B71" s="5" t="s">
        <v>6619</v>
      </c>
      <c r="C71" s="7" t="s">
        <v>6620</v>
      </c>
      <c r="D71" s="883">
        <v>43873</v>
      </c>
      <c r="E71" s="881" t="s">
        <v>2034</v>
      </c>
      <c r="F71" s="2430">
        <v>0.5</v>
      </c>
      <c r="G71" s="2430">
        <v>0.54166666666666663</v>
      </c>
      <c r="H71" s="2430">
        <v>0.54166666666666663</v>
      </c>
      <c r="I71" s="2431">
        <v>0</v>
      </c>
      <c r="J71" s="817" t="s">
        <v>6621</v>
      </c>
      <c r="K71" s="817" t="s">
        <v>140</v>
      </c>
      <c r="L71" s="817" t="s">
        <v>974</v>
      </c>
      <c r="M71" s="2453"/>
    </row>
    <row r="72" spans="1:18" s="2399" customFormat="1" ht="87" x14ac:dyDescent="0.35">
      <c r="A72" s="1453">
        <v>43873</v>
      </c>
      <c r="B72" s="5" t="s">
        <v>6667</v>
      </c>
      <c r="C72" s="5" t="s">
        <v>6669</v>
      </c>
      <c r="D72" s="908">
        <v>43874</v>
      </c>
      <c r="E72" s="824" t="s">
        <v>6668</v>
      </c>
      <c r="F72" s="2391">
        <v>0.47916666666666669</v>
      </c>
      <c r="G72" s="2391">
        <v>0.52083333333333337</v>
      </c>
      <c r="H72" s="2391">
        <v>0.52083333333333337</v>
      </c>
      <c r="I72" s="2390">
        <v>168</v>
      </c>
      <c r="J72" s="1430" t="s">
        <v>6673</v>
      </c>
      <c r="K72" s="817" t="s">
        <v>119</v>
      </c>
      <c r="L72" s="817" t="s">
        <v>974</v>
      </c>
      <c r="M72" s="839" t="s">
        <v>6096</v>
      </c>
    </row>
    <row r="73" spans="1:18" s="2399" customFormat="1" ht="29" x14ac:dyDescent="0.35">
      <c r="A73" s="1453">
        <v>43873</v>
      </c>
      <c r="B73" s="5" t="s">
        <v>6689</v>
      </c>
      <c r="C73" s="5" t="s">
        <v>6688</v>
      </c>
      <c r="D73" s="908">
        <v>43874</v>
      </c>
      <c r="E73" s="824" t="s">
        <v>6550</v>
      </c>
      <c r="F73" s="2391">
        <v>0.47916666666666669</v>
      </c>
      <c r="G73" s="2391">
        <v>0.5625</v>
      </c>
      <c r="H73" s="2391">
        <v>0.5625</v>
      </c>
      <c r="I73" s="2431">
        <v>0</v>
      </c>
      <c r="J73" s="817" t="s">
        <v>911</v>
      </c>
      <c r="K73" s="817" t="s">
        <v>119</v>
      </c>
      <c r="L73" s="817" t="s">
        <v>17</v>
      </c>
      <c r="M73" s="839" t="s">
        <v>6061</v>
      </c>
    </row>
    <row r="74" spans="1:18" s="2399" customFormat="1" ht="145" x14ac:dyDescent="0.35">
      <c r="A74" s="882">
        <v>43873</v>
      </c>
      <c r="B74" s="7" t="s">
        <v>6706</v>
      </c>
      <c r="C74" s="7" t="s">
        <v>6707</v>
      </c>
      <c r="D74" s="883">
        <v>43874</v>
      </c>
      <c r="E74" s="881" t="s">
        <v>6705</v>
      </c>
      <c r="F74" s="2430">
        <v>0.47916666666666669</v>
      </c>
      <c r="G74" s="2430">
        <v>0.64583333333333337</v>
      </c>
      <c r="H74" s="2430">
        <v>0.64583333333333337</v>
      </c>
      <c r="I74" s="2431">
        <f>(4*15+40)*0.7</f>
        <v>70</v>
      </c>
      <c r="J74" s="2085" t="s">
        <v>6708</v>
      </c>
      <c r="K74" s="817" t="s">
        <v>119</v>
      </c>
      <c r="L74" s="817" t="s">
        <v>17</v>
      </c>
      <c r="M74" s="839" t="s">
        <v>2084</v>
      </c>
    </row>
    <row r="75" spans="1:18" s="2399" customFormat="1" ht="58" x14ac:dyDescent="0.35">
      <c r="A75" s="1453">
        <v>43873</v>
      </c>
      <c r="B75" s="5" t="s">
        <v>6680</v>
      </c>
      <c r="C75" s="5" t="s">
        <v>6681</v>
      </c>
      <c r="D75" s="908">
        <v>43874</v>
      </c>
      <c r="E75" s="824" t="s">
        <v>5494</v>
      </c>
      <c r="F75" s="2391">
        <v>0.54166666666666663</v>
      </c>
      <c r="G75" s="2391">
        <v>0.54166666666666663</v>
      </c>
      <c r="H75" s="2391">
        <v>0.58333333333333337</v>
      </c>
      <c r="I75" s="2461">
        <v>126</v>
      </c>
      <c r="J75" s="817" t="s">
        <v>6724</v>
      </c>
      <c r="K75" s="817" t="s">
        <v>15</v>
      </c>
      <c r="L75" s="817" t="s">
        <v>974</v>
      </c>
      <c r="M75" s="839" t="s">
        <v>6096</v>
      </c>
    </row>
    <row r="76" spans="1:18" s="2399" customFormat="1" ht="29" x14ac:dyDescent="0.35">
      <c r="A76" s="1453">
        <v>43871</v>
      </c>
      <c r="B76" s="5" t="s">
        <v>20</v>
      </c>
      <c r="C76" s="7" t="s">
        <v>6610</v>
      </c>
      <c r="D76" s="883">
        <v>43874</v>
      </c>
      <c r="E76" s="881" t="s">
        <v>20</v>
      </c>
      <c r="F76" s="2430" t="s">
        <v>15</v>
      </c>
      <c r="G76" s="2430" t="s">
        <v>15</v>
      </c>
      <c r="H76" s="2430" t="s">
        <v>15</v>
      </c>
      <c r="I76" s="2431">
        <v>0</v>
      </c>
      <c r="J76" s="817" t="s">
        <v>20</v>
      </c>
      <c r="K76" s="817" t="s">
        <v>15</v>
      </c>
      <c r="L76" s="817" t="s">
        <v>17</v>
      </c>
      <c r="M76" s="839" t="s">
        <v>20</v>
      </c>
    </row>
    <row r="77" spans="1:18" s="2399" customFormat="1" ht="29" x14ac:dyDescent="0.35">
      <c r="A77" s="1453">
        <v>43873</v>
      </c>
      <c r="B77" s="5" t="s">
        <v>20</v>
      </c>
      <c r="C77" s="5" t="s">
        <v>6691</v>
      </c>
      <c r="D77" s="908">
        <v>43874</v>
      </c>
      <c r="E77" s="824" t="s">
        <v>20</v>
      </c>
      <c r="F77" s="2391" t="s">
        <v>15</v>
      </c>
      <c r="G77" s="2391" t="s">
        <v>15</v>
      </c>
      <c r="H77" s="2391" t="s">
        <v>15</v>
      </c>
      <c r="I77" s="2431">
        <v>0</v>
      </c>
      <c r="J77" s="817" t="s">
        <v>20</v>
      </c>
      <c r="K77" s="817" t="s">
        <v>15</v>
      </c>
      <c r="L77" s="817" t="s">
        <v>17</v>
      </c>
      <c r="M77" s="839" t="s">
        <v>20</v>
      </c>
    </row>
    <row r="78" spans="1:18" s="2399" customFormat="1" ht="29" x14ac:dyDescent="0.35">
      <c r="A78" s="1453">
        <v>43873</v>
      </c>
      <c r="B78" s="5" t="s">
        <v>20</v>
      </c>
      <c r="C78" s="5" t="s">
        <v>6693</v>
      </c>
      <c r="D78" s="908">
        <v>43874</v>
      </c>
      <c r="E78" s="824" t="s">
        <v>5489</v>
      </c>
      <c r="F78" s="2391" t="s">
        <v>15</v>
      </c>
      <c r="G78" s="2391" t="s">
        <v>15</v>
      </c>
      <c r="H78" s="2391" t="s">
        <v>15</v>
      </c>
      <c r="I78" s="2431">
        <v>0</v>
      </c>
      <c r="J78" s="817" t="s">
        <v>20</v>
      </c>
      <c r="K78" s="817" t="s">
        <v>15</v>
      </c>
      <c r="L78" s="817" t="s">
        <v>17</v>
      </c>
      <c r="M78" s="839" t="s">
        <v>20</v>
      </c>
    </row>
    <row r="79" spans="1:18" s="2399" customFormat="1" ht="29" x14ac:dyDescent="0.35">
      <c r="A79" s="1453">
        <v>43873</v>
      </c>
      <c r="B79" s="5" t="s">
        <v>20</v>
      </c>
      <c r="C79" s="5" t="s">
        <v>6687</v>
      </c>
      <c r="D79" s="908">
        <v>43874</v>
      </c>
      <c r="E79" s="824" t="s">
        <v>20</v>
      </c>
      <c r="F79" s="2391" t="s">
        <v>15</v>
      </c>
      <c r="G79" s="2391" t="s">
        <v>15</v>
      </c>
      <c r="H79" s="2391" t="s">
        <v>15</v>
      </c>
      <c r="I79" s="2431">
        <v>0</v>
      </c>
      <c r="J79" s="817" t="s">
        <v>20</v>
      </c>
      <c r="K79" s="817" t="s">
        <v>15</v>
      </c>
      <c r="L79" s="817" t="s">
        <v>17</v>
      </c>
      <c r="M79" s="839" t="s">
        <v>20</v>
      </c>
    </row>
    <row r="80" spans="1:18" s="2399" customFormat="1" ht="58" x14ac:dyDescent="0.35">
      <c r="A80" s="2485">
        <v>43873</v>
      </c>
      <c r="B80" s="5" t="s">
        <v>6709</v>
      </c>
      <c r="C80" s="5" t="s">
        <v>6710</v>
      </c>
      <c r="D80" s="2486">
        <v>43875</v>
      </c>
      <c r="E80" s="824" t="s">
        <v>6711</v>
      </c>
      <c r="F80" s="6">
        <v>0.33333333333333331</v>
      </c>
      <c r="G80" s="6">
        <v>0.375</v>
      </c>
      <c r="H80" s="6">
        <v>0.375</v>
      </c>
      <c r="I80" s="1630">
        <v>490</v>
      </c>
      <c r="J80" s="1430" t="s">
        <v>6672</v>
      </c>
      <c r="K80" s="817" t="s">
        <v>119</v>
      </c>
      <c r="L80" s="817" t="s">
        <v>22</v>
      </c>
      <c r="M80" s="839" t="s">
        <v>6096</v>
      </c>
    </row>
    <row r="81" spans="1:17" s="2399" customFormat="1" x14ac:dyDescent="0.35">
      <c r="A81" s="882">
        <v>43873</v>
      </c>
      <c r="B81" s="7" t="s">
        <v>4468</v>
      </c>
      <c r="C81" s="7" t="s">
        <v>6704</v>
      </c>
      <c r="D81" s="883">
        <v>43875</v>
      </c>
      <c r="E81" s="881" t="s">
        <v>4468</v>
      </c>
      <c r="F81" s="2430">
        <v>0.33333333333333331</v>
      </c>
      <c r="G81" s="2430">
        <v>0.3888888888888889</v>
      </c>
      <c r="H81" s="2430">
        <v>0.3888888888888889</v>
      </c>
      <c r="I81" s="2431">
        <f>9*15</f>
        <v>135</v>
      </c>
      <c r="J81" s="817" t="s">
        <v>4060</v>
      </c>
      <c r="K81" s="817" t="s">
        <v>119</v>
      </c>
      <c r="L81" s="817" t="s">
        <v>17</v>
      </c>
      <c r="M81" s="839" t="s">
        <v>4468</v>
      </c>
    </row>
    <row r="82" spans="1:17" s="2399" customFormat="1" ht="116" x14ac:dyDescent="0.35">
      <c r="A82" s="2485">
        <v>43873</v>
      </c>
      <c r="B82" s="5" t="s">
        <v>6756</v>
      </c>
      <c r="C82" s="5" t="s">
        <v>6714</v>
      </c>
      <c r="D82" s="2486">
        <v>43875</v>
      </c>
      <c r="E82" s="824" t="s">
        <v>6716</v>
      </c>
      <c r="F82" s="6">
        <v>0.33333333333333331</v>
      </c>
      <c r="G82" s="6">
        <v>0.39583333333333331</v>
      </c>
      <c r="H82" s="6">
        <v>0.39583333333333331</v>
      </c>
      <c r="I82" s="1630" t="s">
        <v>6713</v>
      </c>
      <c r="J82" s="2517" t="s">
        <v>15</v>
      </c>
      <c r="K82" s="817" t="s">
        <v>119</v>
      </c>
      <c r="L82" s="817" t="s">
        <v>22</v>
      </c>
      <c r="M82" s="839" t="s">
        <v>6096</v>
      </c>
    </row>
    <row r="83" spans="1:17" s="2399" customFormat="1" ht="116" x14ac:dyDescent="0.35">
      <c r="A83" s="882">
        <v>43874</v>
      </c>
      <c r="B83" s="7" t="s">
        <v>6749</v>
      </c>
      <c r="C83" s="7" t="s">
        <v>6752</v>
      </c>
      <c r="D83" s="883">
        <v>43875</v>
      </c>
      <c r="E83" s="881" t="s">
        <v>6750</v>
      </c>
      <c r="F83" s="2430">
        <v>0.33333333333333331</v>
      </c>
      <c r="G83" s="2430">
        <v>0.41666666666666669</v>
      </c>
      <c r="H83" s="2430">
        <v>0.41666666666666669</v>
      </c>
      <c r="I83" s="2431">
        <v>0</v>
      </c>
      <c r="J83" s="817" t="s">
        <v>6751</v>
      </c>
      <c r="K83" s="817" t="s">
        <v>119</v>
      </c>
      <c r="L83" s="817" t="s">
        <v>17</v>
      </c>
      <c r="M83" s="839" t="s">
        <v>6034</v>
      </c>
    </row>
    <row r="84" spans="1:17" s="2399" customFormat="1" ht="72.5" x14ac:dyDescent="0.35">
      <c r="A84" s="806">
        <v>43873</v>
      </c>
      <c r="B84" s="2496" t="s">
        <v>6685</v>
      </c>
      <c r="C84" s="10" t="s">
        <v>6686</v>
      </c>
      <c r="D84" s="8">
        <v>43875</v>
      </c>
      <c r="E84" s="823" t="s">
        <v>5502</v>
      </c>
      <c r="F84" s="2391">
        <v>0.39583333333333331</v>
      </c>
      <c r="G84" s="2391">
        <v>0.39583333333333331</v>
      </c>
      <c r="H84" s="2391">
        <v>0.39583333333333331</v>
      </c>
      <c r="I84" s="2390">
        <f>80*1.5</f>
        <v>120</v>
      </c>
      <c r="J84" s="817" t="s">
        <v>257</v>
      </c>
      <c r="K84" s="817" t="s">
        <v>15</v>
      </c>
      <c r="L84" s="817" t="s">
        <v>17</v>
      </c>
      <c r="M84" s="839" t="s">
        <v>2084</v>
      </c>
    </row>
    <row r="85" spans="1:17" s="2399" customFormat="1" ht="188.5" x14ac:dyDescent="0.35">
      <c r="A85" s="1453">
        <v>43873</v>
      </c>
      <c r="B85" s="5" t="s">
        <v>6619</v>
      </c>
      <c r="C85" s="7" t="s">
        <v>6740</v>
      </c>
      <c r="D85" s="883">
        <v>43875</v>
      </c>
      <c r="E85" s="881" t="s">
        <v>6679</v>
      </c>
      <c r="F85" s="2430">
        <v>0.41666666666666669</v>
      </c>
      <c r="G85" s="2430">
        <v>0.41666666666666669</v>
      </c>
      <c r="H85" s="2430">
        <v>0.41666666666666669</v>
      </c>
      <c r="I85" s="2431">
        <v>0</v>
      </c>
      <c r="J85" s="817" t="s">
        <v>16</v>
      </c>
      <c r="K85" s="817" t="s">
        <v>136</v>
      </c>
      <c r="L85" s="817" t="s">
        <v>22</v>
      </c>
      <c r="M85" s="839" t="s">
        <v>6034</v>
      </c>
      <c r="Q85" s="2399">
        <v>55</v>
      </c>
    </row>
    <row r="86" spans="1:17" s="2432" customFormat="1" ht="58" x14ac:dyDescent="0.35">
      <c r="A86" s="882">
        <v>43873</v>
      </c>
      <c r="B86" s="7" t="s">
        <v>6276</v>
      </c>
      <c r="C86" s="7" t="s">
        <v>6703</v>
      </c>
      <c r="D86" s="883">
        <v>43875</v>
      </c>
      <c r="E86" s="881" t="s">
        <v>6113</v>
      </c>
      <c r="F86" s="2430">
        <v>0.45833333333333331</v>
      </c>
      <c r="G86" s="2430">
        <v>0.4861111111111111</v>
      </c>
      <c r="H86" s="2430">
        <v>0.4861111111111111</v>
      </c>
      <c r="I86" s="2390">
        <v>140</v>
      </c>
      <c r="J86" s="817" t="s">
        <v>257</v>
      </c>
      <c r="K86" s="817" t="s">
        <v>119</v>
      </c>
      <c r="L86" s="817" t="s">
        <v>17</v>
      </c>
      <c r="M86" s="839" t="s">
        <v>2084</v>
      </c>
    </row>
    <row r="87" spans="1:17" s="2432" customFormat="1" ht="29" x14ac:dyDescent="0.35">
      <c r="A87" s="882">
        <v>43872</v>
      </c>
      <c r="B87" s="7" t="s">
        <v>6664</v>
      </c>
      <c r="C87" s="7" t="s">
        <v>6663</v>
      </c>
      <c r="D87" s="883">
        <v>43875</v>
      </c>
      <c r="E87" s="881" t="s">
        <v>6665</v>
      </c>
      <c r="F87" s="2430">
        <v>0.45833333333333331</v>
      </c>
      <c r="G87" s="2430">
        <v>0.51388888888888895</v>
      </c>
      <c r="H87" s="2430">
        <v>0.51388888888888895</v>
      </c>
      <c r="I87" s="2390">
        <v>280</v>
      </c>
      <c r="J87" s="817" t="s">
        <v>257</v>
      </c>
      <c r="K87" s="817" t="s">
        <v>119</v>
      </c>
      <c r="L87" s="817" t="s">
        <v>17</v>
      </c>
      <c r="M87" s="839" t="s">
        <v>6053</v>
      </c>
    </row>
    <row r="88" spans="1:17" s="2432" customFormat="1" ht="142.5" customHeight="1" x14ac:dyDescent="0.35">
      <c r="A88" s="882">
        <v>43872</v>
      </c>
      <c r="B88" s="7" t="s">
        <v>4928</v>
      </c>
      <c r="C88" s="7" t="s">
        <v>6666</v>
      </c>
      <c r="D88" s="883">
        <v>43875</v>
      </c>
      <c r="E88" s="881" t="s">
        <v>5625</v>
      </c>
      <c r="F88" s="2430">
        <v>0.45833333333333331</v>
      </c>
      <c r="G88" s="2430">
        <v>0.54166666666666663</v>
      </c>
      <c r="H88" s="2430">
        <v>0.54166666666666663</v>
      </c>
      <c r="I88" s="2390">
        <v>140</v>
      </c>
      <c r="J88" s="817" t="s">
        <v>257</v>
      </c>
      <c r="K88" s="817" t="s">
        <v>119</v>
      </c>
      <c r="L88" s="817" t="s">
        <v>22</v>
      </c>
      <c r="M88" s="839" t="s">
        <v>6096</v>
      </c>
    </row>
    <row r="89" spans="1:17" s="2432" customFormat="1" ht="142.5" customHeight="1" x14ac:dyDescent="0.35">
      <c r="A89" s="2485">
        <v>43873</v>
      </c>
      <c r="B89" s="5" t="s">
        <v>6755</v>
      </c>
      <c r="C89" s="5" t="s">
        <v>6714</v>
      </c>
      <c r="D89" s="2486">
        <v>43875</v>
      </c>
      <c r="E89" s="824" t="s">
        <v>6717</v>
      </c>
      <c r="F89" s="6">
        <v>0.45833333333333331</v>
      </c>
      <c r="G89" s="6">
        <v>0.55208333333333337</v>
      </c>
      <c r="H89" s="6">
        <v>0.55208333333333337</v>
      </c>
      <c r="I89" s="1630" t="s">
        <v>6713</v>
      </c>
      <c r="J89" s="2517" t="s">
        <v>15</v>
      </c>
      <c r="K89" s="817" t="s">
        <v>119</v>
      </c>
      <c r="L89" s="817" t="s">
        <v>22</v>
      </c>
      <c r="M89" s="839" t="s">
        <v>6096</v>
      </c>
    </row>
    <row r="90" spans="1:17" s="2432" customFormat="1" ht="142.5" customHeight="1" x14ac:dyDescent="0.35">
      <c r="A90" s="882">
        <v>43874</v>
      </c>
      <c r="B90" s="7" t="s">
        <v>5594</v>
      </c>
      <c r="C90" s="7" t="s">
        <v>6743</v>
      </c>
      <c r="D90" s="883">
        <v>43875</v>
      </c>
      <c r="E90" s="881" t="s">
        <v>6744</v>
      </c>
      <c r="F90" s="2430">
        <v>0.45833333333333331</v>
      </c>
      <c r="G90" s="836">
        <v>0.5625</v>
      </c>
      <c r="H90" s="836">
        <v>0.60416666666666663</v>
      </c>
      <c r="I90" s="2390">
        <v>110</v>
      </c>
      <c r="J90" s="817" t="s">
        <v>257</v>
      </c>
      <c r="K90" s="817" t="s">
        <v>119</v>
      </c>
      <c r="L90" s="817" t="s">
        <v>974</v>
      </c>
      <c r="M90" s="839" t="s">
        <v>6096</v>
      </c>
    </row>
    <row r="91" spans="1:17" s="2432" customFormat="1" ht="142.5" customHeight="1" x14ac:dyDescent="0.35">
      <c r="A91" s="882">
        <v>43874</v>
      </c>
      <c r="B91" s="7" t="s">
        <v>5220</v>
      </c>
      <c r="C91" s="7" t="s">
        <v>6725</v>
      </c>
      <c r="D91" s="883">
        <v>43875</v>
      </c>
      <c r="E91" s="881" t="s">
        <v>6726</v>
      </c>
      <c r="F91" s="2430">
        <v>0.45833333333333331</v>
      </c>
      <c r="G91" s="2430">
        <v>0.57291666666666663</v>
      </c>
      <c r="H91" s="2430">
        <v>0.57291666666666663</v>
      </c>
      <c r="I91" s="2390">
        <v>474</v>
      </c>
      <c r="J91" s="817" t="s">
        <v>6730</v>
      </c>
      <c r="K91" s="817" t="s">
        <v>119</v>
      </c>
      <c r="L91" s="817" t="s">
        <v>974</v>
      </c>
      <c r="M91" s="839" t="s">
        <v>6096</v>
      </c>
    </row>
    <row r="92" spans="1:17" s="2432" customFormat="1" ht="142.5" customHeight="1" x14ac:dyDescent="0.35">
      <c r="A92" s="1453">
        <v>43874</v>
      </c>
      <c r="B92" s="5" t="s">
        <v>6734</v>
      </c>
      <c r="C92" s="7" t="s">
        <v>6759</v>
      </c>
      <c r="D92" s="883">
        <v>43875</v>
      </c>
      <c r="E92" s="881" t="s">
        <v>1271</v>
      </c>
      <c r="F92" s="2430">
        <v>0.47916666666666669</v>
      </c>
      <c r="G92" s="2430">
        <v>0.47916666666666669</v>
      </c>
      <c r="H92" s="2430">
        <v>0.47916666666666669</v>
      </c>
      <c r="I92" s="2431">
        <v>0</v>
      </c>
      <c r="J92" s="817" t="s">
        <v>16</v>
      </c>
      <c r="K92" s="817" t="s">
        <v>15</v>
      </c>
      <c r="L92" s="817" t="s">
        <v>17</v>
      </c>
      <c r="M92" s="839" t="s">
        <v>6034</v>
      </c>
    </row>
    <row r="93" spans="1:17" s="2432" customFormat="1" ht="142.5" customHeight="1" x14ac:dyDescent="0.35">
      <c r="A93" s="1453">
        <v>43869</v>
      </c>
      <c r="B93" s="5" t="s">
        <v>6553</v>
      </c>
      <c r="C93" s="5" t="s">
        <v>6554</v>
      </c>
      <c r="D93" s="908">
        <v>43875</v>
      </c>
      <c r="E93" s="824" t="s">
        <v>5494</v>
      </c>
      <c r="F93" s="2391">
        <v>0.52083333333333337</v>
      </c>
      <c r="G93" s="2391">
        <v>0.52083333333333337</v>
      </c>
      <c r="H93" s="2391">
        <v>0.52083333333333337</v>
      </c>
      <c r="I93" s="2390">
        <f>240+112</f>
        <v>352</v>
      </c>
      <c r="J93" s="817" t="s">
        <v>6682</v>
      </c>
      <c r="K93" s="817" t="s">
        <v>15</v>
      </c>
      <c r="L93" s="817" t="s">
        <v>17</v>
      </c>
      <c r="M93" s="839" t="s">
        <v>6045</v>
      </c>
    </row>
    <row r="94" spans="1:17" s="2432" customFormat="1" ht="142.5" customHeight="1" x14ac:dyDescent="0.35">
      <c r="A94" s="882">
        <v>43873</v>
      </c>
      <c r="B94" s="7" t="s">
        <v>6701</v>
      </c>
      <c r="C94" s="7" t="s">
        <v>6702</v>
      </c>
      <c r="D94" s="883">
        <v>43875</v>
      </c>
      <c r="E94" s="881" t="s">
        <v>5494</v>
      </c>
      <c r="F94" s="2430">
        <v>0.54166666666666663</v>
      </c>
      <c r="G94" s="2430">
        <v>0.54166666666666663</v>
      </c>
      <c r="H94" s="2430">
        <v>0.54166666666666663</v>
      </c>
      <c r="I94" s="2390">
        <f>1.8*80*0.7</f>
        <v>100.8</v>
      </c>
      <c r="J94" s="7" t="s">
        <v>294</v>
      </c>
      <c r="K94" s="7" t="s">
        <v>15</v>
      </c>
      <c r="L94" s="7" t="s">
        <v>17</v>
      </c>
      <c r="M94" s="809" t="s">
        <v>6053</v>
      </c>
    </row>
    <row r="95" spans="1:17" s="2432" customFormat="1" ht="142.5" customHeight="1" x14ac:dyDescent="0.35">
      <c r="A95" s="882">
        <v>43874</v>
      </c>
      <c r="B95" s="7" t="s">
        <v>6718</v>
      </c>
      <c r="C95" s="7" t="s">
        <v>6748</v>
      </c>
      <c r="D95" s="883">
        <v>43875</v>
      </c>
      <c r="E95" s="881" t="s">
        <v>6719</v>
      </c>
      <c r="F95" s="2430">
        <v>0.60416666666666663</v>
      </c>
      <c r="G95" s="2430">
        <v>0.6875</v>
      </c>
      <c r="H95" s="2430">
        <v>0.6875</v>
      </c>
      <c r="I95" s="2390">
        <f>294+0.7*70</f>
        <v>343</v>
      </c>
      <c r="J95" s="7" t="s">
        <v>257</v>
      </c>
      <c r="K95" s="7" t="s">
        <v>119</v>
      </c>
      <c r="L95" s="7" t="s">
        <v>17</v>
      </c>
      <c r="M95" s="809" t="s">
        <v>6121</v>
      </c>
    </row>
    <row r="96" spans="1:17" s="2432" customFormat="1" ht="74.400000000000006" customHeight="1" x14ac:dyDescent="0.35">
      <c r="A96" s="2524">
        <v>43874</v>
      </c>
      <c r="B96" s="2452" t="s">
        <v>6735</v>
      </c>
      <c r="C96" s="2450" t="s">
        <v>6736</v>
      </c>
      <c r="D96" s="2527">
        <v>43875</v>
      </c>
      <c r="E96" s="2451" t="s">
        <v>6737</v>
      </c>
      <c r="F96" s="6">
        <v>0.61458333333333337</v>
      </c>
      <c r="G96" s="2528">
        <v>0.63888888888888895</v>
      </c>
      <c r="H96" s="2528">
        <v>0.63888888888888895</v>
      </c>
      <c r="I96" s="2566">
        <v>70</v>
      </c>
      <c r="J96" s="1809" t="s">
        <v>6738</v>
      </c>
      <c r="K96" s="817" t="s">
        <v>119</v>
      </c>
      <c r="L96" s="817" t="s">
        <v>17</v>
      </c>
      <c r="M96" s="839" t="s">
        <v>2084</v>
      </c>
    </row>
    <row r="97" spans="1:13" s="2432" customFormat="1" ht="33.65" customHeight="1" x14ac:dyDescent="0.35">
      <c r="A97" s="1453">
        <v>43874</v>
      </c>
      <c r="B97" s="5" t="s">
        <v>6757</v>
      </c>
      <c r="C97" s="5" t="s">
        <v>6747</v>
      </c>
      <c r="D97" s="908">
        <v>43875</v>
      </c>
      <c r="E97" s="824" t="s">
        <v>5420</v>
      </c>
      <c r="F97" s="6">
        <v>0.61458333333333337</v>
      </c>
      <c r="G97" s="2391">
        <v>0.65972222222222221</v>
      </c>
      <c r="H97" s="2391">
        <v>0.65972222222222221</v>
      </c>
      <c r="I97" s="2431">
        <f>0.7*(6*70+3*40)</f>
        <v>378</v>
      </c>
      <c r="J97" s="817" t="s">
        <v>6758</v>
      </c>
      <c r="K97" s="817" t="s">
        <v>119</v>
      </c>
      <c r="L97" s="817" t="s">
        <v>17</v>
      </c>
      <c r="M97" s="839" t="s">
        <v>6053</v>
      </c>
    </row>
    <row r="98" spans="1:13" s="2432" customFormat="1" ht="126.9" customHeight="1" x14ac:dyDescent="0.35">
      <c r="A98" s="2485">
        <v>43873</v>
      </c>
      <c r="B98" s="5" t="s">
        <v>6709</v>
      </c>
      <c r="C98" s="5" t="s">
        <v>6710</v>
      </c>
      <c r="D98" s="2486">
        <v>43875</v>
      </c>
      <c r="E98" s="824" t="s">
        <v>6712</v>
      </c>
      <c r="F98" s="6">
        <v>0.61458333333333337</v>
      </c>
      <c r="G98" s="6">
        <v>0.68055555555555547</v>
      </c>
      <c r="H98" s="6">
        <v>0.68055555555555547</v>
      </c>
      <c r="I98" s="1630" t="s">
        <v>6713</v>
      </c>
      <c r="J98" s="2517" t="s">
        <v>15</v>
      </c>
      <c r="K98" s="817" t="s">
        <v>119</v>
      </c>
      <c r="L98" s="817" t="s">
        <v>22</v>
      </c>
      <c r="M98" s="839" t="s">
        <v>6096</v>
      </c>
    </row>
    <row r="99" spans="1:13" s="2432" customFormat="1" ht="120.65" customHeight="1" x14ac:dyDescent="0.35">
      <c r="A99" s="2485">
        <v>43873</v>
      </c>
      <c r="B99" s="5" t="s">
        <v>6709</v>
      </c>
      <c r="C99" s="5" t="s">
        <v>6714</v>
      </c>
      <c r="D99" s="2486">
        <v>43875</v>
      </c>
      <c r="E99" s="824" t="s">
        <v>6715</v>
      </c>
      <c r="F99" s="6">
        <v>0.61458333333333337</v>
      </c>
      <c r="G99" s="6">
        <v>0.70833333333333337</v>
      </c>
      <c r="H99" s="6">
        <v>0.70833333333333337</v>
      </c>
      <c r="I99" s="1630" t="s">
        <v>6713</v>
      </c>
      <c r="J99" s="2517" t="s">
        <v>15</v>
      </c>
      <c r="K99" s="817" t="s">
        <v>119</v>
      </c>
      <c r="L99" s="817" t="s">
        <v>22</v>
      </c>
      <c r="M99" s="839" t="s">
        <v>6096</v>
      </c>
    </row>
    <row r="100" spans="1:13" s="2432" customFormat="1" ht="107.4" customHeight="1" x14ac:dyDescent="0.35">
      <c r="A100" s="1453">
        <v>43871</v>
      </c>
      <c r="B100" s="5" t="s">
        <v>6608</v>
      </c>
      <c r="C100" s="7" t="s">
        <v>6495</v>
      </c>
      <c r="D100" s="883">
        <v>43875</v>
      </c>
      <c r="E100" s="881" t="s">
        <v>1271</v>
      </c>
      <c r="F100" s="2430">
        <v>0.625</v>
      </c>
      <c r="G100" s="2430">
        <v>0.625</v>
      </c>
      <c r="H100" s="2430">
        <v>0.625</v>
      </c>
      <c r="I100" s="2431">
        <v>0</v>
      </c>
      <c r="J100" s="817" t="s">
        <v>16</v>
      </c>
      <c r="K100" s="817" t="s">
        <v>15</v>
      </c>
      <c r="L100" s="817" t="s">
        <v>17</v>
      </c>
      <c r="M100" s="839" t="s">
        <v>6034</v>
      </c>
    </row>
    <row r="101" spans="1:13" s="2432" customFormat="1" ht="203.15" customHeight="1" x14ac:dyDescent="0.35">
      <c r="A101" s="882">
        <v>43874</v>
      </c>
      <c r="B101" s="7" t="s">
        <v>22</v>
      </c>
      <c r="C101" s="7" t="s">
        <v>6741</v>
      </c>
      <c r="D101" s="883">
        <v>43875</v>
      </c>
      <c r="E101" s="881" t="s">
        <v>5494</v>
      </c>
      <c r="F101" s="2430">
        <v>0.75</v>
      </c>
      <c r="G101" s="2430">
        <v>0.75</v>
      </c>
      <c r="H101" s="2430">
        <v>0.75</v>
      </c>
      <c r="I101" s="2431">
        <v>0</v>
      </c>
      <c r="J101" s="817" t="s">
        <v>6742</v>
      </c>
      <c r="K101" s="817" t="s">
        <v>15</v>
      </c>
      <c r="L101" s="817" t="s">
        <v>22</v>
      </c>
      <c r="M101" s="839" t="s">
        <v>6034</v>
      </c>
    </row>
    <row r="102" spans="1:13" s="2432" customFormat="1" ht="57" customHeight="1" x14ac:dyDescent="0.35">
      <c r="A102" s="806">
        <v>43871</v>
      </c>
      <c r="B102" s="10" t="s">
        <v>6609</v>
      </c>
      <c r="C102" s="10" t="s">
        <v>6613</v>
      </c>
      <c r="D102" s="8">
        <v>43876</v>
      </c>
      <c r="E102" s="823" t="s">
        <v>6768</v>
      </c>
      <c r="F102" s="2430">
        <v>0.39583333333333331</v>
      </c>
      <c r="G102" s="2430">
        <v>0.41666666666666669</v>
      </c>
      <c r="H102" s="2430">
        <v>0.41666666666666669</v>
      </c>
      <c r="I102" s="2390">
        <f>3.5*130</f>
        <v>455</v>
      </c>
      <c r="J102" s="817" t="s">
        <v>4419</v>
      </c>
      <c r="K102" s="817" t="s">
        <v>119</v>
      </c>
      <c r="L102" s="817" t="s">
        <v>17</v>
      </c>
      <c r="M102" s="839" t="s">
        <v>6053</v>
      </c>
    </row>
    <row r="103" spans="1:13" s="2432" customFormat="1" ht="48.9" customHeight="1" x14ac:dyDescent="0.35">
      <c r="A103" s="882">
        <v>43871</v>
      </c>
      <c r="B103" s="7" t="s">
        <v>6614</v>
      </c>
      <c r="C103" s="7" t="s">
        <v>6617</v>
      </c>
      <c r="D103" s="883">
        <v>43876</v>
      </c>
      <c r="E103" s="881" t="s">
        <v>6615</v>
      </c>
      <c r="F103" s="2430">
        <v>0.39583333333333331</v>
      </c>
      <c r="G103" s="2430">
        <v>0.44444444444444442</v>
      </c>
      <c r="H103" s="836">
        <v>0.44444444444444442</v>
      </c>
      <c r="I103" s="2390">
        <v>712.5</v>
      </c>
      <c r="J103" s="817" t="s">
        <v>6616</v>
      </c>
      <c r="K103" s="817" t="s">
        <v>119</v>
      </c>
      <c r="L103" s="817" t="s">
        <v>17</v>
      </c>
      <c r="M103" s="839" t="s">
        <v>6391</v>
      </c>
    </row>
    <row r="104" spans="1:13" s="2432" customFormat="1" ht="75" customHeight="1" x14ac:dyDescent="0.35">
      <c r="A104" s="2422">
        <v>43865</v>
      </c>
      <c r="B104" s="1412" t="s">
        <v>6479</v>
      </c>
      <c r="C104" s="10" t="s">
        <v>6482</v>
      </c>
      <c r="D104" s="8">
        <v>43876</v>
      </c>
      <c r="E104" s="823" t="s">
        <v>6480</v>
      </c>
      <c r="F104" s="2386">
        <v>0.39583333333333331</v>
      </c>
      <c r="G104" s="2386">
        <v>0.45833333333333331</v>
      </c>
      <c r="H104" s="2386">
        <v>0.45833333333333331</v>
      </c>
      <c r="I104" s="2437">
        <v>1360</v>
      </c>
      <c r="J104" s="2518" t="s">
        <v>6481</v>
      </c>
      <c r="K104" s="817" t="s">
        <v>119</v>
      </c>
      <c r="L104" s="817" t="s">
        <v>22</v>
      </c>
      <c r="M104" s="839" t="s">
        <v>6096</v>
      </c>
    </row>
    <row r="105" spans="1:13" s="2432" customFormat="1" ht="129" customHeight="1" x14ac:dyDescent="0.35">
      <c r="A105" s="1453">
        <v>43873</v>
      </c>
      <c r="B105" s="5" t="s">
        <v>5489</v>
      </c>
      <c r="C105" s="5" t="s">
        <v>6767</v>
      </c>
      <c r="D105" s="908">
        <v>43876</v>
      </c>
      <c r="E105" s="824" t="s">
        <v>5489</v>
      </c>
      <c r="F105" s="2391">
        <v>0.39583333333333331</v>
      </c>
      <c r="G105" s="2391">
        <v>0.51388888888888895</v>
      </c>
      <c r="H105" s="2391">
        <v>0.51388888888888895</v>
      </c>
      <c r="I105" s="2431">
        <v>0</v>
      </c>
      <c r="J105" s="817" t="s">
        <v>6948</v>
      </c>
      <c r="K105" s="817" t="s">
        <v>119</v>
      </c>
      <c r="L105" s="817" t="s">
        <v>17</v>
      </c>
      <c r="M105" s="839" t="s">
        <v>5489</v>
      </c>
    </row>
    <row r="106" spans="1:13" s="2432" customFormat="1" ht="57" customHeight="1" x14ac:dyDescent="0.35">
      <c r="A106" s="1453">
        <v>43875</v>
      </c>
      <c r="B106" s="5" t="s">
        <v>6777</v>
      </c>
      <c r="C106" s="5" t="s">
        <v>6778</v>
      </c>
      <c r="D106" s="908">
        <v>43876</v>
      </c>
      <c r="E106" s="824" t="s">
        <v>5494</v>
      </c>
      <c r="F106" s="2391">
        <v>0.5</v>
      </c>
      <c r="G106" s="2391">
        <v>0.5</v>
      </c>
      <c r="H106" s="2391">
        <v>0.5</v>
      </c>
      <c r="I106" s="2431">
        <f>1.6*80</f>
        <v>128</v>
      </c>
      <c r="J106" s="817" t="s">
        <v>6779</v>
      </c>
      <c r="K106" s="817" t="s">
        <v>15</v>
      </c>
      <c r="L106" s="817" t="s">
        <v>17</v>
      </c>
      <c r="M106" s="839" t="s">
        <v>5367</v>
      </c>
    </row>
    <row r="107" spans="1:13" s="2432" customFormat="1" ht="254.15" customHeight="1" x14ac:dyDescent="0.35">
      <c r="A107" s="806">
        <v>43873</v>
      </c>
      <c r="B107" s="10" t="s">
        <v>6690</v>
      </c>
      <c r="C107" s="10" t="s">
        <v>6753</v>
      </c>
      <c r="D107" s="8">
        <v>43876</v>
      </c>
      <c r="E107" s="2559" t="s">
        <v>1731</v>
      </c>
      <c r="F107" s="6">
        <v>0.54166666666666663</v>
      </c>
      <c r="G107" s="2391">
        <v>0.56944444444444442</v>
      </c>
      <c r="H107" s="2391">
        <v>0.56944444444444442</v>
      </c>
      <c r="I107" s="2431">
        <f>200+70*125/1000*65+65*3*4.8</f>
        <v>1704.75</v>
      </c>
      <c r="J107" s="817" t="s">
        <v>6754</v>
      </c>
      <c r="K107" s="817" t="s">
        <v>119</v>
      </c>
      <c r="L107" s="817" t="s">
        <v>17</v>
      </c>
      <c r="M107" s="839" t="s">
        <v>2077</v>
      </c>
    </row>
    <row r="108" spans="1:13" s="2399" customFormat="1" ht="122.15" customHeight="1" x14ac:dyDescent="0.35">
      <c r="A108" s="2494">
        <v>43873</v>
      </c>
      <c r="B108" s="2482" t="s">
        <v>6746</v>
      </c>
      <c r="C108" s="2482" t="s">
        <v>6745</v>
      </c>
      <c r="D108" s="2495">
        <v>43876</v>
      </c>
      <c r="E108" s="2483" t="s">
        <v>6670</v>
      </c>
      <c r="F108" s="2391">
        <v>0.54166666666666663</v>
      </c>
      <c r="G108" s="2484">
        <v>0.59375</v>
      </c>
      <c r="H108" s="2484">
        <v>0.59375</v>
      </c>
      <c r="I108" s="2529">
        <v>0</v>
      </c>
      <c r="J108" s="1430" t="s">
        <v>6671</v>
      </c>
      <c r="K108" s="817" t="s">
        <v>119</v>
      </c>
      <c r="L108" s="817" t="s">
        <v>22</v>
      </c>
      <c r="M108" s="839" t="s">
        <v>6096</v>
      </c>
    </row>
    <row r="109" spans="1:13" s="2399" customFormat="1" ht="54.65" customHeight="1" x14ac:dyDescent="0.35">
      <c r="A109" s="2489">
        <v>43871</v>
      </c>
      <c r="B109" s="2490" t="s">
        <v>6604</v>
      </c>
      <c r="C109" s="2490" t="s">
        <v>6605</v>
      </c>
      <c r="D109" s="2491">
        <v>43876</v>
      </c>
      <c r="E109" s="2492" t="s">
        <v>6606</v>
      </c>
      <c r="F109" s="2493">
        <v>0.54166666666666663</v>
      </c>
      <c r="G109" s="2493">
        <v>0.61805555555555558</v>
      </c>
      <c r="H109" s="2493">
        <v>0.61805555555555558</v>
      </c>
      <c r="I109" s="2529">
        <f>2*90 + 15</f>
        <v>195</v>
      </c>
      <c r="J109" s="2490" t="s">
        <v>6607</v>
      </c>
      <c r="K109" s="817" t="s">
        <v>119</v>
      </c>
      <c r="L109" s="7" t="s">
        <v>17</v>
      </c>
      <c r="M109" s="809" t="s">
        <v>2084</v>
      </c>
    </row>
    <row r="110" spans="1:13" s="2399" customFormat="1" ht="57" customHeight="1" x14ac:dyDescent="0.35">
      <c r="A110" s="2549">
        <v>43843</v>
      </c>
      <c r="B110" s="2488" t="s">
        <v>6769</v>
      </c>
      <c r="C110" s="2550" t="s">
        <v>6774</v>
      </c>
      <c r="D110" s="2551">
        <v>43876</v>
      </c>
      <c r="E110" s="2552" t="s">
        <v>6772</v>
      </c>
      <c r="F110" s="2553">
        <v>0.64583333333333337</v>
      </c>
      <c r="G110" s="2553">
        <v>0.67361111111111116</v>
      </c>
      <c r="H110" s="2553">
        <v>0.67361111111111116</v>
      </c>
      <c r="I110" s="2554">
        <v>1000</v>
      </c>
      <c r="J110" s="2488" t="s">
        <v>6770</v>
      </c>
      <c r="K110" s="817" t="s">
        <v>140</v>
      </c>
      <c r="L110" s="817" t="s">
        <v>17</v>
      </c>
      <c r="M110" s="839" t="s">
        <v>6045</v>
      </c>
    </row>
    <row r="111" spans="1:13" s="2399" customFormat="1" ht="94.5" customHeight="1" x14ac:dyDescent="0.35">
      <c r="A111" s="2556">
        <v>43853</v>
      </c>
      <c r="B111" s="2557" t="s">
        <v>6189</v>
      </c>
      <c r="C111" s="2550" t="s">
        <v>6775</v>
      </c>
      <c r="D111" s="2558">
        <v>43876</v>
      </c>
      <c r="E111" s="2552" t="s">
        <v>6773</v>
      </c>
      <c r="F111" s="2487">
        <v>0.64583333333333337</v>
      </c>
      <c r="G111" s="2487">
        <v>0.72916666666666663</v>
      </c>
      <c r="H111" s="2487">
        <v>0.73541666666666661</v>
      </c>
      <c r="I111" s="2529">
        <v>2000</v>
      </c>
      <c r="J111" s="2482" t="s">
        <v>6292</v>
      </c>
      <c r="K111" s="817" t="s">
        <v>140</v>
      </c>
      <c r="L111" s="5" t="s">
        <v>17</v>
      </c>
      <c r="M111" s="807" t="s">
        <v>6045</v>
      </c>
    </row>
    <row r="112" spans="1:13" s="2399" customFormat="1" ht="304.5" x14ac:dyDescent="0.35">
      <c r="A112" s="2523">
        <v>43869</v>
      </c>
      <c r="B112" s="2525" t="s">
        <v>6553</v>
      </c>
      <c r="C112" s="2525" t="s">
        <v>6732</v>
      </c>
      <c r="D112" s="2526">
        <v>43876</v>
      </c>
      <c r="E112" s="2552" t="s">
        <v>6771</v>
      </c>
      <c r="F112" s="2560">
        <v>0.68055555555555547</v>
      </c>
      <c r="G112" s="2560">
        <v>0.70138888888888884</v>
      </c>
      <c r="H112" s="2560">
        <v>0.70138888888888884</v>
      </c>
      <c r="I112" s="2561">
        <f>4877+468</f>
        <v>5345</v>
      </c>
      <c r="J112" s="2562" t="s">
        <v>6733</v>
      </c>
      <c r="K112" s="817" t="s">
        <v>119</v>
      </c>
      <c r="L112" s="1412" t="s">
        <v>17</v>
      </c>
      <c r="M112" s="2462" t="s">
        <v>6045</v>
      </c>
    </row>
    <row r="113" spans="1:17" s="2432" customFormat="1" ht="143.4" customHeight="1" x14ac:dyDescent="0.35">
      <c r="A113" s="882">
        <v>43872</v>
      </c>
      <c r="B113" s="7" t="s">
        <v>6660</v>
      </c>
      <c r="C113" s="7" t="s">
        <v>6661</v>
      </c>
      <c r="D113" s="883">
        <v>43876</v>
      </c>
      <c r="E113" s="836" t="s">
        <v>5494</v>
      </c>
      <c r="F113" s="2430">
        <v>0.70833333333333337</v>
      </c>
      <c r="G113" s="2430">
        <v>0.70833333333333337</v>
      </c>
      <c r="H113" s="2430">
        <v>0.70833333333333337</v>
      </c>
      <c r="I113" s="2431">
        <v>90</v>
      </c>
      <c r="J113" s="7" t="s">
        <v>6662</v>
      </c>
      <c r="K113" s="817" t="s">
        <v>15</v>
      </c>
      <c r="L113" s="7" t="s">
        <v>17</v>
      </c>
      <c r="M113" s="809" t="s">
        <v>5367</v>
      </c>
    </row>
    <row r="114" spans="1:17" s="2432" customFormat="1" ht="87.9" customHeight="1" x14ac:dyDescent="0.35">
      <c r="A114" s="1453">
        <v>43870</v>
      </c>
      <c r="B114" s="5" t="s">
        <v>6584</v>
      </c>
      <c r="C114" s="7" t="s">
        <v>6776</v>
      </c>
      <c r="D114" s="883">
        <v>43876</v>
      </c>
      <c r="E114" s="881" t="s">
        <v>1271</v>
      </c>
      <c r="F114" s="2430">
        <v>0.75</v>
      </c>
      <c r="G114" s="2430">
        <v>0.75</v>
      </c>
      <c r="H114" s="2430">
        <v>0.75</v>
      </c>
      <c r="I114" s="2389">
        <v>0</v>
      </c>
      <c r="J114" s="817" t="s">
        <v>6585</v>
      </c>
      <c r="K114" s="817" t="s">
        <v>15</v>
      </c>
      <c r="L114" s="817" t="s">
        <v>17</v>
      </c>
      <c r="M114" s="839" t="s">
        <v>6034</v>
      </c>
    </row>
    <row r="115" spans="1:17" s="2432" customFormat="1" ht="88.5" customHeight="1" x14ac:dyDescent="0.35">
      <c r="A115" s="882">
        <v>43865</v>
      </c>
      <c r="B115" s="7" t="s">
        <v>6487</v>
      </c>
      <c r="C115" s="7" t="s">
        <v>6488</v>
      </c>
      <c r="D115" s="883">
        <v>43876</v>
      </c>
      <c r="E115" s="836">
        <v>0.79166666666666663</v>
      </c>
      <c r="F115" s="2430">
        <v>0.79166666666666663</v>
      </c>
      <c r="G115" s="2430">
        <v>0.79166666666666663</v>
      </c>
      <c r="H115" s="2430">
        <v>0.79166666666666663</v>
      </c>
      <c r="I115" s="2431">
        <v>130</v>
      </c>
      <c r="J115" s="1154" t="s">
        <v>6489</v>
      </c>
      <c r="K115" s="817" t="s">
        <v>15</v>
      </c>
      <c r="L115" s="817" t="s">
        <v>17</v>
      </c>
      <c r="M115" s="839" t="s">
        <v>5367</v>
      </c>
    </row>
    <row r="116" spans="1:17" s="2432" customFormat="1" ht="174" x14ac:dyDescent="0.35">
      <c r="A116" s="1994">
        <v>43874</v>
      </c>
      <c r="B116" s="7" t="s">
        <v>6721</v>
      </c>
      <c r="C116" s="7" t="s">
        <v>6720</v>
      </c>
      <c r="D116" s="1899">
        <v>43877</v>
      </c>
      <c r="E116" s="881" t="s">
        <v>6723</v>
      </c>
      <c r="F116" s="836">
        <v>0.39583333333333331</v>
      </c>
      <c r="G116" s="836">
        <v>0.42708333333333331</v>
      </c>
      <c r="H116" s="836">
        <v>0.42708333333333331</v>
      </c>
      <c r="I116" s="1630">
        <v>150</v>
      </c>
      <c r="J116" s="7" t="s">
        <v>6722</v>
      </c>
      <c r="K116" s="7" t="s">
        <v>17</v>
      </c>
      <c r="L116" s="7" t="s">
        <v>17</v>
      </c>
      <c r="M116" s="809" t="s">
        <v>6041</v>
      </c>
    </row>
    <row r="117" spans="1:17" s="2432" customFormat="1" ht="159.9" customHeight="1" x14ac:dyDescent="0.35">
      <c r="A117" s="2101">
        <v>43870</v>
      </c>
      <c r="B117" s="1412" t="s">
        <v>6595</v>
      </c>
      <c r="C117" s="10" t="s">
        <v>6731</v>
      </c>
      <c r="D117" s="1957">
        <v>43877</v>
      </c>
      <c r="E117" s="823" t="s">
        <v>6176</v>
      </c>
      <c r="F117" s="1154">
        <v>0.39583333333333331</v>
      </c>
      <c r="G117" s="1154">
        <v>0.44791666666666669</v>
      </c>
      <c r="H117" s="1154">
        <v>0.44791666666666669</v>
      </c>
      <c r="I117" s="1956">
        <v>500</v>
      </c>
      <c r="J117" s="817" t="s">
        <v>257</v>
      </c>
      <c r="K117" s="7" t="s">
        <v>17</v>
      </c>
      <c r="L117" s="817" t="s">
        <v>22</v>
      </c>
      <c r="M117" s="839" t="s">
        <v>6096</v>
      </c>
    </row>
    <row r="118" spans="1:17" s="2432" customFormat="1" ht="221.4" customHeight="1" x14ac:dyDescent="0.35">
      <c r="A118" s="1994">
        <v>43873</v>
      </c>
      <c r="B118" s="7" t="s">
        <v>6694</v>
      </c>
      <c r="C118" s="7" t="s">
        <v>6695</v>
      </c>
      <c r="D118" s="1899">
        <v>43877</v>
      </c>
      <c r="E118" s="881" t="s">
        <v>6696</v>
      </c>
      <c r="F118" s="836">
        <v>0.52083333333333337</v>
      </c>
      <c r="G118" s="836">
        <v>0.54166666666666663</v>
      </c>
      <c r="H118" s="836">
        <v>0.54166666666666663</v>
      </c>
      <c r="I118" s="1630">
        <v>240</v>
      </c>
      <c r="J118" s="817" t="s">
        <v>6697</v>
      </c>
      <c r="K118" s="7" t="s">
        <v>17</v>
      </c>
      <c r="L118" s="817" t="s">
        <v>17</v>
      </c>
      <c r="M118" s="839" t="s">
        <v>6041</v>
      </c>
    </row>
    <row r="119" spans="1:17" s="2432" customFormat="1" ht="350.4" customHeight="1" x14ac:dyDescent="0.35">
      <c r="A119" s="2485">
        <v>43873</v>
      </c>
      <c r="B119" s="5" t="s">
        <v>5489</v>
      </c>
      <c r="C119" s="5" t="s">
        <v>6692</v>
      </c>
      <c r="D119" s="2486">
        <v>43877</v>
      </c>
      <c r="E119" s="824" t="s">
        <v>5489</v>
      </c>
      <c r="F119" s="6">
        <v>0.52083333333333337</v>
      </c>
      <c r="G119" s="6">
        <v>0.5625</v>
      </c>
      <c r="H119" s="6">
        <v>0.5625</v>
      </c>
      <c r="I119" s="1630">
        <v>550</v>
      </c>
      <c r="J119" s="817" t="s">
        <v>6501</v>
      </c>
      <c r="K119" s="7" t="s">
        <v>17</v>
      </c>
      <c r="L119" s="817" t="s">
        <v>17</v>
      </c>
      <c r="M119" s="839" t="s">
        <v>5489</v>
      </c>
    </row>
    <row r="120" spans="1:17" s="2432" customFormat="1" ht="261.64999999999998" customHeight="1" x14ac:dyDescent="0.35">
      <c r="A120" s="1830">
        <v>43873</v>
      </c>
      <c r="B120" s="10" t="s">
        <v>5489</v>
      </c>
      <c r="C120" s="10" t="s">
        <v>6766</v>
      </c>
      <c r="D120" s="1808">
        <v>43877</v>
      </c>
      <c r="E120" s="823" t="s">
        <v>5489</v>
      </c>
      <c r="F120" s="6">
        <v>0.52083333333333337</v>
      </c>
      <c r="G120" s="6">
        <v>0.5625</v>
      </c>
      <c r="H120" s="6">
        <v>0.5625</v>
      </c>
      <c r="I120" s="1630">
        <v>700</v>
      </c>
      <c r="J120" s="817" t="s">
        <v>6501</v>
      </c>
      <c r="K120" s="7" t="s">
        <v>17</v>
      </c>
      <c r="L120" s="817" t="s">
        <v>17</v>
      </c>
      <c r="M120" s="839" t="s">
        <v>5489</v>
      </c>
    </row>
    <row r="121" spans="1:17" s="2432" customFormat="1" ht="81.650000000000006" customHeight="1" x14ac:dyDescent="0.35">
      <c r="A121" s="2497">
        <v>43870</v>
      </c>
      <c r="B121" s="2452" t="s">
        <v>4051</v>
      </c>
      <c r="C121" s="2450" t="s">
        <v>6593</v>
      </c>
      <c r="D121" s="2498">
        <v>43877</v>
      </c>
      <c r="E121" s="2451" t="s">
        <v>290</v>
      </c>
      <c r="F121" s="2499">
        <v>0.52083333333333337</v>
      </c>
      <c r="G121" s="2500">
        <v>0.60416666666666663</v>
      </c>
      <c r="H121" s="2500">
        <v>0.60416666666666663</v>
      </c>
      <c r="I121" s="2476">
        <v>2162.5</v>
      </c>
      <c r="J121" s="2454" t="s">
        <v>6594</v>
      </c>
      <c r="K121" s="7" t="s">
        <v>17</v>
      </c>
      <c r="L121" s="817" t="s">
        <v>974</v>
      </c>
      <c r="M121" s="839" t="s">
        <v>6627</v>
      </c>
    </row>
    <row r="122" spans="1:17" s="2432" customFormat="1" ht="289.5" customHeight="1" x14ac:dyDescent="0.35">
      <c r="A122" s="2497">
        <v>43871</v>
      </c>
      <c r="B122" s="2452" t="s">
        <v>4051</v>
      </c>
      <c r="C122" s="2450" t="s">
        <v>6626</v>
      </c>
      <c r="D122" s="2498">
        <v>43877</v>
      </c>
      <c r="E122" s="2451" t="s">
        <v>290</v>
      </c>
      <c r="F122" s="2499">
        <v>0.52083333333333337</v>
      </c>
      <c r="G122" s="2500">
        <v>0.60416666666666663</v>
      </c>
      <c r="H122" s="2500">
        <v>0.52083333333333337</v>
      </c>
      <c r="I122" s="2476">
        <v>0</v>
      </c>
      <c r="J122" s="2455" t="s">
        <v>6628</v>
      </c>
      <c r="K122" s="7" t="s">
        <v>17</v>
      </c>
      <c r="L122" s="817" t="s">
        <v>974</v>
      </c>
      <c r="M122" s="839" t="s">
        <v>6627</v>
      </c>
    </row>
    <row r="123" spans="1:17" s="2432" customFormat="1" ht="157.5" customHeight="1" x14ac:dyDescent="0.35">
      <c r="A123" s="2485">
        <v>43875</v>
      </c>
      <c r="B123" s="5" t="s">
        <v>6739</v>
      </c>
      <c r="C123" s="7" t="s">
        <v>6495</v>
      </c>
      <c r="D123" s="1899">
        <v>43877</v>
      </c>
      <c r="E123" s="881" t="s">
        <v>1271</v>
      </c>
      <c r="F123" s="836">
        <v>0.6875</v>
      </c>
      <c r="G123" s="836">
        <v>0.6875</v>
      </c>
      <c r="H123" s="836">
        <v>0.6875</v>
      </c>
      <c r="I123" s="1100">
        <v>0</v>
      </c>
      <c r="J123" s="817" t="s">
        <v>16</v>
      </c>
      <c r="K123" s="817" t="s">
        <v>17</v>
      </c>
      <c r="L123" s="817" t="s">
        <v>17</v>
      </c>
      <c r="M123" s="839" t="s">
        <v>6034</v>
      </c>
    </row>
    <row r="124" spans="1:17" s="2432" customFormat="1" ht="141" customHeight="1" x14ac:dyDescent="0.35">
      <c r="A124" s="882">
        <v>43874</v>
      </c>
      <c r="B124" s="7" t="s">
        <v>4468</v>
      </c>
      <c r="C124" s="7" t="s">
        <v>6796</v>
      </c>
      <c r="D124" s="883">
        <v>43878</v>
      </c>
      <c r="E124" s="881" t="s">
        <v>4468</v>
      </c>
      <c r="F124" s="2430">
        <v>0.39583333333333331</v>
      </c>
      <c r="G124" s="2430">
        <v>0.42708333333333331</v>
      </c>
      <c r="H124" s="2430">
        <v>0.42708333333333331</v>
      </c>
      <c r="I124" s="2431">
        <f>13*9</f>
        <v>117</v>
      </c>
      <c r="J124" s="7" t="s">
        <v>1404</v>
      </c>
      <c r="K124" s="7" t="s">
        <v>140</v>
      </c>
      <c r="L124" s="7" t="s">
        <v>17</v>
      </c>
      <c r="M124" s="809" t="s">
        <v>4468</v>
      </c>
    </row>
    <row r="125" spans="1:17" s="2432" customFormat="1" ht="409.6" customHeight="1" x14ac:dyDescent="0.35">
      <c r="A125" s="882">
        <v>43878</v>
      </c>
      <c r="B125" s="7" t="s">
        <v>22</v>
      </c>
      <c r="C125" s="7" t="s">
        <v>6798</v>
      </c>
      <c r="D125" s="883">
        <v>43878</v>
      </c>
      <c r="E125" s="881" t="s">
        <v>22</v>
      </c>
      <c r="F125" s="2430"/>
      <c r="G125" s="2430">
        <v>0.75</v>
      </c>
      <c r="H125" s="2430">
        <v>0.75</v>
      </c>
      <c r="I125" s="2431">
        <v>269</v>
      </c>
      <c r="J125" s="817" t="s">
        <v>6797</v>
      </c>
      <c r="K125" s="2519"/>
      <c r="L125" s="817" t="s">
        <v>974</v>
      </c>
      <c r="M125" s="2520"/>
      <c r="Q125" s="2432" t="s">
        <v>994</v>
      </c>
    </row>
    <row r="126" spans="1:17" s="2432" customFormat="1" ht="266.14999999999998" customHeight="1" x14ac:dyDescent="0.35">
      <c r="A126" s="2485">
        <v>43878</v>
      </c>
      <c r="B126" s="5" t="s">
        <v>6320</v>
      </c>
      <c r="C126" s="7" t="s">
        <v>6799</v>
      </c>
      <c r="D126" s="1899">
        <v>43879</v>
      </c>
      <c r="E126" s="881" t="s">
        <v>6800</v>
      </c>
      <c r="F126" s="836" t="s">
        <v>15</v>
      </c>
      <c r="G126" s="836">
        <v>0.75</v>
      </c>
      <c r="H126" s="836">
        <v>0.75</v>
      </c>
      <c r="I126" s="1630">
        <v>249</v>
      </c>
      <c r="J126" s="817" t="s">
        <v>257</v>
      </c>
      <c r="K126" s="817" t="s">
        <v>119</v>
      </c>
      <c r="L126" s="817" t="s">
        <v>17</v>
      </c>
      <c r="M126" s="839" t="s">
        <v>5489</v>
      </c>
    </row>
    <row r="127" spans="1:17" s="2432" customFormat="1" ht="409.6" customHeight="1" x14ac:dyDescent="0.35">
      <c r="A127" s="882">
        <v>43876</v>
      </c>
      <c r="B127" s="7" t="s">
        <v>911</v>
      </c>
      <c r="C127" s="7" t="s">
        <v>6790</v>
      </c>
      <c r="D127" s="883">
        <v>43879</v>
      </c>
      <c r="E127" s="881" t="s">
        <v>6789</v>
      </c>
      <c r="F127" s="2430">
        <v>0.375</v>
      </c>
      <c r="G127" s="2430">
        <v>0.39583333333333331</v>
      </c>
      <c r="H127" s="2430">
        <v>0.39583333333333331</v>
      </c>
      <c r="I127" s="2431">
        <v>0</v>
      </c>
      <c r="J127" s="7" t="s">
        <v>119</v>
      </c>
      <c r="K127" s="7" t="s">
        <v>17</v>
      </c>
      <c r="L127" s="7" t="s">
        <v>17</v>
      </c>
      <c r="M127" s="809" t="s">
        <v>6788</v>
      </c>
    </row>
    <row r="128" spans="1:17" s="2432" customFormat="1" ht="139.5" customHeight="1" x14ac:dyDescent="0.35">
      <c r="A128" s="882">
        <v>43878</v>
      </c>
      <c r="B128" s="7" t="s">
        <v>6815</v>
      </c>
      <c r="C128" s="7" t="s">
        <v>6817</v>
      </c>
      <c r="D128" s="883">
        <v>43879</v>
      </c>
      <c r="E128" s="881" t="s">
        <v>6816</v>
      </c>
      <c r="F128" s="2430">
        <v>0.45833333333333331</v>
      </c>
      <c r="G128" s="2430">
        <v>0.47916666666666669</v>
      </c>
      <c r="H128" s="2430">
        <v>0.47916666666666669</v>
      </c>
      <c r="I128" s="2431">
        <v>0</v>
      </c>
      <c r="J128" s="7" t="s">
        <v>119</v>
      </c>
      <c r="K128" s="1154" t="s">
        <v>119</v>
      </c>
      <c r="L128" s="817" t="s">
        <v>17</v>
      </c>
      <c r="M128" s="839" t="s">
        <v>6788</v>
      </c>
    </row>
    <row r="129" spans="1:13" s="2432" customFormat="1" ht="183.65" customHeight="1" x14ac:dyDescent="0.35">
      <c r="A129" s="882">
        <v>43876</v>
      </c>
      <c r="B129" s="7" t="s">
        <v>6608</v>
      </c>
      <c r="C129" s="7" t="s">
        <v>6783</v>
      </c>
      <c r="D129" s="883">
        <v>43879</v>
      </c>
      <c r="E129" s="881" t="s">
        <v>6784</v>
      </c>
      <c r="F129" s="2430">
        <v>0.45833333333333331</v>
      </c>
      <c r="G129" s="2430">
        <v>0.52083333333333337</v>
      </c>
      <c r="H129" s="2430">
        <v>0.52083333333333337</v>
      </c>
      <c r="I129" s="2431">
        <v>0</v>
      </c>
      <c r="J129" s="7" t="s">
        <v>119</v>
      </c>
      <c r="K129" s="817" t="s">
        <v>15</v>
      </c>
      <c r="L129" s="817" t="s">
        <v>6046</v>
      </c>
      <c r="M129" s="839" t="s">
        <v>6034</v>
      </c>
    </row>
    <row r="130" spans="1:13" s="2432" customFormat="1" ht="383.4" customHeight="1" x14ac:dyDescent="0.35">
      <c r="A130" s="882">
        <v>43867</v>
      </c>
      <c r="B130" s="7" t="s">
        <v>20</v>
      </c>
      <c r="C130" s="7" t="s">
        <v>6533</v>
      </c>
      <c r="D130" s="883">
        <v>43880</v>
      </c>
      <c r="E130" s="881" t="s">
        <v>20</v>
      </c>
      <c r="F130" s="2430" t="s">
        <v>15</v>
      </c>
      <c r="G130" s="2430" t="s">
        <v>15</v>
      </c>
      <c r="H130" s="2430" t="s">
        <v>15</v>
      </c>
      <c r="I130" s="2431">
        <v>0</v>
      </c>
      <c r="J130" s="817" t="s">
        <v>15</v>
      </c>
      <c r="K130" s="817" t="s">
        <v>15</v>
      </c>
      <c r="L130" s="817" t="s">
        <v>17</v>
      </c>
      <c r="M130" s="839" t="s">
        <v>20</v>
      </c>
    </row>
    <row r="131" spans="1:13" s="2432" customFormat="1" ht="126" customHeight="1" x14ac:dyDescent="0.35">
      <c r="A131" s="882">
        <v>43871</v>
      </c>
      <c r="B131" s="7" t="s">
        <v>20</v>
      </c>
      <c r="C131" s="7" t="s">
        <v>6598</v>
      </c>
      <c r="D131" s="883">
        <v>43880</v>
      </c>
      <c r="E131" s="881" t="s">
        <v>15</v>
      </c>
      <c r="F131" s="2430" t="s">
        <v>15</v>
      </c>
      <c r="G131" s="2430" t="s">
        <v>15</v>
      </c>
      <c r="H131" s="2430" t="s">
        <v>15</v>
      </c>
      <c r="I131" s="2431">
        <v>0</v>
      </c>
      <c r="J131" s="7" t="s">
        <v>6034</v>
      </c>
      <c r="K131" s="7" t="s">
        <v>15</v>
      </c>
      <c r="L131" s="7" t="s">
        <v>17</v>
      </c>
      <c r="M131" s="809" t="s">
        <v>6034</v>
      </c>
    </row>
    <row r="132" spans="1:13" s="2432" customFormat="1" ht="62.4" customHeight="1" x14ac:dyDescent="0.35">
      <c r="A132" s="852">
        <v>43871</v>
      </c>
      <c r="B132" s="817" t="s">
        <v>20</v>
      </c>
      <c r="C132" s="817" t="s">
        <v>6601</v>
      </c>
      <c r="D132" s="1223">
        <v>43880</v>
      </c>
      <c r="E132" s="1149" t="s">
        <v>20</v>
      </c>
      <c r="F132" s="2386" t="s">
        <v>15</v>
      </c>
      <c r="G132" s="2386" t="s">
        <v>15</v>
      </c>
      <c r="H132" s="2386" t="s">
        <v>15</v>
      </c>
      <c r="I132" s="2387">
        <v>0</v>
      </c>
      <c r="J132" s="817" t="s">
        <v>6602</v>
      </c>
      <c r="K132" s="2386" t="s">
        <v>15</v>
      </c>
      <c r="L132" s="817" t="s">
        <v>17</v>
      </c>
      <c r="M132" s="839" t="s">
        <v>20</v>
      </c>
    </row>
    <row r="133" spans="1:13" s="2432" customFormat="1" ht="177.65" customHeight="1" x14ac:dyDescent="0.35">
      <c r="A133" s="1453">
        <v>43878</v>
      </c>
      <c r="B133" s="5" t="s">
        <v>6808</v>
      </c>
      <c r="C133" s="5" t="s">
        <v>6809</v>
      </c>
      <c r="D133" s="908">
        <v>43881</v>
      </c>
      <c r="E133" s="824" t="s">
        <v>6810</v>
      </c>
      <c r="F133" s="2391">
        <v>0.39583333333333331</v>
      </c>
      <c r="G133" s="2430">
        <v>0.4375</v>
      </c>
      <c r="H133" s="2430">
        <v>0.4375</v>
      </c>
      <c r="I133" s="2390">
        <v>607.5</v>
      </c>
      <c r="J133" s="7" t="s">
        <v>6811</v>
      </c>
      <c r="K133" s="7" t="s">
        <v>119</v>
      </c>
      <c r="L133" s="817" t="s">
        <v>17</v>
      </c>
      <c r="M133" s="839" t="s">
        <v>6391</v>
      </c>
    </row>
    <row r="134" spans="1:13" s="2432" customFormat="1" ht="320.39999999999998" customHeight="1" x14ac:dyDescent="0.35">
      <c r="A134" s="2485">
        <v>43880</v>
      </c>
      <c r="B134" s="5" t="s">
        <v>6846</v>
      </c>
      <c r="C134" s="5" t="s">
        <v>6850</v>
      </c>
      <c r="D134" s="2486">
        <v>43881</v>
      </c>
      <c r="E134" s="824" t="s">
        <v>6847</v>
      </c>
      <c r="F134" s="6">
        <v>0.39583333333333331</v>
      </c>
      <c r="G134" s="6">
        <v>0.47916666666666669</v>
      </c>
      <c r="H134" s="6">
        <v>0.47916666666666669</v>
      </c>
      <c r="I134" s="1100">
        <v>0</v>
      </c>
      <c r="J134" s="817" t="s">
        <v>6848</v>
      </c>
      <c r="K134" s="817" t="s">
        <v>119</v>
      </c>
      <c r="L134" s="817" t="s">
        <v>17</v>
      </c>
      <c r="M134" s="839" t="s">
        <v>6849</v>
      </c>
    </row>
    <row r="135" spans="1:13" s="2432" customFormat="1" ht="93.9" customHeight="1" x14ac:dyDescent="0.35">
      <c r="A135" s="2485">
        <v>43880</v>
      </c>
      <c r="B135" s="5" t="s">
        <v>6841</v>
      </c>
      <c r="C135" s="5" t="s">
        <v>6840</v>
      </c>
      <c r="D135" s="2486">
        <v>43881</v>
      </c>
      <c r="E135" s="824" t="s">
        <v>6842</v>
      </c>
      <c r="F135" s="6">
        <v>0.39583333333333331</v>
      </c>
      <c r="G135" s="6">
        <v>0.51041666666666663</v>
      </c>
      <c r="H135" s="6">
        <v>0.53125</v>
      </c>
      <c r="I135" s="1630">
        <v>144</v>
      </c>
      <c r="J135" s="817" t="s">
        <v>257</v>
      </c>
      <c r="K135" s="817" t="s">
        <v>119</v>
      </c>
      <c r="L135" s="817" t="s">
        <v>17</v>
      </c>
      <c r="M135" s="839" t="s">
        <v>2084</v>
      </c>
    </row>
    <row r="136" spans="1:13" s="2432" customFormat="1" ht="144.9" customHeight="1" x14ac:dyDescent="0.35">
      <c r="A136" s="2485">
        <v>43880</v>
      </c>
      <c r="B136" s="5" t="s">
        <v>6853</v>
      </c>
      <c r="C136" s="5" t="s">
        <v>6850</v>
      </c>
      <c r="D136" s="2486">
        <v>43881</v>
      </c>
      <c r="E136" s="824" t="s">
        <v>6852</v>
      </c>
      <c r="F136" s="6">
        <v>0.39583333333333331</v>
      </c>
      <c r="G136" s="6">
        <v>0.5625</v>
      </c>
      <c r="H136" s="6">
        <v>0.5625</v>
      </c>
      <c r="I136" s="1100">
        <v>0</v>
      </c>
      <c r="J136" s="817" t="s">
        <v>6848</v>
      </c>
      <c r="K136" s="817" t="s">
        <v>119</v>
      </c>
      <c r="L136" s="817" t="s">
        <v>17</v>
      </c>
      <c r="M136" s="839" t="s">
        <v>6849</v>
      </c>
    </row>
    <row r="137" spans="1:13" s="2432" customFormat="1" ht="93.9" customHeight="1" x14ac:dyDescent="0.35">
      <c r="A137" s="2485">
        <v>43880</v>
      </c>
      <c r="B137" s="5" t="s">
        <v>6854</v>
      </c>
      <c r="C137" s="5" t="s">
        <v>6850</v>
      </c>
      <c r="D137" s="2486">
        <v>43881</v>
      </c>
      <c r="E137" s="824" t="s">
        <v>6855</v>
      </c>
      <c r="F137" s="6">
        <v>0.39583333333333331</v>
      </c>
      <c r="G137" s="6">
        <v>0.59375</v>
      </c>
      <c r="H137" s="6">
        <v>0.63541666666666663</v>
      </c>
      <c r="I137" s="1100">
        <v>0</v>
      </c>
      <c r="J137" s="817" t="s">
        <v>6848</v>
      </c>
      <c r="K137" s="817" t="s">
        <v>119</v>
      </c>
      <c r="L137" s="817" t="s">
        <v>17</v>
      </c>
      <c r="M137" s="839" t="s">
        <v>6849</v>
      </c>
    </row>
    <row r="138" spans="1:13" s="2432" customFormat="1" ht="117.65" customHeight="1" x14ac:dyDescent="0.35">
      <c r="A138" s="2485">
        <v>43880</v>
      </c>
      <c r="B138" s="5" t="s">
        <v>6866</v>
      </c>
      <c r="C138" s="5" t="s">
        <v>6856</v>
      </c>
      <c r="D138" s="2486">
        <v>43881</v>
      </c>
      <c r="E138" s="824" t="s">
        <v>6857</v>
      </c>
      <c r="F138" s="6">
        <v>0.39583333333333331</v>
      </c>
      <c r="G138" s="6">
        <v>0.625</v>
      </c>
      <c r="H138" s="6">
        <v>0.625</v>
      </c>
      <c r="I138" s="1100">
        <f>100*(4*1.6+1)</f>
        <v>740</v>
      </c>
      <c r="J138" s="817" t="s">
        <v>6848</v>
      </c>
      <c r="K138" s="817" t="s">
        <v>119</v>
      </c>
      <c r="L138" s="817" t="s">
        <v>17</v>
      </c>
      <c r="M138" s="839" t="s">
        <v>6849</v>
      </c>
    </row>
    <row r="139" spans="1:13" s="2432" customFormat="1" ht="117.65" customHeight="1" x14ac:dyDescent="0.35">
      <c r="A139" s="2485">
        <v>43880</v>
      </c>
      <c r="B139" s="5" t="s">
        <v>6867</v>
      </c>
      <c r="C139" s="5" t="s">
        <v>6850</v>
      </c>
      <c r="D139" s="2486">
        <v>43881</v>
      </c>
      <c r="E139" s="824" t="s">
        <v>6851</v>
      </c>
      <c r="F139" s="6">
        <v>0.39583333333333331</v>
      </c>
      <c r="G139" s="6">
        <v>0.64583333333333337</v>
      </c>
      <c r="H139" s="6">
        <v>0.64583333333333337</v>
      </c>
      <c r="I139" s="1100">
        <v>0</v>
      </c>
      <c r="J139" s="817" t="s">
        <v>6848</v>
      </c>
      <c r="K139" s="817" t="s">
        <v>119</v>
      </c>
      <c r="L139" s="817" t="s">
        <v>17</v>
      </c>
      <c r="M139" s="839" t="s">
        <v>6849</v>
      </c>
    </row>
    <row r="140" spans="1:13" s="2432" customFormat="1" ht="114.9" customHeight="1" x14ac:dyDescent="0.35">
      <c r="A140" s="2485">
        <v>43880</v>
      </c>
      <c r="B140" s="5" t="s">
        <v>6845</v>
      </c>
      <c r="C140" s="5" t="s">
        <v>6843</v>
      </c>
      <c r="D140" s="2486">
        <v>43881</v>
      </c>
      <c r="E140" s="824" t="s">
        <v>6844</v>
      </c>
      <c r="F140" s="6">
        <v>0.75</v>
      </c>
      <c r="G140" s="6">
        <v>0.79166666666666663</v>
      </c>
      <c r="H140" s="6">
        <v>0.79166666666666663</v>
      </c>
      <c r="I140" s="1630">
        <v>210</v>
      </c>
      <c r="J140" s="817" t="s">
        <v>257</v>
      </c>
      <c r="K140" s="817" t="s">
        <v>119</v>
      </c>
      <c r="L140" s="817" t="s">
        <v>17</v>
      </c>
      <c r="M140" s="839" t="s">
        <v>2084</v>
      </c>
    </row>
    <row r="141" spans="1:13" s="2432" customFormat="1" ht="78.650000000000006" customHeight="1" x14ac:dyDescent="0.35">
      <c r="A141" s="882">
        <v>43876</v>
      </c>
      <c r="B141" s="7" t="s">
        <v>6860</v>
      </c>
      <c r="C141" s="7" t="s">
        <v>6792</v>
      </c>
      <c r="D141" s="883">
        <v>43881</v>
      </c>
      <c r="E141" s="881" t="s">
        <v>6791</v>
      </c>
      <c r="F141" s="2430" t="s">
        <v>6858</v>
      </c>
      <c r="G141" s="2430" t="s">
        <v>6858</v>
      </c>
      <c r="H141" s="2430" t="s">
        <v>6859</v>
      </c>
      <c r="I141" s="2431">
        <v>0</v>
      </c>
      <c r="J141" s="7" t="s">
        <v>15</v>
      </c>
      <c r="K141" s="7" t="s">
        <v>119</v>
      </c>
      <c r="L141" s="7" t="s">
        <v>17</v>
      </c>
      <c r="M141" s="809" t="s">
        <v>6788</v>
      </c>
    </row>
    <row r="142" spans="1:13" s="2432" customFormat="1" ht="107.4" customHeight="1" x14ac:dyDescent="0.35">
      <c r="A142" s="882">
        <v>43878</v>
      </c>
      <c r="B142" s="7" t="s">
        <v>20</v>
      </c>
      <c r="C142" s="7" t="s">
        <v>6814</v>
      </c>
      <c r="D142" s="883">
        <v>43881</v>
      </c>
      <c r="E142" s="881" t="s">
        <v>20</v>
      </c>
      <c r="F142" s="2430" t="s">
        <v>15</v>
      </c>
      <c r="G142" s="2430" t="s">
        <v>15</v>
      </c>
      <c r="H142" s="2430" t="s">
        <v>15</v>
      </c>
      <c r="I142" s="2431">
        <v>0</v>
      </c>
      <c r="J142" s="2430" t="s">
        <v>15</v>
      </c>
      <c r="K142" s="2430" t="s">
        <v>15</v>
      </c>
      <c r="L142" s="817" t="s">
        <v>17</v>
      </c>
      <c r="M142" s="839" t="s">
        <v>20</v>
      </c>
    </row>
    <row r="143" spans="1:13" s="2432" customFormat="1" ht="144" customHeight="1" x14ac:dyDescent="0.35">
      <c r="A143" s="852">
        <v>43847</v>
      </c>
      <c r="B143" s="817" t="s">
        <v>20</v>
      </c>
      <c r="C143" s="2054" t="s">
        <v>6237</v>
      </c>
      <c r="D143" s="2394">
        <v>43881</v>
      </c>
      <c r="E143" s="2137" t="s">
        <v>20</v>
      </c>
      <c r="F143" s="2395" t="s">
        <v>15</v>
      </c>
      <c r="G143" s="2395" t="s">
        <v>15</v>
      </c>
      <c r="H143" s="2395" t="s">
        <v>15</v>
      </c>
      <c r="I143" s="2396">
        <v>0</v>
      </c>
      <c r="J143" s="2057">
        <v>400</v>
      </c>
      <c r="K143" s="2057" t="s">
        <v>15</v>
      </c>
      <c r="L143" s="5" t="s">
        <v>17</v>
      </c>
      <c r="M143" s="807" t="s">
        <v>20</v>
      </c>
    </row>
    <row r="144" spans="1:13" s="2432" customFormat="1" ht="144" customHeight="1" x14ac:dyDescent="0.35">
      <c r="A144" s="852">
        <v>43878</v>
      </c>
      <c r="B144" s="817" t="s">
        <v>20</v>
      </c>
      <c r="C144" s="817" t="s">
        <v>6806</v>
      </c>
      <c r="D144" s="1223">
        <v>43881</v>
      </c>
      <c r="E144" s="1149" t="s">
        <v>20</v>
      </c>
      <c r="F144" s="2386" t="s">
        <v>15</v>
      </c>
      <c r="G144" s="2386" t="s">
        <v>15</v>
      </c>
      <c r="H144" s="2386" t="s">
        <v>15</v>
      </c>
      <c r="I144" s="2387">
        <v>0</v>
      </c>
      <c r="J144" s="817" t="s">
        <v>20</v>
      </c>
      <c r="K144" s="817" t="s">
        <v>15</v>
      </c>
      <c r="L144" s="817" t="s">
        <v>17</v>
      </c>
      <c r="M144" s="839" t="s">
        <v>20</v>
      </c>
    </row>
    <row r="145" spans="1:13" s="2432" customFormat="1" ht="145.5" customHeight="1" x14ac:dyDescent="0.35">
      <c r="A145" s="852">
        <v>43869</v>
      </c>
      <c r="B145" s="817" t="s">
        <v>6578</v>
      </c>
      <c r="C145" s="817" t="s">
        <v>6579</v>
      </c>
      <c r="D145" s="1223">
        <v>43882</v>
      </c>
      <c r="E145" s="1149" t="s">
        <v>5494</v>
      </c>
      <c r="F145" s="2386">
        <v>0.41666666666666669</v>
      </c>
      <c r="G145" s="2386">
        <v>0.41666666666666669</v>
      </c>
      <c r="H145" s="2386">
        <v>0.41666666666666669</v>
      </c>
      <c r="I145" s="2437">
        <v>200</v>
      </c>
      <c r="J145" s="817" t="s">
        <v>6580</v>
      </c>
      <c r="K145" s="817" t="s">
        <v>15</v>
      </c>
      <c r="L145" s="817" t="s">
        <v>17</v>
      </c>
      <c r="M145" s="839" t="s">
        <v>5367</v>
      </c>
    </row>
    <row r="146" spans="1:13" s="2432" customFormat="1" ht="145.5" customHeight="1" x14ac:dyDescent="0.35">
      <c r="A146" s="882">
        <v>43876</v>
      </c>
      <c r="B146" s="7" t="s">
        <v>6861</v>
      </c>
      <c r="C146" s="7" t="s">
        <v>6786</v>
      </c>
      <c r="D146" s="883">
        <v>43882</v>
      </c>
      <c r="E146" s="881" t="s">
        <v>6787</v>
      </c>
      <c r="F146" s="2430">
        <v>0.45833333333333331</v>
      </c>
      <c r="G146" s="2430">
        <v>0.6875</v>
      </c>
      <c r="H146" s="2430">
        <v>0.6875</v>
      </c>
      <c r="I146" s="2431">
        <v>0</v>
      </c>
      <c r="J146" s="7" t="s">
        <v>15</v>
      </c>
      <c r="K146" s="7" t="s">
        <v>119</v>
      </c>
      <c r="L146" s="7" t="s">
        <v>17</v>
      </c>
      <c r="M146" s="809" t="s">
        <v>6788</v>
      </c>
    </row>
    <row r="147" spans="1:13" s="2432" customFormat="1" ht="145.5" customHeight="1" x14ac:dyDescent="0.35">
      <c r="A147" s="852">
        <v>43873</v>
      </c>
      <c r="B147" s="7" t="s">
        <v>6886</v>
      </c>
      <c r="C147" s="817" t="s">
        <v>6678</v>
      </c>
      <c r="D147" s="1223">
        <v>43882</v>
      </c>
      <c r="E147" s="1149" t="s">
        <v>5494</v>
      </c>
      <c r="F147" s="2386">
        <v>0.44791666666666669</v>
      </c>
      <c r="G147" s="2386">
        <v>0.44791666666666669</v>
      </c>
      <c r="H147" s="2386">
        <v>0.44791666666666669</v>
      </c>
      <c r="I147" s="2387">
        <v>80</v>
      </c>
      <c r="J147" s="817" t="s">
        <v>294</v>
      </c>
      <c r="K147" s="817" t="s">
        <v>15</v>
      </c>
      <c r="L147" s="817" t="s">
        <v>17</v>
      </c>
      <c r="M147" s="839" t="s">
        <v>6450</v>
      </c>
    </row>
    <row r="148" spans="1:13" s="2432" customFormat="1" ht="145.5" customHeight="1" x14ac:dyDescent="0.35">
      <c r="A148" s="806">
        <v>43871</v>
      </c>
      <c r="B148" s="10" t="s">
        <v>5460</v>
      </c>
      <c r="C148" s="10" t="s">
        <v>6597</v>
      </c>
      <c r="D148" s="8">
        <v>43882</v>
      </c>
      <c r="E148" s="823" t="s">
        <v>5459</v>
      </c>
      <c r="F148" s="2388">
        <v>0.45833333333333331</v>
      </c>
      <c r="G148" s="2430">
        <v>0.5</v>
      </c>
      <c r="H148" s="2430">
        <v>0.5</v>
      </c>
      <c r="I148" s="2390">
        <v>390</v>
      </c>
      <c r="J148" s="7" t="s">
        <v>257</v>
      </c>
      <c r="K148" s="817" t="s">
        <v>140</v>
      </c>
      <c r="L148" s="7" t="s">
        <v>17</v>
      </c>
      <c r="M148" s="809" t="s">
        <v>6041</v>
      </c>
    </row>
    <row r="149" spans="1:13" s="2432" customFormat="1" ht="105.65" customHeight="1" x14ac:dyDescent="0.35">
      <c r="A149" s="852">
        <v>43881</v>
      </c>
      <c r="B149" s="817" t="s">
        <v>4468</v>
      </c>
      <c r="C149" s="817" t="s">
        <v>6893</v>
      </c>
      <c r="D149" s="1223">
        <v>43882</v>
      </c>
      <c r="E149" s="1149" t="s">
        <v>4468</v>
      </c>
      <c r="F149" s="2386">
        <v>0.45833333333333331</v>
      </c>
      <c r="G149" s="2386">
        <v>0.52083333333333337</v>
      </c>
      <c r="H149" s="2386">
        <v>0.52083333333333337</v>
      </c>
      <c r="I149" s="2387">
        <v>225</v>
      </c>
      <c r="J149" s="817" t="s">
        <v>5970</v>
      </c>
      <c r="K149" s="1154" t="s">
        <v>140</v>
      </c>
      <c r="L149" s="817" t="s">
        <v>17</v>
      </c>
      <c r="M149" s="839" t="s">
        <v>4468</v>
      </c>
    </row>
    <row r="150" spans="1:13" s="2432" customFormat="1" ht="72.900000000000006" customHeight="1" x14ac:dyDescent="0.35">
      <c r="A150" s="2485">
        <v>43878</v>
      </c>
      <c r="B150" s="5" t="s">
        <v>5489</v>
      </c>
      <c r="C150" s="5" t="s">
        <v>6838</v>
      </c>
      <c r="D150" s="2486">
        <v>43882</v>
      </c>
      <c r="E150" s="824" t="s">
        <v>5489</v>
      </c>
      <c r="F150" s="6">
        <v>0.45833333333333331</v>
      </c>
      <c r="G150" s="6">
        <v>0.54166666666666663</v>
      </c>
      <c r="H150" s="6">
        <v>0.54166666666666663</v>
      </c>
      <c r="I150" s="1630">
        <v>300</v>
      </c>
      <c r="J150" s="817" t="s">
        <v>6501</v>
      </c>
      <c r="K150" s="817" t="s">
        <v>140</v>
      </c>
      <c r="L150" s="817" t="s">
        <v>17</v>
      </c>
      <c r="M150" s="839" t="s">
        <v>5489</v>
      </c>
    </row>
    <row r="151" spans="1:13" s="2432" customFormat="1" ht="134.4" customHeight="1" x14ac:dyDescent="0.35">
      <c r="A151" s="882">
        <v>43871</v>
      </c>
      <c r="B151" s="7" t="s">
        <v>6611</v>
      </c>
      <c r="C151" s="7" t="s">
        <v>6612</v>
      </c>
      <c r="D151" s="883">
        <v>43882</v>
      </c>
      <c r="E151" s="881" t="s">
        <v>5489</v>
      </c>
      <c r="F151" s="2430">
        <v>0.45833333333333331</v>
      </c>
      <c r="G151" s="2430">
        <v>0.54166666666666663</v>
      </c>
      <c r="H151" s="2430">
        <v>0.54166666666666663</v>
      </c>
      <c r="I151" s="2390">
        <f>7*90</f>
        <v>630</v>
      </c>
      <c r="J151" s="7" t="s">
        <v>6885</v>
      </c>
      <c r="K151" s="817" t="s">
        <v>140</v>
      </c>
      <c r="L151" s="817" t="s">
        <v>17</v>
      </c>
      <c r="M151" s="839" t="s">
        <v>5489</v>
      </c>
    </row>
    <row r="152" spans="1:13" s="2432" customFormat="1" ht="95.15" customHeight="1" x14ac:dyDescent="0.35">
      <c r="A152" s="1453">
        <v>43878</v>
      </c>
      <c r="B152" s="5" t="s">
        <v>6801</v>
      </c>
      <c r="C152" s="5" t="s">
        <v>6803</v>
      </c>
      <c r="D152" s="908">
        <v>43882</v>
      </c>
      <c r="E152" s="824" t="s">
        <v>6802</v>
      </c>
      <c r="F152" s="2391">
        <v>0.45833333333333331</v>
      </c>
      <c r="G152" s="2391">
        <v>0.60416666666666663</v>
      </c>
      <c r="H152" s="2391">
        <v>0.60416666666666663</v>
      </c>
      <c r="I152" s="2431">
        <v>0</v>
      </c>
      <c r="J152" s="817" t="s">
        <v>16</v>
      </c>
      <c r="K152" s="817" t="s">
        <v>140</v>
      </c>
      <c r="L152" s="817" t="s">
        <v>17</v>
      </c>
      <c r="M152" s="839" t="s">
        <v>6034</v>
      </c>
    </row>
    <row r="153" spans="1:13" s="2432" customFormat="1" ht="144.65" customHeight="1" x14ac:dyDescent="0.35">
      <c r="A153" s="852">
        <v>43872</v>
      </c>
      <c r="B153" s="817" t="s">
        <v>5667</v>
      </c>
      <c r="C153" s="817" t="s">
        <v>6649</v>
      </c>
      <c r="D153" s="1223">
        <v>43882</v>
      </c>
      <c r="E153" s="1149" t="s">
        <v>6648</v>
      </c>
      <c r="F153" s="2386">
        <v>0.45833333333333331</v>
      </c>
      <c r="G153" s="2386">
        <v>0.64583333333333337</v>
      </c>
      <c r="H153" s="2386">
        <v>0.64583333333333337</v>
      </c>
      <c r="I153" s="2390">
        <v>305</v>
      </c>
      <c r="J153" s="817" t="s">
        <v>6650</v>
      </c>
      <c r="K153" s="817" t="s">
        <v>140</v>
      </c>
      <c r="L153" s="817" t="s">
        <v>22</v>
      </c>
      <c r="M153" s="839" t="s">
        <v>6651</v>
      </c>
    </row>
    <row r="154" spans="1:13" s="2432" customFormat="1" ht="83.15" customHeight="1" x14ac:dyDescent="0.35">
      <c r="A154" s="2534">
        <v>43880</v>
      </c>
      <c r="B154" s="1229" t="s">
        <v>6862</v>
      </c>
      <c r="C154" s="1229" t="s">
        <v>6863</v>
      </c>
      <c r="D154" s="2535">
        <v>43882</v>
      </c>
      <c r="E154" s="1540" t="s">
        <v>6864</v>
      </c>
      <c r="F154" s="2536" t="s">
        <v>15</v>
      </c>
      <c r="G154" s="2536" t="s">
        <v>6884</v>
      </c>
      <c r="H154" s="2536" t="s">
        <v>6884</v>
      </c>
      <c r="I154" s="2537">
        <v>0</v>
      </c>
      <c r="J154" s="2538" t="s">
        <v>6865</v>
      </c>
      <c r="K154" s="2538" t="s">
        <v>140</v>
      </c>
      <c r="L154" s="2538" t="s">
        <v>17</v>
      </c>
      <c r="M154" s="2539" t="s">
        <v>6061</v>
      </c>
    </row>
    <row r="155" spans="1:13" s="2432" customFormat="1" ht="78.900000000000006" customHeight="1" x14ac:dyDescent="0.35">
      <c r="A155" s="2485">
        <v>43881</v>
      </c>
      <c r="B155" s="5" t="s">
        <v>6873</v>
      </c>
      <c r="C155" s="5" t="s">
        <v>6871</v>
      </c>
      <c r="D155" s="2486">
        <v>43882</v>
      </c>
      <c r="E155" s="824" t="s">
        <v>6874</v>
      </c>
      <c r="F155" s="6" t="s">
        <v>15</v>
      </c>
      <c r="G155" s="6" t="s">
        <v>15</v>
      </c>
      <c r="H155" s="6" t="s">
        <v>15</v>
      </c>
      <c r="I155" s="6" t="s">
        <v>15</v>
      </c>
      <c r="J155" s="6" t="s">
        <v>15</v>
      </c>
      <c r="K155" s="817" t="s">
        <v>15</v>
      </c>
      <c r="L155" s="817" t="s">
        <v>22</v>
      </c>
      <c r="M155" s="839" t="s">
        <v>6627</v>
      </c>
    </row>
    <row r="156" spans="1:13" s="2432" customFormat="1" ht="152.4" customHeight="1" x14ac:dyDescent="0.35">
      <c r="A156" s="2447">
        <v>43878</v>
      </c>
      <c r="B156" s="1733" t="s">
        <v>6812</v>
      </c>
      <c r="C156" s="1733" t="s">
        <v>6902</v>
      </c>
      <c r="D156" s="2393">
        <v>43883</v>
      </c>
      <c r="E156" s="2150" t="s">
        <v>5502</v>
      </c>
      <c r="F156" s="2430">
        <v>0.41666666666666669</v>
      </c>
      <c r="G156" s="2430">
        <v>0.41666666666666669</v>
      </c>
      <c r="H156" s="2430">
        <v>0.41666666666666669</v>
      </c>
      <c r="I156" s="2431">
        <f>4*120/2</f>
        <v>240</v>
      </c>
      <c r="J156" s="817" t="s">
        <v>6813</v>
      </c>
      <c r="K156" s="817" t="s">
        <v>15</v>
      </c>
      <c r="L156" s="817" t="s">
        <v>17</v>
      </c>
      <c r="M156" s="839" t="s">
        <v>5367</v>
      </c>
    </row>
    <row r="157" spans="1:13" s="2432" customFormat="1" ht="72" customHeight="1" x14ac:dyDescent="0.35">
      <c r="A157" s="2427">
        <v>43847</v>
      </c>
      <c r="B157" s="1850" t="s">
        <v>6214</v>
      </c>
      <c r="C157" s="1733" t="s">
        <v>6894</v>
      </c>
      <c r="D157" s="2393">
        <v>43883</v>
      </c>
      <c r="E157" s="2150" t="s">
        <v>6234</v>
      </c>
      <c r="F157" s="2397">
        <v>0.4375</v>
      </c>
      <c r="G157" s="2395">
        <v>0.45833333333333331</v>
      </c>
      <c r="H157" s="2057">
        <v>0.45833333333333331</v>
      </c>
      <c r="I157" s="2396">
        <f>150+5*100</f>
        <v>650</v>
      </c>
      <c r="J157" s="2054" t="s">
        <v>4618</v>
      </c>
      <c r="K157" s="2054" t="s">
        <v>140</v>
      </c>
      <c r="L157" s="5" t="s">
        <v>17</v>
      </c>
      <c r="M157" s="807" t="s">
        <v>6045</v>
      </c>
    </row>
    <row r="158" spans="1:13" s="2432" customFormat="1" ht="101.5" x14ac:dyDescent="0.35">
      <c r="A158" s="2485">
        <v>43880</v>
      </c>
      <c r="B158" s="5" t="s">
        <v>5489</v>
      </c>
      <c r="C158" s="5" t="s">
        <v>6839</v>
      </c>
      <c r="D158" s="2486">
        <v>43883</v>
      </c>
      <c r="E158" s="824" t="s">
        <v>5489</v>
      </c>
      <c r="F158" s="6">
        <v>0.4375</v>
      </c>
      <c r="G158" s="6">
        <v>0.48958333333333331</v>
      </c>
      <c r="H158" s="6">
        <v>0.48958333333333331</v>
      </c>
      <c r="I158" s="1100">
        <v>400</v>
      </c>
      <c r="J158" s="817" t="s">
        <v>6501</v>
      </c>
      <c r="K158" s="817" t="s">
        <v>140</v>
      </c>
      <c r="L158" s="817" t="s">
        <v>17</v>
      </c>
      <c r="M158" s="839" t="s">
        <v>5489</v>
      </c>
    </row>
    <row r="159" spans="1:13" s="2432" customFormat="1" ht="105.65" customHeight="1" x14ac:dyDescent="0.35">
      <c r="A159" s="2485">
        <v>43881</v>
      </c>
      <c r="B159" s="2531" t="s">
        <v>4051</v>
      </c>
      <c r="C159" s="5" t="s">
        <v>6903</v>
      </c>
      <c r="D159" s="2486">
        <v>43883</v>
      </c>
      <c r="E159" s="824" t="s">
        <v>290</v>
      </c>
      <c r="F159" s="6">
        <v>0.4375</v>
      </c>
      <c r="G159" s="6">
        <v>0.52083333333333337</v>
      </c>
      <c r="H159" s="6">
        <v>0.52083333333333337</v>
      </c>
      <c r="I159" s="1100">
        <v>810</v>
      </c>
      <c r="J159" s="2530" t="s">
        <v>6892</v>
      </c>
      <c r="K159" s="817" t="s">
        <v>140</v>
      </c>
      <c r="L159" s="817" t="s">
        <v>22</v>
      </c>
      <c r="M159" s="839" t="s">
        <v>6627</v>
      </c>
    </row>
    <row r="160" spans="1:13" s="2432" customFormat="1" ht="135.65" customHeight="1" x14ac:dyDescent="0.35">
      <c r="A160" s="2485">
        <v>43881</v>
      </c>
      <c r="B160" s="2531" t="s">
        <v>4051</v>
      </c>
      <c r="C160" s="5" t="s">
        <v>6871</v>
      </c>
      <c r="D160" s="2486">
        <v>43883</v>
      </c>
      <c r="E160" s="824" t="s">
        <v>290</v>
      </c>
      <c r="F160" s="6">
        <v>0.4375</v>
      </c>
      <c r="G160" s="6">
        <v>0.52083333333333337</v>
      </c>
      <c r="H160" s="6">
        <v>0.52083333333333337</v>
      </c>
      <c r="I160" s="1100">
        <v>0</v>
      </c>
      <c r="J160" s="2530" t="s">
        <v>6872</v>
      </c>
      <c r="K160" s="817" t="s">
        <v>140</v>
      </c>
      <c r="L160" s="817" t="s">
        <v>22</v>
      </c>
      <c r="M160" s="839" t="s">
        <v>6627</v>
      </c>
    </row>
    <row r="161" spans="1:13" s="2432" customFormat="1" ht="130.5" customHeight="1" x14ac:dyDescent="0.35">
      <c r="A161" s="1994">
        <v>43882</v>
      </c>
      <c r="B161" s="2450" t="s">
        <v>6913</v>
      </c>
      <c r="C161" s="7" t="s">
        <v>6914</v>
      </c>
      <c r="D161" s="1899">
        <v>43883</v>
      </c>
      <c r="E161" s="881" t="s">
        <v>5494</v>
      </c>
      <c r="F161" s="836">
        <v>0.45833333333333331</v>
      </c>
      <c r="G161" s="836">
        <v>0.45833333333333331</v>
      </c>
      <c r="H161" s="836">
        <v>0.45833333333333331</v>
      </c>
      <c r="I161" s="1100">
        <v>225</v>
      </c>
      <c r="J161" s="817" t="s">
        <v>257</v>
      </c>
      <c r="K161" s="817" t="s">
        <v>15</v>
      </c>
      <c r="L161" s="817" t="s">
        <v>17</v>
      </c>
      <c r="M161" s="839" t="s">
        <v>2084</v>
      </c>
    </row>
    <row r="162" spans="1:13" s="2432" customFormat="1" ht="147.65" customHeight="1" x14ac:dyDescent="0.35">
      <c r="A162" s="882">
        <v>43867</v>
      </c>
      <c r="B162" s="7" t="s">
        <v>6532</v>
      </c>
      <c r="C162" s="7" t="s">
        <v>6895</v>
      </c>
      <c r="D162" s="883">
        <v>43883</v>
      </c>
      <c r="E162" s="1571" t="s">
        <v>6887</v>
      </c>
      <c r="F162" s="2430">
        <v>0.69791666666666663</v>
      </c>
      <c r="G162" s="2430">
        <v>0.72222222222222221</v>
      </c>
      <c r="H162" s="2430">
        <v>0.72222222222222221</v>
      </c>
      <c r="I162" s="2431">
        <f>0.7*(7*70+30*19)</f>
        <v>742</v>
      </c>
      <c r="J162" s="817" t="s">
        <v>6535</v>
      </c>
      <c r="K162" s="817" t="s">
        <v>140</v>
      </c>
      <c r="L162" s="817" t="s">
        <v>17</v>
      </c>
      <c r="M162" s="839" t="s">
        <v>6053</v>
      </c>
    </row>
    <row r="163" spans="1:13" s="2432" customFormat="1" ht="88.5" customHeight="1" x14ac:dyDescent="0.35">
      <c r="A163" s="2427">
        <v>43871</v>
      </c>
      <c r="B163" s="1850" t="s">
        <v>6465</v>
      </c>
      <c r="C163" s="1850" t="s">
        <v>6600</v>
      </c>
      <c r="D163" s="2448">
        <v>43883</v>
      </c>
      <c r="E163" s="2000" t="s">
        <v>6599</v>
      </c>
      <c r="F163" s="2449">
        <v>0.69791666666666663</v>
      </c>
      <c r="G163" s="2386">
        <v>0.8125</v>
      </c>
      <c r="H163" s="2386">
        <v>0.8125</v>
      </c>
      <c r="I163" s="2387">
        <v>1200</v>
      </c>
      <c r="J163" s="2530" t="s">
        <v>6618</v>
      </c>
      <c r="K163" s="817" t="s">
        <v>140</v>
      </c>
      <c r="L163" s="817" t="s">
        <v>17</v>
      </c>
      <c r="M163" s="839" t="s">
        <v>2084</v>
      </c>
    </row>
    <row r="164" spans="1:13" s="2432" customFormat="1" ht="48.9" customHeight="1" x14ac:dyDescent="0.35">
      <c r="A164" s="2427">
        <v>43878</v>
      </c>
      <c r="B164" s="1850" t="s">
        <v>6897</v>
      </c>
      <c r="C164" s="1850" t="s">
        <v>6805</v>
      </c>
      <c r="D164" s="2448">
        <v>43883</v>
      </c>
      <c r="E164" s="2521" t="s">
        <v>6804</v>
      </c>
      <c r="F164" s="2449">
        <v>0.69791666666666663</v>
      </c>
      <c r="G164" s="2386">
        <v>0.875</v>
      </c>
      <c r="H164" s="2386">
        <v>0.875</v>
      </c>
      <c r="I164" s="2387">
        <f>2*130+562+180</f>
        <v>1002</v>
      </c>
      <c r="J164" s="2530" t="s">
        <v>6915</v>
      </c>
      <c r="K164" s="817" t="s">
        <v>140</v>
      </c>
      <c r="L164" s="817" t="s">
        <v>17</v>
      </c>
      <c r="M164" s="839" t="s">
        <v>2084</v>
      </c>
    </row>
    <row r="165" spans="1:13" s="2432" customFormat="1" ht="239.4" customHeight="1" x14ac:dyDescent="0.35">
      <c r="A165" s="2152">
        <v>43882</v>
      </c>
      <c r="B165" s="1850" t="s">
        <v>6899</v>
      </c>
      <c r="C165" s="1733" t="s">
        <v>6901</v>
      </c>
      <c r="D165" s="1999">
        <v>43884</v>
      </c>
      <c r="E165" s="2150" t="s">
        <v>6900</v>
      </c>
      <c r="F165" s="1756">
        <v>0.46875</v>
      </c>
      <c r="G165" s="1756">
        <v>0.5</v>
      </c>
      <c r="H165" s="1756">
        <v>0.5</v>
      </c>
      <c r="I165" s="2540">
        <v>480</v>
      </c>
      <c r="J165" s="2064" t="s">
        <v>7046</v>
      </c>
      <c r="K165" s="2541"/>
      <c r="L165" s="1850" t="s">
        <v>22</v>
      </c>
      <c r="M165" s="2542" t="s">
        <v>6096</v>
      </c>
    </row>
    <row r="166" spans="1:13" s="2432" customFormat="1" ht="43.5" x14ac:dyDescent="0.35">
      <c r="A166" s="2152">
        <v>43880</v>
      </c>
      <c r="B166" s="1850" t="s">
        <v>6868</v>
      </c>
      <c r="C166" s="1733" t="s">
        <v>6869</v>
      </c>
      <c r="D166" s="2146">
        <v>43884</v>
      </c>
      <c r="E166" s="824" t="s">
        <v>6438</v>
      </c>
      <c r="F166" s="1756">
        <v>0.46875</v>
      </c>
      <c r="G166" s="1756">
        <v>0.52083333333333337</v>
      </c>
      <c r="H166" s="1756">
        <v>0.52083333333333337</v>
      </c>
      <c r="I166" s="2138">
        <v>170</v>
      </c>
      <c r="J166" s="2064" t="s">
        <v>6870</v>
      </c>
      <c r="K166" s="817" t="s">
        <v>15</v>
      </c>
      <c r="L166" s="817" t="s">
        <v>17</v>
      </c>
      <c r="M166" s="807" t="s">
        <v>6391</v>
      </c>
    </row>
    <row r="167" spans="1:13" s="2432" customFormat="1" ht="103.5" customHeight="1" x14ac:dyDescent="0.35">
      <c r="A167" s="2149">
        <v>43878</v>
      </c>
      <c r="B167" s="817" t="s">
        <v>6390</v>
      </c>
      <c r="C167" s="5" t="s">
        <v>6807</v>
      </c>
      <c r="D167" s="1814">
        <v>43884</v>
      </c>
      <c r="E167" s="824" t="s">
        <v>6438</v>
      </c>
      <c r="F167" s="6">
        <v>0.46875</v>
      </c>
      <c r="G167" s="6">
        <v>0.52083333333333337</v>
      </c>
      <c r="H167" s="6">
        <v>0.52083333333333337</v>
      </c>
      <c r="I167" s="1630">
        <v>400</v>
      </c>
      <c r="J167" s="2064" t="s">
        <v>6392</v>
      </c>
      <c r="K167" s="817" t="s">
        <v>15</v>
      </c>
      <c r="L167" s="817" t="s">
        <v>17</v>
      </c>
      <c r="M167" s="807" t="s">
        <v>6391</v>
      </c>
    </row>
    <row r="168" spans="1:13" s="2432" customFormat="1" ht="29" x14ac:dyDescent="0.35">
      <c r="A168" s="1994">
        <v>43867</v>
      </c>
      <c r="B168" s="7" t="s">
        <v>20</v>
      </c>
      <c r="C168" s="7" t="s">
        <v>6832</v>
      </c>
      <c r="D168" s="1899">
        <v>43884</v>
      </c>
      <c r="E168" s="881" t="s">
        <v>20</v>
      </c>
      <c r="F168" s="836" t="s">
        <v>98</v>
      </c>
      <c r="G168" s="836" t="s">
        <v>98</v>
      </c>
      <c r="H168" s="836" t="s">
        <v>15</v>
      </c>
      <c r="I168" s="1100">
        <v>0</v>
      </c>
      <c r="J168" s="7" t="s">
        <v>15</v>
      </c>
      <c r="K168" s="7" t="s">
        <v>15</v>
      </c>
      <c r="L168" s="7" t="s">
        <v>17</v>
      </c>
      <c r="M168" s="809" t="s">
        <v>6450</v>
      </c>
    </row>
    <row r="169" spans="1:13" s="2432" customFormat="1" ht="204.9" customHeight="1" x14ac:dyDescent="0.35">
      <c r="A169" s="1994">
        <v>43884</v>
      </c>
      <c r="B169" s="7" t="s">
        <v>6739</v>
      </c>
      <c r="C169" s="7" t="s">
        <v>6921</v>
      </c>
      <c r="D169" s="1899">
        <v>43884</v>
      </c>
      <c r="E169" s="881" t="s">
        <v>15</v>
      </c>
      <c r="F169" s="836" t="s">
        <v>15</v>
      </c>
      <c r="G169" s="836" t="s">
        <v>15</v>
      </c>
      <c r="H169" s="836" t="s">
        <v>15</v>
      </c>
      <c r="I169" s="1100">
        <v>250</v>
      </c>
      <c r="J169" s="817" t="s">
        <v>6922</v>
      </c>
      <c r="K169" s="817" t="s">
        <v>15</v>
      </c>
      <c r="L169" s="817" t="s">
        <v>17</v>
      </c>
      <c r="M169" s="839" t="s">
        <v>6450</v>
      </c>
    </row>
    <row r="170" spans="1:13" s="2432" customFormat="1" ht="100.5" customHeight="1" x14ac:dyDescent="0.35">
      <c r="A170" s="2485">
        <v>43884</v>
      </c>
      <c r="B170" s="2545" t="s">
        <v>6916</v>
      </c>
      <c r="C170" s="2545" t="s">
        <v>6917</v>
      </c>
      <c r="D170" s="2486">
        <v>43885</v>
      </c>
      <c r="E170" s="2545" t="s">
        <v>1010</v>
      </c>
      <c r="F170" s="2547">
        <v>0.41666666666666669</v>
      </c>
      <c r="G170" s="2547">
        <v>0.4375</v>
      </c>
      <c r="H170" s="2547">
        <v>0.4375</v>
      </c>
      <c r="I170" s="2546">
        <f>36*3+135</f>
        <v>243</v>
      </c>
      <c r="J170" s="817" t="s">
        <v>6918</v>
      </c>
      <c r="K170" s="817" t="s">
        <v>119</v>
      </c>
      <c r="L170" s="817" t="s">
        <v>17</v>
      </c>
      <c r="M170" s="839" t="s">
        <v>6053</v>
      </c>
    </row>
    <row r="171" spans="1:13" s="2432" customFormat="1" ht="100.5" customHeight="1" x14ac:dyDescent="0.35">
      <c r="A171" s="2447">
        <v>43881</v>
      </c>
      <c r="B171" s="1733" t="s">
        <v>6920</v>
      </c>
      <c r="C171" s="1733" t="s">
        <v>6898</v>
      </c>
      <c r="D171" s="2393">
        <v>43885</v>
      </c>
      <c r="E171" s="2150" t="s">
        <v>6919</v>
      </c>
      <c r="F171" s="2397">
        <v>0.41666666666666669</v>
      </c>
      <c r="G171" s="2430">
        <v>0.47916666666666669</v>
      </c>
      <c r="H171" s="2430">
        <v>0.47916666666666669</v>
      </c>
      <c r="I171" s="2431">
        <v>0</v>
      </c>
      <c r="J171" s="817" t="s">
        <v>16</v>
      </c>
      <c r="K171" s="817" t="s">
        <v>15</v>
      </c>
      <c r="L171" s="817" t="s">
        <v>17</v>
      </c>
      <c r="M171" s="817" t="s">
        <v>6034</v>
      </c>
    </row>
    <row r="172" spans="1:13" s="2432" customFormat="1" ht="100.5" customHeight="1" x14ac:dyDescent="0.35">
      <c r="A172" s="882">
        <v>43885</v>
      </c>
      <c r="B172" s="7" t="s">
        <v>6930</v>
      </c>
      <c r="C172" s="7" t="s">
        <v>6931</v>
      </c>
      <c r="D172" s="883">
        <v>43885</v>
      </c>
      <c r="E172" s="881" t="s">
        <v>6933</v>
      </c>
      <c r="F172" s="2430"/>
      <c r="G172" s="2430">
        <v>0.58333333333333337</v>
      </c>
      <c r="H172" s="2430">
        <v>0.625</v>
      </c>
      <c r="I172" s="2390">
        <v>42</v>
      </c>
      <c r="J172" s="7" t="s">
        <v>6932</v>
      </c>
      <c r="K172" s="2563"/>
      <c r="L172" s="7" t="s">
        <v>22</v>
      </c>
      <c r="M172" s="809" t="s">
        <v>6934</v>
      </c>
    </row>
    <row r="173" spans="1:13" s="2432" customFormat="1" ht="100.5" customHeight="1" x14ac:dyDescent="0.35">
      <c r="A173" s="806">
        <v>43879</v>
      </c>
      <c r="B173" s="10" t="s">
        <v>6829</v>
      </c>
      <c r="C173" s="10" t="s">
        <v>6830</v>
      </c>
      <c r="D173" s="8">
        <v>43886</v>
      </c>
      <c r="E173" s="1958" t="s">
        <v>5494</v>
      </c>
      <c r="F173" s="2388">
        <v>0.45833333333333331</v>
      </c>
      <c r="G173" s="2391">
        <v>0.45833333333333331</v>
      </c>
      <c r="H173" s="2391">
        <v>0.45833333333333331</v>
      </c>
      <c r="I173" s="2431">
        <f>4*130</f>
        <v>520</v>
      </c>
      <c r="J173" s="817" t="s">
        <v>6831</v>
      </c>
      <c r="K173" s="817" t="s">
        <v>15</v>
      </c>
      <c r="L173" s="817" t="s">
        <v>17</v>
      </c>
      <c r="M173" s="839" t="s">
        <v>5367</v>
      </c>
    </row>
    <row r="174" spans="1:13" s="2432" customFormat="1" ht="100.5" customHeight="1" x14ac:dyDescent="0.35">
      <c r="A174" s="1994">
        <v>43881</v>
      </c>
      <c r="B174" s="2450" t="s">
        <v>615</v>
      </c>
      <c r="C174" s="7" t="s">
        <v>6891</v>
      </c>
      <c r="D174" s="1899">
        <v>43886</v>
      </c>
      <c r="E174" s="881" t="s">
        <v>2034</v>
      </c>
      <c r="F174" s="836">
        <v>0.45833333333333331</v>
      </c>
      <c r="G174" s="836">
        <v>0.48958333333333331</v>
      </c>
      <c r="H174" s="836">
        <v>0.48958333333333331</v>
      </c>
      <c r="I174" s="1100">
        <v>0</v>
      </c>
      <c r="J174" s="7" t="s">
        <v>16</v>
      </c>
      <c r="K174" s="7" t="s">
        <v>15</v>
      </c>
      <c r="L174" s="7" t="s">
        <v>17</v>
      </c>
      <c r="M174" s="809" t="s">
        <v>6034</v>
      </c>
    </row>
    <row r="175" spans="1:13" s="2432" customFormat="1" ht="100.5" customHeight="1" x14ac:dyDescent="0.35">
      <c r="A175" s="882">
        <v>43885</v>
      </c>
      <c r="B175" s="7" t="s">
        <v>1812</v>
      </c>
      <c r="C175" s="2142" t="s">
        <v>6936</v>
      </c>
      <c r="D175" s="883">
        <v>43886</v>
      </c>
      <c r="E175" s="881" t="s">
        <v>126</v>
      </c>
      <c r="F175" s="2430">
        <v>0.45833333333333331</v>
      </c>
      <c r="G175" s="2430">
        <v>0.48958333333333331</v>
      </c>
      <c r="H175" s="2430" t="s">
        <v>6946</v>
      </c>
      <c r="I175" s="2431">
        <v>0</v>
      </c>
      <c r="J175" s="7" t="s">
        <v>16</v>
      </c>
      <c r="K175" s="7" t="s">
        <v>15</v>
      </c>
      <c r="L175" s="7" t="s">
        <v>17</v>
      </c>
      <c r="M175" s="809" t="s">
        <v>6053</v>
      </c>
    </row>
    <row r="176" spans="1:13" s="2432" customFormat="1" ht="279" customHeight="1" x14ac:dyDescent="0.35">
      <c r="A176" s="1994">
        <v>43882</v>
      </c>
      <c r="B176" s="2450" t="s">
        <v>6910</v>
      </c>
      <c r="C176" s="7" t="s">
        <v>6912</v>
      </c>
      <c r="D176" s="1899">
        <v>43886</v>
      </c>
      <c r="E176" s="881" t="s">
        <v>6911</v>
      </c>
      <c r="F176" s="836">
        <v>0.45833333333333331</v>
      </c>
      <c r="G176" s="836">
        <v>0.5625</v>
      </c>
      <c r="H176" s="836">
        <v>0.5625</v>
      </c>
      <c r="I176" s="1630">
        <v>225</v>
      </c>
      <c r="J176" s="817" t="s">
        <v>257</v>
      </c>
      <c r="K176" s="817" t="s">
        <v>15</v>
      </c>
      <c r="L176" s="817" t="s">
        <v>17</v>
      </c>
      <c r="M176" s="839" t="s">
        <v>2084</v>
      </c>
    </row>
    <row r="177" spans="1:13" s="2432" customFormat="1" ht="279" customHeight="1" x14ac:dyDescent="0.35">
      <c r="A177" s="1994">
        <v>43882</v>
      </c>
      <c r="B177" s="2450" t="s">
        <v>2077</v>
      </c>
      <c r="C177" s="7" t="s">
        <v>6972</v>
      </c>
      <c r="D177" s="1899">
        <v>43887</v>
      </c>
      <c r="E177" s="881" t="s">
        <v>2077</v>
      </c>
      <c r="F177" s="836">
        <v>0.47916666666666669</v>
      </c>
      <c r="G177" s="836">
        <v>0.5</v>
      </c>
      <c r="H177" s="836">
        <v>0.5</v>
      </c>
      <c r="I177" s="1100">
        <v>0</v>
      </c>
      <c r="J177" s="817" t="s">
        <v>16</v>
      </c>
      <c r="K177" s="817" t="s">
        <v>15</v>
      </c>
      <c r="L177" s="817" t="s">
        <v>17</v>
      </c>
      <c r="M177" s="839" t="s">
        <v>6034</v>
      </c>
    </row>
    <row r="178" spans="1:13" s="2432" customFormat="1" ht="60.65" customHeight="1" x14ac:dyDescent="0.35">
      <c r="A178" s="882">
        <v>43886</v>
      </c>
      <c r="B178" s="7" t="s">
        <v>6956</v>
      </c>
      <c r="C178" s="7" t="s">
        <v>6957</v>
      </c>
      <c r="D178" s="883">
        <v>43887</v>
      </c>
      <c r="E178" s="881" t="s">
        <v>6958</v>
      </c>
      <c r="F178" s="2430">
        <v>0.47916666666666669</v>
      </c>
      <c r="G178" s="2430">
        <v>0.54166666666666663</v>
      </c>
      <c r="H178" s="2430">
        <v>0.54166666666666663</v>
      </c>
      <c r="I178" s="2431">
        <v>0</v>
      </c>
      <c r="J178" s="817" t="s">
        <v>361</v>
      </c>
      <c r="K178" s="817" t="s">
        <v>15</v>
      </c>
      <c r="L178" s="817" t="s">
        <v>17</v>
      </c>
      <c r="M178" s="839" t="s">
        <v>6034</v>
      </c>
    </row>
    <row r="179" spans="1:13" s="2432" customFormat="1" ht="317.39999999999998" customHeight="1" x14ac:dyDescent="0.35">
      <c r="A179" s="2447">
        <v>43887</v>
      </c>
      <c r="B179" s="1733" t="s">
        <v>6994</v>
      </c>
      <c r="C179" s="1733" t="s">
        <v>6995</v>
      </c>
      <c r="D179" s="2393">
        <v>43887</v>
      </c>
      <c r="E179" s="2150" t="s">
        <v>5502</v>
      </c>
      <c r="F179" s="2397" t="s">
        <v>15</v>
      </c>
      <c r="G179" s="2397">
        <v>0.75</v>
      </c>
      <c r="H179" s="2430">
        <v>0.75</v>
      </c>
      <c r="I179" s="2390">
        <v>70</v>
      </c>
      <c r="J179" s="817" t="s">
        <v>257</v>
      </c>
      <c r="K179" s="817" t="s">
        <v>15</v>
      </c>
      <c r="L179" s="817" t="s">
        <v>17</v>
      </c>
      <c r="M179" s="839" t="s">
        <v>2084</v>
      </c>
    </row>
    <row r="180" spans="1:13" s="2432" customFormat="1" ht="150.65" customHeight="1" x14ac:dyDescent="0.35">
      <c r="A180" s="1994">
        <v>43882</v>
      </c>
      <c r="B180" s="2450" t="s">
        <v>2077</v>
      </c>
      <c r="C180" s="7" t="s">
        <v>6926</v>
      </c>
      <c r="D180" s="1899">
        <v>43888</v>
      </c>
      <c r="E180" s="881" t="s">
        <v>2077</v>
      </c>
      <c r="F180" s="836">
        <v>0.5</v>
      </c>
      <c r="G180" s="836">
        <v>0.54166666666666663</v>
      </c>
      <c r="H180" s="836">
        <v>0.54166666666666663</v>
      </c>
      <c r="I180" s="1100">
        <v>0</v>
      </c>
      <c r="J180" s="817" t="s">
        <v>16</v>
      </c>
      <c r="K180" s="817" t="s">
        <v>140</v>
      </c>
      <c r="L180" s="817" t="s">
        <v>17</v>
      </c>
      <c r="M180" s="839" t="s">
        <v>6034</v>
      </c>
    </row>
    <row r="181" spans="1:13" s="2432" customFormat="1" ht="103.5" customHeight="1" x14ac:dyDescent="0.35">
      <c r="A181" s="1994">
        <v>43887</v>
      </c>
      <c r="B181" s="2450" t="s">
        <v>5280</v>
      </c>
      <c r="C181" s="7" t="s">
        <v>7004</v>
      </c>
      <c r="D181" s="1899">
        <v>43888</v>
      </c>
      <c r="E181" s="881" t="s">
        <v>7005</v>
      </c>
      <c r="F181" s="836">
        <v>0.5</v>
      </c>
      <c r="G181" s="836">
        <v>0.58333333333333337</v>
      </c>
      <c r="H181" s="836">
        <v>0.58333333333333337</v>
      </c>
      <c r="I181" s="2170">
        <v>210</v>
      </c>
      <c r="J181" s="2575" t="s">
        <v>6368</v>
      </c>
      <c r="K181" s="817" t="s">
        <v>140</v>
      </c>
      <c r="L181" s="817" t="s">
        <v>974</v>
      </c>
      <c r="M181" s="839" t="s">
        <v>6096</v>
      </c>
    </row>
    <row r="182" spans="1:13" s="2432" customFormat="1" ht="77.150000000000006" customHeight="1" x14ac:dyDescent="0.35">
      <c r="A182" s="882">
        <v>43886</v>
      </c>
      <c r="B182" s="7" t="s">
        <v>6953</v>
      </c>
      <c r="C182" s="7" t="s">
        <v>6954</v>
      </c>
      <c r="D182" s="883">
        <v>43888</v>
      </c>
      <c r="E182" s="881" t="s">
        <v>6955</v>
      </c>
      <c r="F182" s="2430">
        <v>0.66666666666666663</v>
      </c>
      <c r="G182" s="2430">
        <v>0.70833333333333337</v>
      </c>
      <c r="H182" s="2430">
        <v>0.70833333333333337</v>
      </c>
      <c r="I182" s="2390">
        <v>300</v>
      </c>
      <c r="J182" s="817" t="s">
        <v>257</v>
      </c>
      <c r="K182" s="817" t="s">
        <v>140</v>
      </c>
      <c r="L182" s="817" t="s">
        <v>17</v>
      </c>
      <c r="M182" s="839" t="s">
        <v>6041</v>
      </c>
    </row>
    <row r="183" spans="1:13" s="2432" customFormat="1" ht="87" customHeight="1" x14ac:dyDescent="0.35">
      <c r="A183" s="882">
        <v>43886</v>
      </c>
      <c r="B183" s="7" t="s">
        <v>6960</v>
      </c>
      <c r="C183" s="7" t="s">
        <v>7018</v>
      </c>
      <c r="D183" s="883">
        <v>43888</v>
      </c>
      <c r="E183" s="881" t="s">
        <v>6959</v>
      </c>
      <c r="F183" s="2430">
        <v>0.75</v>
      </c>
      <c r="G183" s="2430">
        <v>0.79166666666666663</v>
      </c>
      <c r="H183" s="2430">
        <v>0.79166666666666663</v>
      </c>
      <c r="I183" s="2390">
        <f>0.9*(60*25/1000*200)</f>
        <v>270</v>
      </c>
      <c r="J183" s="817" t="s">
        <v>7019</v>
      </c>
      <c r="K183" s="817" t="s">
        <v>140</v>
      </c>
      <c r="L183" s="817" t="s">
        <v>17</v>
      </c>
      <c r="M183" s="839" t="s">
        <v>6053</v>
      </c>
    </row>
    <row r="184" spans="1:13" s="2432" customFormat="1" ht="167.15" customHeight="1" x14ac:dyDescent="0.35">
      <c r="A184" s="882">
        <v>43886</v>
      </c>
      <c r="B184" s="7" t="s">
        <v>6962</v>
      </c>
      <c r="C184" s="7" t="s">
        <v>6963</v>
      </c>
      <c r="D184" s="883">
        <v>43888</v>
      </c>
      <c r="E184" s="881" t="s">
        <v>6964</v>
      </c>
      <c r="F184" s="2430" t="s">
        <v>15</v>
      </c>
      <c r="G184" s="2430">
        <v>0.66666666666666663</v>
      </c>
      <c r="H184" s="2430">
        <v>0.75</v>
      </c>
      <c r="I184" s="2390">
        <v>180</v>
      </c>
      <c r="J184" s="817" t="s">
        <v>257</v>
      </c>
      <c r="K184" s="817" t="s">
        <v>140</v>
      </c>
      <c r="L184" s="817" t="s">
        <v>17</v>
      </c>
      <c r="M184" s="839" t="s">
        <v>17</v>
      </c>
    </row>
    <row r="185" spans="1:13" s="2432" customFormat="1" ht="71.400000000000006" customHeight="1" x14ac:dyDescent="0.35">
      <c r="A185" s="2447">
        <v>43887</v>
      </c>
      <c r="B185" s="1733" t="s">
        <v>6987</v>
      </c>
      <c r="C185" s="1733" t="s">
        <v>6988</v>
      </c>
      <c r="D185" s="2393">
        <v>43888</v>
      </c>
      <c r="E185" s="2150" t="s">
        <v>5367</v>
      </c>
      <c r="F185" s="2397">
        <v>0.5</v>
      </c>
      <c r="G185" s="2397">
        <v>0.5</v>
      </c>
      <c r="H185" s="2430">
        <v>0.5</v>
      </c>
      <c r="I185" s="2390">
        <f>2*12+1.6*80</f>
        <v>152</v>
      </c>
      <c r="J185" s="817" t="s">
        <v>6989</v>
      </c>
      <c r="K185" s="817" t="s">
        <v>15</v>
      </c>
      <c r="L185" s="817" t="s">
        <v>17</v>
      </c>
      <c r="M185" s="839" t="s">
        <v>5367</v>
      </c>
    </row>
    <row r="186" spans="1:13" s="2432" customFormat="1" ht="183.65" customHeight="1" x14ac:dyDescent="0.35">
      <c r="A186" s="2485">
        <v>43886</v>
      </c>
      <c r="B186" s="2545" t="s">
        <v>20</v>
      </c>
      <c r="C186" s="2545" t="s">
        <v>6952</v>
      </c>
      <c r="D186" s="2486">
        <v>43888</v>
      </c>
      <c r="E186" s="2545" t="s">
        <v>20</v>
      </c>
      <c r="F186" s="2547" t="s">
        <v>15</v>
      </c>
      <c r="G186" s="2547" t="s">
        <v>15</v>
      </c>
      <c r="H186" s="2547" t="s">
        <v>15</v>
      </c>
      <c r="I186" s="2546">
        <v>0</v>
      </c>
      <c r="J186" s="2547" t="s">
        <v>15</v>
      </c>
      <c r="K186" s="2547" t="s">
        <v>15</v>
      </c>
      <c r="L186" s="817" t="s">
        <v>17</v>
      </c>
      <c r="M186" s="2570" t="s">
        <v>15</v>
      </c>
    </row>
    <row r="187" spans="1:13" s="2432" customFormat="1" ht="290.39999999999998" customHeight="1" x14ac:dyDescent="0.35">
      <c r="A187" s="882">
        <v>43887</v>
      </c>
      <c r="B187" s="7" t="s">
        <v>20</v>
      </c>
      <c r="C187" s="7" t="s">
        <v>6986</v>
      </c>
      <c r="D187" s="883">
        <v>43888</v>
      </c>
      <c r="E187" s="881" t="s">
        <v>20</v>
      </c>
      <c r="F187" s="2430" t="s">
        <v>15</v>
      </c>
      <c r="G187" s="2430" t="s">
        <v>15</v>
      </c>
      <c r="H187" s="2430" t="s">
        <v>15</v>
      </c>
      <c r="I187" s="2431">
        <v>0</v>
      </c>
      <c r="J187" s="817" t="s">
        <v>15</v>
      </c>
      <c r="K187" s="817" t="s">
        <v>15</v>
      </c>
      <c r="L187" s="817" t="s">
        <v>17</v>
      </c>
      <c r="M187" s="839" t="s">
        <v>20</v>
      </c>
    </row>
    <row r="188" spans="1:13" s="2432" customFormat="1" ht="77.150000000000006" customHeight="1" x14ac:dyDescent="0.35">
      <c r="A188" s="882">
        <v>43887</v>
      </c>
      <c r="B188" s="7" t="s">
        <v>20</v>
      </c>
      <c r="C188" s="7" t="s">
        <v>6993</v>
      </c>
      <c r="D188" s="883">
        <v>43888</v>
      </c>
      <c r="E188" s="881" t="s">
        <v>20</v>
      </c>
      <c r="F188" s="2430" t="s">
        <v>15</v>
      </c>
      <c r="G188" s="2430" t="s">
        <v>15</v>
      </c>
      <c r="H188" s="2430" t="s">
        <v>15</v>
      </c>
      <c r="I188" s="2431">
        <v>0</v>
      </c>
      <c r="J188" s="2430" t="s">
        <v>15</v>
      </c>
      <c r="K188" s="2430" t="s">
        <v>15</v>
      </c>
      <c r="L188" s="7" t="s">
        <v>17</v>
      </c>
      <c r="M188" s="809" t="s">
        <v>20</v>
      </c>
    </row>
    <row r="189" spans="1:13" s="2432" customFormat="1" ht="71.400000000000006" customHeight="1" x14ac:dyDescent="0.35">
      <c r="A189" s="882">
        <v>43887</v>
      </c>
      <c r="B189" s="7" t="s">
        <v>5795</v>
      </c>
      <c r="C189" s="7" t="s">
        <v>6973</v>
      </c>
      <c r="D189" s="883">
        <v>43889</v>
      </c>
      <c r="E189" s="881" t="s">
        <v>6974</v>
      </c>
      <c r="F189" s="2430">
        <v>0.35416666666666669</v>
      </c>
      <c r="G189" s="2430">
        <v>0.375</v>
      </c>
      <c r="H189" s="2430">
        <v>0.375</v>
      </c>
      <c r="I189" s="2390">
        <v>378.7</v>
      </c>
      <c r="J189" s="1430" t="s">
        <v>7007</v>
      </c>
      <c r="K189" s="817" t="s">
        <v>119</v>
      </c>
      <c r="L189" s="817" t="s">
        <v>974</v>
      </c>
      <c r="M189" s="2565" t="s">
        <v>6096</v>
      </c>
    </row>
    <row r="190" spans="1:13" s="2432" customFormat="1" ht="117" customHeight="1" x14ac:dyDescent="0.35">
      <c r="A190" s="1994">
        <v>43888</v>
      </c>
      <c r="B190" s="7" t="s">
        <v>5759</v>
      </c>
      <c r="C190" s="7" t="s">
        <v>7028</v>
      </c>
      <c r="D190" s="883">
        <v>43889</v>
      </c>
      <c r="E190" s="1899" t="s">
        <v>1279</v>
      </c>
      <c r="F190" s="836">
        <v>0.3888888888888889</v>
      </c>
      <c r="G190" s="836">
        <v>0.40625</v>
      </c>
      <c r="H190" s="836">
        <v>0.40625</v>
      </c>
      <c r="I190" s="1630">
        <f>0.7*2*8*12+0.7*8*12+4*99+1.6*90</f>
        <v>741.59999999999991</v>
      </c>
      <c r="J190" s="817" t="s">
        <v>7031</v>
      </c>
      <c r="K190" s="817" t="s">
        <v>119</v>
      </c>
      <c r="L190" s="817" t="s">
        <v>17</v>
      </c>
      <c r="M190" s="839" t="s">
        <v>17</v>
      </c>
    </row>
    <row r="191" spans="1:13" s="2432" customFormat="1" ht="174" x14ac:dyDescent="0.35">
      <c r="A191" s="882">
        <v>43888</v>
      </c>
      <c r="B191" s="7" t="s">
        <v>7020</v>
      </c>
      <c r="C191" s="7" t="s">
        <v>7022</v>
      </c>
      <c r="D191" s="883">
        <v>43889</v>
      </c>
      <c r="E191" s="881" t="s">
        <v>7021</v>
      </c>
      <c r="F191" s="2430">
        <v>0.3888888888888889</v>
      </c>
      <c r="G191" s="2430">
        <v>0.45833333333333331</v>
      </c>
      <c r="H191" s="2430">
        <v>0.45833333333333331</v>
      </c>
      <c r="I191" s="2390">
        <f>99+5*15+4*3.5</f>
        <v>188</v>
      </c>
      <c r="J191" s="817" t="s">
        <v>257</v>
      </c>
      <c r="K191" s="817" t="s">
        <v>119</v>
      </c>
      <c r="L191" s="817" t="s">
        <v>17</v>
      </c>
      <c r="M191" s="839" t="s">
        <v>2084</v>
      </c>
    </row>
    <row r="192" spans="1:13" s="2432" customFormat="1" ht="69" customHeight="1" x14ac:dyDescent="0.35">
      <c r="A192" s="882">
        <v>43887</v>
      </c>
      <c r="B192" s="7" t="s">
        <v>7003</v>
      </c>
      <c r="C192" s="7" t="s">
        <v>7002</v>
      </c>
      <c r="D192" s="883">
        <v>43889</v>
      </c>
      <c r="E192" s="881" t="s">
        <v>126</v>
      </c>
      <c r="F192" s="2430">
        <v>0.3888888888888889</v>
      </c>
      <c r="G192" s="2430">
        <v>0.5</v>
      </c>
      <c r="H192" s="2430">
        <v>0.5</v>
      </c>
      <c r="I192" s="2431">
        <f>0.7*(2*55+2*40+2*99+2*70)</f>
        <v>369.59999999999997</v>
      </c>
      <c r="J192" s="817" t="s">
        <v>7045</v>
      </c>
      <c r="K192" s="817" t="s">
        <v>119</v>
      </c>
      <c r="L192" s="817" t="s">
        <v>17</v>
      </c>
      <c r="M192" s="839" t="s">
        <v>6053</v>
      </c>
    </row>
    <row r="193" spans="1:13" s="2432" customFormat="1" ht="29" x14ac:dyDescent="0.35">
      <c r="A193" s="1994">
        <v>43888</v>
      </c>
      <c r="B193" s="7" t="s">
        <v>136</v>
      </c>
      <c r="C193" s="7" t="s">
        <v>7032</v>
      </c>
      <c r="D193" s="883">
        <v>43889</v>
      </c>
      <c r="E193" s="1899" t="s">
        <v>5494</v>
      </c>
      <c r="F193" s="836">
        <v>0.41666666666666669</v>
      </c>
      <c r="G193" s="836">
        <v>0.41666666666666669</v>
      </c>
      <c r="H193" s="836">
        <v>0.41666666666666669</v>
      </c>
      <c r="I193" s="1100">
        <f>12*40</f>
        <v>480</v>
      </c>
      <c r="J193" s="817" t="s">
        <v>7033</v>
      </c>
      <c r="K193" s="817" t="s">
        <v>15</v>
      </c>
      <c r="L193" s="817" t="s">
        <v>17</v>
      </c>
      <c r="M193" s="839" t="s">
        <v>6053</v>
      </c>
    </row>
    <row r="194" spans="1:13" s="2432" customFormat="1" ht="189.65" customHeight="1" x14ac:dyDescent="0.35">
      <c r="A194" s="882">
        <v>43888</v>
      </c>
      <c r="B194" s="7" t="s">
        <v>7040</v>
      </c>
      <c r="C194" s="7" t="s">
        <v>7042</v>
      </c>
      <c r="D194" s="883">
        <v>43889</v>
      </c>
      <c r="E194" s="881" t="s">
        <v>5494</v>
      </c>
      <c r="F194" s="2430">
        <v>0.5</v>
      </c>
      <c r="G194" s="2430">
        <v>0.5</v>
      </c>
      <c r="H194" s="2430">
        <v>0.5</v>
      </c>
      <c r="I194" s="2390">
        <v>120</v>
      </c>
      <c r="J194" s="817" t="s">
        <v>7041</v>
      </c>
      <c r="K194" s="817" t="s">
        <v>15</v>
      </c>
      <c r="L194" s="817" t="s">
        <v>17</v>
      </c>
      <c r="M194" s="839" t="s">
        <v>5367</v>
      </c>
    </row>
    <row r="195" spans="1:13" s="2432" customFormat="1" ht="77.150000000000006" customHeight="1" x14ac:dyDescent="0.35">
      <c r="A195" s="882">
        <v>43881</v>
      </c>
      <c r="B195" s="7" t="s">
        <v>6888</v>
      </c>
      <c r="C195" s="7" t="s">
        <v>6889</v>
      </c>
      <c r="D195" s="883">
        <v>43889</v>
      </c>
      <c r="E195" s="881" t="s">
        <v>5494</v>
      </c>
      <c r="F195" s="2430">
        <v>0.54166666666666663</v>
      </c>
      <c r="G195" s="2430">
        <v>0.54166666666666663</v>
      </c>
      <c r="H195" s="2430">
        <v>0.54166666666666663</v>
      </c>
      <c r="I195" s="2390">
        <f>0.7*(4*120+11*19)</f>
        <v>482.29999999999995</v>
      </c>
      <c r="J195" s="817" t="s">
        <v>6890</v>
      </c>
      <c r="K195" s="817" t="s">
        <v>15</v>
      </c>
      <c r="L195" s="817" t="s">
        <v>17</v>
      </c>
      <c r="M195" s="839" t="s">
        <v>6053</v>
      </c>
    </row>
    <row r="196" spans="1:13" s="2432" customFormat="1" ht="60" customHeight="1" x14ac:dyDescent="0.35">
      <c r="A196" s="882">
        <v>43887</v>
      </c>
      <c r="B196" s="7" t="s">
        <v>5497</v>
      </c>
      <c r="C196" s="7" t="s">
        <v>6982</v>
      </c>
      <c r="D196" s="883">
        <v>43889</v>
      </c>
      <c r="E196" s="881" t="s">
        <v>6983</v>
      </c>
      <c r="F196" s="2430">
        <v>0.54166666666666663</v>
      </c>
      <c r="G196" s="2430">
        <v>0.58333333333333337</v>
      </c>
      <c r="H196" s="2430">
        <v>0.58333333333333337</v>
      </c>
      <c r="I196" s="2390">
        <v>100</v>
      </c>
      <c r="J196" s="7" t="s">
        <v>6984</v>
      </c>
      <c r="K196" s="7" t="s">
        <v>119</v>
      </c>
      <c r="L196" s="7" t="s">
        <v>17</v>
      </c>
      <c r="M196" s="839" t="s">
        <v>6041</v>
      </c>
    </row>
    <row r="197" spans="1:13" s="2432" customFormat="1" ht="89.15" customHeight="1" x14ac:dyDescent="0.35">
      <c r="A197" s="882">
        <v>43887</v>
      </c>
      <c r="B197" s="7" t="s">
        <v>5795</v>
      </c>
      <c r="C197" s="7" t="s">
        <v>7006</v>
      </c>
      <c r="D197" s="883">
        <v>43889</v>
      </c>
      <c r="E197" s="881" t="s">
        <v>6975</v>
      </c>
      <c r="F197" s="2430">
        <v>0.54166666666666663</v>
      </c>
      <c r="G197" s="2430">
        <v>0.625</v>
      </c>
      <c r="H197" s="2430">
        <v>0.625</v>
      </c>
      <c r="I197" s="2390">
        <v>205.8</v>
      </c>
      <c r="J197" s="1430" t="s">
        <v>7007</v>
      </c>
      <c r="K197" s="817" t="s">
        <v>119</v>
      </c>
      <c r="L197" s="2564" t="s">
        <v>974</v>
      </c>
      <c r="M197" s="2565" t="s">
        <v>6096</v>
      </c>
    </row>
    <row r="198" spans="1:13" s="2432" customFormat="1" ht="130.5" customHeight="1" x14ac:dyDescent="0.35">
      <c r="A198" s="882">
        <v>43887</v>
      </c>
      <c r="B198" s="1090" t="s">
        <v>6978</v>
      </c>
      <c r="C198" s="7" t="s">
        <v>6976</v>
      </c>
      <c r="D198" s="883">
        <v>43889</v>
      </c>
      <c r="E198" s="881" t="s">
        <v>6977</v>
      </c>
      <c r="F198" s="2430">
        <v>0.54166666666666663</v>
      </c>
      <c r="G198" s="2430">
        <v>0.66666666666666663</v>
      </c>
      <c r="H198" s="2430">
        <v>0.66666666666666663</v>
      </c>
      <c r="I198" s="2390">
        <f>2*99+70</f>
        <v>268</v>
      </c>
      <c r="J198" s="7" t="s">
        <v>257</v>
      </c>
      <c r="K198" s="7" t="s">
        <v>119</v>
      </c>
      <c r="L198" s="7" t="s">
        <v>17</v>
      </c>
      <c r="M198" s="809" t="s">
        <v>17</v>
      </c>
    </row>
    <row r="199" spans="1:13" s="2432" customFormat="1" ht="57" customHeight="1" x14ac:dyDescent="0.35">
      <c r="A199" s="882">
        <v>43888</v>
      </c>
      <c r="B199" s="7" t="s">
        <v>7043</v>
      </c>
      <c r="C199" s="7" t="s">
        <v>7044</v>
      </c>
      <c r="D199" s="883">
        <v>43889</v>
      </c>
      <c r="E199" s="881" t="s">
        <v>5494</v>
      </c>
      <c r="F199" s="2430">
        <v>0.70833333333333337</v>
      </c>
      <c r="G199" s="2430">
        <v>0.70833333333333337</v>
      </c>
      <c r="H199" s="2430">
        <v>0.70833333333333337</v>
      </c>
      <c r="I199" s="2390">
        <v>240</v>
      </c>
      <c r="J199" s="817" t="s">
        <v>257</v>
      </c>
      <c r="K199" s="817" t="s">
        <v>15</v>
      </c>
      <c r="L199" s="817" t="s">
        <v>17</v>
      </c>
      <c r="M199" s="839" t="s">
        <v>6053</v>
      </c>
    </row>
    <row r="200" spans="1:13" s="2432" customFormat="1" ht="84.9" customHeight="1" x14ac:dyDescent="0.35">
      <c r="A200" s="1994">
        <v>43885</v>
      </c>
      <c r="B200" s="7" t="s">
        <v>6937</v>
      </c>
      <c r="C200" s="7" t="s">
        <v>6938</v>
      </c>
      <c r="D200" s="1899">
        <v>43890</v>
      </c>
      <c r="E200" s="881" t="s">
        <v>6939</v>
      </c>
      <c r="F200" s="836">
        <v>0.34375</v>
      </c>
      <c r="G200" s="836">
        <v>0.36458333333333331</v>
      </c>
      <c r="H200" s="836">
        <v>0.36458333333333331</v>
      </c>
      <c r="I200" s="1630">
        <v>150</v>
      </c>
      <c r="J200" s="817" t="s">
        <v>257</v>
      </c>
      <c r="K200" s="817" t="s">
        <v>119</v>
      </c>
      <c r="L200" s="817" t="s">
        <v>17</v>
      </c>
      <c r="M200" s="839" t="s">
        <v>6041</v>
      </c>
    </row>
    <row r="201" spans="1:13" s="2438" customFormat="1" ht="68.150000000000006" customHeight="1" x14ac:dyDescent="0.35">
      <c r="A201" s="1994">
        <v>43885</v>
      </c>
      <c r="B201" s="7" t="s">
        <v>6920</v>
      </c>
      <c r="C201" s="7" t="s">
        <v>6940</v>
      </c>
      <c r="D201" s="1899">
        <v>43890</v>
      </c>
      <c r="E201" s="881" t="s">
        <v>6919</v>
      </c>
      <c r="F201" s="836">
        <v>0.34375</v>
      </c>
      <c r="G201" s="836">
        <v>0.3888888888888889</v>
      </c>
      <c r="H201" s="836">
        <v>0.3888888888888889</v>
      </c>
      <c r="I201" s="1100">
        <v>1750</v>
      </c>
      <c r="J201" s="817" t="s">
        <v>6941</v>
      </c>
      <c r="K201" s="817" t="s">
        <v>119</v>
      </c>
      <c r="L201" s="817" t="s">
        <v>6046</v>
      </c>
      <c r="M201" s="839" t="s">
        <v>6942</v>
      </c>
    </row>
    <row r="202" spans="1:13" s="2438" customFormat="1" ht="132" customHeight="1" x14ac:dyDescent="0.35">
      <c r="A202" s="2145">
        <v>43886</v>
      </c>
      <c r="B202" s="2567" t="s">
        <v>6949</v>
      </c>
      <c r="C202" s="2567" t="s">
        <v>6950</v>
      </c>
      <c r="D202" s="2146">
        <v>43890</v>
      </c>
      <c r="E202" s="2567" t="s">
        <v>6951</v>
      </c>
      <c r="F202" s="2568">
        <v>0.34375</v>
      </c>
      <c r="G202" s="2547">
        <v>0.41666666666666669</v>
      </c>
      <c r="H202" s="2547">
        <v>0.41666666666666669</v>
      </c>
      <c r="I202" s="2597">
        <v>360</v>
      </c>
      <c r="J202" s="817" t="s">
        <v>257</v>
      </c>
      <c r="K202" s="817" t="s">
        <v>119</v>
      </c>
      <c r="L202" s="817" t="s">
        <v>6046</v>
      </c>
      <c r="M202" s="839" t="s">
        <v>6041</v>
      </c>
    </row>
    <row r="203" spans="1:13" s="2438" customFormat="1" ht="84.65" customHeight="1" x14ac:dyDescent="0.35">
      <c r="A203" s="1994">
        <v>43888</v>
      </c>
      <c r="B203" s="7" t="s">
        <v>647</v>
      </c>
      <c r="C203" s="7" t="s">
        <v>7038</v>
      </c>
      <c r="D203" s="1899">
        <v>43890</v>
      </c>
      <c r="E203" s="881" t="s">
        <v>5494</v>
      </c>
      <c r="F203" s="836">
        <v>0.41666666666666669</v>
      </c>
      <c r="G203" s="836">
        <v>0.41666666666666669</v>
      </c>
      <c r="H203" s="836">
        <v>0.41666666666666669</v>
      </c>
      <c r="I203" s="1100">
        <v>0</v>
      </c>
      <c r="J203" s="817" t="s">
        <v>5171</v>
      </c>
      <c r="K203" s="817" t="s">
        <v>15</v>
      </c>
      <c r="L203" s="817" t="s">
        <v>17</v>
      </c>
      <c r="M203" s="839" t="s">
        <v>6053</v>
      </c>
    </row>
    <row r="204" spans="1:13" s="2438" customFormat="1" ht="48.9" customHeight="1" x14ac:dyDescent="0.35">
      <c r="A204" s="1994">
        <v>43879</v>
      </c>
      <c r="B204" s="7" t="s">
        <v>6820</v>
      </c>
      <c r="C204" s="7" t="s">
        <v>6822</v>
      </c>
      <c r="D204" s="1899">
        <v>43890</v>
      </c>
      <c r="E204" s="881" t="s">
        <v>5367</v>
      </c>
      <c r="F204" s="836">
        <v>0.45833333333333331</v>
      </c>
      <c r="G204" s="836">
        <v>0.45833333333333331</v>
      </c>
      <c r="H204" s="836">
        <v>0.45833333333333331</v>
      </c>
      <c r="I204" s="1100">
        <v>0</v>
      </c>
      <c r="J204" s="7" t="s">
        <v>6821</v>
      </c>
      <c r="K204" s="7" t="s">
        <v>15</v>
      </c>
      <c r="L204" s="7" t="s">
        <v>17</v>
      </c>
      <c r="M204" s="809" t="s">
        <v>6034</v>
      </c>
    </row>
    <row r="205" spans="1:13" s="2438" customFormat="1" ht="219.9" customHeight="1" x14ac:dyDescent="0.35">
      <c r="A205" s="1994">
        <v>43889</v>
      </c>
      <c r="B205" s="7" t="s">
        <v>5280</v>
      </c>
      <c r="C205" s="7" t="s">
        <v>7055</v>
      </c>
      <c r="D205" s="1899">
        <v>43890</v>
      </c>
      <c r="E205" s="881" t="s">
        <v>7005</v>
      </c>
      <c r="F205" s="836">
        <v>0.47222222222222227</v>
      </c>
      <c r="G205" s="836">
        <v>0.5</v>
      </c>
      <c r="H205" s="836">
        <v>0.5</v>
      </c>
      <c r="I205" s="1630">
        <v>126</v>
      </c>
      <c r="J205" s="1430" t="s">
        <v>7054</v>
      </c>
      <c r="K205" s="817" t="s">
        <v>119</v>
      </c>
      <c r="L205" s="817" t="s">
        <v>22</v>
      </c>
      <c r="M205" s="839" t="s">
        <v>6096</v>
      </c>
    </row>
    <row r="206" spans="1:13" s="2438" customFormat="1" ht="332.4" customHeight="1" x14ac:dyDescent="0.35">
      <c r="A206" s="1994">
        <v>43888</v>
      </c>
      <c r="B206" s="7" t="s">
        <v>6960</v>
      </c>
      <c r="C206" s="7" t="s">
        <v>7038</v>
      </c>
      <c r="D206" s="1899">
        <v>43890</v>
      </c>
      <c r="E206" s="881" t="s">
        <v>6959</v>
      </c>
      <c r="F206" s="836">
        <v>0.47222222222222227</v>
      </c>
      <c r="G206" s="836">
        <v>0.52083333333333337</v>
      </c>
      <c r="H206" s="836">
        <v>0.52083333333333337</v>
      </c>
      <c r="I206" s="1100">
        <f>2*(80*1.6+70)</f>
        <v>396</v>
      </c>
      <c r="J206" s="817" t="s">
        <v>7039</v>
      </c>
      <c r="K206" s="817" t="s">
        <v>119</v>
      </c>
      <c r="L206" s="817" t="s">
        <v>17</v>
      </c>
      <c r="M206" s="839" t="s">
        <v>6053</v>
      </c>
    </row>
    <row r="207" spans="1:13" s="2432" customFormat="1" ht="30.9" customHeight="1" x14ac:dyDescent="0.35">
      <c r="A207" s="1830">
        <v>43887</v>
      </c>
      <c r="B207" s="10" t="s">
        <v>5489</v>
      </c>
      <c r="C207" s="10" t="s">
        <v>6985</v>
      </c>
      <c r="D207" s="1808">
        <v>43890</v>
      </c>
      <c r="E207" s="823" t="s">
        <v>5489</v>
      </c>
      <c r="F207" s="836">
        <v>0.47222222222222227</v>
      </c>
      <c r="G207" s="836">
        <v>0.54166666666666663</v>
      </c>
      <c r="H207" s="836">
        <v>0.54166666666666663</v>
      </c>
      <c r="I207" s="1630">
        <f>300+85*10</f>
        <v>1150</v>
      </c>
      <c r="J207" s="817" t="s">
        <v>6708</v>
      </c>
      <c r="K207" s="817" t="s">
        <v>119</v>
      </c>
      <c r="L207" s="817" t="s">
        <v>17</v>
      </c>
      <c r="M207" s="839" t="s">
        <v>5489</v>
      </c>
    </row>
    <row r="208" spans="1:13" s="2438" customFormat="1" ht="102.65" customHeight="1" x14ac:dyDescent="0.35">
      <c r="A208" s="2145">
        <v>43872</v>
      </c>
      <c r="B208" s="1733" t="s">
        <v>5317</v>
      </c>
      <c r="C208" s="1733" t="s">
        <v>7047</v>
      </c>
      <c r="D208" s="2146">
        <v>43890</v>
      </c>
      <c r="E208" s="1571" t="s">
        <v>7056</v>
      </c>
      <c r="F208" s="836">
        <v>0.47222222222222227</v>
      </c>
      <c r="G208" s="836">
        <v>0.57638888888888895</v>
      </c>
      <c r="H208" s="836">
        <v>0.57638888888888895</v>
      </c>
      <c r="I208" s="1100">
        <v>1872.8</v>
      </c>
      <c r="J208" s="817" t="s">
        <v>257</v>
      </c>
      <c r="K208" s="817" t="s">
        <v>119</v>
      </c>
      <c r="L208" s="817" t="s">
        <v>22</v>
      </c>
      <c r="M208" s="839" t="s">
        <v>6096</v>
      </c>
    </row>
    <row r="209" spans="1:13" s="2438" customFormat="1" ht="102.65" customHeight="1" x14ac:dyDescent="0.35">
      <c r="A209" s="1994">
        <v>43889</v>
      </c>
      <c r="B209" s="7" t="s">
        <v>6553</v>
      </c>
      <c r="C209" s="7" t="s">
        <v>7048</v>
      </c>
      <c r="D209" s="1899">
        <v>43890</v>
      </c>
      <c r="E209" s="881" t="s">
        <v>5502</v>
      </c>
      <c r="F209" s="836">
        <v>0.5</v>
      </c>
      <c r="G209" s="836">
        <v>0.5</v>
      </c>
      <c r="H209" s="836">
        <v>0.5</v>
      </c>
      <c r="I209" s="1100">
        <f>1.6*80</f>
        <v>128</v>
      </c>
      <c r="J209" s="817" t="s">
        <v>2900</v>
      </c>
      <c r="K209" s="817" t="s">
        <v>15</v>
      </c>
      <c r="L209" s="817" t="s">
        <v>17</v>
      </c>
      <c r="M209" s="839" t="s">
        <v>2084</v>
      </c>
    </row>
    <row r="210" spans="1:13" s="2438" customFormat="1" ht="102.65" customHeight="1" x14ac:dyDescent="0.35">
      <c r="A210" s="852">
        <v>43858</v>
      </c>
      <c r="B210" s="817" t="s">
        <v>6374</v>
      </c>
      <c r="C210" s="817" t="s">
        <v>6375</v>
      </c>
      <c r="D210" s="1223">
        <v>43890</v>
      </c>
      <c r="E210" s="1149" t="s">
        <v>5494</v>
      </c>
      <c r="F210" s="2386" t="s">
        <v>15</v>
      </c>
      <c r="G210" s="2386">
        <v>0.41666666666666669</v>
      </c>
      <c r="H210" s="2386">
        <v>0.41666666666666669</v>
      </c>
      <c r="I210" s="2390">
        <v>80</v>
      </c>
      <c r="J210" s="817" t="s">
        <v>6376</v>
      </c>
      <c r="K210" s="817" t="s">
        <v>15</v>
      </c>
      <c r="L210" s="817" t="s">
        <v>17</v>
      </c>
      <c r="M210" s="839" t="s">
        <v>5367</v>
      </c>
    </row>
    <row r="211" spans="1:13" s="2438" customFormat="1" ht="206.15" customHeight="1" x14ac:dyDescent="0.35">
      <c r="A211" s="1994">
        <v>43879</v>
      </c>
      <c r="B211" s="7" t="s">
        <v>6833</v>
      </c>
      <c r="C211" s="7" t="s">
        <v>6824</v>
      </c>
      <c r="D211" s="1899">
        <v>43890</v>
      </c>
      <c r="E211" s="881" t="s">
        <v>5367</v>
      </c>
      <c r="F211" s="836">
        <v>0.5</v>
      </c>
      <c r="G211" s="836">
        <v>0.5</v>
      </c>
      <c r="H211" s="836">
        <v>0.5</v>
      </c>
      <c r="I211" s="1100">
        <v>0</v>
      </c>
      <c r="J211" s="7" t="s">
        <v>6821</v>
      </c>
      <c r="K211" s="7" t="s">
        <v>15</v>
      </c>
      <c r="L211" s="7" t="s">
        <v>17</v>
      </c>
      <c r="M211" s="809" t="s">
        <v>6034</v>
      </c>
    </row>
    <row r="212" spans="1:13" s="2432" customFormat="1" ht="118.5" customHeight="1" x14ac:dyDescent="0.35">
      <c r="A212" s="1994">
        <v>43887</v>
      </c>
      <c r="B212" s="7" t="s">
        <v>6979</v>
      </c>
      <c r="C212" s="7" t="s">
        <v>6981</v>
      </c>
      <c r="D212" s="1899">
        <v>43890</v>
      </c>
      <c r="E212" s="881" t="s">
        <v>5367</v>
      </c>
      <c r="F212" s="836">
        <v>0.54166666666666663</v>
      </c>
      <c r="G212" s="836">
        <v>0.54166666666666663</v>
      </c>
      <c r="H212" s="836">
        <v>0.54166666666666663</v>
      </c>
      <c r="I212" s="1100">
        <v>0</v>
      </c>
      <c r="J212" s="7" t="s">
        <v>6980</v>
      </c>
      <c r="K212" s="7" t="s">
        <v>15</v>
      </c>
      <c r="L212" s="7" t="s">
        <v>17</v>
      </c>
      <c r="M212" s="809" t="s">
        <v>6034</v>
      </c>
    </row>
    <row r="213" spans="1:13" s="2438" customFormat="1" ht="357.65" customHeight="1" x14ac:dyDescent="0.35">
      <c r="A213" s="1994">
        <v>43879</v>
      </c>
      <c r="B213" s="7" t="s">
        <v>6727</v>
      </c>
      <c r="C213" s="7" t="s">
        <v>6824</v>
      </c>
      <c r="D213" s="1899">
        <v>43890</v>
      </c>
      <c r="E213" s="881" t="s">
        <v>5367</v>
      </c>
      <c r="F213" s="836">
        <v>0.58333333333333337</v>
      </c>
      <c r="G213" s="836">
        <v>0.58333333333333337</v>
      </c>
      <c r="H213" s="836">
        <v>0.58333333333333337</v>
      </c>
      <c r="I213" s="1100">
        <v>0</v>
      </c>
      <c r="J213" s="7" t="s">
        <v>6821</v>
      </c>
      <c r="K213" s="7" t="s">
        <v>15</v>
      </c>
      <c r="L213" s="7" t="s">
        <v>17</v>
      </c>
      <c r="M213" s="809" t="s">
        <v>6034</v>
      </c>
    </row>
    <row r="214" spans="1:13" s="2438" customFormat="1" ht="249" customHeight="1" x14ac:dyDescent="0.35">
      <c r="A214" s="1994">
        <v>43879</v>
      </c>
      <c r="B214" s="7" t="s">
        <v>6823</v>
      </c>
      <c r="C214" s="7" t="s">
        <v>6822</v>
      </c>
      <c r="D214" s="1899">
        <v>43890</v>
      </c>
      <c r="E214" s="881" t="s">
        <v>5367</v>
      </c>
      <c r="F214" s="836">
        <v>0.625</v>
      </c>
      <c r="G214" s="836">
        <v>0.625</v>
      </c>
      <c r="H214" s="836">
        <v>0.625</v>
      </c>
      <c r="I214" s="1100">
        <v>0</v>
      </c>
      <c r="J214" s="7" t="s">
        <v>6821</v>
      </c>
      <c r="K214" s="7" t="s">
        <v>15</v>
      </c>
      <c r="L214" s="7" t="s">
        <v>17</v>
      </c>
      <c r="M214" s="809" t="s">
        <v>6034</v>
      </c>
    </row>
    <row r="215" spans="1:13" s="2438" customFormat="1" ht="249" customHeight="1" x14ac:dyDescent="0.35">
      <c r="A215" s="2145">
        <v>43887</v>
      </c>
      <c r="B215" s="1733" t="s">
        <v>7008</v>
      </c>
      <c r="C215" s="1733" t="s">
        <v>7009</v>
      </c>
      <c r="D215" s="2146">
        <v>43890</v>
      </c>
      <c r="E215" s="2150" t="s">
        <v>5494</v>
      </c>
      <c r="F215" s="1756">
        <v>0.625</v>
      </c>
      <c r="G215" s="836">
        <v>0.625</v>
      </c>
      <c r="H215" s="836">
        <v>0.625</v>
      </c>
      <c r="I215" s="1100">
        <v>514</v>
      </c>
      <c r="J215" s="817" t="s">
        <v>7010</v>
      </c>
      <c r="K215" s="817" t="s">
        <v>15</v>
      </c>
      <c r="L215" s="817" t="s">
        <v>974</v>
      </c>
      <c r="M215" s="839" t="s">
        <v>6096</v>
      </c>
    </row>
    <row r="216" spans="1:13" s="2438" customFormat="1" ht="105.65" customHeight="1" x14ac:dyDescent="0.35">
      <c r="A216" s="1830">
        <v>43879</v>
      </c>
      <c r="B216" s="10" t="s">
        <v>6826</v>
      </c>
      <c r="C216" s="2522" t="s">
        <v>6935</v>
      </c>
      <c r="D216" s="1808">
        <v>43890</v>
      </c>
      <c r="E216" s="1571" t="s">
        <v>7057</v>
      </c>
      <c r="F216" s="12">
        <v>0.65972222222222221</v>
      </c>
      <c r="G216" s="12">
        <v>0.6875</v>
      </c>
      <c r="H216" s="836">
        <v>0.6875</v>
      </c>
      <c r="I216" s="1100">
        <f>4*100*4.8</f>
        <v>1920</v>
      </c>
      <c r="J216" s="817" t="s">
        <v>6828</v>
      </c>
      <c r="K216" s="817" t="s">
        <v>119</v>
      </c>
      <c r="L216" s="817" t="s">
        <v>17</v>
      </c>
      <c r="M216" s="839" t="s">
        <v>6827</v>
      </c>
    </row>
    <row r="217" spans="1:13" s="2438" customFormat="1" ht="209.15" customHeight="1" x14ac:dyDescent="0.35">
      <c r="A217" s="1994">
        <v>43887</v>
      </c>
      <c r="B217" s="7" t="s">
        <v>6999</v>
      </c>
      <c r="C217" s="7" t="s">
        <v>6996</v>
      </c>
      <c r="D217" s="1899">
        <v>43890</v>
      </c>
      <c r="E217" s="881" t="s">
        <v>1043</v>
      </c>
      <c r="F217" s="836">
        <v>0.65972222222222221</v>
      </c>
      <c r="G217" s="836">
        <v>0.77083333333333337</v>
      </c>
      <c r="H217" s="836">
        <v>0.77083333333333337</v>
      </c>
      <c r="I217" s="1100">
        <v>0</v>
      </c>
      <c r="J217" s="7" t="s">
        <v>6998</v>
      </c>
      <c r="K217" s="7" t="s">
        <v>119</v>
      </c>
      <c r="L217" s="7" t="s">
        <v>17</v>
      </c>
      <c r="M217" s="809" t="s">
        <v>6053</v>
      </c>
    </row>
    <row r="218" spans="1:13" s="2438" customFormat="1" ht="122.4" customHeight="1" x14ac:dyDescent="0.35">
      <c r="A218" s="1994">
        <v>43887</v>
      </c>
      <c r="B218" s="7" t="s">
        <v>7000</v>
      </c>
      <c r="C218" s="7" t="s">
        <v>6996</v>
      </c>
      <c r="D218" s="1899">
        <v>43890</v>
      </c>
      <c r="E218" s="881" t="s">
        <v>5420</v>
      </c>
      <c r="F218" s="836">
        <v>0.65972222222222221</v>
      </c>
      <c r="G218" s="836">
        <v>0.79166666666666663</v>
      </c>
      <c r="H218" s="836">
        <v>0.79166666666666663</v>
      </c>
      <c r="I218" s="1100">
        <v>0.79166666666666663</v>
      </c>
      <c r="J218" s="7" t="s">
        <v>6998</v>
      </c>
      <c r="K218" s="7" t="s">
        <v>119</v>
      </c>
      <c r="L218" s="7" t="s">
        <v>17</v>
      </c>
      <c r="M218" s="809" t="s">
        <v>6053</v>
      </c>
    </row>
    <row r="219" spans="1:13" s="2438" customFormat="1" ht="213.65" customHeight="1" x14ac:dyDescent="0.35">
      <c r="A219" s="2573">
        <v>43887</v>
      </c>
      <c r="B219" s="1090" t="s">
        <v>5795</v>
      </c>
      <c r="C219" s="1090" t="s">
        <v>7058</v>
      </c>
      <c r="D219" s="2589">
        <v>43890</v>
      </c>
      <c r="E219" s="2428" t="s">
        <v>6975</v>
      </c>
      <c r="F219" s="1927">
        <v>0.65972222222222221</v>
      </c>
      <c r="G219" s="1927">
        <v>0.8125</v>
      </c>
      <c r="H219" s="1927">
        <v>0.8125</v>
      </c>
      <c r="I219" s="2128">
        <v>0</v>
      </c>
      <c r="J219" s="2434" t="s">
        <v>7007</v>
      </c>
      <c r="K219" s="2434" t="s">
        <v>119</v>
      </c>
      <c r="L219" s="2590" t="s">
        <v>974</v>
      </c>
      <c r="M219" s="2591" t="s">
        <v>6096</v>
      </c>
    </row>
    <row r="220" spans="1:13" s="2438" customFormat="1" ht="113.15" customHeight="1" x14ac:dyDescent="0.35">
      <c r="A220" s="1994">
        <v>43869</v>
      </c>
      <c r="B220" s="7" t="s">
        <v>20</v>
      </c>
      <c r="C220" s="7" t="s">
        <v>6562</v>
      </c>
      <c r="D220" s="1899">
        <v>43890</v>
      </c>
      <c r="E220" s="881" t="s">
        <v>20</v>
      </c>
      <c r="F220" s="836" t="s">
        <v>15</v>
      </c>
      <c r="G220" s="836" t="s">
        <v>15</v>
      </c>
      <c r="H220" s="836" t="s">
        <v>15</v>
      </c>
      <c r="I220" s="1100">
        <v>0</v>
      </c>
      <c r="J220" s="817" t="s">
        <v>20</v>
      </c>
      <c r="K220" s="817" t="s">
        <v>15</v>
      </c>
      <c r="L220" s="817" t="s">
        <v>17</v>
      </c>
      <c r="M220" s="839" t="s">
        <v>20</v>
      </c>
    </row>
    <row r="221" spans="1:13" s="2438" customFormat="1" ht="294.64999999999998" customHeight="1" x14ac:dyDescent="0.35">
      <c r="A221" s="882">
        <v>43890</v>
      </c>
      <c r="B221" s="7" t="s">
        <v>7071</v>
      </c>
      <c r="C221" s="7" t="s">
        <v>7074</v>
      </c>
      <c r="D221" s="883">
        <v>43891</v>
      </c>
      <c r="E221" s="881" t="s">
        <v>7072</v>
      </c>
      <c r="F221" s="2430">
        <v>0.39583333333333331</v>
      </c>
      <c r="G221" s="2430">
        <v>0.41666666666666669</v>
      </c>
      <c r="H221" s="2430">
        <v>0.41666666666666669</v>
      </c>
      <c r="I221" s="2431">
        <f>1.8*200</f>
        <v>360</v>
      </c>
      <c r="J221" s="817" t="s">
        <v>7073</v>
      </c>
      <c r="K221" s="7" t="s">
        <v>119</v>
      </c>
      <c r="L221" s="817" t="s">
        <v>17</v>
      </c>
      <c r="M221" s="839" t="s">
        <v>6053</v>
      </c>
    </row>
    <row r="222" spans="1:13" s="2438" customFormat="1" ht="87" customHeight="1" x14ac:dyDescent="0.35">
      <c r="A222" s="2447">
        <v>43887</v>
      </c>
      <c r="B222" s="1733" t="s">
        <v>6990</v>
      </c>
      <c r="C222" s="1733" t="s">
        <v>7049</v>
      </c>
      <c r="D222" s="2393">
        <v>43891</v>
      </c>
      <c r="E222" s="2150" t="s">
        <v>6991</v>
      </c>
      <c r="F222" s="2397">
        <v>0.39583333333333331</v>
      </c>
      <c r="G222" s="2397">
        <v>0.45833333333333331</v>
      </c>
      <c r="H222" s="2430">
        <v>0.45833333333333331</v>
      </c>
      <c r="I222" s="2431">
        <v>390</v>
      </c>
      <c r="J222" s="817" t="s">
        <v>6992</v>
      </c>
      <c r="K222" s="817" t="s">
        <v>119</v>
      </c>
      <c r="L222" s="817" t="s">
        <v>17</v>
      </c>
      <c r="M222" s="839" t="s">
        <v>6041</v>
      </c>
    </row>
    <row r="223" spans="1:13" s="2438" customFormat="1" ht="99.65" customHeight="1" x14ac:dyDescent="0.35">
      <c r="A223" s="882">
        <v>43886</v>
      </c>
      <c r="B223" s="7" t="s">
        <v>4548</v>
      </c>
      <c r="C223" s="7" t="s">
        <v>6961</v>
      </c>
      <c r="D223" s="883">
        <v>43891</v>
      </c>
      <c r="E223" s="1571" t="s">
        <v>7059</v>
      </c>
      <c r="F223" s="2430">
        <v>0.5</v>
      </c>
      <c r="G223" s="2430">
        <v>0.53472222222222221</v>
      </c>
      <c r="H223" s="2430">
        <v>0.53472222222222221</v>
      </c>
      <c r="I223" s="2431">
        <f>65*3.5*4.8</f>
        <v>1092</v>
      </c>
      <c r="J223" s="7" t="s">
        <v>4808</v>
      </c>
      <c r="K223" s="7" t="s">
        <v>119</v>
      </c>
      <c r="L223" s="7" t="s">
        <v>17</v>
      </c>
      <c r="M223" s="809" t="s">
        <v>6827</v>
      </c>
    </row>
    <row r="224" spans="1:13" s="2438" customFormat="1" ht="89.15" customHeight="1" x14ac:dyDescent="0.35">
      <c r="A224" s="852">
        <v>43859</v>
      </c>
      <c r="B224" s="817" t="s">
        <v>6425</v>
      </c>
      <c r="C224" s="5" t="s">
        <v>7082</v>
      </c>
      <c r="D224" s="908">
        <v>43891</v>
      </c>
      <c r="E224" s="824" t="s">
        <v>6427</v>
      </c>
      <c r="F224" s="2391">
        <v>0.5</v>
      </c>
      <c r="G224" s="2391">
        <v>0.625</v>
      </c>
      <c r="H224" s="2391">
        <v>0.625</v>
      </c>
      <c r="I224" s="2389">
        <v>540</v>
      </c>
      <c r="J224" s="5" t="s">
        <v>7086</v>
      </c>
      <c r="K224" s="5" t="s">
        <v>119</v>
      </c>
      <c r="L224" s="5" t="s">
        <v>22</v>
      </c>
      <c r="M224" s="807" t="s">
        <v>5367</v>
      </c>
    </row>
    <row r="225" spans="1:13" s="2438" customFormat="1" ht="195" customHeight="1" x14ac:dyDescent="0.35">
      <c r="A225" s="1994">
        <v>43890</v>
      </c>
      <c r="B225" s="7" t="s">
        <v>7063</v>
      </c>
      <c r="C225" s="7" t="s">
        <v>7064</v>
      </c>
      <c r="D225" s="1899">
        <v>43891</v>
      </c>
      <c r="E225" s="881" t="s">
        <v>7065</v>
      </c>
      <c r="F225" s="836">
        <v>0.5</v>
      </c>
      <c r="G225" s="836">
        <v>0.66666666666666663</v>
      </c>
      <c r="H225" s="836"/>
      <c r="I225" s="1100">
        <v>0</v>
      </c>
      <c r="J225" s="7" t="s">
        <v>7066</v>
      </c>
      <c r="K225" s="7" t="s">
        <v>119</v>
      </c>
      <c r="L225" s="7" t="s">
        <v>17</v>
      </c>
      <c r="M225" s="809" t="s">
        <v>6061</v>
      </c>
    </row>
    <row r="226" spans="1:13" s="2438" customFormat="1" ht="72.5" x14ac:dyDescent="0.35">
      <c r="A226" s="882">
        <v>43887</v>
      </c>
      <c r="B226" s="7" t="s">
        <v>7015</v>
      </c>
      <c r="C226" s="7" t="s">
        <v>7016</v>
      </c>
      <c r="D226" s="883">
        <v>43891</v>
      </c>
      <c r="E226" s="881" t="s">
        <v>5494</v>
      </c>
      <c r="F226" s="2430">
        <v>0.5</v>
      </c>
      <c r="G226" s="2430">
        <v>0.5</v>
      </c>
      <c r="H226" s="2430">
        <v>0.5</v>
      </c>
      <c r="I226" s="2431">
        <f>(1.2+1.8)*80</f>
        <v>240</v>
      </c>
      <c r="J226" s="817" t="s">
        <v>7017</v>
      </c>
      <c r="K226" s="817" t="s">
        <v>15</v>
      </c>
      <c r="L226" s="817" t="s">
        <v>17</v>
      </c>
      <c r="M226" s="839" t="s">
        <v>5367</v>
      </c>
    </row>
    <row r="227" spans="1:13" s="2432" customFormat="1" ht="72.650000000000006" customHeight="1" x14ac:dyDescent="0.35">
      <c r="A227" s="882">
        <v>43890</v>
      </c>
      <c r="B227" s="7" t="s">
        <v>7060</v>
      </c>
      <c r="C227" s="7" t="s">
        <v>7061</v>
      </c>
      <c r="D227" s="883">
        <v>43891</v>
      </c>
      <c r="E227" s="881" t="s">
        <v>5367</v>
      </c>
      <c r="F227" s="2430">
        <v>0.5</v>
      </c>
      <c r="G227" s="2430">
        <v>0.5</v>
      </c>
      <c r="H227" s="2430">
        <v>0.5</v>
      </c>
      <c r="I227" s="2431">
        <v>0</v>
      </c>
      <c r="J227" s="817" t="s">
        <v>16</v>
      </c>
      <c r="K227" s="817" t="s">
        <v>15</v>
      </c>
      <c r="L227" s="817" t="s">
        <v>17</v>
      </c>
      <c r="M227" s="839" t="s">
        <v>5367</v>
      </c>
    </row>
    <row r="228" spans="1:13" s="2432" customFormat="1" ht="66" customHeight="1" x14ac:dyDescent="0.35">
      <c r="A228" s="2485">
        <v>43886</v>
      </c>
      <c r="B228" s="2545" t="s">
        <v>6072</v>
      </c>
      <c r="C228" s="2545" t="s">
        <v>6966</v>
      </c>
      <c r="D228" s="2486">
        <v>43892</v>
      </c>
      <c r="E228" s="2545" t="s">
        <v>6072</v>
      </c>
      <c r="F228" s="2547">
        <v>0.375</v>
      </c>
      <c r="G228" s="2547">
        <v>0.375</v>
      </c>
      <c r="H228" s="2547">
        <v>0.375</v>
      </c>
      <c r="I228" s="2546">
        <f>12*40+12*70</f>
        <v>1320</v>
      </c>
      <c r="J228" s="1154" t="s">
        <v>16</v>
      </c>
      <c r="K228" s="1154" t="s">
        <v>15</v>
      </c>
      <c r="L228" s="817" t="s">
        <v>17</v>
      </c>
      <c r="M228" s="2569" t="s">
        <v>6034</v>
      </c>
    </row>
    <row r="229" spans="1:13" s="2432" customFormat="1" ht="63.9" customHeight="1" x14ac:dyDescent="0.35">
      <c r="A229" s="2485">
        <v>43886</v>
      </c>
      <c r="B229" s="2545" t="s">
        <v>6967</v>
      </c>
      <c r="C229" s="2545" t="s">
        <v>6968</v>
      </c>
      <c r="D229" s="2486">
        <v>43892</v>
      </c>
      <c r="E229" s="2545" t="s">
        <v>1445</v>
      </c>
      <c r="F229" s="2547">
        <v>0.375</v>
      </c>
      <c r="G229" s="2547">
        <v>0.375</v>
      </c>
      <c r="H229" s="2547">
        <v>0.375</v>
      </c>
      <c r="I229" s="2546">
        <f>0.7*(3*40+3*70)</f>
        <v>230.99999999999997</v>
      </c>
      <c r="J229" s="1154" t="s">
        <v>1493</v>
      </c>
      <c r="K229" s="1154" t="s">
        <v>15</v>
      </c>
      <c r="L229" s="817" t="s">
        <v>17</v>
      </c>
      <c r="M229" s="2569" t="s">
        <v>6053</v>
      </c>
    </row>
    <row r="230" spans="1:13" s="2432" customFormat="1" ht="72.650000000000006" customHeight="1" x14ac:dyDescent="0.35">
      <c r="A230" s="1994">
        <v>43890</v>
      </c>
      <c r="B230" s="7" t="s">
        <v>7062</v>
      </c>
      <c r="C230" s="7" t="s">
        <v>6981</v>
      </c>
      <c r="D230" s="1899">
        <v>43891</v>
      </c>
      <c r="E230" s="881" t="s">
        <v>5367</v>
      </c>
      <c r="F230" s="836">
        <v>0.5625</v>
      </c>
      <c r="G230" s="836">
        <v>0.5625</v>
      </c>
      <c r="H230" s="836">
        <v>0.5625</v>
      </c>
      <c r="I230" s="1100">
        <v>0</v>
      </c>
      <c r="J230" s="817" t="s">
        <v>16</v>
      </c>
      <c r="K230" s="817" t="s">
        <v>15</v>
      </c>
      <c r="L230" s="817" t="s">
        <v>17</v>
      </c>
      <c r="M230" s="839" t="s">
        <v>6034</v>
      </c>
    </row>
    <row r="231" spans="1:13" s="2432" customFormat="1" ht="66.900000000000006" customHeight="1" x14ac:dyDescent="0.35">
      <c r="A231" s="1994">
        <v>43890</v>
      </c>
      <c r="B231" s="7" t="s">
        <v>7067</v>
      </c>
      <c r="C231" s="7" t="s">
        <v>7081</v>
      </c>
      <c r="D231" s="1899">
        <v>43892</v>
      </c>
      <c r="E231" s="881" t="s">
        <v>7068</v>
      </c>
      <c r="F231" s="836">
        <v>0.41666666666666669</v>
      </c>
      <c r="G231" s="836">
        <v>0.41666666666666669</v>
      </c>
      <c r="H231" s="836">
        <v>0.41666666666666669</v>
      </c>
      <c r="I231" s="1100">
        <f>0.7*(70+40)</f>
        <v>77</v>
      </c>
      <c r="J231" s="7" t="s">
        <v>257</v>
      </c>
      <c r="K231" s="7" t="s">
        <v>15</v>
      </c>
      <c r="L231" s="7" t="s">
        <v>17</v>
      </c>
      <c r="M231" s="809" t="s">
        <v>7069</v>
      </c>
    </row>
    <row r="232" spans="1:13" s="2432" customFormat="1" ht="41.4" customHeight="1" x14ac:dyDescent="0.35">
      <c r="A232" s="1994">
        <v>43888</v>
      </c>
      <c r="B232" s="7" t="s">
        <v>136</v>
      </c>
      <c r="C232" s="7" t="s">
        <v>7032</v>
      </c>
      <c r="D232" s="883">
        <v>43892</v>
      </c>
      <c r="E232" s="1899" t="s">
        <v>5494</v>
      </c>
      <c r="F232" s="836">
        <v>0.41666666666666669</v>
      </c>
      <c r="G232" s="836">
        <v>0.41666666666666669</v>
      </c>
      <c r="H232" s="836">
        <v>0.41666666666666669</v>
      </c>
      <c r="I232" s="1100">
        <f>12*40</f>
        <v>480</v>
      </c>
      <c r="J232" s="817" t="s">
        <v>7033</v>
      </c>
      <c r="K232" s="817" t="s">
        <v>15</v>
      </c>
      <c r="L232" s="817" t="s">
        <v>17</v>
      </c>
      <c r="M232" s="839" t="s">
        <v>6053</v>
      </c>
    </row>
    <row r="233" spans="1:13" s="2432" customFormat="1" ht="72.650000000000006" customHeight="1" x14ac:dyDescent="0.35">
      <c r="A233" s="1994">
        <v>43891</v>
      </c>
      <c r="B233" s="7" t="s">
        <v>911</v>
      </c>
      <c r="C233" s="7" t="s">
        <v>7088</v>
      </c>
      <c r="D233" s="1899">
        <v>43893</v>
      </c>
      <c r="E233" s="881" t="s">
        <v>48</v>
      </c>
      <c r="F233" s="836" t="s">
        <v>15</v>
      </c>
      <c r="G233" s="836">
        <v>0.33333333333333331</v>
      </c>
      <c r="H233" s="836">
        <v>0.70833333333333337</v>
      </c>
      <c r="I233" s="1100">
        <v>0</v>
      </c>
      <c r="J233" s="817" t="s">
        <v>7066</v>
      </c>
      <c r="K233" s="817" t="s">
        <v>15</v>
      </c>
      <c r="L233" s="817" t="s">
        <v>17</v>
      </c>
      <c r="M233" s="839" t="s">
        <v>6061</v>
      </c>
    </row>
    <row r="234" spans="1:13" s="2432" customFormat="1" ht="203" x14ac:dyDescent="0.35">
      <c r="A234" s="882">
        <v>43879</v>
      </c>
      <c r="B234" s="7" t="s">
        <v>6825</v>
      </c>
      <c r="C234" s="7" t="s">
        <v>6822</v>
      </c>
      <c r="D234" s="883">
        <v>43891</v>
      </c>
      <c r="E234" s="881" t="s">
        <v>5367</v>
      </c>
      <c r="F234" s="2430">
        <v>0.60416666666666663</v>
      </c>
      <c r="G234" s="2430">
        <v>0.60416666666666663</v>
      </c>
      <c r="H234" s="2430">
        <v>0.60416666666666663</v>
      </c>
      <c r="I234" s="2431">
        <v>0</v>
      </c>
      <c r="J234" s="7" t="s">
        <v>6821</v>
      </c>
      <c r="K234" s="7" t="s">
        <v>15</v>
      </c>
      <c r="L234" s="7" t="s">
        <v>17</v>
      </c>
      <c r="M234" s="809" t="s">
        <v>6034</v>
      </c>
    </row>
    <row r="235" spans="1:13" s="2432" customFormat="1" ht="93.65" customHeight="1" x14ac:dyDescent="0.35">
      <c r="A235" s="2485">
        <v>43886</v>
      </c>
      <c r="B235" s="2545" t="s">
        <v>6969</v>
      </c>
      <c r="C235" s="2545" t="s">
        <v>6965</v>
      </c>
      <c r="D235" s="2486">
        <v>43892</v>
      </c>
      <c r="E235" s="2545" t="s">
        <v>6970</v>
      </c>
      <c r="F235" s="2547">
        <v>0.41666666666666669</v>
      </c>
      <c r="G235" s="2547">
        <v>0.45833333333333331</v>
      </c>
      <c r="H235" s="2547">
        <v>0.45833333333333331</v>
      </c>
      <c r="I235" s="2546">
        <f>3*99+3*10+4*12+70</f>
        <v>445</v>
      </c>
      <c r="J235" s="1154" t="s">
        <v>6971</v>
      </c>
      <c r="K235" s="817" t="s">
        <v>140</v>
      </c>
      <c r="L235" s="817" t="s">
        <v>17</v>
      </c>
      <c r="M235" s="2569" t="s">
        <v>6053</v>
      </c>
    </row>
    <row r="236" spans="1:13" s="2432" customFormat="1" ht="159.65" customHeight="1" x14ac:dyDescent="0.35">
      <c r="A236" s="882">
        <v>43891</v>
      </c>
      <c r="B236" s="7" t="s">
        <v>7098</v>
      </c>
      <c r="C236" s="7" t="s">
        <v>7099</v>
      </c>
      <c r="D236" s="883">
        <v>43892</v>
      </c>
      <c r="E236" s="881" t="s">
        <v>7072</v>
      </c>
      <c r="F236" s="836">
        <v>0.41666666666666669</v>
      </c>
      <c r="G236" s="2430">
        <v>0.4861111111111111</v>
      </c>
      <c r="H236" s="2430">
        <v>0.4861111111111111</v>
      </c>
      <c r="I236" s="2431">
        <v>460</v>
      </c>
      <c r="J236" s="817" t="s">
        <v>7089</v>
      </c>
      <c r="K236" s="817" t="s">
        <v>140</v>
      </c>
      <c r="L236" s="817" t="s">
        <v>17</v>
      </c>
      <c r="M236" s="839" t="s">
        <v>6053</v>
      </c>
    </row>
    <row r="237" spans="1:13" s="2432" customFormat="1" ht="126.65" customHeight="1" x14ac:dyDescent="0.35">
      <c r="A237" s="1994">
        <v>43888</v>
      </c>
      <c r="B237" s="7" t="s">
        <v>7027</v>
      </c>
      <c r="C237" s="7" t="s">
        <v>7029</v>
      </c>
      <c r="D237" s="883">
        <v>43892</v>
      </c>
      <c r="E237" s="1899" t="s">
        <v>7030</v>
      </c>
      <c r="F237" s="836">
        <v>0.41666666666666669</v>
      </c>
      <c r="G237" s="836">
        <v>0.52083333333333337</v>
      </c>
      <c r="H237" s="836">
        <v>0.52083333333333337</v>
      </c>
      <c r="I237" s="1100">
        <v>0</v>
      </c>
      <c r="J237" s="817" t="s">
        <v>6944</v>
      </c>
      <c r="K237" s="817" t="s">
        <v>140</v>
      </c>
      <c r="L237" s="817" t="s">
        <v>17</v>
      </c>
      <c r="M237" s="839" t="s">
        <v>17</v>
      </c>
    </row>
    <row r="238" spans="1:13" s="2432" customFormat="1" ht="140.15" customHeight="1" x14ac:dyDescent="0.35">
      <c r="A238" s="1994">
        <v>43891</v>
      </c>
      <c r="B238" s="7" t="s">
        <v>6718</v>
      </c>
      <c r="C238" s="7" t="s">
        <v>7096</v>
      </c>
      <c r="D238" s="1899">
        <v>43892</v>
      </c>
      <c r="E238" s="881" t="s">
        <v>5807</v>
      </c>
      <c r="F238" s="2547">
        <v>0.41666666666666669</v>
      </c>
      <c r="G238" s="836">
        <v>0.54166666666666663</v>
      </c>
      <c r="H238" s="836">
        <v>0.54166666666666663</v>
      </c>
      <c r="I238" s="1100">
        <v>60</v>
      </c>
      <c r="J238" s="817" t="s">
        <v>2043</v>
      </c>
      <c r="K238" s="817" t="s">
        <v>140</v>
      </c>
      <c r="L238" s="817" t="s">
        <v>17</v>
      </c>
      <c r="M238" s="839" t="s">
        <v>6121</v>
      </c>
    </row>
    <row r="239" spans="1:13" s="2432" customFormat="1" ht="54.65" customHeight="1" x14ac:dyDescent="0.35">
      <c r="A239" s="882">
        <v>43889</v>
      </c>
      <c r="B239" s="7" t="s">
        <v>7083</v>
      </c>
      <c r="C239" s="7" t="s">
        <v>7084</v>
      </c>
      <c r="D239" s="883">
        <v>43892</v>
      </c>
      <c r="E239" s="881" t="s">
        <v>7085</v>
      </c>
      <c r="F239" s="2547">
        <v>0.41666666666666669</v>
      </c>
      <c r="G239" s="2430">
        <v>0.56944444444444442</v>
      </c>
      <c r="H239" s="2430">
        <v>0.56944444444444442</v>
      </c>
      <c r="I239" s="2431">
        <v>300</v>
      </c>
      <c r="J239" s="817" t="s">
        <v>7097</v>
      </c>
      <c r="K239" s="817" t="s">
        <v>140</v>
      </c>
      <c r="L239" s="2587" t="s">
        <v>22</v>
      </c>
      <c r="M239" s="2588" t="s">
        <v>6096</v>
      </c>
    </row>
    <row r="240" spans="1:13" s="2432" customFormat="1" ht="47.15" customHeight="1" x14ac:dyDescent="0.35">
      <c r="A240" s="882">
        <v>43887</v>
      </c>
      <c r="B240" s="7" t="s">
        <v>615</v>
      </c>
      <c r="C240" s="7" t="s">
        <v>6996</v>
      </c>
      <c r="D240" s="883">
        <v>43892</v>
      </c>
      <c r="E240" s="881" t="s">
        <v>2034</v>
      </c>
      <c r="F240" s="836">
        <v>0.41666666666666669</v>
      </c>
      <c r="G240" s="2430">
        <v>0.60416666666666663</v>
      </c>
      <c r="H240" s="2430">
        <v>0.60416666666666663</v>
      </c>
      <c r="I240" s="2431">
        <f>1.6*80*4</f>
        <v>512</v>
      </c>
      <c r="J240" s="7" t="s">
        <v>7001</v>
      </c>
      <c r="K240" s="817" t="s">
        <v>140</v>
      </c>
      <c r="L240" s="7" t="s">
        <v>17</v>
      </c>
      <c r="M240" s="809" t="s">
        <v>6053</v>
      </c>
    </row>
    <row r="241" spans="1:15" s="2432" customFormat="1" ht="47.15" customHeight="1" x14ac:dyDescent="0.35">
      <c r="A241" s="882">
        <v>43892</v>
      </c>
      <c r="B241" s="7" t="s">
        <v>7100</v>
      </c>
      <c r="C241" s="7" t="s">
        <v>7101</v>
      </c>
      <c r="D241" s="883">
        <v>44086</v>
      </c>
      <c r="E241" s="1571" t="s">
        <v>7102</v>
      </c>
      <c r="F241" s="836" t="s">
        <v>15</v>
      </c>
      <c r="G241" s="2430">
        <v>0.75</v>
      </c>
      <c r="H241" s="2430">
        <v>0.75</v>
      </c>
      <c r="I241" s="2431">
        <v>1672</v>
      </c>
      <c r="J241" s="817" t="s">
        <v>7103</v>
      </c>
      <c r="K241" s="817" t="s">
        <v>15</v>
      </c>
      <c r="L241" s="817" t="s">
        <v>17</v>
      </c>
      <c r="M241" s="839" t="s">
        <v>6450</v>
      </c>
    </row>
    <row r="242" spans="1:15" s="2432" customFormat="1" ht="76.5" customHeight="1" x14ac:dyDescent="0.35">
      <c r="A242" s="882">
        <v>43891</v>
      </c>
      <c r="B242" s="7" t="s">
        <v>615</v>
      </c>
      <c r="C242" s="7" t="s">
        <v>7090</v>
      </c>
      <c r="D242" s="883">
        <v>43892</v>
      </c>
      <c r="E242" s="881" t="s">
        <v>126</v>
      </c>
      <c r="F242" s="836">
        <v>0.41666666666666669</v>
      </c>
      <c r="G242" s="2430">
        <v>0.60416666666666663</v>
      </c>
      <c r="H242" s="2430">
        <v>0.60416666666666663</v>
      </c>
      <c r="I242" s="2431">
        <v>0</v>
      </c>
      <c r="J242" s="817" t="s">
        <v>7091</v>
      </c>
      <c r="K242" s="817" t="s">
        <v>140</v>
      </c>
      <c r="L242" s="817" t="s">
        <v>17</v>
      </c>
      <c r="M242" s="839" t="s">
        <v>289</v>
      </c>
    </row>
    <row r="243" spans="1:15" s="2432" customFormat="1" ht="136.5" customHeight="1" x14ac:dyDescent="0.35">
      <c r="A243" s="1994">
        <v>43891</v>
      </c>
      <c r="B243" s="7" t="s">
        <v>7095</v>
      </c>
      <c r="C243" s="1390" t="s">
        <v>7094</v>
      </c>
      <c r="D243" s="1899">
        <v>43892</v>
      </c>
      <c r="E243" s="881" t="s">
        <v>7092</v>
      </c>
      <c r="F243" s="836">
        <v>0.41666666666666669</v>
      </c>
      <c r="G243" s="836">
        <v>0.64583333333333337</v>
      </c>
      <c r="H243" s="836">
        <v>0.64583333333333337</v>
      </c>
      <c r="I243" s="1630">
        <v>199</v>
      </c>
      <c r="J243" s="817" t="s">
        <v>7093</v>
      </c>
      <c r="K243" s="817" t="s">
        <v>140</v>
      </c>
      <c r="L243" s="817" t="s">
        <v>17</v>
      </c>
      <c r="M243" s="839" t="s">
        <v>2084</v>
      </c>
    </row>
    <row r="244" spans="1:15" s="2432" customFormat="1" ht="47.15" customHeight="1" x14ac:dyDescent="0.35">
      <c r="A244" s="882">
        <v>43890</v>
      </c>
      <c r="B244" s="7" t="s">
        <v>4055</v>
      </c>
      <c r="C244" s="7" t="s">
        <v>7080</v>
      </c>
      <c r="D244" s="883">
        <v>43892</v>
      </c>
      <c r="E244" s="881" t="s">
        <v>5494</v>
      </c>
      <c r="F244" s="2430">
        <v>0.5</v>
      </c>
      <c r="G244" s="2430">
        <v>0.5</v>
      </c>
      <c r="H244" s="2430">
        <v>0.5</v>
      </c>
      <c r="I244" s="2431">
        <v>99</v>
      </c>
      <c r="J244" s="817" t="s">
        <v>7077</v>
      </c>
      <c r="K244" s="817" t="s">
        <v>15</v>
      </c>
      <c r="L244" s="817" t="s">
        <v>17</v>
      </c>
      <c r="M244" s="839" t="s">
        <v>5367</v>
      </c>
    </row>
    <row r="245" spans="1:15" s="2432" customFormat="1" ht="63.65" customHeight="1" x14ac:dyDescent="0.35">
      <c r="A245" s="882">
        <v>43887</v>
      </c>
      <c r="B245" s="7" t="s">
        <v>615</v>
      </c>
      <c r="C245" s="7" t="s">
        <v>6996</v>
      </c>
      <c r="D245" s="883">
        <v>43892</v>
      </c>
      <c r="E245" s="881" t="s">
        <v>6997</v>
      </c>
      <c r="F245" s="2430">
        <v>0.5</v>
      </c>
      <c r="G245" s="2430">
        <v>0.5</v>
      </c>
      <c r="H245" s="2430">
        <v>0.5</v>
      </c>
      <c r="I245" s="2431">
        <v>0</v>
      </c>
      <c r="J245" s="7" t="s">
        <v>6998</v>
      </c>
      <c r="K245" s="7" t="s">
        <v>15</v>
      </c>
      <c r="L245" s="7" t="s">
        <v>17</v>
      </c>
      <c r="M245" s="809" t="s">
        <v>6053</v>
      </c>
    </row>
    <row r="246" spans="1:15" s="2399" customFormat="1" ht="101.5" x14ac:dyDescent="0.35">
      <c r="A246" s="852">
        <v>43882</v>
      </c>
      <c r="B246" s="817" t="s">
        <v>6905</v>
      </c>
      <c r="C246" s="5" t="s">
        <v>6904</v>
      </c>
      <c r="D246" s="908">
        <v>43893</v>
      </c>
      <c r="E246" s="824" t="s">
        <v>6908</v>
      </c>
      <c r="F246" s="2391"/>
      <c r="G246" s="2391">
        <v>0.66666666666666663</v>
      </c>
      <c r="H246" s="2391">
        <v>0.66666666666666663</v>
      </c>
      <c r="I246" s="2389">
        <v>200</v>
      </c>
      <c r="J246" s="817" t="s">
        <v>6906</v>
      </c>
      <c r="K246" s="2543"/>
      <c r="L246" s="817" t="s">
        <v>974</v>
      </c>
      <c r="M246" s="839" t="s">
        <v>6907</v>
      </c>
    </row>
    <row r="247" spans="1:15" s="2399" customFormat="1" ht="29" x14ac:dyDescent="0.35">
      <c r="A247" s="882">
        <v>43890</v>
      </c>
      <c r="B247" s="7" t="s">
        <v>20</v>
      </c>
      <c r="C247" s="7" t="s">
        <v>7078</v>
      </c>
      <c r="D247" s="883">
        <v>43895</v>
      </c>
      <c r="E247" s="881" t="s">
        <v>15</v>
      </c>
      <c r="F247" s="2430" t="s">
        <v>15</v>
      </c>
      <c r="G247" s="2430" t="s">
        <v>15</v>
      </c>
      <c r="H247" s="2430" t="s">
        <v>15</v>
      </c>
      <c r="I247" s="2431">
        <v>0</v>
      </c>
      <c r="J247" s="2430" t="s">
        <v>15</v>
      </c>
      <c r="K247" s="2430" t="s">
        <v>15</v>
      </c>
      <c r="L247" s="817" t="s">
        <v>17</v>
      </c>
      <c r="M247" s="839" t="s">
        <v>6034</v>
      </c>
    </row>
    <row r="248" spans="1:15" s="2399" customFormat="1" ht="203" x14ac:dyDescent="0.35">
      <c r="A248" s="882">
        <v>43880</v>
      </c>
      <c r="B248" s="7" t="s">
        <v>7070</v>
      </c>
      <c r="C248" s="7" t="s">
        <v>6822</v>
      </c>
      <c r="D248" s="883">
        <v>43895</v>
      </c>
      <c r="E248" s="881" t="s">
        <v>5367</v>
      </c>
      <c r="F248" s="2430" t="s">
        <v>15</v>
      </c>
      <c r="G248" s="2430">
        <v>0.64583333333333337</v>
      </c>
      <c r="H248" s="2430">
        <v>0.64583333333333337</v>
      </c>
      <c r="I248" s="2431">
        <v>0</v>
      </c>
      <c r="J248" s="7" t="s">
        <v>6821</v>
      </c>
      <c r="K248" s="7" t="s">
        <v>15</v>
      </c>
      <c r="L248" s="7" t="s">
        <v>17</v>
      </c>
      <c r="M248" s="809" t="s">
        <v>6034</v>
      </c>
      <c r="O248" s="7"/>
    </row>
    <row r="249" spans="1:15" s="2399" customFormat="1" ht="29" x14ac:dyDescent="0.35">
      <c r="A249" s="2485">
        <v>43885</v>
      </c>
      <c r="B249" s="2545" t="s">
        <v>20</v>
      </c>
      <c r="C249" s="2545" t="s">
        <v>6929</v>
      </c>
      <c r="D249" s="2486">
        <v>43895</v>
      </c>
      <c r="E249" s="2545" t="s">
        <v>20</v>
      </c>
      <c r="F249" s="2546" t="s">
        <v>15</v>
      </c>
      <c r="G249" s="2546" t="s">
        <v>15</v>
      </c>
      <c r="H249" s="2546" t="s">
        <v>15</v>
      </c>
      <c r="I249" s="2546">
        <v>0</v>
      </c>
      <c r="J249" s="817" t="s">
        <v>15</v>
      </c>
      <c r="K249" s="817" t="s">
        <v>15</v>
      </c>
      <c r="L249" s="817" t="s">
        <v>17</v>
      </c>
      <c r="M249" s="839" t="s">
        <v>20</v>
      </c>
      <c r="O249" s="2480"/>
    </row>
    <row r="250" spans="1:15" s="2399" customFormat="1" ht="43.5" x14ac:dyDescent="0.35">
      <c r="A250" s="2485">
        <v>43887</v>
      </c>
      <c r="B250" s="2545" t="s">
        <v>7011</v>
      </c>
      <c r="C250" s="2545" t="s">
        <v>7012</v>
      </c>
      <c r="D250" s="2486">
        <v>43895</v>
      </c>
      <c r="E250" s="2545" t="s">
        <v>5494</v>
      </c>
      <c r="F250" s="2546"/>
      <c r="G250" s="2547">
        <v>0.70833333333333337</v>
      </c>
      <c r="H250" s="2547">
        <v>0.75</v>
      </c>
      <c r="I250" s="2546">
        <v>0</v>
      </c>
      <c r="J250" s="817" t="s">
        <v>7013</v>
      </c>
      <c r="K250" s="2571"/>
      <c r="L250" s="2571"/>
      <c r="M250" s="2572"/>
      <c r="O250" s="2480"/>
    </row>
    <row r="251" spans="1:15" s="2399" customFormat="1" ht="29" x14ac:dyDescent="0.35">
      <c r="A251" s="882">
        <v>43890</v>
      </c>
      <c r="B251" s="7" t="s">
        <v>7075</v>
      </c>
      <c r="C251" s="7" t="s">
        <v>7079</v>
      </c>
      <c r="D251" s="883">
        <v>43896</v>
      </c>
      <c r="E251" s="881" t="s">
        <v>5494</v>
      </c>
      <c r="F251" s="2430" t="s">
        <v>15</v>
      </c>
      <c r="G251" s="2430">
        <v>0.625</v>
      </c>
      <c r="H251" s="2430">
        <v>0.625</v>
      </c>
      <c r="I251" s="2431">
        <v>120</v>
      </c>
      <c r="J251" s="817" t="s">
        <v>7077</v>
      </c>
      <c r="K251" s="817" t="s">
        <v>15</v>
      </c>
      <c r="L251" s="817" t="s">
        <v>17</v>
      </c>
      <c r="M251" s="839" t="s">
        <v>5367</v>
      </c>
    </row>
    <row r="252" spans="1:15" s="2399" customFormat="1" ht="87" x14ac:dyDescent="0.35">
      <c r="A252" s="852">
        <v>43862</v>
      </c>
      <c r="B252" s="2434" t="s">
        <v>6896</v>
      </c>
      <c r="C252" s="817" t="s">
        <v>6449</v>
      </c>
      <c r="D252" s="1223">
        <v>43896</v>
      </c>
      <c r="E252" s="1149" t="s">
        <v>5367</v>
      </c>
      <c r="F252" s="2386" t="s">
        <v>15</v>
      </c>
      <c r="G252" s="2386">
        <v>0.625</v>
      </c>
      <c r="H252" s="2386">
        <v>0.625</v>
      </c>
      <c r="I252" s="2387">
        <v>0</v>
      </c>
      <c r="J252" s="817" t="s">
        <v>16</v>
      </c>
      <c r="K252" s="817" t="s">
        <v>15</v>
      </c>
      <c r="L252" s="817" t="s">
        <v>17</v>
      </c>
      <c r="M252" s="839" t="s">
        <v>6450</v>
      </c>
    </row>
    <row r="253" spans="1:15" s="2399" customFormat="1" ht="29" x14ac:dyDescent="0.35">
      <c r="A253" s="2485">
        <v>43887</v>
      </c>
      <c r="B253" s="2545" t="s">
        <v>7011</v>
      </c>
      <c r="C253" s="2545" t="s">
        <v>7014</v>
      </c>
      <c r="D253" s="2486">
        <v>43896</v>
      </c>
      <c r="E253" s="2545" t="s">
        <v>5494</v>
      </c>
      <c r="F253" s="2546"/>
      <c r="G253" s="2547">
        <v>0.66666666666666663</v>
      </c>
      <c r="H253" s="2547">
        <v>0.66666666666666663</v>
      </c>
      <c r="I253" s="2546">
        <v>0</v>
      </c>
      <c r="J253" s="817" t="s">
        <v>7013</v>
      </c>
      <c r="K253" s="2571"/>
      <c r="L253" s="817" t="s">
        <v>22</v>
      </c>
      <c r="M253" s="2572"/>
    </row>
    <row r="254" spans="1:15" s="2399" customFormat="1" ht="116" x14ac:dyDescent="0.35">
      <c r="A254" s="882">
        <v>43885</v>
      </c>
      <c r="B254" s="7" t="s">
        <v>6920</v>
      </c>
      <c r="C254" s="7" t="s">
        <v>6943</v>
      </c>
      <c r="D254" s="883">
        <v>43896</v>
      </c>
      <c r="E254" s="881" t="s">
        <v>6919</v>
      </c>
      <c r="F254" s="2430" t="s">
        <v>15</v>
      </c>
      <c r="G254" s="2430">
        <v>0.35416666666666669</v>
      </c>
      <c r="H254" s="2430">
        <v>0.35416666666666669</v>
      </c>
      <c r="I254" s="2431">
        <v>0</v>
      </c>
      <c r="J254" s="817" t="s">
        <v>6944</v>
      </c>
      <c r="K254" s="817" t="s">
        <v>15</v>
      </c>
      <c r="L254" s="817" t="s">
        <v>6046</v>
      </c>
      <c r="M254" s="839" t="s">
        <v>6942</v>
      </c>
    </row>
    <row r="255" spans="1:15" s="2399" customFormat="1" ht="72.5" x14ac:dyDescent="0.35">
      <c r="A255" s="882">
        <v>43866</v>
      </c>
      <c r="B255" s="7" t="s">
        <v>6496</v>
      </c>
      <c r="C255" s="7" t="s">
        <v>7087</v>
      </c>
      <c r="D255" s="883">
        <v>43896</v>
      </c>
      <c r="E255" s="881" t="s">
        <v>5489</v>
      </c>
      <c r="F255" s="2430" t="s">
        <v>15</v>
      </c>
      <c r="G255" s="2430">
        <v>0.625</v>
      </c>
      <c r="H255" s="2430">
        <v>0.75</v>
      </c>
      <c r="I255" s="2431">
        <f>6*90</f>
        <v>540</v>
      </c>
      <c r="J255" s="1154" t="s">
        <v>6501</v>
      </c>
      <c r="K255" s="1154" t="s">
        <v>15</v>
      </c>
      <c r="L255" s="817" t="s">
        <v>17</v>
      </c>
      <c r="M255" s="839" t="s">
        <v>5489</v>
      </c>
    </row>
    <row r="256" spans="1:15" s="2399" customFormat="1" ht="101.5" x14ac:dyDescent="0.35">
      <c r="A256" s="806">
        <v>43890</v>
      </c>
      <c r="B256" s="10" t="s">
        <v>7075</v>
      </c>
      <c r="C256" s="10" t="s">
        <v>7076</v>
      </c>
      <c r="D256" s="8">
        <v>43897</v>
      </c>
      <c r="E256" s="823" t="s">
        <v>5502</v>
      </c>
      <c r="F256" s="2430" t="s">
        <v>15</v>
      </c>
      <c r="G256" s="2430">
        <v>0.5</v>
      </c>
      <c r="H256" s="2430">
        <v>0.5</v>
      </c>
      <c r="I256" s="2431">
        <v>607</v>
      </c>
      <c r="J256" s="817" t="s">
        <v>7077</v>
      </c>
      <c r="K256" s="817" t="s">
        <v>15</v>
      </c>
      <c r="L256" s="817" t="s">
        <v>17</v>
      </c>
      <c r="M256" s="839" t="s">
        <v>5367</v>
      </c>
    </row>
    <row r="257" spans="1:15" s="2399" customFormat="1" ht="116" x14ac:dyDescent="0.35">
      <c r="A257" s="882">
        <v>43885</v>
      </c>
      <c r="B257" s="7" t="s">
        <v>6920</v>
      </c>
      <c r="C257" s="7" t="s">
        <v>6945</v>
      </c>
      <c r="D257" s="883">
        <v>43897</v>
      </c>
      <c r="E257" s="881" t="s">
        <v>6919</v>
      </c>
      <c r="F257" s="2430" t="s">
        <v>15</v>
      </c>
      <c r="G257" s="2430">
        <v>0.35416666666666669</v>
      </c>
      <c r="H257" s="2430">
        <v>0.35416666666666669</v>
      </c>
      <c r="I257" s="2431">
        <v>0</v>
      </c>
      <c r="J257" s="817" t="s">
        <v>6944</v>
      </c>
      <c r="K257" s="817" t="s">
        <v>15</v>
      </c>
      <c r="L257" s="817" t="s">
        <v>6046</v>
      </c>
      <c r="M257" s="839" t="s">
        <v>6942</v>
      </c>
    </row>
    <row r="258" spans="1:15" s="2399" customFormat="1" ht="145" x14ac:dyDescent="0.35">
      <c r="A258" s="1830">
        <v>43885</v>
      </c>
      <c r="B258" s="2555" t="s">
        <v>663</v>
      </c>
      <c r="C258" s="2555" t="s">
        <v>6928</v>
      </c>
      <c r="D258" s="1808">
        <v>43897</v>
      </c>
      <c r="E258" s="2555" t="s">
        <v>6927</v>
      </c>
      <c r="F258" s="2546" t="s">
        <v>15</v>
      </c>
      <c r="G258" s="2547">
        <v>0.45833333333333331</v>
      </c>
      <c r="H258" s="2547">
        <v>0.45833333333333331</v>
      </c>
      <c r="I258" s="2546">
        <v>660</v>
      </c>
      <c r="J258" s="817" t="s">
        <v>257</v>
      </c>
      <c r="K258" s="817" t="s">
        <v>15</v>
      </c>
      <c r="L258" s="817" t="s">
        <v>17</v>
      </c>
      <c r="M258" s="839" t="s">
        <v>6041</v>
      </c>
    </row>
    <row r="259" spans="1:15" s="2399" customFormat="1" ht="101.5" x14ac:dyDescent="0.35">
      <c r="A259" s="882">
        <v>43880</v>
      </c>
      <c r="B259" s="7" t="s">
        <v>6883</v>
      </c>
      <c r="C259" s="7" t="s">
        <v>6824</v>
      </c>
      <c r="D259" s="883">
        <v>43897</v>
      </c>
      <c r="E259" s="881" t="s">
        <v>5367</v>
      </c>
      <c r="F259" s="2430" t="s">
        <v>15</v>
      </c>
      <c r="G259" s="2430" t="s">
        <v>49</v>
      </c>
      <c r="H259" s="2430" t="s">
        <v>49</v>
      </c>
      <c r="I259" s="2431">
        <v>0</v>
      </c>
      <c r="J259" s="7" t="s">
        <v>6821</v>
      </c>
      <c r="K259" s="7" t="s">
        <v>15</v>
      </c>
      <c r="L259" s="7" t="s">
        <v>17</v>
      </c>
      <c r="M259" s="809" t="s">
        <v>6034</v>
      </c>
    </row>
    <row r="260" spans="1:15" s="2399" customFormat="1" ht="72.5" x14ac:dyDescent="0.35">
      <c r="A260" s="1994">
        <v>43888</v>
      </c>
      <c r="B260" s="7" t="s">
        <v>7034</v>
      </c>
      <c r="C260" s="7" t="s">
        <v>7035</v>
      </c>
      <c r="D260" s="883">
        <v>43899</v>
      </c>
      <c r="E260" s="1899" t="s">
        <v>7036</v>
      </c>
      <c r="F260" s="836" t="s">
        <v>15</v>
      </c>
      <c r="G260" s="836">
        <v>0.54166666666666663</v>
      </c>
      <c r="H260" s="836">
        <v>0.58333333333333337</v>
      </c>
      <c r="I260" s="1100">
        <v>1179</v>
      </c>
      <c r="J260" s="817" t="s">
        <v>7037</v>
      </c>
      <c r="K260" s="817" t="s">
        <v>15</v>
      </c>
      <c r="L260" s="817" t="s">
        <v>17</v>
      </c>
      <c r="M260" s="839" t="s">
        <v>6121</v>
      </c>
    </row>
    <row r="261" spans="1:15" s="2399" customFormat="1" ht="159.5" x14ac:dyDescent="0.35">
      <c r="A261" s="1453">
        <v>43873</v>
      </c>
      <c r="B261" s="5" t="s">
        <v>6684</v>
      </c>
      <c r="C261" s="5" t="s">
        <v>6683</v>
      </c>
      <c r="D261" s="908">
        <v>43900</v>
      </c>
      <c r="E261" s="824" t="s">
        <v>49</v>
      </c>
      <c r="F261" s="2391" t="s">
        <v>49</v>
      </c>
      <c r="G261" s="2391" t="s">
        <v>49</v>
      </c>
      <c r="H261" s="2391" t="s">
        <v>49</v>
      </c>
      <c r="I261" s="2431">
        <v>0</v>
      </c>
      <c r="J261" s="817" t="s">
        <v>361</v>
      </c>
      <c r="K261" s="817" t="s">
        <v>15</v>
      </c>
      <c r="L261" s="817" t="s">
        <v>17</v>
      </c>
      <c r="M261" s="839" t="s">
        <v>17</v>
      </c>
    </row>
    <row r="262" spans="1:15" s="2399" customFormat="1" ht="134.4" customHeight="1" x14ac:dyDescent="0.35">
      <c r="A262" s="852">
        <v>43882</v>
      </c>
      <c r="B262" s="817" t="s">
        <v>6905</v>
      </c>
      <c r="C262" s="5" t="s">
        <v>6909</v>
      </c>
      <c r="D262" s="908">
        <v>43904</v>
      </c>
      <c r="E262" s="824" t="s">
        <v>5494</v>
      </c>
      <c r="F262" s="2391"/>
      <c r="G262" s="2391">
        <v>0.5</v>
      </c>
      <c r="H262" s="2391">
        <v>0.5</v>
      </c>
      <c r="I262" s="2431">
        <v>400</v>
      </c>
      <c r="J262" s="817" t="s">
        <v>257</v>
      </c>
      <c r="K262" s="2543"/>
      <c r="L262" s="817" t="s">
        <v>974</v>
      </c>
      <c r="M262" s="839" t="s">
        <v>6907</v>
      </c>
    </row>
    <row r="263" spans="1:15" s="2399" customFormat="1" ht="29" x14ac:dyDescent="0.35">
      <c r="A263" s="882">
        <v>43872</v>
      </c>
      <c r="B263" s="7" t="s">
        <v>20</v>
      </c>
      <c r="C263" s="7" t="s">
        <v>6647</v>
      </c>
      <c r="D263" s="883">
        <v>43922</v>
      </c>
      <c r="E263" s="881" t="s">
        <v>20</v>
      </c>
      <c r="F263" s="2430" t="s">
        <v>15</v>
      </c>
      <c r="G263" s="2430" t="s">
        <v>15</v>
      </c>
      <c r="H263" s="2430" t="s">
        <v>15</v>
      </c>
      <c r="I263" s="2431">
        <v>0</v>
      </c>
      <c r="J263" s="7" t="s">
        <v>20</v>
      </c>
      <c r="K263" s="7" t="s">
        <v>15</v>
      </c>
      <c r="L263" s="7" t="s">
        <v>17</v>
      </c>
      <c r="M263" s="839" t="s">
        <v>20</v>
      </c>
    </row>
    <row r="264" spans="1:15" s="2399" customFormat="1" ht="116" x14ac:dyDescent="0.35">
      <c r="A264" s="806">
        <v>43872</v>
      </c>
      <c r="B264" s="10" t="s">
        <v>6644</v>
      </c>
      <c r="C264" s="10" t="s">
        <v>6645</v>
      </c>
      <c r="D264" s="8">
        <v>43925</v>
      </c>
      <c r="E264" s="823" t="s">
        <v>5489</v>
      </c>
      <c r="F264" s="2430" t="s">
        <v>15</v>
      </c>
      <c r="G264" s="2430" t="s">
        <v>15</v>
      </c>
      <c r="H264" s="2430" t="s">
        <v>15</v>
      </c>
      <c r="I264" s="2431">
        <f>90*9</f>
        <v>810</v>
      </c>
      <c r="J264" s="2064" t="s">
        <v>6646</v>
      </c>
      <c r="K264" s="817" t="s">
        <v>15</v>
      </c>
      <c r="L264" s="817" t="s">
        <v>17</v>
      </c>
      <c r="M264" s="839" t="s">
        <v>5489</v>
      </c>
    </row>
    <row r="265" spans="1:15" s="2399" customFormat="1" ht="72" customHeight="1" x14ac:dyDescent="0.35">
      <c r="A265" s="1994">
        <v>43881</v>
      </c>
      <c r="B265" s="7" t="s">
        <v>6879</v>
      </c>
      <c r="C265" s="7" t="s">
        <v>6882</v>
      </c>
      <c r="D265" s="883">
        <v>43946</v>
      </c>
      <c r="E265" s="2533" t="s">
        <v>6880</v>
      </c>
      <c r="F265" s="836" t="s">
        <v>15</v>
      </c>
      <c r="G265" s="836">
        <v>0.77083333333333337</v>
      </c>
      <c r="H265" s="836">
        <v>0.77083333333333337</v>
      </c>
      <c r="I265" s="1100">
        <v>1238</v>
      </c>
      <c r="J265" s="2064" t="s">
        <v>6881</v>
      </c>
      <c r="K265" s="817" t="s">
        <v>15</v>
      </c>
      <c r="L265" s="817" t="s">
        <v>17</v>
      </c>
      <c r="M265" s="839" t="s">
        <v>6450</v>
      </c>
    </row>
    <row r="266" spans="1:15" s="2399" customFormat="1" ht="87" x14ac:dyDescent="0.35">
      <c r="A266" s="1994">
        <v>43886</v>
      </c>
      <c r="B266" s="7" t="s">
        <v>6947</v>
      </c>
      <c r="C266" s="7"/>
      <c r="D266" s="883">
        <v>43947</v>
      </c>
      <c r="E266" s="2533" t="s">
        <v>290</v>
      </c>
      <c r="F266" s="836"/>
      <c r="G266" s="836" t="s">
        <v>3071</v>
      </c>
      <c r="H266" s="836" t="s">
        <v>49</v>
      </c>
      <c r="I266" s="1100" t="s">
        <v>49</v>
      </c>
      <c r="J266" s="2564"/>
      <c r="K266" s="2564"/>
      <c r="L266" s="2564"/>
      <c r="M266" s="2565"/>
    </row>
    <row r="267" spans="1:15" s="2399" customFormat="1" ht="391.5" x14ac:dyDescent="0.35">
      <c r="A267" s="806">
        <v>43869</v>
      </c>
      <c r="B267" s="10" t="s">
        <v>6561</v>
      </c>
      <c r="C267" s="10" t="s">
        <v>6568</v>
      </c>
      <c r="D267" s="8">
        <v>43953</v>
      </c>
      <c r="E267" s="1571" t="s">
        <v>6563</v>
      </c>
      <c r="F267" s="2391" t="s">
        <v>15</v>
      </c>
      <c r="G267" s="2391">
        <v>0.68055555555555547</v>
      </c>
      <c r="H267" s="2391">
        <v>0.68055555555555547</v>
      </c>
      <c r="I267" s="2431">
        <f>800+450+1000</f>
        <v>2250</v>
      </c>
      <c r="J267" s="817" t="s">
        <v>6564</v>
      </c>
      <c r="K267" s="817" t="s">
        <v>15</v>
      </c>
      <c r="L267" s="817" t="s">
        <v>17</v>
      </c>
      <c r="M267" s="839" t="s">
        <v>5367</v>
      </c>
    </row>
    <row r="268" spans="1:15" s="2399" customFormat="1" ht="232" x14ac:dyDescent="0.35">
      <c r="A268" s="882">
        <v>43875</v>
      </c>
      <c r="B268" s="7" t="s">
        <v>6761</v>
      </c>
      <c r="C268" s="1090" t="s">
        <v>6762</v>
      </c>
      <c r="D268" s="883">
        <v>43960</v>
      </c>
      <c r="E268" s="1571" t="s">
        <v>6763</v>
      </c>
      <c r="F268" s="2430" t="s">
        <v>15</v>
      </c>
      <c r="G268" s="2430">
        <v>0.76388888888888884</v>
      </c>
      <c r="H268" s="2430">
        <v>0.76388888888888884</v>
      </c>
      <c r="I268" s="2390">
        <v>950</v>
      </c>
      <c r="J268" s="7" t="s">
        <v>6764</v>
      </c>
      <c r="K268" s="7" t="s">
        <v>15</v>
      </c>
      <c r="L268" s="7" t="s">
        <v>17</v>
      </c>
      <c r="M268" s="809" t="s">
        <v>6450</v>
      </c>
    </row>
    <row r="269" spans="1:15" s="2399" customFormat="1" ht="188.5" x14ac:dyDescent="0.35">
      <c r="A269" s="882">
        <v>43879</v>
      </c>
      <c r="B269" s="7" t="s">
        <v>6834</v>
      </c>
      <c r="C269" s="7" t="s">
        <v>6835</v>
      </c>
      <c r="D269" s="883">
        <v>43967</v>
      </c>
      <c r="E269" s="1571" t="s">
        <v>6836</v>
      </c>
      <c r="F269" s="2430" t="s">
        <v>15</v>
      </c>
      <c r="G269" s="2430">
        <v>0.76388888888888884</v>
      </c>
      <c r="H269" s="2430">
        <v>0.76388888888888884</v>
      </c>
      <c r="I269" s="2431">
        <v>1672</v>
      </c>
      <c r="J269" s="817" t="s">
        <v>6837</v>
      </c>
      <c r="K269" s="817" t="s">
        <v>15</v>
      </c>
      <c r="L269" s="817" t="s">
        <v>17</v>
      </c>
      <c r="M269" s="839" t="s">
        <v>6450</v>
      </c>
    </row>
    <row r="270" spans="1:15" s="2399" customFormat="1" ht="188.5" x14ac:dyDescent="0.35">
      <c r="A270" s="882">
        <v>43868</v>
      </c>
      <c r="B270" s="7" t="s">
        <v>6545</v>
      </c>
      <c r="C270" s="7" t="s">
        <v>6546</v>
      </c>
      <c r="D270" s="883">
        <v>43967</v>
      </c>
      <c r="E270" s="881" t="s">
        <v>290</v>
      </c>
      <c r="F270" s="2430"/>
      <c r="G270" s="2430" t="s">
        <v>3071</v>
      </c>
      <c r="H270" s="2430" t="s">
        <v>3071</v>
      </c>
      <c r="I270" s="2431">
        <v>1140</v>
      </c>
      <c r="J270" s="1154" t="s">
        <v>6548</v>
      </c>
      <c r="K270" s="2444"/>
      <c r="L270" s="817" t="s">
        <v>22</v>
      </c>
      <c r="M270" s="839" t="s">
        <v>6547</v>
      </c>
    </row>
    <row r="271" spans="1:15" s="2399" customFormat="1" ht="362.5" x14ac:dyDescent="0.35">
      <c r="A271" s="882">
        <v>43889</v>
      </c>
      <c r="B271" s="7" t="s">
        <v>7051</v>
      </c>
      <c r="C271" s="7" t="s">
        <v>7053</v>
      </c>
      <c r="D271" s="883">
        <v>43974</v>
      </c>
      <c r="E271" s="1571" t="s">
        <v>7052</v>
      </c>
      <c r="F271" s="2430" t="s">
        <v>15</v>
      </c>
      <c r="G271" s="2430">
        <v>0.68055555555555547</v>
      </c>
      <c r="H271" s="2430">
        <v>0.68055555555555547</v>
      </c>
      <c r="I271" s="2431">
        <f>3*50*4.8+3.5*150*4.8+20*65+400/1.09</f>
        <v>4906.9724770642206</v>
      </c>
      <c r="J271" s="817" t="s">
        <v>7050</v>
      </c>
      <c r="K271" s="817" t="s">
        <v>15</v>
      </c>
      <c r="L271" s="817" t="s">
        <v>17</v>
      </c>
      <c r="M271" s="839" t="s">
        <v>262</v>
      </c>
    </row>
    <row r="272" spans="1:15" s="2399" customFormat="1" ht="174" x14ac:dyDescent="0.35">
      <c r="A272" s="882">
        <v>43881</v>
      </c>
      <c r="B272" s="7" t="s">
        <v>6875</v>
      </c>
      <c r="C272" s="7" t="s">
        <v>6876</v>
      </c>
      <c r="D272" s="883">
        <v>43974</v>
      </c>
      <c r="E272" s="1571" t="s">
        <v>6877</v>
      </c>
      <c r="F272" s="2430" t="s">
        <v>15</v>
      </c>
      <c r="G272" s="2430">
        <v>0.72222222222222221</v>
      </c>
      <c r="H272" s="2430">
        <v>0.72222222222222221</v>
      </c>
      <c r="I272" s="2431">
        <v>3200</v>
      </c>
      <c r="J272" s="2532" t="s">
        <v>6878</v>
      </c>
      <c r="K272" s="817" t="s">
        <v>15</v>
      </c>
      <c r="L272" s="817" t="s">
        <v>17</v>
      </c>
      <c r="M272" s="839" t="s">
        <v>6450</v>
      </c>
      <c r="N272" s="2429"/>
      <c r="O272" s="2429"/>
    </row>
    <row r="273" spans="1:15" s="2399" customFormat="1" ht="406" x14ac:dyDescent="0.35">
      <c r="A273" s="2427">
        <v>43851</v>
      </c>
      <c r="B273" s="1850" t="s">
        <v>6273</v>
      </c>
      <c r="C273" s="1090" t="s">
        <v>6476</v>
      </c>
      <c r="D273" s="2393">
        <v>43974</v>
      </c>
      <c r="E273" s="2428" t="s">
        <v>6275</v>
      </c>
      <c r="F273" s="2386" t="s">
        <v>15</v>
      </c>
      <c r="G273" s="2398" t="s">
        <v>49</v>
      </c>
      <c r="H273" s="2398" t="s">
        <v>49</v>
      </c>
      <c r="I273" s="2387">
        <f>36*75+400+300+150*3.5*4.76</f>
        <v>5899</v>
      </c>
      <c r="J273" s="817"/>
      <c r="K273" s="817"/>
      <c r="L273" s="817" t="s">
        <v>17</v>
      </c>
      <c r="M273" s="839" t="s">
        <v>6053</v>
      </c>
      <c r="N273" s="2429"/>
      <c r="O273" s="2429"/>
    </row>
    <row r="274" spans="1:15" s="2399" customFormat="1" ht="130.5" x14ac:dyDescent="0.35">
      <c r="A274" s="2422">
        <v>43854</v>
      </c>
      <c r="B274" s="1412" t="s">
        <v>6326</v>
      </c>
      <c r="C274" s="10" t="s">
        <v>6567</v>
      </c>
      <c r="D274" s="8">
        <v>43981</v>
      </c>
      <c r="E274" s="823" t="s">
        <v>6327</v>
      </c>
      <c r="F274" s="1136" t="s">
        <v>15</v>
      </c>
      <c r="G274" s="2388">
        <v>0.83333333333333337</v>
      </c>
      <c r="H274" s="2388">
        <v>0.83333333333333337</v>
      </c>
      <c r="I274" s="2389">
        <f>300+10*85</f>
        <v>1150</v>
      </c>
      <c r="J274" s="5" t="s">
        <v>6565</v>
      </c>
      <c r="K274" s="5" t="s">
        <v>15</v>
      </c>
      <c r="L274" s="5" t="s">
        <v>17</v>
      </c>
      <c r="M274" s="807" t="s">
        <v>5367</v>
      </c>
    </row>
    <row r="275" spans="1:15" s="2432" customFormat="1" ht="29" x14ac:dyDescent="0.35">
      <c r="A275" s="882">
        <v>43875</v>
      </c>
      <c r="B275" s="7" t="s">
        <v>20</v>
      </c>
      <c r="C275" s="7" t="s">
        <v>6925</v>
      </c>
      <c r="D275" s="883">
        <v>43992</v>
      </c>
      <c r="E275" s="881" t="s">
        <v>20</v>
      </c>
      <c r="F275" s="2548" t="s">
        <v>15</v>
      </c>
      <c r="G275" s="2430" t="s">
        <v>15</v>
      </c>
      <c r="H275" s="2430" t="s">
        <v>15</v>
      </c>
      <c r="I275" s="2389">
        <v>0</v>
      </c>
      <c r="J275" s="817" t="s">
        <v>20</v>
      </c>
      <c r="K275" s="817" t="s">
        <v>15</v>
      </c>
      <c r="L275" s="817" t="s">
        <v>17</v>
      </c>
      <c r="M275" s="839" t="s">
        <v>20</v>
      </c>
    </row>
    <row r="276" spans="1:15" s="2432" customFormat="1" ht="188.5" x14ac:dyDescent="0.35">
      <c r="A276" s="2573">
        <v>43888</v>
      </c>
      <c r="B276" s="1090" t="s">
        <v>7023</v>
      </c>
      <c r="C276" s="1090" t="s">
        <v>7024</v>
      </c>
      <c r="D276" s="2574">
        <v>43996</v>
      </c>
      <c r="E276" s="2533" t="s">
        <v>7025</v>
      </c>
      <c r="F276" s="836" t="s">
        <v>15</v>
      </c>
      <c r="G276" s="836">
        <v>0.73611111111111116</v>
      </c>
      <c r="H276" s="836">
        <v>0.73611111111111116</v>
      </c>
      <c r="I276" s="1100">
        <v>2394</v>
      </c>
      <c r="J276" s="817" t="s">
        <v>7026</v>
      </c>
      <c r="K276" s="817" t="s">
        <v>15</v>
      </c>
      <c r="L276" s="817" t="s">
        <v>17</v>
      </c>
      <c r="M276" s="839" t="s">
        <v>2084</v>
      </c>
    </row>
    <row r="277" spans="1:15" s="2432" customFormat="1" ht="304.5" x14ac:dyDescent="0.35">
      <c r="A277" s="806">
        <v>43875</v>
      </c>
      <c r="B277" s="10" t="s">
        <v>6739</v>
      </c>
      <c r="C277" s="10" t="s">
        <v>6923</v>
      </c>
      <c r="D277" s="8">
        <v>43996</v>
      </c>
      <c r="E277" s="1571" t="s">
        <v>6924</v>
      </c>
      <c r="F277" s="2430" t="s">
        <v>15</v>
      </c>
      <c r="G277" s="2430">
        <v>0.74305555555555547</v>
      </c>
      <c r="H277" s="2430">
        <v>0.74305555555555547</v>
      </c>
      <c r="I277" s="2431">
        <v>5151</v>
      </c>
      <c r="J277" s="817" t="s">
        <v>6760</v>
      </c>
      <c r="K277" s="817" t="s">
        <v>15</v>
      </c>
      <c r="L277" s="817" t="s">
        <v>17</v>
      </c>
      <c r="M277" s="839" t="s">
        <v>6450</v>
      </c>
    </row>
    <row r="278" spans="1:15" s="2432" customFormat="1" ht="29" x14ac:dyDescent="0.35">
      <c r="A278" s="882">
        <v>43869</v>
      </c>
      <c r="B278" s="7" t="s">
        <v>20</v>
      </c>
      <c r="C278" s="7" t="s">
        <v>6577</v>
      </c>
      <c r="D278" s="883">
        <v>44015</v>
      </c>
      <c r="E278" s="881" t="s">
        <v>20</v>
      </c>
      <c r="F278" s="2430" t="s">
        <v>15</v>
      </c>
      <c r="G278" s="2430" t="s">
        <v>15</v>
      </c>
      <c r="H278" s="2430" t="s">
        <v>15</v>
      </c>
      <c r="I278" s="2431">
        <v>0</v>
      </c>
      <c r="J278" s="7" t="s">
        <v>20</v>
      </c>
      <c r="K278" s="7" t="s">
        <v>15</v>
      </c>
      <c r="L278" s="7" t="s">
        <v>17</v>
      </c>
      <c r="M278" s="839" t="s">
        <v>20</v>
      </c>
    </row>
    <row r="279" spans="1:15" s="2432" customFormat="1" ht="290" x14ac:dyDescent="0.35">
      <c r="A279" s="2422">
        <v>43869</v>
      </c>
      <c r="B279" s="1412" t="s">
        <v>6512</v>
      </c>
      <c r="C279" s="10" t="s">
        <v>6575</v>
      </c>
      <c r="D279" s="8">
        <v>44017</v>
      </c>
      <c r="E279" s="1571" t="s">
        <v>6576</v>
      </c>
      <c r="F279" s="2388" t="s">
        <v>15</v>
      </c>
      <c r="G279" s="2388">
        <v>0.72916666666666663</v>
      </c>
      <c r="H279" s="2388">
        <v>0.72916666666666663</v>
      </c>
      <c r="I279" s="2431">
        <f>3500*0.85</f>
        <v>2975</v>
      </c>
      <c r="J279" s="7" t="s">
        <v>6643</v>
      </c>
      <c r="K279" s="7" t="s">
        <v>15</v>
      </c>
      <c r="L279" s="7" t="s">
        <v>17</v>
      </c>
      <c r="M279" s="809" t="s">
        <v>6053</v>
      </c>
    </row>
    <row r="280" spans="1:15" s="2432" customFormat="1" ht="406" x14ac:dyDescent="0.35">
      <c r="A280" s="806">
        <v>43869</v>
      </c>
      <c r="B280" s="10" t="s">
        <v>6558</v>
      </c>
      <c r="C280" s="10" t="s">
        <v>6566</v>
      </c>
      <c r="D280" s="8">
        <v>44029</v>
      </c>
      <c r="E280" s="1571" t="s">
        <v>6560</v>
      </c>
      <c r="F280" s="2391" t="s">
        <v>15</v>
      </c>
      <c r="G280" s="2391">
        <v>0.76388888888888884</v>
      </c>
      <c r="H280" s="2391">
        <v>0.76388888888888884</v>
      </c>
      <c r="I280" s="2431">
        <f>80*12+50+1000</f>
        <v>2010</v>
      </c>
      <c r="J280" s="817" t="s">
        <v>6559</v>
      </c>
      <c r="K280" s="817" t="s">
        <v>15</v>
      </c>
      <c r="L280" s="817" t="s">
        <v>17</v>
      </c>
      <c r="M280" s="839" t="s">
        <v>5367</v>
      </c>
    </row>
    <row r="281" spans="1:15" s="2432" customFormat="1" ht="232" x14ac:dyDescent="0.35">
      <c r="A281" s="882">
        <v>43872</v>
      </c>
      <c r="B281" s="7" t="s">
        <v>6638</v>
      </c>
      <c r="C281" s="7" t="s">
        <v>6639</v>
      </c>
      <c r="D281" s="883">
        <v>44037</v>
      </c>
      <c r="E281" s="1571" t="s">
        <v>6640</v>
      </c>
      <c r="F281" s="2430" t="s">
        <v>15</v>
      </c>
      <c r="G281" s="2430">
        <v>0.77083333333333337</v>
      </c>
      <c r="H281" s="2430">
        <v>0.77083333333333337</v>
      </c>
      <c r="I281" s="2431">
        <v>950</v>
      </c>
      <c r="J281" s="817" t="s">
        <v>6641</v>
      </c>
      <c r="K281" s="817" t="s">
        <v>15</v>
      </c>
      <c r="L281" s="817" t="s">
        <v>17</v>
      </c>
      <c r="M281" s="839" t="s">
        <v>6450</v>
      </c>
    </row>
    <row r="282" spans="1:15" s="2432" customFormat="1" ht="188.5" x14ac:dyDescent="0.35">
      <c r="A282" s="806">
        <v>43872</v>
      </c>
      <c r="B282" s="10" t="s">
        <v>6652</v>
      </c>
      <c r="C282" s="10" t="s">
        <v>6653</v>
      </c>
      <c r="D282" s="8">
        <v>44038</v>
      </c>
      <c r="E282" s="1571" t="s">
        <v>6654</v>
      </c>
      <c r="F282" s="2430" t="s">
        <v>15</v>
      </c>
      <c r="G282" s="2430" t="s">
        <v>15</v>
      </c>
      <c r="H282" s="2430" t="s">
        <v>15</v>
      </c>
      <c r="I282" s="2431">
        <v>2682</v>
      </c>
      <c r="J282" s="2434" t="s">
        <v>6655</v>
      </c>
      <c r="K282" s="817" t="s">
        <v>15</v>
      </c>
      <c r="L282" s="817" t="s">
        <v>17</v>
      </c>
      <c r="M282" s="839" t="s">
        <v>6450</v>
      </c>
    </row>
    <row r="283" spans="1:15" s="2432" customFormat="1" ht="217.5" x14ac:dyDescent="0.35">
      <c r="A283" s="2422">
        <v>43872</v>
      </c>
      <c r="B283" s="1412" t="s">
        <v>6630</v>
      </c>
      <c r="C283" s="10" t="s">
        <v>6631</v>
      </c>
      <c r="D283" s="8">
        <v>44038</v>
      </c>
      <c r="E283" s="2428" t="s">
        <v>6632</v>
      </c>
      <c r="F283" s="2388" t="s">
        <v>15</v>
      </c>
      <c r="G283" s="2395">
        <v>0.75</v>
      </c>
      <c r="H283" s="2395">
        <v>0.79166666666666663</v>
      </c>
      <c r="I283" s="2396">
        <v>2398</v>
      </c>
      <c r="J283" s="1154" t="s">
        <v>6633</v>
      </c>
      <c r="K283" s="1154" t="s">
        <v>15</v>
      </c>
      <c r="L283" s="817" t="s">
        <v>17</v>
      </c>
      <c r="M283" s="839" t="s">
        <v>6450</v>
      </c>
    </row>
    <row r="284" spans="1:15" s="2432" customFormat="1" ht="348" x14ac:dyDescent="0.35">
      <c r="A284" s="2422">
        <v>43865</v>
      </c>
      <c r="B284" s="1412" t="s">
        <v>6347</v>
      </c>
      <c r="C284" s="2434" t="s">
        <v>6494</v>
      </c>
      <c r="D284" s="2433">
        <v>44059</v>
      </c>
      <c r="E284" s="2435" t="s">
        <v>6492</v>
      </c>
      <c r="F284" s="2386" t="s">
        <v>15</v>
      </c>
      <c r="G284" s="2386">
        <v>0.71875</v>
      </c>
      <c r="H284" s="2386">
        <v>0.71875</v>
      </c>
      <c r="I284" s="2387">
        <f>1000+400+38*120/1000*70</f>
        <v>1719.2</v>
      </c>
      <c r="J284" s="817" t="s">
        <v>6493</v>
      </c>
      <c r="K284" s="817" t="s">
        <v>15</v>
      </c>
      <c r="L284" s="817" t="s">
        <v>17</v>
      </c>
      <c r="M284" s="839" t="s">
        <v>6045</v>
      </c>
    </row>
    <row r="285" spans="1:15" s="2432" customFormat="1" ht="43.5" x14ac:dyDescent="0.35">
      <c r="A285" s="882">
        <v>43869</v>
      </c>
      <c r="B285" s="7" t="s">
        <v>20</v>
      </c>
      <c r="C285" s="7" t="s">
        <v>6571</v>
      </c>
      <c r="D285" s="883">
        <v>44062</v>
      </c>
      <c r="E285" s="881" t="s">
        <v>20</v>
      </c>
      <c r="F285" s="2430" t="s">
        <v>15</v>
      </c>
      <c r="G285" s="2430" t="s">
        <v>15</v>
      </c>
      <c r="H285" s="2430" t="s">
        <v>15</v>
      </c>
      <c r="I285" s="2431">
        <v>0</v>
      </c>
      <c r="J285" s="817" t="s">
        <v>20</v>
      </c>
      <c r="K285" s="817" t="s">
        <v>15</v>
      </c>
      <c r="L285" s="817" t="s">
        <v>17</v>
      </c>
      <c r="M285" s="839" t="s">
        <v>20</v>
      </c>
    </row>
    <row r="286" spans="1:15" s="2432" customFormat="1" ht="348" x14ac:dyDescent="0.35">
      <c r="A286" s="806">
        <v>43869</v>
      </c>
      <c r="B286" s="10" t="s">
        <v>6569</v>
      </c>
      <c r="C286" s="10" t="s">
        <v>6589</v>
      </c>
      <c r="D286" s="8">
        <v>44065</v>
      </c>
      <c r="E286" s="2428" t="s">
        <v>6570</v>
      </c>
      <c r="F286" s="2430" t="s">
        <v>15</v>
      </c>
      <c r="G286" s="2430">
        <v>0.74305555555555547</v>
      </c>
      <c r="H286" s="2430">
        <v>0.74305555555555547</v>
      </c>
      <c r="I286" s="2431">
        <v>2506</v>
      </c>
      <c r="J286" s="2434" t="s">
        <v>6590</v>
      </c>
      <c r="K286" s="817" t="s">
        <v>15</v>
      </c>
      <c r="L286" s="817" t="s">
        <v>6046</v>
      </c>
      <c r="M286" s="839" t="s">
        <v>6450</v>
      </c>
    </row>
    <row r="287" spans="1:15" s="2399" customFormat="1" ht="232" x14ac:dyDescent="0.35">
      <c r="A287" s="852">
        <v>43872</v>
      </c>
      <c r="B287" s="817" t="s">
        <v>6656</v>
      </c>
      <c r="C287" s="2457" t="s">
        <v>6657</v>
      </c>
      <c r="D287" s="1223">
        <v>44066</v>
      </c>
      <c r="E287" s="2435" t="s">
        <v>6658</v>
      </c>
      <c r="F287" s="2386" t="s">
        <v>15</v>
      </c>
      <c r="G287" s="2386">
        <v>0.6875</v>
      </c>
      <c r="H287" s="2386">
        <v>0.6875</v>
      </c>
      <c r="I287" s="2387">
        <v>1528</v>
      </c>
      <c r="J287" s="1149" t="s">
        <v>6659</v>
      </c>
      <c r="K287" s="1149" t="s">
        <v>15</v>
      </c>
      <c r="L287" s="817" t="s">
        <v>17</v>
      </c>
      <c r="M287" s="839" t="s">
        <v>15</v>
      </c>
    </row>
    <row r="288" spans="1:15" s="2399" customFormat="1" ht="409.5" x14ac:dyDescent="0.35">
      <c r="A288" s="2422">
        <v>43857</v>
      </c>
      <c r="B288" s="1412" t="s">
        <v>6642</v>
      </c>
      <c r="C288" s="10" t="s">
        <v>6477</v>
      </c>
      <c r="D288" s="8">
        <v>44079</v>
      </c>
      <c r="E288" s="823" t="s">
        <v>6351</v>
      </c>
      <c r="F288" s="2388" t="s">
        <v>15</v>
      </c>
      <c r="G288" s="2386">
        <v>0.77083333333333337</v>
      </c>
      <c r="H288" s="2386">
        <v>0.77083333333333337</v>
      </c>
      <c r="I288" s="2387">
        <v>3800</v>
      </c>
      <c r="J288" s="817" t="s">
        <v>6352</v>
      </c>
      <c r="K288" s="817" t="s">
        <v>15</v>
      </c>
      <c r="L288" s="817" t="s">
        <v>17</v>
      </c>
      <c r="M288" s="839" t="s">
        <v>6045</v>
      </c>
    </row>
    <row r="289" spans="1:14" s="2399" customFormat="1" ht="29" x14ac:dyDescent="0.35">
      <c r="A289" s="882">
        <v>43869</v>
      </c>
      <c r="B289" s="7" t="s">
        <v>20</v>
      </c>
      <c r="C289" s="7" t="s">
        <v>6573</v>
      </c>
      <c r="D289" s="883">
        <v>44083</v>
      </c>
      <c r="E289" s="881" t="s">
        <v>20</v>
      </c>
      <c r="F289" s="2430" t="s">
        <v>15</v>
      </c>
      <c r="G289" s="2430" t="s">
        <v>15</v>
      </c>
      <c r="H289" s="2430" t="s">
        <v>15</v>
      </c>
      <c r="I289" s="2431">
        <v>0</v>
      </c>
      <c r="J289" s="817" t="s">
        <v>6034</v>
      </c>
      <c r="K289" s="817" t="s">
        <v>15</v>
      </c>
      <c r="L289" s="817" t="s">
        <v>17</v>
      </c>
      <c r="M289" s="839" t="s">
        <v>20</v>
      </c>
    </row>
    <row r="290" spans="1:14" s="2399" customFormat="1" ht="391.5" x14ac:dyDescent="0.35">
      <c r="A290" s="2422">
        <v>43874</v>
      </c>
      <c r="B290" s="1412" t="s">
        <v>6727</v>
      </c>
      <c r="C290" s="2434" t="s">
        <v>6785</v>
      </c>
      <c r="D290" s="2433">
        <v>44086</v>
      </c>
      <c r="E290" s="2435" t="s">
        <v>6728</v>
      </c>
      <c r="F290" s="2386" t="s">
        <v>15</v>
      </c>
      <c r="G290" s="2386">
        <v>0.76041666666666663</v>
      </c>
      <c r="H290" s="2386">
        <v>0.76041666666666663</v>
      </c>
      <c r="I290" s="2387">
        <v>2372</v>
      </c>
      <c r="J290" s="817" t="s">
        <v>6729</v>
      </c>
      <c r="K290" s="817" t="s">
        <v>15</v>
      </c>
      <c r="L290" s="817" t="s">
        <v>17</v>
      </c>
      <c r="M290" s="839" t="s">
        <v>6450</v>
      </c>
    </row>
    <row r="291" spans="1:14" s="2399" customFormat="1" ht="290" x14ac:dyDescent="0.35">
      <c r="A291" s="2422">
        <v>43869</v>
      </c>
      <c r="B291" s="1412" t="s">
        <v>6504</v>
      </c>
      <c r="C291" s="1090" t="s">
        <v>6574</v>
      </c>
      <c r="D291" s="8">
        <v>44086</v>
      </c>
      <c r="E291" s="823" t="s">
        <v>6572</v>
      </c>
      <c r="F291" s="2388" t="s">
        <v>15</v>
      </c>
      <c r="G291" s="2388">
        <v>0.77083333333333337</v>
      </c>
      <c r="H291" s="2388">
        <v>0.77083333333333337</v>
      </c>
      <c r="I291" s="2431">
        <v>4824.1499999999996</v>
      </c>
      <c r="J291" s="2434" t="s">
        <v>6629</v>
      </c>
      <c r="K291" s="817" t="s">
        <v>15</v>
      </c>
      <c r="L291" s="817" t="s">
        <v>17</v>
      </c>
      <c r="M291" s="839" t="s">
        <v>6450</v>
      </c>
    </row>
    <row r="292" spans="1:14" s="2399" customFormat="1" ht="203" x14ac:dyDescent="0.35">
      <c r="A292" s="882">
        <v>43872</v>
      </c>
      <c r="B292" s="7" t="s">
        <v>6634</v>
      </c>
      <c r="C292" s="7" t="s">
        <v>6636</v>
      </c>
      <c r="D292" s="883">
        <v>44086</v>
      </c>
      <c r="E292" s="1571" t="s">
        <v>6635</v>
      </c>
      <c r="F292" s="2430" t="s">
        <v>15</v>
      </c>
      <c r="G292" s="2430">
        <v>0.76041666666666663</v>
      </c>
      <c r="H292" s="2430">
        <v>0.76041666666666663</v>
      </c>
      <c r="I292" s="2431">
        <v>1672</v>
      </c>
      <c r="J292" s="2434" t="s">
        <v>6637</v>
      </c>
      <c r="K292" s="817" t="s">
        <v>15</v>
      </c>
      <c r="L292" s="817" t="s">
        <v>17</v>
      </c>
      <c r="M292" s="839" t="s">
        <v>6450</v>
      </c>
    </row>
    <row r="293" spans="1:14" s="2399" customFormat="1" ht="174" x14ac:dyDescent="0.35">
      <c r="A293" s="852">
        <v>43877</v>
      </c>
      <c r="B293" s="817" t="s">
        <v>6584</v>
      </c>
      <c r="C293" s="817" t="s">
        <v>6794</v>
      </c>
      <c r="D293" s="1223">
        <v>44101</v>
      </c>
      <c r="E293" s="1571" t="s">
        <v>6795</v>
      </c>
      <c r="F293" s="2386" t="s">
        <v>15</v>
      </c>
      <c r="G293" s="2386">
        <v>0.68055555555555547</v>
      </c>
      <c r="H293" s="2386">
        <v>0.68055555555555547</v>
      </c>
      <c r="I293" s="2387">
        <v>1960</v>
      </c>
      <c r="J293" s="817" t="s">
        <v>6793</v>
      </c>
      <c r="K293" s="817" t="s">
        <v>15</v>
      </c>
      <c r="L293" s="817" t="s">
        <v>17</v>
      </c>
      <c r="M293" s="839" t="s">
        <v>6450</v>
      </c>
    </row>
    <row r="294" spans="1:14" s="2399" customFormat="1" ht="406" x14ac:dyDescent="0.35">
      <c r="A294" s="2422">
        <v>43876</v>
      </c>
      <c r="B294" s="1412" t="s">
        <v>6608</v>
      </c>
      <c r="C294" s="2434" t="s">
        <v>6782</v>
      </c>
      <c r="D294" s="2433">
        <v>44128</v>
      </c>
      <c r="E294" s="2435" t="s">
        <v>6781</v>
      </c>
      <c r="F294" s="2386" t="s">
        <v>15</v>
      </c>
      <c r="G294" s="2386">
        <v>0.72916666666666663</v>
      </c>
      <c r="H294" s="2386">
        <v>0.72916666666666663</v>
      </c>
      <c r="I294" s="2387">
        <v>3514</v>
      </c>
      <c r="J294" s="817" t="s">
        <v>6780</v>
      </c>
      <c r="K294" s="817" t="s">
        <v>15</v>
      </c>
      <c r="L294" s="817" t="s">
        <v>17</v>
      </c>
      <c r="M294" s="839" t="s">
        <v>6450</v>
      </c>
      <c r="N294" s="2432"/>
    </row>
    <row r="295" spans="1:14" s="2399" customFormat="1" ht="348" x14ac:dyDescent="0.35">
      <c r="A295" s="2469">
        <v>43873</v>
      </c>
      <c r="B295" s="2470" t="s">
        <v>6674</v>
      </c>
      <c r="C295" s="2456" t="s">
        <v>6675</v>
      </c>
      <c r="D295" s="2471">
        <v>44364</v>
      </c>
      <c r="E295" s="2472" t="s">
        <v>6676</v>
      </c>
      <c r="F295" s="2473" t="s">
        <v>15</v>
      </c>
      <c r="G295" s="2474">
        <v>0.77083333333333337</v>
      </c>
      <c r="H295" s="2474">
        <v>0.77083333333333337</v>
      </c>
      <c r="I295" s="2475">
        <v>6500</v>
      </c>
      <c r="J295" s="874" t="s">
        <v>6677</v>
      </c>
      <c r="K295" s="874" t="s">
        <v>15</v>
      </c>
      <c r="L295" s="874" t="s">
        <v>17</v>
      </c>
      <c r="M295" s="875" t="s">
        <v>6450</v>
      </c>
    </row>
    <row r="300" spans="1:14" ht="15" thickBot="1" x14ac:dyDescent="0.4">
      <c r="B300" s="2477" t="s">
        <v>2108</v>
      </c>
      <c r="C300" s="2478" t="s">
        <v>6699</v>
      </c>
    </row>
    <row r="301" spans="1:14" x14ac:dyDescent="0.35">
      <c r="B301" s="2577">
        <v>43862</v>
      </c>
      <c r="C301" s="2578">
        <f t="shared" ref="C301:C329" ca="1" si="0">IF(B301&lt;=TODAY(),SUMIF($A$2:$A$295,B301,$I$2:$I$295)/4.8,"")</f>
        <v>100</v>
      </c>
    </row>
    <row r="302" spans="1:14" x14ac:dyDescent="0.35">
      <c r="B302" s="2579">
        <v>43863</v>
      </c>
      <c r="C302" s="2578">
        <f t="shared" ca="1" si="0"/>
        <v>0</v>
      </c>
    </row>
    <row r="303" spans="1:14" x14ac:dyDescent="0.35">
      <c r="B303" s="2580">
        <v>43864</v>
      </c>
      <c r="C303" s="2578">
        <f t="shared" ca="1" si="0"/>
        <v>62.5</v>
      </c>
      <c r="D303" s="2438"/>
      <c r="E303" s="2438"/>
      <c r="F303" s="2438"/>
      <c r="G303" s="2438"/>
      <c r="H303" s="2438"/>
      <c r="I303" s="2438"/>
      <c r="J303" s="2438"/>
      <c r="K303" s="2438"/>
      <c r="L303" s="2438"/>
    </row>
    <row r="304" spans="1:14" x14ac:dyDescent="0.35">
      <c r="B304" s="2579">
        <v>43865</v>
      </c>
      <c r="C304" s="2578">
        <f t="shared" ca="1" si="0"/>
        <v>903.79166666666663</v>
      </c>
      <c r="D304" s="2438"/>
      <c r="E304" s="2438"/>
      <c r="F304" s="2438"/>
      <c r="G304" s="2438"/>
      <c r="H304" s="2438"/>
      <c r="I304" s="2438"/>
      <c r="J304" s="2438"/>
      <c r="K304" s="2438"/>
      <c r="L304" s="2438"/>
    </row>
    <row r="305" spans="2:12" x14ac:dyDescent="0.35">
      <c r="B305" s="2580">
        <v>43866</v>
      </c>
      <c r="C305" s="2578">
        <f t="shared" ca="1" si="0"/>
        <v>350</v>
      </c>
      <c r="D305" s="2438"/>
      <c r="E305" s="2438"/>
      <c r="F305" s="2438"/>
      <c r="G305" s="2438"/>
      <c r="H305" s="2438"/>
      <c r="I305" s="2438"/>
      <c r="J305" s="2438"/>
      <c r="K305" s="1100"/>
      <c r="L305" s="2438"/>
    </row>
    <row r="306" spans="2:12" x14ac:dyDescent="0.35">
      <c r="B306" s="2579">
        <v>43867</v>
      </c>
      <c r="C306" s="2578">
        <f t="shared" ca="1" si="0"/>
        <v>533.97916666666663</v>
      </c>
      <c r="D306" s="2438" t="s">
        <v>6698</v>
      </c>
      <c r="E306" s="2581">
        <f ca="1">SUM(C301:C329)</f>
        <v>24925.638363277274</v>
      </c>
      <c r="F306" s="2438"/>
      <c r="G306" s="2438"/>
      <c r="H306" s="2438"/>
      <c r="I306" s="2438"/>
      <c r="J306" s="2438"/>
      <c r="K306" s="1100"/>
      <c r="L306" s="2438"/>
    </row>
    <row r="307" spans="2:12" x14ac:dyDescent="0.35">
      <c r="B307" s="2580">
        <v>43868</v>
      </c>
      <c r="C307" s="2578">
        <f t="shared" ca="1" si="0"/>
        <v>320</v>
      </c>
      <c r="D307" s="2438"/>
      <c r="E307" s="2438"/>
      <c r="F307" s="2438"/>
      <c r="G307" s="2581"/>
      <c r="H307" s="2438"/>
      <c r="I307" s="2438"/>
      <c r="J307" s="2438"/>
      <c r="K307" s="1100"/>
      <c r="L307" s="2438"/>
    </row>
    <row r="308" spans="2:12" x14ac:dyDescent="0.35">
      <c r="B308" s="2579">
        <v>43869</v>
      </c>
      <c r="C308" s="2578">
        <f t="shared" ca="1" si="0"/>
        <v>4472.947916666667</v>
      </c>
      <c r="D308" s="2438" t="s">
        <v>6700</v>
      </c>
      <c r="E308" s="2581">
        <f ca="1">E306/29</f>
        <v>859.50477114749219</v>
      </c>
      <c r="F308" s="2438"/>
      <c r="G308" s="2582"/>
      <c r="H308" s="2438"/>
      <c r="I308" s="2438"/>
      <c r="J308" s="2438"/>
      <c r="K308" s="2581"/>
      <c r="L308" s="2438"/>
    </row>
    <row r="309" spans="2:12" x14ac:dyDescent="0.35">
      <c r="B309" s="2580">
        <v>43870</v>
      </c>
      <c r="C309" s="2578">
        <f t="shared" ca="1" si="0"/>
        <v>624.6875</v>
      </c>
      <c r="D309" s="2440"/>
      <c r="E309" s="2440"/>
      <c r="F309" s="2440"/>
      <c r="G309" s="2440"/>
      <c r="H309" s="2438"/>
      <c r="I309" s="2438"/>
      <c r="J309" s="2438"/>
      <c r="K309" s="2438"/>
      <c r="L309" s="2438"/>
    </row>
    <row r="310" spans="2:12" x14ac:dyDescent="0.35">
      <c r="B310" s="2579">
        <v>43871</v>
      </c>
      <c r="C310" s="2578">
        <f t="shared" ca="1" si="0"/>
        <v>746.35416666666674</v>
      </c>
      <c r="D310" s="2440"/>
      <c r="E310" s="2440"/>
      <c r="F310" s="2440"/>
      <c r="G310" s="2440"/>
      <c r="H310" s="2438"/>
      <c r="I310" s="2438"/>
      <c r="J310" s="2438"/>
      <c r="K310" s="2438"/>
      <c r="L310" s="2438"/>
    </row>
    <row r="311" spans="2:12" x14ac:dyDescent="0.35">
      <c r="B311" s="2580">
        <v>43872</v>
      </c>
      <c r="C311" s="2578">
        <f t="shared" ca="1" si="0"/>
        <v>2651.625</v>
      </c>
      <c r="D311" s="2440"/>
      <c r="E311" s="2440"/>
      <c r="F311" s="2440"/>
      <c r="G311" s="2440"/>
      <c r="H311" s="2438"/>
      <c r="I311" s="2438"/>
      <c r="J311" s="2438"/>
      <c r="K311" s="2438"/>
      <c r="L311" s="2438"/>
    </row>
    <row r="312" spans="2:12" x14ac:dyDescent="0.35">
      <c r="B312" s="2579">
        <v>43873</v>
      </c>
      <c r="C312" s="2578">
        <f t="shared" ca="1" si="0"/>
        <v>2317.6145833333335</v>
      </c>
      <c r="D312" s="2440"/>
      <c r="E312" s="2440"/>
      <c r="F312" s="2440"/>
      <c r="G312" s="2440"/>
      <c r="H312" s="2438"/>
      <c r="I312" s="2438"/>
      <c r="J312" s="2438"/>
      <c r="K312" s="2438"/>
      <c r="L312" s="2438"/>
    </row>
    <row r="313" spans="2:12" x14ac:dyDescent="0.35">
      <c r="B313" s="2580">
        <v>43874</v>
      </c>
      <c r="C313" s="2578">
        <f t="shared" ca="1" si="0"/>
        <v>836.25</v>
      </c>
      <c r="D313" s="2440"/>
      <c r="E313" s="2440"/>
      <c r="F313" s="2440"/>
      <c r="G313" s="2440"/>
      <c r="H313" s="2438"/>
      <c r="I313" s="2438"/>
      <c r="J313" s="2438"/>
      <c r="K313" s="2438"/>
      <c r="L313" s="2438"/>
    </row>
    <row r="314" spans="2:12" x14ac:dyDescent="0.35">
      <c r="B314" s="2580">
        <v>43875</v>
      </c>
      <c r="C314" s="2578">
        <f t="shared" ca="1" si="0"/>
        <v>1297.7083333333335</v>
      </c>
      <c r="D314" s="2440"/>
      <c r="E314" s="2440"/>
      <c r="F314" s="2440"/>
      <c r="G314" s="2440"/>
      <c r="H314" s="2438"/>
      <c r="I314" s="2438"/>
      <c r="J314" s="2438"/>
      <c r="K314" s="2438"/>
      <c r="L314" s="2438"/>
    </row>
    <row r="315" spans="2:12" x14ac:dyDescent="0.35">
      <c r="B315" s="2580">
        <v>43876</v>
      </c>
      <c r="C315" s="2578">
        <f t="shared" ca="1" si="0"/>
        <v>732.08333333333337</v>
      </c>
      <c r="D315" s="2501"/>
      <c r="E315" s="2440"/>
      <c r="F315" s="2440"/>
      <c r="G315" s="2440"/>
      <c r="H315" s="2438"/>
      <c r="I315" s="2438"/>
      <c r="J315" s="2438"/>
      <c r="K315" s="2438"/>
      <c r="L315" s="2438"/>
    </row>
    <row r="316" spans="2:12" x14ac:dyDescent="0.35">
      <c r="B316" s="2579">
        <v>43877</v>
      </c>
      <c r="C316" s="2578">
        <f t="shared" ca="1" si="0"/>
        <v>408.33333333333337</v>
      </c>
      <c r="D316" s="2501"/>
      <c r="E316" s="2440"/>
      <c r="F316" s="2440"/>
      <c r="G316" s="2440"/>
      <c r="H316" s="2438"/>
      <c r="I316" s="2438"/>
      <c r="J316" s="2438"/>
      <c r="K316" s="2438"/>
      <c r="L316" s="2438"/>
    </row>
    <row r="317" spans="2:12" x14ac:dyDescent="0.35">
      <c r="B317" s="2580">
        <v>43878</v>
      </c>
      <c r="C317" s="2578">
        <f t="shared" ca="1" si="0"/>
        <v>639.0625</v>
      </c>
      <c r="D317" s="2501"/>
      <c r="E317" s="2440"/>
      <c r="F317" s="2440"/>
      <c r="G317" s="2440"/>
      <c r="H317" s="2438"/>
      <c r="I317" s="2438"/>
      <c r="J317" s="2438"/>
      <c r="K317" s="2438"/>
      <c r="L317" s="2438"/>
    </row>
    <row r="318" spans="2:12" x14ac:dyDescent="0.35">
      <c r="B318" s="2579">
        <v>43879</v>
      </c>
      <c r="C318" s="2578">
        <f t="shared" ca="1" si="0"/>
        <v>856.66666666666674</v>
      </c>
      <c r="D318" s="2501"/>
      <c r="E318" s="2440"/>
      <c r="F318" s="2440"/>
      <c r="G318" s="2440"/>
      <c r="H318" s="2438"/>
      <c r="I318" s="2438"/>
      <c r="J318" s="2438"/>
      <c r="K318" s="2438"/>
      <c r="L318" s="2438"/>
    </row>
    <row r="319" spans="2:12" x14ac:dyDescent="0.35">
      <c r="B319" s="2580">
        <v>43880</v>
      </c>
      <c r="C319" s="2578">
        <f t="shared" ca="1" si="0"/>
        <v>346.66666666666669</v>
      </c>
      <c r="D319" s="2501"/>
      <c r="E319" s="2440"/>
      <c r="F319" s="2440"/>
      <c r="G319" s="2440"/>
      <c r="H319" s="2438"/>
      <c r="I319" s="2438"/>
      <c r="J319" s="2438"/>
      <c r="K319" s="2438"/>
      <c r="L319" s="2438"/>
    </row>
    <row r="320" spans="2:12" x14ac:dyDescent="0.35">
      <c r="B320" s="2579">
        <v>43881</v>
      </c>
      <c r="C320" s="2578">
        <f t="shared" ca="1" si="0"/>
        <v>1240.6875</v>
      </c>
      <c r="D320" s="2501"/>
      <c r="E320" s="2440"/>
      <c r="F320" s="2440"/>
      <c r="G320" s="2501"/>
      <c r="H320" s="2438"/>
      <c r="I320" s="2438"/>
      <c r="J320" s="2438"/>
      <c r="K320" s="2438"/>
      <c r="L320" s="2438"/>
    </row>
    <row r="321" spans="2:13" x14ac:dyDescent="0.35">
      <c r="B321" s="2580">
        <v>43882</v>
      </c>
      <c r="C321" s="2578">
        <f t="shared" ca="1" si="0"/>
        <v>318.75</v>
      </c>
      <c r="D321" s="2501"/>
      <c r="E321" s="2440"/>
      <c r="F321" s="2440"/>
      <c r="G321" s="2501"/>
      <c r="H321" s="2438"/>
      <c r="I321" s="2438"/>
      <c r="J321" s="2438"/>
      <c r="K321" s="2438"/>
      <c r="L321" s="2438"/>
    </row>
    <row r="322" spans="2:13" x14ac:dyDescent="0.35">
      <c r="B322" s="2579">
        <v>43883</v>
      </c>
      <c r="C322" s="2578">
        <f t="shared" ca="1" si="0"/>
        <v>0</v>
      </c>
      <c r="D322" s="2501"/>
      <c r="E322" s="2440"/>
      <c r="F322" s="2440"/>
      <c r="G322" s="2501"/>
      <c r="H322" s="2438"/>
      <c r="I322" s="2438"/>
      <c r="J322" s="2438"/>
      <c r="K322" s="2438"/>
      <c r="L322" s="2438"/>
    </row>
    <row r="323" spans="2:13" x14ac:dyDescent="0.35">
      <c r="B323" s="2580">
        <v>43884</v>
      </c>
      <c r="C323" s="2578">
        <f t="shared" ca="1" si="0"/>
        <v>102.70833333333334</v>
      </c>
      <c r="D323" s="2440"/>
      <c r="E323" s="2440"/>
      <c r="F323" s="2440"/>
      <c r="G323" s="2501"/>
      <c r="H323" s="2438"/>
      <c r="I323" s="2438"/>
      <c r="J323" s="2438"/>
      <c r="K323" s="2438"/>
      <c r="L323" s="2438"/>
    </row>
    <row r="324" spans="2:13" x14ac:dyDescent="0.35">
      <c r="B324" s="2579">
        <v>43885</v>
      </c>
      <c r="C324" s="2578">
        <f t="shared" ca="1" si="0"/>
        <v>542.08333333333337</v>
      </c>
      <c r="D324" s="2440"/>
      <c r="E324" s="2440"/>
      <c r="F324" s="2440"/>
      <c r="G324" s="2501"/>
      <c r="H324" s="2438"/>
      <c r="I324" s="2387"/>
      <c r="J324" s="2438"/>
      <c r="K324" s="2438"/>
      <c r="L324" s="2438"/>
    </row>
    <row r="325" spans="2:13" x14ac:dyDescent="0.35">
      <c r="B325" s="2580">
        <v>43886</v>
      </c>
      <c r="C325" s="2578">
        <f t="shared" ca="1" si="0"/>
        <v>874.58333333333337</v>
      </c>
      <c r="D325" s="2440"/>
      <c r="E325" s="2438"/>
      <c r="F325" s="2440"/>
      <c r="G325" s="2501"/>
      <c r="H325" s="2438"/>
      <c r="I325" s="2387"/>
      <c r="J325" s="2438"/>
      <c r="K325" s="2438"/>
      <c r="L325" s="2438"/>
    </row>
    <row r="326" spans="2:13" x14ac:dyDescent="0.35">
      <c r="B326" s="2579">
        <v>43887</v>
      </c>
      <c r="C326" s="2578">
        <f t="shared" ca="1" si="0"/>
        <v>950.18576388888891</v>
      </c>
      <c r="D326" s="2501"/>
      <c r="E326" s="2438"/>
      <c r="F326" s="2440"/>
      <c r="G326" s="2501"/>
      <c r="H326" s="2438"/>
      <c r="I326" s="2387"/>
      <c r="J326" s="2438"/>
      <c r="K326" s="2438"/>
      <c r="L326" s="2438"/>
    </row>
    <row r="327" spans="2:13" x14ac:dyDescent="0.35">
      <c r="B327" s="2580">
        <v>43888</v>
      </c>
      <c r="C327" s="2578">
        <f t="shared" ca="1" si="0"/>
        <v>1295.5416666666667</v>
      </c>
      <c r="D327" s="2501"/>
      <c r="E327" s="2438"/>
      <c r="F327" s="2440"/>
      <c r="G327" s="2501"/>
      <c r="H327" s="2438"/>
      <c r="I327" s="2389"/>
      <c r="J327" s="2438"/>
      <c r="K327" s="2438"/>
      <c r="L327" s="2438"/>
    </row>
    <row r="328" spans="2:13" x14ac:dyDescent="0.35">
      <c r="B328" s="2579">
        <v>43889</v>
      </c>
      <c r="C328" s="2578">
        <f t="shared" ca="1" si="0"/>
        <v>1137.7025993883794</v>
      </c>
      <c r="D328" s="2501"/>
      <c r="E328" s="2440"/>
      <c r="F328" s="2440"/>
      <c r="G328" s="2501"/>
      <c r="H328" s="2438"/>
      <c r="I328" s="2581"/>
      <c r="J328" s="2438"/>
      <c r="K328" s="2438"/>
      <c r="L328" s="2438"/>
    </row>
    <row r="329" spans="2:13" s="2399" customFormat="1" x14ac:dyDescent="0.35">
      <c r="B329" s="2464">
        <v>43890</v>
      </c>
      <c r="C329" s="2466">
        <f t="shared" ca="1" si="0"/>
        <v>263.125</v>
      </c>
      <c r="D329" s="2442"/>
      <c r="E329" s="2441"/>
      <c r="F329" s="2441"/>
      <c r="G329" s="2459"/>
      <c r="H329" s="2432"/>
      <c r="I329" s="2438"/>
      <c r="J329" s="2438"/>
      <c r="K329" s="2438"/>
      <c r="L329" s="2438"/>
    </row>
    <row r="330" spans="2:13" s="2439" customFormat="1" x14ac:dyDescent="0.35">
      <c r="B330" s="2583"/>
      <c r="E330" s="2501"/>
      <c r="F330" s="2440"/>
      <c r="G330" s="2440"/>
      <c r="H330" s="2440"/>
      <c r="I330" s="2440"/>
      <c r="J330" s="2440"/>
      <c r="K330" s="2440"/>
      <c r="L330" s="2440"/>
      <c r="M330" s="2440"/>
    </row>
    <row r="331" spans="2:13" s="2439" customFormat="1" x14ac:dyDescent="0.35">
      <c r="B331" s="2584"/>
      <c r="E331" s="2501"/>
      <c r="F331" s="2440"/>
      <c r="G331" s="2440"/>
      <c r="H331" s="2440"/>
      <c r="I331" s="2440"/>
      <c r="J331" s="2440"/>
      <c r="K331" s="2440"/>
      <c r="L331" s="2440"/>
      <c r="M331" s="2440"/>
    </row>
    <row r="332" spans="2:13" s="2439" customFormat="1" x14ac:dyDescent="0.35">
      <c r="B332" s="2583"/>
      <c r="E332" s="2460"/>
      <c r="F332" s="2440"/>
      <c r="G332" s="2440"/>
      <c r="H332" s="2440"/>
      <c r="I332" s="2440"/>
      <c r="J332" s="2440"/>
      <c r="K332" s="2440"/>
      <c r="L332" s="2440"/>
      <c r="M332" s="2440"/>
    </row>
    <row r="333" spans="2:13" s="2439" customFormat="1" x14ac:dyDescent="0.35">
      <c r="B333" s="2584"/>
      <c r="E333" s="2440"/>
      <c r="F333" s="2440"/>
      <c r="G333" s="2440"/>
      <c r="H333" s="2440"/>
      <c r="I333" s="2440"/>
      <c r="J333" s="2440"/>
      <c r="K333" s="2440"/>
      <c r="L333" s="2440"/>
      <c r="M333" s="2440"/>
    </row>
    <row r="334" spans="2:13" s="2439" customFormat="1" x14ac:dyDescent="0.35">
      <c r="B334" s="2583"/>
      <c r="E334" s="2440"/>
      <c r="F334" s="2440"/>
      <c r="G334" s="2440"/>
      <c r="H334" s="2440"/>
      <c r="I334" s="2440"/>
      <c r="J334" s="2440"/>
      <c r="K334" s="2440"/>
      <c r="L334" s="2440"/>
      <c r="M334" s="2440"/>
    </row>
    <row r="335" spans="2:13" s="2439" customFormat="1" x14ac:dyDescent="0.35">
      <c r="B335" s="2584"/>
      <c r="E335" s="2440"/>
      <c r="F335" s="2440"/>
      <c r="G335" s="2440"/>
      <c r="H335" s="2501"/>
      <c r="I335" s="2440"/>
      <c r="J335" s="2440"/>
      <c r="K335" s="2440"/>
      <c r="L335" s="2440"/>
      <c r="M335" s="2440"/>
    </row>
    <row r="336" spans="2:13" s="2439" customFormat="1" x14ac:dyDescent="0.35">
      <c r="B336" s="807" t="s">
        <v>6045</v>
      </c>
      <c r="C336" s="2481">
        <f>SUMIF($M$5:$M$295,B336,$I$5:$I$295)/4.8</f>
        <v>3204.229166666667</v>
      </c>
      <c r="E336" s="2440"/>
      <c r="F336" s="2440"/>
      <c r="G336" s="2440"/>
      <c r="H336" s="2501"/>
      <c r="I336" s="2440"/>
      <c r="J336" s="2440"/>
      <c r="K336" s="2440"/>
      <c r="L336" s="1678">
        <v>300</v>
      </c>
      <c r="M336" s="2440"/>
    </row>
    <row r="337" spans="1:13" s="2439" customFormat="1" x14ac:dyDescent="0.35">
      <c r="B337" s="807" t="s">
        <v>6053</v>
      </c>
      <c r="C337" s="2481">
        <f>SUMIF($M$5:$M$295,B337,$I$5:$I$295)/4.8</f>
        <v>3867.1857638888896</v>
      </c>
      <c r="E337" s="2440"/>
      <c r="F337" s="2440"/>
      <c r="G337" s="2440"/>
      <c r="H337" s="2501"/>
      <c r="I337" s="2440"/>
      <c r="J337" s="2440"/>
      <c r="K337" s="2440"/>
      <c r="L337" s="2429"/>
      <c r="M337" s="2440"/>
    </row>
    <row r="338" spans="1:13" s="2439" customFormat="1" x14ac:dyDescent="0.35">
      <c r="A338" s="2440"/>
      <c r="B338" s="807" t="s">
        <v>5367</v>
      </c>
      <c r="C338" s="2481">
        <f>SUMIF($M$5:$M$295,B338,$I$5:$I$295)/4.8</f>
        <v>2283.75</v>
      </c>
      <c r="D338" s="2440"/>
      <c r="E338" s="2440"/>
      <c r="F338" s="2440"/>
      <c r="G338" s="2440"/>
      <c r="H338" s="2501"/>
      <c r="I338" s="2440"/>
      <c r="J338" s="2440"/>
      <c r="K338" s="2440"/>
      <c r="L338" s="2429"/>
      <c r="M338" s="2440"/>
    </row>
    <row r="339" spans="1:13" s="2439" customFormat="1" x14ac:dyDescent="0.35">
      <c r="A339" s="2480"/>
      <c r="B339" s="839" t="s">
        <v>2077</v>
      </c>
      <c r="C339" s="2481">
        <f>SUMIF($M$5:$M$295,B339,$I$5:$I$295)/4.8</f>
        <v>692.65625</v>
      </c>
      <c r="D339" s="2440"/>
      <c r="E339" s="2440"/>
      <c r="F339" s="2440"/>
      <c r="G339" s="2440"/>
      <c r="H339" s="2460"/>
      <c r="I339" s="2440"/>
      <c r="J339" s="2440"/>
      <c r="K339" s="2440"/>
      <c r="L339" s="2429"/>
      <c r="M339" s="2440"/>
    </row>
    <row r="340" spans="1:13" s="2439" customFormat="1" x14ac:dyDescent="0.35">
      <c r="A340" s="2480"/>
      <c r="B340" s="839" t="s">
        <v>4468</v>
      </c>
      <c r="C340" s="2544">
        <f>SUMIF($M$2:$M$295,B340,$I$2:$I$295)/4.8</f>
        <v>211.875</v>
      </c>
      <c r="D340" s="2440"/>
      <c r="E340" s="2501"/>
      <c r="F340" s="2440"/>
      <c r="G340" s="2437">
        <v>30</v>
      </c>
      <c r="H340" s="2440"/>
      <c r="I340" s="2437">
        <v>144</v>
      </c>
      <c r="J340" s="2440"/>
      <c r="K340" s="2440"/>
      <c r="L340" s="2429"/>
      <c r="M340" s="2440"/>
    </row>
    <row r="341" spans="1:13" s="2439" customFormat="1" x14ac:dyDescent="0.35">
      <c r="A341" s="2480"/>
      <c r="B341" s="807" t="s">
        <v>6391</v>
      </c>
      <c r="C341" s="2544">
        <f>SUMIF($M$2:$M$295,B341,$I$2:$I$295)/4.8</f>
        <v>477.08333333333337</v>
      </c>
      <c r="D341" s="2440"/>
      <c r="E341" s="2501"/>
      <c r="F341" s="2440"/>
      <c r="G341" s="2390">
        <v>455</v>
      </c>
      <c r="H341" s="2440"/>
      <c r="I341" s="2390">
        <v>259</v>
      </c>
      <c r="J341" s="2440"/>
      <c r="K341" s="2440"/>
      <c r="L341" s="2429"/>
      <c r="M341" s="2440"/>
    </row>
    <row r="342" spans="1:13" s="2439" customFormat="1" x14ac:dyDescent="0.35">
      <c r="A342" s="2480"/>
      <c r="B342" s="839" t="s">
        <v>6041</v>
      </c>
      <c r="C342" s="2481">
        <f>SUMIF($M$5:$M$295,B342,$I$5:$I$295)/4.8</f>
        <v>857.70833333333337</v>
      </c>
      <c r="D342" s="2440"/>
      <c r="E342" s="2501"/>
      <c r="F342" s="2440"/>
      <c r="G342" s="2387">
        <v>0</v>
      </c>
      <c r="H342" s="2440"/>
      <c r="I342" s="2390">
        <v>240</v>
      </c>
      <c r="J342" s="2440"/>
      <c r="K342" s="2440"/>
      <c r="L342" s="2429"/>
      <c r="M342" s="2440"/>
    </row>
    <row r="343" spans="1:13" s="2439" customFormat="1" x14ac:dyDescent="0.35">
      <c r="A343" s="2480"/>
      <c r="B343" s="807" t="s">
        <v>6034</v>
      </c>
      <c r="C343" s="2544">
        <f t="shared" ref="C343:C353" si="1">SUMIF($M$2:$M$295,B343,$I$2:$I$295)/4.8</f>
        <v>275</v>
      </c>
      <c r="D343" s="2440"/>
      <c r="E343" s="2501"/>
      <c r="F343" s="2440"/>
      <c r="G343" s="2390">
        <v>160</v>
      </c>
      <c r="H343" s="2440"/>
      <c r="I343" s="2390">
        <v>200</v>
      </c>
      <c r="J343" s="2440"/>
      <c r="K343" s="2440"/>
      <c r="L343" s="2429"/>
      <c r="M343" s="2440"/>
    </row>
    <row r="344" spans="1:13" s="2439" customFormat="1" x14ac:dyDescent="0.35">
      <c r="A344" s="2480"/>
      <c r="B344" s="807" t="s">
        <v>5489</v>
      </c>
      <c r="C344" s="2544">
        <f t="shared" si="1"/>
        <v>1787.9166666666667</v>
      </c>
      <c r="D344" s="2440"/>
      <c r="E344" s="2501"/>
      <c r="F344" s="2440"/>
      <c r="G344" s="2387">
        <v>0</v>
      </c>
      <c r="H344" s="2440"/>
      <c r="I344" s="2390">
        <v>100</v>
      </c>
      <c r="J344" s="2440"/>
      <c r="K344" s="2440"/>
      <c r="L344" s="1678">
        <v>250</v>
      </c>
      <c r="M344" s="2440"/>
    </row>
    <row r="345" spans="1:13" s="2439" customFormat="1" x14ac:dyDescent="0.35">
      <c r="A345" s="2480"/>
      <c r="B345" s="839" t="s">
        <v>6472</v>
      </c>
      <c r="C345" s="2544">
        <f t="shared" si="1"/>
        <v>81.25</v>
      </c>
      <c r="D345" s="2440"/>
      <c r="E345" s="2501"/>
      <c r="F345" s="2440"/>
      <c r="G345" s="2390">
        <v>312</v>
      </c>
      <c r="H345" s="2440"/>
      <c r="I345" s="2437">
        <v>98</v>
      </c>
      <c r="J345" s="2440"/>
      <c r="K345" s="2440"/>
      <c r="L345" s="1809">
        <v>280</v>
      </c>
      <c r="M345" s="2440"/>
    </row>
    <row r="346" spans="1:13" s="2439" customFormat="1" x14ac:dyDescent="0.35">
      <c r="A346" s="2480"/>
      <c r="B346" s="839" t="s">
        <v>2084</v>
      </c>
      <c r="C346" s="2544">
        <f t="shared" si="1"/>
        <v>1518.3333333333335</v>
      </c>
      <c r="D346" s="2440"/>
      <c r="E346" s="2501"/>
      <c r="F346" s="2440"/>
      <c r="G346" s="2390">
        <v>96</v>
      </c>
      <c r="H346" s="2440"/>
      <c r="I346" s="2390">
        <v>325</v>
      </c>
      <c r="J346" s="2479"/>
      <c r="K346" s="2440"/>
      <c r="L346" s="2429"/>
      <c r="M346" s="2440"/>
    </row>
    <row r="347" spans="1:13" s="2439" customFormat="1" x14ac:dyDescent="0.35">
      <c r="A347" s="2480"/>
      <c r="B347" s="839" t="s">
        <v>6061</v>
      </c>
      <c r="C347" s="2544">
        <f t="shared" si="1"/>
        <v>0</v>
      </c>
      <c r="D347" s="2440"/>
      <c r="E347" s="2501"/>
      <c r="F347" s="2440"/>
      <c r="G347" s="2389">
        <v>0</v>
      </c>
      <c r="H347" s="2440"/>
      <c r="I347" s="2390">
        <v>240</v>
      </c>
      <c r="J347" s="2440"/>
      <c r="K347" s="2440"/>
      <c r="L347" s="2429"/>
      <c r="M347" s="2440"/>
    </row>
    <row r="348" spans="1:13" s="2439" customFormat="1" x14ac:dyDescent="0.35">
      <c r="A348" s="2480"/>
      <c r="B348" s="839" t="s">
        <v>6552</v>
      </c>
      <c r="C348" s="2544">
        <f t="shared" si="1"/>
        <v>238.33333333333334</v>
      </c>
      <c r="D348" s="2440"/>
      <c r="E348" s="2501"/>
      <c r="F348" s="2440"/>
      <c r="G348" s="2461">
        <v>126</v>
      </c>
      <c r="H348" s="2440"/>
      <c r="I348" s="2387">
        <v>128</v>
      </c>
      <c r="J348" s="2440"/>
      <c r="K348" s="2440"/>
      <c r="L348" s="2429"/>
      <c r="M348" s="2440"/>
    </row>
    <row r="349" spans="1:13" s="2439" customFormat="1" x14ac:dyDescent="0.35">
      <c r="A349" s="2480"/>
      <c r="B349" s="839" t="s">
        <v>2084</v>
      </c>
      <c r="C349" s="2544">
        <f t="shared" si="1"/>
        <v>1518.3333333333335</v>
      </c>
      <c r="D349" s="2440"/>
      <c r="E349" s="2501"/>
      <c r="F349" s="2440"/>
      <c r="G349" s="2390">
        <v>120</v>
      </c>
      <c r="H349" s="2440"/>
      <c r="I349" s="2389">
        <v>90</v>
      </c>
      <c r="J349" s="2440"/>
      <c r="K349" s="2440"/>
      <c r="L349" s="1809">
        <f>95*9+10+108</f>
        <v>973</v>
      </c>
      <c r="M349" s="2440"/>
    </row>
    <row r="350" spans="1:13" s="2439" customFormat="1" x14ac:dyDescent="0.35">
      <c r="A350" s="2480"/>
      <c r="B350" s="839" t="s">
        <v>6627</v>
      </c>
      <c r="C350" s="2544">
        <f t="shared" si="1"/>
        <v>619.27083333333337</v>
      </c>
      <c r="D350" s="2440"/>
      <c r="E350" s="2501"/>
      <c r="F350" s="2440"/>
      <c r="G350" s="2390">
        <v>352</v>
      </c>
      <c r="H350" s="2440"/>
      <c r="I350" s="2437">
        <v>200</v>
      </c>
      <c r="J350" s="2440"/>
      <c r="K350" s="2440"/>
      <c r="L350" s="2429"/>
      <c r="M350" s="2440"/>
    </row>
    <row r="351" spans="1:13" s="2439" customFormat="1" x14ac:dyDescent="0.35">
      <c r="A351" s="2480"/>
      <c r="B351" s="839" t="s">
        <v>6450</v>
      </c>
      <c r="C351" s="2544">
        <f t="shared" si="1"/>
        <v>9081.4895833333339</v>
      </c>
      <c r="D351" s="2440"/>
      <c r="E351" s="2501"/>
      <c r="F351" s="2440"/>
      <c r="G351" s="2390">
        <v>100.8</v>
      </c>
      <c r="H351" s="2440"/>
      <c r="I351" s="2389">
        <v>240</v>
      </c>
      <c r="J351" s="2440"/>
      <c r="K351" s="2440"/>
      <c r="L351" s="1809">
        <v>250</v>
      </c>
      <c r="M351" s="2440"/>
    </row>
    <row r="352" spans="1:13" x14ac:dyDescent="0.35">
      <c r="A352" s="2480"/>
      <c r="B352" s="839" t="s">
        <v>17</v>
      </c>
      <c r="C352" s="2544">
        <f t="shared" si="1"/>
        <v>247.83333333333331</v>
      </c>
      <c r="D352" s="2440"/>
      <c r="E352" s="2501"/>
      <c r="F352" s="2440"/>
      <c r="G352" s="2387">
        <v>0</v>
      </c>
      <c r="H352" s="2440"/>
      <c r="I352" s="2387">
        <v>520</v>
      </c>
      <c r="J352" s="2440"/>
      <c r="K352" s="2440"/>
      <c r="L352" s="2576">
        <f>SUM(L336:L351)</f>
        <v>2053</v>
      </c>
      <c r="M352" s="2440"/>
    </row>
    <row r="353" spans="1:13" ht="29" x14ac:dyDescent="0.35">
      <c r="A353" s="2480"/>
      <c r="B353" s="839" t="s">
        <v>6547</v>
      </c>
      <c r="C353" s="2544">
        <f t="shared" si="1"/>
        <v>237.5</v>
      </c>
      <c r="D353" s="2440"/>
      <c r="E353" s="2501"/>
      <c r="F353" s="2440"/>
      <c r="G353" s="2387">
        <v>80</v>
      </c>
      <c r="H353" s="2440"/>
      <c r="I353" s="2390">
        <v>152</v>
      </c>
      <c r="J353" s="2440"/>
      <c r="K353" s="2440"/>
      <c r="L353" s="2440"/>
      <c r="M353" s="2440"/>
    </row>
    <row r="354" spans="1:13" x14ac:dyDescent="0.35">
      <c r="A354" s="2440"/>
      <c r="B354" s="2585"/>
      <c r="C354" s="2440"/>
      <c r="D354" s="2440"/>
      <c r="E354" s="2440"/>
      <c r="F354" s="2440"/>
      <c r="G354" s="1809">
        <v>225</v>
      </c>
      <c r="H354" s="2440"/>
      <c r="I354" s="2390">
        <v>120</v>
      </c>
      <c r="J354" s="2440"/>
      <c r="K354" s="2440"/>
      <c r="L354" s="2440"/>
      <c r="M354" s="2440"/>
    </row>
    <row r="355" spans="1:13" x14ac:dyDescent="0.35">
      <c r="A355" s="2440"/>
      <c r="B355" s="2586"/>
      <c r="C355" s="2440"/>
      <c r="D355" s="2440"/>
      <c r="E355" s="2440"/>
      <c r="F355" s="2440"/>
      <c r="G355" s="2390">
        <v>70</v>
      </c>
      <c r="H355" s="2440"/>
      <c r="I355" s="2390">
        <v>80</v>
      </c>
      <c r="J355" s="2440"/>
      <c r="K355" s="2440"/>
      <c r="L355" s="2440"/>
      <c r="M355" s="2440"/>
    </row>
    <row r="356" spans="1:13" x14ac:dyDescent="0.35">
      <c r="A356" s="2440"/>
      <c r="B356" s="2585"/>
      <c r="C356" s="2440"/>
      <c r="D356" s="2440"/>
      <c r="E356" s="2440"/>
      <c r="F356" s="2440"/>
      <c r="G356" s="1809">
        <v>480</v>
      </c>
      <c r="H356" s="2440"/>
      <c r="I356" s="2460">
        <f>SUM(I340:I355)</f>
        <v>3136</v>
      </c>
      <c r="J356" s="2440"/>
      <c r="K356" s="2440"/>
      <c r="L356" s="2440"/>
      <c r="M356" s="2440"/>
    </row>
    <row r="357" spans="1:13" x14ac:dyDescent="0.35">
      <c r="A357" s="2440"/>
      <c r="B357" s="2586"/>
      <c r="C357" s="2440"/>
      <c r="D357" s="2440"/>
      <c r="E357" s="2440"/>
      <c r="F357" s="2440"/>
      <c r="G357" s="2390">
        <v>482.29999999999995</v>
      </c>
      <c r="H357" s="2440"/>
      <c r="I357" s="2440"/>
      <c r="J357" s="2440"/>
      <c r="K357" s="2440"/>
      <c r="L357" s="2440"/>
      <c r="M357" s="2440"/>
    </row>
    <row r="358" spans="1:13" x14ac:dyDescent="0.35">
      <c r="A358" s="2440"/>
      <c r="B358" s="2585"/>
      <c r="C358" s="2440"/>
      <c r="D358" s="2440"/>
      <c r="E358" s="2440"/>
      <c r="F358" s="2440"/>
      <c r="G358" s="2390">
        <v>240</v>
      </c>
      <c r="H358" s="2440"/>
      <c r="I358" s="2440"/>
      <c r="J358" s="2440"/>
      <c r="K358" s="2440"/>
      <c r="L358" s="2440"/>
      <c r="M358" s="2440"/>
    </row>
    <row r="359" spans="1:13" x14ac:dyDescent="0.35">
      <c r="A359" s="2440"/>
      <c r="B359" s="2586"/>
      <c r="C359" s="2440"/>
      <c r="D359" s="2440"/>
      <c r="E359" s="2440"/>
      <c r="F359" s="2440"/>
      <c r="G359" s="1678">
        <v>0</v>
      </c>
      <c r="H359" s="2440"/>
      <c r="I359" s="2440"/>
      <c r="J359" s="2440"/>
      <c r="K359" s="2440"/>
      <c r="L359" s="2440"/>
      <c r="M359" s="2440"/>
    </row>
    <row r="360" spans="1:13" x14ac:dyDescent="0.35">
      <c r="A360" s="2440"/>
      <c r="B360" s="2585"/>
      <c r="C360" s="2440"/>
      <c r="D360" s="2440"/>
      <c r="E360" s="2440"/>
      <c r="F360" s="2440"/>
      <c r="G360" s="1809">
        <v>0</v>
      </c>
      <c r="H360" s="2440"/>
      <c r="I360" s="2440"/>
      <c r="J360" s="2440"/>
      <c r="K360" s="2440"/>
      <c r="L360" s="2440"/>
      <c r="M360" s="2440"/>
    </row>
    <row r="361" spans="1:13" x14ac:dyDescent="0.35">
      <c r="A361" s="2440"/>
      <c r="B361" s="2586"/>
      <c r="C361" s="2440"/>
      <c r="D361" s="2440"/>
      <c r="E361" s="2440"/>
      <c r="F361" s="2440"/>
      <c r="G361" s="1678">
        <v>128</v>
      </c>
      <c r="H361" s="2440"/>
      <c r="I361" s="2440"/>
      <c r="J361" s="2440"/>
      <c r="K361" s="2440"/>
      <c r="L361" s="2440"/>
      <c r="M361" s="2440"/>
    </row>
    <row r="362" spans="1:13" x14ac:dyDescent="0.35">
      <c r="B362" s="2585"/>
      <c r="C362" s="2440"/>
      <c r="G362" s="1809">
        <v>0</v>
      </c>
    </row>
    <row r="363" spans="1:13" x14ac:dyDescent="0.35">
      <c r="B363" s="2501"/>
      <c r="C363" s="2440"/>
      <c r="G363" s="1678">
        <v>0</v>
      </c>
    </row>
    <row r="364" spans="1:13" x14ac:dyDescent="0.35">
      <c r="B364" s="2387">
        <v>800</v>
      </c>
      <c r="C364" s="2440"/>
      <c r="G364" s="1809">
        <v>0</v>
      </c>
    </row>
    <row r="365" spans="1:13" x14ac:dyDescent="0.35">
      <c r="B365" s="2390">
        <v>270</v>
      </c>
      <c r="C365" s="2440"/>
      <c r="G365" s="1678">
        <v>0</v>
      </c>
    </row>
    <row r="366" spans="1:13" x14ac:dyDescent="0.35">
      <c r="B366" s="2387">
        <v>2068</v>
      </c>
      <c r="C366" s="2440"/>
      <c r="G366" s="1809">
        <v>514</v>
      </c>
    </row>
    <row r="367" spans="1:13" x14ac:dyDescent="0.35">
      <c r="B367" s="2390">
        <f>5*120 + 80</f>
        <v>680</v>
      </c>
      <c r="C367" s="2440"/>
      <c r="G367" s="2576">
        <f>SUM(G340:G366)</f>
        <v>3971.1000000000004</v>
      </c>
    </row>
    <row r="368" spans="1:13" x14ac:dyDescent="0.35">
      <c r="B368" s="2437">
        <f>3.5*120*0.7</f>
        <v>294</v>
      </c>
      <c r="C368" s="2440"/>
    </row>
    <row r="369" spans="2:3" x14ac:dyDescent="0.35">
      <c r="B369" s="2437">
        <f>1.8*80</f>
        <v>144</v>
      </c>
      <c r="C369" s="2440"/>
    </row>
    <row r="370" spans="2:3" x14ac:dyDescent="0.35">
      <c r="B370" s="2387">
        <v>0</v>
      </c>
      <c r="C370" s="2440"/>
    </row>
    <row r="371" spans="2:3" x14ac:dyDescent="0.35">
      <c r="B371" s="2387">
        <f>1.5*4.8*150</f>
        <v>1080</v>
      </c>
      <c r="C371" s="2440"/>
    </row>
    <row r="372" spans="2:3" x14ac:dyDescent="0.35">
      <c r="B372" s="2390">
        <v>360</v>
      </c>
      <c r="C372" s="2440"/>
    </row>
    <row r="373" spans="2:3" x14ac:dyDescent="0.35">
      <c r="B373" s="2390">
        <v>400</v>
      </c>
      <c r="C373" s="2440"/>
    </row>
    <row r="374" spans="2:3" x14ac:dyDescent="0.35">
      <c r="B374" s="2437">
        <v>30</v>
      </c>
      <c r="C374" s="2440"/>
    </row>
    <row r="375" spans="2:3" x14ac:dyDescent="0.35">
      <c r="B375" s="2389">
        <v>0</v>
      </c>
      <c r="C375" s="2440"/>
    </row>
    <row r="376" spans="2:3" x14ac:dyDescent="0.35">
      <c r="B376" s="2390">
        <v>259</v>
      </c>
      <c r="C376" s="2440"/>
    </row>
    <row r="377" spans="2:3" x14ac:dyDescent="0.35">
      <c r="B377" s="2390">
        <v>455</v>
      </c>
      <c r="C377" s="2440"/>
    </row>
    <row r="378" spans="2:3" x14ac:dyDescent="0.35">
      <c r="B378" s="2437">
        <v>240</v>
      </c>
      <c r="C378" s="2440"/>
    </row>
    <row r="379" spans="2:3" x14ac:dyDescent="0.35">
      <c r="B379" s="2390">
        <v>240</v>
      </c>
      <c r="C379" s="2440"/>
    </row>
    <row r="380" spans="2:3" x14ac:dyDescent="0.35">
      <c r="B380" s="2387">
        <v>0</v>
      </c>
      <c r="C380" s="2440"/>
    </row>
    <row r="381" spans="2:3" x14ac:dyDescent="0.35">
      <c r="B381" s="2387">
        <v>0</v>
      </c>
      <c r="C381" s="2440"/>
    </row>
    <row r="382" spans="2:3" x14ac:dyDescent="0.35">
      <c r="B382" s="2387">
        <v>0</v>
      </c>
      <c r="C382" s="2440"/>
    </row>
    <row r="383" spans="2:3" x14ac:dyDescent="0.35">
      <c r="B383" s="2387">
        <v>0</v>
      </c>
      <c r="C383" s="2440"/>
    </row>
    <row r="384" spans="2:3" x14ac:dyDescent="0.35">
      <c r="B384" s="2387">
        <v>0</v>
      </c>
      <c r="C384" s="2440"/>
    </row>
    <row r="385" spans="2:3" x14ac:dyDescent="0.35">
      <c r="B385" s="2389">
        <v>0</v>
      </c>
      <c r="C385" s="2440"/>
    </row>
    <row r="386" spans="2:3" x14ac:dyDescent="0.35">
      <c r="B386" s="2387">
        <v>0</v>
      </c>
      <c r="C386" s="2440"/>
    </row>
    <row r="387" spans="2:3" x14ac:dyDescent="0.35">
      <c r="B387" s="2437">
        <v>136</v>
      </c>
      <c r="C387" s="2440"/>
    </row>
    <row r="388" spans="2:3" x14ac:dyDescent="0.35">
      <c r="B388" s="2390">
        <v>200</v>
      </c>
      <c r="C388" s="2440"/>
    </row>
    <row r="389" spans="2:3" x14ac:dyDescent="0.35">
      <c r="B389" s="2387">
        <v>0</v>
      </c>
      <c r="C389" s="2440"/>
    </row>
    <row r="390" spans="2:3" x14ac:dyDescent="0.35">
      <c r="B390" s="2387">
        <v>0</v>
      </c>
      <c r="C390" s="2440"/>
    </row>
    <row r="391" spans="2:3" x14ac:dyDescent="0.35">
      <c r="B391" s="2387">
        <v>0</v>
      </c>
      <c r="C391" s="2440"/>
    </row>
    <row r="392" spans="2:3" x14ac:dyDescent="0.35">
      <c r="B392" s="2387">
        <v>0</v>
      </c>
      <c r="C392" s="2440"/>
    </row>
    <row r="393" spans="2:3" x14ac:dyDescent="0.35">
      <c r="B393" s="2390">
        <v>100</v>
      </c>
      <c r="C393" s="2440"/>
    </row>
    <row r="394" spans="2:3" x14ac:dyDescent="0.35">
      <c r="B394" s="2387">
        <v>0</v>
      </c>
      <c r="C394" s="2440"/>
    </row>
    <row r="395" spans="2:3" x14ac:dyDescent="0.35">
      <c r="B395" s="2437">
        <v>98</v>
      </c>
      <c r="C395" s="2440"/>
    </row>
    <row r="396" spans="2:3" x14ac:dyDescent="0.35">
      <c r="B396" s="2387">
        <v>0</v>
      </c>
      <c r="C396" s="2440"/>
    </row>
    <row r="397" spans="2:3" x14ac:dyDescent="0.35">
      <c r="B397" s="2389">
        <v>0</v>
      </c>
      <c r="C397" s="2440"/>
    </row>
    <row r="398" spans="2:3" x14ac:dyDescent="0.35">
      <c r="B398" s="2387">
        <v>180</v>
      </c>
      <c r="C398" s="2440"/>
    </row>
    <row r="399" spans="2:3" x14ac:dyDescent="0.35">
      <c r="B399" s="2389">
        <v>0</v>
      </c>
      <c r="C399" s="2440"/>
    </row>
    <row r="400" spans="2:3" x14ac:dyDescent="0.35">
      <c r="B400" s="2387">
        <v>600</v>
      </c>
      <c r="C400" s="2440"/>
    </row>
    <row r="401" spans="2:3" x14ac:dyDescent="0.35">
      <c r="B401" s="2437">
        <f>4*120*0.9</f>
        <v>432</v>
      </c>
      <c r="C401" s="2440"/>
    </row>
    <row r="402" spans="2:3" x14ac:dyDescent="0.35">
      <c r="B402" s="2387">
        <v>0</v>
      </c>
      <c r="C402" s="2440"/>
    </row>
    <row r="403" spans="2:3" x14ac:dyDescent="0.35">
      <c r="B403" s="2387">
        <v>0</v>
      </c>
      <c r="C403" s="2440"/>
    </row>
    <row r="404" spans="2:3" x14ac:dyDescent="0.35">
      <c r="B404" s="2387">
        <v>0</v>
      </c>
      <c r="C404" s="2440"/>
    </row>
    <row r="405" spans="2:3" x14ac:dyDescent="0.35">
      <c r="B405" s="2390">
        <v>90</v>
      </c>
      <c r="C405" s="2440"/>
    </row>
    <row r="406" spans="2:3" x14ac:dyDescent="0.35">
      <c r="B406" s="2387">
        <v>0</v>
      </c>
      <c r="C406" s="2440"/>
    </row>
    <row r="407" spans="2:3" x14ac:dyDescent="0.35">
      <c r="B407" s="2389">
        <v>300</v>
      </c>
      <c r="C407" s="2440"/>
    </row>
    <row r="408" spans="2:3" x14ac:dyDescent="0.35">
      <c r="B408" s="2387">
        <v>0</v>
      </c>
      <c r="C408" s="2440"/>
    </row>
    <row r="409" spans="2:3" x14ac:dyDescent="0.35">
      <c r="B409" s="2389">
        <v>2686</v>
      </c>
      <c r="C409" s="2440"/>
    </row>
    <row r="410" spans="2:3" x14ac:dyDescent="0.35">
      <c r="B410" s="2390">
        <v>390</v>
      </c>
      <c r="C410" s="2440"/>
    </row>
    <row r="411" spans="2:3" x14ac:dyDescent="0.35">
      <c r="B411" s="2390">
        <f>2.5*130</f>
        <v>325</v>
      </c>
      <c r="C411" s="2440"/>
    </row>
    <row r="412" spans="2:3" x14ac:dyDescent="0.35">
      <c r="B412" s="2387">
        <f>6*75+2*75</f>
        <v>600</v>
      </c>
      <c r="C412" s="2440"/>
    </row>
    <row r="413" spans="2:3" x14ac:dyDescent="0.35">
      <c r="B413" s="2389">
        <f>1.5*4.8*75</f>
        <v>540</v>
      </c>
      <c r="C413" s="2440"/>
    </row>
    <row r="414" spans="2:3" x14ac:dyDescent="0.35">
      <c r="B414" s="2387">
        <v>0</v>
      </c>
      <c r="C414" s="2440"/>
    </row>
    <row r="415" spans="2:3" x14ac:dyDescent="0.35">
      <c r="B415" s="2389">
        <v>250</v>
      </c>
      <c r="C415" s="2440"/>
    </row>
    <row r="416" spans="2:3" x14ac:dyDescent="0.35">
      <c r="B416" s="2387">
        <v>280</v>
      </c>
      <c r="C416" s="2440"/>
    </row>
    <row r="417" spans="2:3" x14ac:dyDescent="0.35">
      <c r="B417" s="2390">
        <v>160</v>
      </c>
      <c r="C417" s="2440"/>
    </row>
    <row r="418" spans="2:3" x14ac:dyDescent="0.35">
      <c r="B418" s="2387">
        <v>0</v>
      </c>
      <c r="C418" s="2440"/>
    </row>
    <row r="419" spans="2:3" x14ac:dyDescent="0.35">
      <c r="B419" s="2390">
        <v>396</v>
      </c>
      <c r="C419" s="2440"/>
    </row>
    <row r="420" spans="2:3" x14ac:dyDescent="0.35">
      <c r="B420" s="2387">
        <f>95*9+10+108</f>
        <v>973</v>
      </c>
      <c r="C420" s="2440"/>
    </row>
    <row r="421" spans="2:3" x14ac:dyDescent="0.35">
      <c r="B421" s="2390">
        <f>104*3</f>
        <v>312</v>
      </c>
      <c r="C421" s="2440"/>
    </row>
    <row r="422" spans="2:3" x14ac:dyDescent="0.35">
      <c r="B422" s="2387">
        <v>250</v>
      </c>
      <c r="C422" s="2440"/>
    </row>
    <row r="423" spans="2:3" x14ac:dyDescent="0.35">
      <c r="B423" s="2389">
        <v>0</v>
      </c>
      <c r="C423" s="2440"/>
    </row>
    <row r="424" spans="2:3" x14ac:dyDescent="0.35">
      <c r="B424" s="2387">
        <v>0</v>
      </c>
      <c r="C424" s="2440"/>
    </row>
    <row r="425" spans="2:3" x14ac:dyDescent="0.35">
      <c r="B425" s="2437">
        <f>199*0.9</f>
        <v>179.1</v>
      </c>
      <c r="C425" s="2440"/>
    </row>
    <row r="426" spans="2:3" x14ac:dyDescent="0.35">
      <c r="B426" s="2387">
        <f>70*4.8*3</f>
        <v>1008</v>
      </c>
      <c r="C426" s="2440"/>
    </row>
    <row r="427" spans="2:3" x14ac:dyDescent="0.35">
      <c r="B427" s="2389">
        <v>0</v>
      </c>
      <c r="C427" s="2440"/>
    </row>
    <row r="428" spans="2:3" x14ac:dyDescent="0.35">
      <c r="B428" s="2390">
        <v>96</v>
      </c>
      <c r="C428" s="2440"/>
    </row>
    <row r="429" spans="2:3" x14ac:dyDescent="0.35">
      <c r="B429" s="2390">
        <f>3*80</f>
        <v>240</v>
      </c>
      <c r="C429" s="2440"/>
    </row>
    <row r="430" spans="2:3" x14ac:dyDescent="0.35">
      <c r="B430" s="2387">
        <v>0</v>
      </c>
      <c r="C430" s="2440"/>
    </row>
    <row r="431" spans="2:3" x14ac:dyDescent="0.35">
      <c r="B431" s="2389">
        <v>0</v>
      </c>
      <c r="C431" s="2440"/>
    </row>
    <row r="432" spans="2:3" x14ac:dyDescent="0.35">
      <c r="B432" s="2387">
        <v>0</v>
      </c>
      <c r="C432" s="2440"/>
    </row>
    <row r="433" spans="2:3" x14ac:dyDescent="0.35">
      <c r="B433" s="2389">
        <v>0</v>
      </c>
      <c r="C433" s="2440"/>
    </row>
    <row r="434" spans="2:3" x14ac:dyDescent="0.35">
      <c r="B434" s="2390">
        <v>168</v>
      </c>
      <c r="C434" s="2440"/>
    </row>
    <row r="435" spans="2:3" x14ac:dyDescent="0.35">
      <c r="B435" s="2389">
        <v>0</v>
      </c>
      <c r="C435" s="2440"/>
    </row>
    <row r="436" spans="2:3" x14ac:dyDescent="0.35">
      <c r="B436" s="2387">
        <f>(4*15+40)*0.7</f>
        <v>70</v>
      </c>
      <c r="C436" s="2440"/>
    </row>
    <row r="437" spans="2:3" x14ac:dyDescent="0.35">
      <c r="B437" s="2461">
        <v>126</v>
      </c>
      <c r="C437" s="2440"/>
    </row>
    <row r="438" spans="2:3" x14ac:dyDescent="0.35">
      <c r="B438" s="2387">
        <v>0</v>
      </c>
      <c r="C438" s="2440"/>
    </row>
    <row r="439" spans="2:3" x14ac:dyDescent="0.35">
      <c r="B439" s="2389">
        <v>0</v>
      </c>
      <c r="C439" s="2440"/>
    </row>
    <row r="440" spans="2:3" x14ac:dyDescent="0.35">
      <c r="B440" s="2387">
        <v>0</v>
      </c>
      <c r="C440" s="2440"/>
    </row>
    <row r="441" spans="2:3" x14ac:dyDescent="0.35">
      <c r="B441" s="2389">
        <v>0</v>
      </c>
      <c r="C441" s="2440"/>
    </row>
    <row r="442" spans="2:3" x14ac:dyDescent="0.35">
      <c r="B442" s="1630">
        <v>490</v>
      </c>
      <c r="C442" s="2440"/>
    </row>
    <row r="443" spans="2:3" x14ac:dyDescent="0.35">
      <c r="B443" s="2389">
        <f>9*15</f>
        <v>135</v>
      </c>
      <c r="C443" s="2440"/>
    </row>
    <row r="444" spans="2:3" ht="29" x14ac:dyDescent="0.35">
      <c r="B444" s="1630" t="s">
        <v>6713</v>
      </c>
      <c r="C444" s="2440"/>
    </row>
    <row r="445" spans="2:3" x14ac:dyDescent="0.35">
      <c r="B445" s="2389">
        <v>0</v>
      </c>
      <c r="C445" s="2440"/>
    </row>
    <row r="446" spans="2:3" x14ac:dyDescent="0.35">
      <c r="B446" s="2390">
        <f>80*1.5</f>
        <v>120</v>
      </c>
      <c r="C446" s="2440"/>
    </row>
    <row r="447" spans="2:3" x14ac:dyDescent="0.35">
      <c r="B447" s="2389">
        <v>0</v>
      </c>
      <c r="C447" s="2440"/>
    </row>
    <row r="448" spans="2:3" x14ac:dyDescent="0.35">
      <c r="B448" s="2390">
        <v>140</v>
      </c>
      <c r="C448" s="2440"/>
    </row>
    <row r="449" spans="2:3" x14ac:dyDescent="0.35">
      <c r="B449" s="2390">
        <v>280</v>
      </c>
      <c r="C449" s="2440"/>
    </row>
    <row r="450" spans="2:3" x14ac:dyDescent="0.35">
      <c r="B450" s="2390">
        <v>140</v>
      </c>
      <c r="C450" s="2440"/>
    </row>
    <row r="451" spans="2:3" ht="29" x14ac:dyDescent="0.35">
      <c r="B451" s="1630" t="s">
        <v>6713</v>
      </c>
      <c r="C451" s="2440"/>
    </row>
    <row r="452" spans="2:3" x14ac:dyDescent="0.35">
      <c r="B452" s="2390">
        <v>110</v>
      </c>
      <c r="C452" s="2440"/>
    </row>
    <row r="453" spans="2:3" x14ac:dyDescent="0.35">
      <c r="B453" s="2390">
        <v>474</v>
      </c>
      <c r="C453" s="2440"/>
    </row>
    <row r="454" spans="2:3" x14ac:dyDescent="0.35">
      <c r="B454" s="2387">
        <v>0</v>
      </c>
      <c r="C454" s="2440"/>
    </row>
    <row r="455" spans="2:3" x14ac:dyDescent="0.35">
      <c r="B455" s="2390">
        <f>240+112</f>
        <v>352</v>
      </c>
      <c r="C455" s="2440"/>
    </row>
    <row r="456" spans="2:3" x14ac:dyDescent="0.35">
      <c r="B456" s="2390">
        <f>1.8*80*0.7</f>
        <v>100.8</v>
      </c>
      <c r="C456" s="2440"/>
    </row>
    <row r="457" spans="2:3" x14ac:dyDescent="0.35">
      <c r="B457" s="2390">
        <f>294+0.7*70</f>
        <v>343</v>
      </c>
      <c r="C457" s="2440"/>
    </row>
    <row r="458" spans="2:3" x14ac:dyDescent="0.35">
      <c r="B458" s="2566">
        <v>70</v>
      </c>
      <c r="C458" s="2440"/>
    </row>
    <row r="459" spans="2:3" x14ac:dyDescent="0.35">
      <c r="B459" s="2389">
        <f>0.7*(6*70+3*40)</f>
        <v>378</v>
      </c>
      <c r="C459" s="2440"/>
    </row>
    <row r="460" spans="2:3" ht="29" x14ac:dyDescent="0.35">
      <c r="B460" s="1630" t="s">
        <v>6713</v>
      </c>
      <c r="C460" s="2440"/>
    </row>
    <row r="461" spans="2:3" ht="29" x14ac:dyDescent="0.35">
      <c r="B461" s="1630" t="s">
        <v>6713</v>
      </c>
      <c r="C461" s="2440"/>
    </row>
    <row r="462" spans="2:3" x14ac:dyDescent="0.35">
      <c r="B462" s="2387">
        <v>0</v>
      </c>
      <c r="C462" s="2440"/>
    </row>
    <row r="463" spans="2:3" x14ac:dyDescent="0.35">
      <c r="B463" s="2389">
        <v>0</v>
      </c>
      <c r="C463" s="2440"/>
    </row>
    <row r="464" spans="2:3" x14ac:dyDescent="0.35">
      <c r="B464" s="2390">
        <f>3.5*130</f>
        <v>455</v>
      </c>
      <c r="C464" s="2440"/>
    </row>
    <row r="465" spans="2:3" x14ac:dyDescent="0.35">
      <c r="B465" s="2390">
        <v>712.5</v>
      </c>
      <c r="C465" s="2440"/>
    </row>
    <row r="466" spans="2:3" x14ac:dyDescent="0.35">
      <c r="B466" s="2437">
        <v>1360</v>
      </c>
      <c r="C466" s="2440"/>
    </row>
    <row r="467" spans="2:3" x14ac:dyDescent="0.35">
      <c r="B467" s="2389">
        <v>0</v>
      </c>
      <c r="C467" s="2440"/>
    </row>
    <row r="468" spans="2:3" x14ac:dyDescent="0.35">
      <c r="B468" s="2387">
        <f>1.6*80</f>
        <v>128</v>
      </c>
      <c r="C468" s="2440"/>
    </row>
    <row r="469" spans="2:3" x14ac:dyDescent="0.35">
      <c r="B469" s="2389">
        <f>200+70*125/1000*65+65*3*4.8</f>
        <v>1704.75</v>
      </c>
      <c r="C469" s="2440"/>
    </row>
    <row r="470" spans="2:3" x14ac:dyDescent="0.35">
      <c r="B470" s="2592">
        <v>0</v>
      </c>
      <c r="C470" s="2440"/>
    </row>
    <row r="471" spans="2:3" x14ac:dyDescent="0.35">
      <c r="B471" s="2592">
        <f>2*90 + 15</f>
        <v>195</v>
      </c>
      <c r="C471" s="2440"/>
    </row>
    <row r="472" spans="2:3" x14ac:dyDescent="0.35">
      <c r="B472" s="2593">
        <v>1000</v>
      </c>
      <c r="C472" s="2440"/>
    </row>
    <row r="473" spans="2:3" x14ac:dyDescent="0.35">
      <c r="B473" s="2592">
        <v>2000</v>
      </c>
      <c r="C473" s="2440"/>
    </row>
    <row r="474" spans="2:3" x14ac:dyDescent="0.35">
      <c r="B474" s="2594">
        <f>4877+468</f>
        <v>5345</v>
      </c>
      <c r="C474" s="2440"/>
    </row>
    <row r="475" spans="2:3" x14ac:dyDescent="0.35">
      <c r="B475" s="2389">
        <v>90</v>
      </c>
      <c r="C475" s="2440"/>
    </row>
    <row r="476" spans="2:3" x14ac:dyDescent="0.35">
      <c r="B476" s="2387">
        <v>0</v>
      </c>
      <c r="C476" s="2440"/>
    </row>
    <row r="477" spans="2:3" x14ac:dyDescent="0.35">
      <c r="B477" s="2389">
        <v>130</v>
      </c>
      <c r="C477" s="2440"/>
    </row>
    <row r="478" spans="2:3" x14ac:dyDescent="0.35">
      <c r="B478" s="1630">
        <v>150</v>
      </c>
      <c r="C478" s="2440"/>
    </row>
    <row r="479" spans="2:3" x14ac:dyDescent="0.35">
      <c r="B479" s="1956">
        <v>500</v>
      </c>
      <c r="C479" s="2440"/>
    </row>
    <row r="480" spans="2:3" x14ac:dyDescent="0.35">
      <c r="B480" s="1630">
        <v>240</v>
      </c>
      <c r="C480" s="2440"/>
    </row>
    <row r="481" spans="2:3" x14ac:dyDescent="0.35">
      <c r="B481" s="1678">
        <v>550</v>
      </c>
      <c r="C481" s="2440"/>
    </row>
    <row r="482" spans="2:3" x14ac:dyDescent="0.35">
      <c r="B482" s="1809">
        <v>700</v>
      </c>
      <c r="C482" s="2440"/>
    </row>
    <row r="483" spans="2:3" x14ac:dyDescent="0.35">
      <c r="B483" s="2476">
        <v>2162.5</v>
      </c>
      <c r="C483" s="2440"/>
    </row>
    <row r="484" spans="2:3" x14ac:dyDescent="0.35">
      <c r="B484" s="2595">
        <v>0</v>
      </c>
      <c r="C484" s="2440"/>
    </row>
    <row r="485" spans="2:3" x14ac:dyDescent="0.35">
      <c r="B485" s="1678">
        <v>0</v>
      </c>
      <c r="C485" s="2440"/>
    </row>
    <row r="486" spans="2:3" x14ac:dyDescent="0.35">
      <c r="B486" s="2387">
        <f>13*9</f>
        <v>117</v>
      </c>
      <c r="C486" s="2440"/>
    </row>
    <row r="487" spans="2:3" x14ac:dyDescent="0.35">
      <c r="B487" s="2389">
        <v>269</v>
      </c>
      <c r="C487" s="2440"/>
    </row>
    <row r="488" spans="2:3" x14ac:dyDescent="0.35">
      <c r="B488" s="1630">
        <v>249</v>
      </c>
      <c r="C488" s="2440"/>
    </row>
    <row r="489" spans="2:3" x14ac:dyDescent="0.35">
      <c r="B489" s="2389">
        <v>0</v>
      </c>
      <c r="C489" s="2440"/>
    </row>
    <row r="490" spans="2:3" x14ac:dyDescent="0.35">
      <c r="B490" s="2387">
        <v>0</v>
      </c>
      <c r="C490" s="2440"/>
    </row>
    <row r="491" spans="2:3" x14ac:dyDescent="0.35">
      <c r="B491" s="2389">
        <v>0</v>
      </c>
      <c r="C491" s="2440"/>
    </row>
    <row r="492" spans="2:3" x14ac:dyDescent="0.35">
      <c r="B492" s="2387">
        <v>0</v>
      </c>
    </row>
    <row r="493" spans="2:3" x14ac:dyDescent="0.35">
      <c r="B493" s="2389">
        <v>0</v>
      </c>
    </row>
    <row r="494" spans="2:3" x14ac:dyDescent="0.35">
      <c r="B494" s="2387">
        <v>0</v>
      </c>
    </row>
    <row r="495" spans="2:3" x14ac:dyDescent="0.35">
      <c r="B495" s="2390">
        <v>607.5</v>
      </c>
    </row>
    <row r="496" spans="2:3" x14ac:dyDescent="0.35">
      <c r="B496" s="1809">
        <v>0</v>
      </c>
    </row>
    <row r="497" spans="2:2" x14ac:dyDescent="0.35">
      <c r="B497" s="1630">
        <v>144</v>
      </c>
    </row>
    <row r="498" spans="2:2" x14ac:dyDescent="0.35">
      <c r="B498" s="1809">
        <v>0</v>
      </c>
    </row>
    <row r="499" spans="2:2" x14ac:dyDescent="0.35">
      <c r="B499" s="1678">
        <v>0</v>
      </c>
    </row>
    <row r="500" spans="2:2" x14ac:dyDescent="0.35">
      <c r="B500" s="1809">
        <f>100*(4*1.6+1)</f>
        <v>740</v>
      </c>
    </row>
    <row r="501" spans="2:2" x14ac:dyDescent="0.35">
      <c r="B501" s="1678">
        <v>0</v>
      </c>
    </row>
    <row r="502" spans="2:2" x14ac:dyDescent="0.35">
      <c r="B502" s="1630">
        <v>210</v>
      </c>
    </row>
    <row r="503" spans="2:2" x14ac:dyDescent="0.35">
      <c r="B503" s="2389">
        <v>0</v>
      </c>
    </row>
    <row r="504" spans="2:2" x14ac:dyDescent="0.35">
      <c r="B504" s="2387">
        <v>0</v>
      </c>
    </row>
    <row r="505" spans="2:2" x14ac:dyDescent="0.35">
      <c r="B505" s="2396">
        <v>0</v>
      </c>
    </row>
    <row r="506" spans="2:2" x14ac:dyDescent="0.35">
      <c r="B506" s="2387">
        <v>0</v>
      </c>
    </row>
    <row r="507" spans="2:2" x14ac:dyDescent="0.35">
      <c r="B507" s="2437">
        <v>200</v>
      </c>
    </row>
    <row r="508" spans="2:2" x14ac:dyDescent="0.35">
      <c r="B508" s="2387">
        <v>0</v>
      </c>
    </row>
    <row r="509" spans="2:2" x14ac:dyDescent="0.35">
      <c r="B509" s="2387">
        <v>80</v>
      </c>
    </row>
    <row r="510" spans="2:2" x14ac:dyDescent="0.35">
      <c r="B510" s="2390">
        <v>390</v>
      </c>
    </row>
    <row r="511" spans="2:2" x14ac:dyDescent="0.35">
      <c r="B511" s="2387">
        <v>225</v>
      </c>
    </row>
    <row r="512" spans="2:2" x14ac:dyDescent="0.35">
      <c r="B512" s="1809">
        <v>300</v>
      </c>
    </row>
    <row r="513" spans="2:2" x14ac:dyDescent="0.35">
      <c r="B513" s="2389">
        <f>7*90</f>
        <v>630</v>
      </c>
    </row>
    <row r="514" spans="2:2" x14ac:dyDescent="0.35">
      <c r="B514" s="2387">
        <v>0</v>
      </c>
    </row>
    <row r="515" spans="2:2" x14ac:dyDescent="0.35">
      <c r="B515" s="2390">
        <v>305</v>
      </c>
    </row>
    <row r="516" spans="2:2" x14ac:dyDescent="0.35">
      <c r="B516" s="2537">
        <v>0</v>
      </c>
    </row>
    <row r="517" spans="2:2" x14ac:dyDescent="0.35">
      <c r="B517" s="6" t="s">
        <v>15</v>
      </c>
    </row>
    <row r="518" spans="2:2" x14ac:dyDescent="0.35">
      <c r="B518" s="2387">
        <f>4*120/2</f>
        <v>240</v>
      </c>
    </row>
    <row r="519" spans="2:2" x14ac:dyDescent="0.35">
      <c r="B519" s="2396">
        <f>150+5*100</f>
        <v>650</v>
      </c>
    </row>
    <row r="520" spans="2:2" x14ac:dyDescent="0.35">
      <c r="B520" s="1809">
        <v>400</v>
      </c>
    </row>
    <row r="521" spans="2:2" x14ac:dyDescent="0.35">
      <c r="B521" s="1678">
        <v>810</v>
      </c>
    </row>
    <row r="522" spans="2:2" x14ac:dyDescent="0.35">
      <c r="B522" s="1809">
        <v>0</v>
      </c>
    </row>
    <row r="523" spans="2:2" x14ac:dyDescent="0.35">
      <c r="B523" s="1678">
        <v>225</v>
      </c>
    </row>
    <row r="524" spans="2:2" x14ac:dyDescent="0.35">
      <c r="B524" s="2387">
        <f>0.7*(7*70+30*19)</f>
        <v>742</v>
      </c>
    </row>
    <row r="525" spans="2:2" x14ac:dyDescent="0.35">
      <c r="B525" s="2387">
        <v>1200</v>
      </c>
    </row>
    <row r="526" spans="2:2" x14ac:dyDescent="0.35">
      <c r="B526" s="2387">
        <f>2*130+562+180</f>
        <v>1002</v>
      </c>
    </row>
    <row r="527" spans="2:2" x14ac:dyDescent="0.35">
      <c r="B527" s="2540">
        <v>480</v>
      </c>
    </row>
    <row r="528" spans="2:2" x14ac:dyDescent="0.35">
      <c r="B528" s="2138">
        <v>170</v>
      </c>
    </row>
    <row r="529" spans="2:2" x14ac:dyDescent="0.35">
      <c r="B529" s="1630">
        <v>400</v>
      </c>
    </row>
    <row r="530" spans="2:2" x14ac:dyDescent="0.35">
      <c r="B530" s="1809">
        <v>0</v>
      </c>
    </row>
    <row r="531" spans="2:2" x14ac:dyDescent="0.35">
      <c r="B531" s="1678">
        <v>250</v>
      </c>
    </row>
    <row r="532" spans="2:2" x14ac:dyDescent="0.35">
      <c r="B532" s="2596">
        <f>36*3+135</f>
        <v>243</v>
      </c>
    </row>
    <row r="533" spans="2:2" x14ac:dyDescent="0.35">
      <c r="B533" s="2389">
        <v>0</v>
      </c>
    </row>
    <row r="534" spans="2:2" x14ac:dyDescent="0.35">
      <c r="B534" s="2390">
        <v>42</v>
      </c>
    </row>
    <row r="535" spans="2:2" x14ac:dyDescent="0.35">
      <c r="B535" s="2389">
        <f>4*130</f>
        <v>520</v>
      </c>
    </row>
    <row r="536" spans="2:2" x14ac:dyDescent="0.35">
      <c r="B536" s="1809">
        <v>0</v>
      </c>
    </row>
    <row r="537" spans="2:2" x14ac:dyDescent="0.35">
      <c r="B537" s="2389">
        <v>0</v>
      </c>
    </row>
    <row r="538" spans="2:2" x14ac:dyDescent="0.35">
      <c r="B538" s="1630">
        <v>225</v>
      </c>
    </row>
    <row r="539" spans="2:2" x14ac:dyDescent="0.35">
      <c r="B539" s="1678">
        <v>0</v>
      </c>
    </row>
    <row r="540" spans="2:2" x14ac:dyDescent="0.35">
      <c r="B540" s="2387">
        <v>0</v>
      </c>
    </row>
    <row r="541" spans="2:2" x14ac:dyDescent="0.35">
      <c r="B541" s="2390">
        <v>70</v>
      </c>
    </row>
    <row r="542" spans="2:2" x14ac:dyDescent="0.35">
      <c r="B542" s="1809">
        <v>0</v>
      </c>
    </row>
    <row r="543" spans="2:2" x14ac:dyDescent="0.35">
      <c r="B543" s="2170">
        <v>210</v>
      </c>
    </row>
    <row r="544" spans="2:2" x14ac:dyDescent="0.35">
      <c r="B544" s="2390">
        <v>300</v>
      </c>
    </row>
    <row r="545" spans="2:2" x14ac:dyDescent="0.35">
      <c r="B545" s="2390">
        <f>0.9*(60*25/1000*200)</f>
        <v>270</v>
      </c>
    </row>
    <row r="546" spans="2:2" x14ac:dyDescent="0.35">
      <c r="B546" s="2390">
        <v>180</v>
      </c>
    </row>
    <row r="547" spans="2:2" x14ac:dyDescent="0.35">
      <c r="B547" s="2390">
        <f>2*12+1.6*80</f>
        <v>152</v>
      </c>
    </row>
    <row r="548" spans="2:2" x14ac:dyDescent="0.35">
      <c r="B548" s="2596">
        <v>0</v>
      </c>
    </row>
    <row r="549" spans="2:2" x14ac:dyDescent="0.35">
      <c r="B549" s="2389">
        <v>0</v>
      </c>
    </row>
    <row r="550" spans="2:2" x14ac:dyDescent="0.35">
      <c r="B550" s="2387">
        <v>0</v>
      </c>
    </row>
    <row r="551" spans="2:2" x14ac:dyDescent="0.35">
      <c r="B551" s="2390">
        <v>378.7</v>
      </c>
    </row>
    <row r="552" spans="2:2" x14ac:dyDescent="0.35">
      <c r="B552" s="1809">
        <f>0.7*2*8*12+0.7*8*12+4*99+1.6*90</f>
        <v>741.59999999999991</v>
      </c>
    </row>
    <row r="553" spans="2:2" x14ac:dyDescent="0.35">
      <c r="B553" s="2389">
        <f>99+5*15+4*3.5</f>
        <v>188</v>
      </c>
    </row>
    <row r="554" spans="2:2" x14ac:dyDescent="0.35">
      <c r="B554" s="2387">
        <f>0.7*(2*55+2*40+2*99+2*70)</f>
        <v>369.59999999999997</v>
      </c>
    </row>
    <row r="555" spans="2:2" x14ac:dyDescent="0.35">
      <c r="B555" s="1678">
        <f>12*40</f>
        <v>480</v>
      </c>
    </row>
    <row r="556" spans="2:2" x14ac:dyDescent="0.35">
      <c r="B556" s="2387">
        <v>120</v>
      </c>
    </row>
    <row r="557" spans="2:2" x14ac:dyDescent="0.35">
      <c r="B557" s="2389">
        <f>0.7*(4*120+11*19)</f>
        <v>482.29999999999995</v>
      </c>
    </row>
    <row r="558" spans="2:2" x14ac:dyDescent="0.35">
      <c r="B558" s="2387">
        <v>100</v>
      </c>
    </row>
    <row r="559" spans="2:2" x14ac:dyDescent="0.35">
      <c r="B559" s="2390">
        <v>205.8</v>
      </c>
    </row>
    <row r="560" spans="2:2" x14ac:dyDescent="0.35">
      <c r="B560" s="2387">
        <f>2*99+70</f>
        <v>268</v>
      </c>
    </row>
    <row r="561" spans="2:2" x14ac:dyDescent="0.35">
      <c r="B561" s="2389">
        <v>240</v>
      </c>
    </row>
    <row r="562" spans="2:2" x14ac:dyDescent="0.35">
      <c r="B562" s="1809">
        <v>150</v>
      </c>
    </row>
    <row r="563" spans="2:2" x14ac:dyDescent="0.35">
      <c r="B563" s="1678">
        <v>1750</v>
      </c>
    </row>
    <row r="564" spans="2:2" x14ac:dyDescent="0.35">
      <c r="B564" s="2596">
        <v>360</v>
      </c>
    </row>
    <row r="565" spans="2:2" x14ac:dyDescent="0.35">
      <c r="B565" s="1678">
        <v>0</v>
      </c>
    </row>
    <row r="566" spans="2:2" x14ac:dyDescent="0.35">
      <c r="B566" s="1809">
        <v>0</v>
      </c>
    </row>
    <row r="567" spans="2:2" x14ac:dyDescent="0.35">
      <c r="B567" s="1630">
        <v>126</v>
      </c>
    </row>
    <row r="568" spans="2:2" x14ac:dyDescent="0.35">
      <c r="B568" s="1809">
        <f>2*(80*1.6+70)</f>
        <v>396</v>
      </c>
    </row>
    <row r="569" spans="2:2" x14ac:dyDescent="0.35">
      <c r="B569" s="1678">
        <f>300+85*10</f>
        <v>1150</v>
      </c>
    </row>
    <row r="570" spans="2:2" x14ac:dyDescent="0.35">
      <c r="B570" s="1809">
        <v>1872.8</v>
      </c>
    </row>
    <row r="571" spans="2:2" x14ac:dyDescent="0.35">
      <c r="B571" s="1678">
        <f>1.6*80</f>
        <v>128</v>
      </c>
    </row>
    <row r="572" spans="2:2" x14ac:dyDescent="0.35">
      <c r="B572" s="2390">
        <v>80</v>
      </c>
    </row>
    <row r="573" spans="2:2" x14ac:dyDescent="0.35">
      <c r="B573" s="1678">
        <v>0</v>
      </c>
    </row>
    <row r="574" spans="2:2" x14ac:dyDescent="0.35">
      <c r="B574" s="1809">
        <v>0</v>
      </c>
    </row>
    <row r="575" spans="2:2" x14ac:dyDescent="0.35">
      <c r="B575" s="1678">
        <v>0</v>
      </c>
    </row>
    <row r="576" spans="2:2" x14ac:dyDescent="0.35">
      <c r="B576" s="1809">
        <v>0</v>
      </c>
    </row>
    <row r="577" spans="2:2" x14ac:dyDescent="0.35">
      <c r="B577" s="1678">
        <v>514</v>
      </c>
    </row>
    <row r="578" spans="2:2" x14ac:dyDescent="0.35">
      <c r="B578" s="1809">
        <f>4*100*4.8</f>
        <v>1920</v>
      </c>
    </row>
    <row r="579" spans="2:2" x14ac:dyDescent="0.35">
      <c r="B579" s="1678">
        <v>0</v>
      </c>
    </row>
    <row r="580" spans="2:2" x14ac:dyDescent="0.35">
      <c r="B580" s="1809">
        <v>0.79166666666666663</v>
      </c>
    </row>
    <row r="581" spans="2:2" x14ac:dyDescent="0.35">
      <c r="B581" s="2128">
        <v>0</v>
      </c>
    </row>
    <row r="582" spans="2:2" x14ac:dyDescent="0.35">
      <c r="B582" s="1809">
        <v>0</v>
      </c>
    </row>
    <row r="583" spans="2:2" x14ac:dyDescent="0.35">
      <c r="B583" s="2576">
        <f>SUM(B364:B582)/4.8</f>
        <v>13402.029513888889</v>
      </c>
    </row>
  </sheetData>
  <printOptions horizontalCentered="1" verticalCentered="1"/>
  <pageMargins left="0" right="0" top="0" bottom="0" header="0" footer="0"/>
  <pageSetup paperSize="9" scale="10"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pageSetUpPr fitToPage="1"/>
  </sheetPr>
  <dimension ref="A1:P247"/>
  <sheetViews>
    <sheetView zoomScale="40" zoomScaleNormal="40" workbookViewId="0">
      <selection activeCell="E138" sqref="E138"/>
    </sheetView>
  </sheetViews>
  <sheetFormatPr defaultColWidth="8.90625" defaultRowHeight="21" x14ac:dyDescent="0.5"/>
  <cols>
    <col min="1" max="1" width="14.453125" style="2211" customWidth="1"/>
    <col min="2" max="2" width="24.453125" style="2211" customWidth="1"/>
    <col min="3" max="3" width="82.54296875" style="2211" customWidth="1"/>
    <col min="4" max="4" width="13.453125" style="2211" customWidth="1"/>
    <col min="5" max="5" width="25.453125" style="2211" customWidth="1"/>
    <col min="6" max="6" width="8.453125" style="2211" customWidth="1"/>
    <col min="7" max="7" width="11.08984375" style="2211" customWidth="1"/>
    <col min="8" max="8" width="11.90625" style="2211" customWidth="1"/>
    <col min="9" max="9" width="15.54296875" style="2211" customWidth="1"/>
    <col min="10" max="10" width="37.90625" style="2211" customWidth="1"/>
    <col min="11" max="11" width="13.453125" style="2211" customWidth="1"/>
    <col min="12" max="13" width="17.453125" style="2211" customWidth="1"/>
    <col min="14" max="14" width="8.90625" style="2211"/>
    <col min="15" max="15" width="8.453125" style="2211" customWidth="1"/>
    <col min="16" max="16" width="13.90625" style="2211" customWidth="1"/>
    <col min="17" max="16384" width="8.90625" style="2211"/>
  </cols>
  <sheetData>
    <row r="1" spans="1:16" ht="42" x14ac:dyDescent="0.5">
      <c r="A1" s="2362" t="s">
        <v>0</v>
      </c>
      <c r="B1" s="2363" t="s">
        <v>1</v>
      </c>
      <c r="C1" s="2363" t="s">
        <v>2</v>
      </c>
      <c r="D1" s="2364" t="s">
        <v>3</v>
      </c>
      <c r="E1" s="2365" t="s">
        <v>110</v>
      </c>
      <c r="F1" s="2365" t="s">
        <v>5</v>
      </c>
      <c r="G1" s="2363" t="s">
        <v>6</v>
      </c>
      <c r="H1" s="2363" t="s">
        <v>7</v>
      </c>
      <c r="I1" s="2208" t="s">
        <v>8</v>
      </c>
      <c r="J1" s="2208" t="s">
        <v>9</v>
      </c>
      <c r="K1" s="2208" t="s">
        <v>10</v>
      </c>
      <c r="L1" s="2209" t="s">
        <v>11</v>
      </c>
      <c r="M1" s="2210" t="s">
        <v>6064</v>
      </c>
    </row>
    <row r="2" spans="1:16" ht="42" x14ac:dyDescent="0.5">
      <c r="A2" s="2212">
        <v>43835</v>
      </c>
      <c r="B2" s="2213" t="s">
        <v>20</v>
      </c>
      <c r="C2" s="2214" t="s">
        <v>6056</v>
      </c>
      <c r="D2" s="2215">
        <v>43836</v>
      </c>
      <c r="E2" s="2216" t="s">
        <v>20</v>
      </c>
      <c r="F2" s="2214" t="s">
        <v>15</v>
      </c>
      <c r="G2" s="2214" t="s">
        <v>15</v>
      </c>
      <c r="H2" s="2214" t="s">
        <v>15</v>
      </c>
      <c r="I2" s="2218">
        <v>0</v>
      </c>
      <c r="J2" s="2214" t="s">
        <v>15</v>
      </c>
      <c r="K2" s="2214" t="s">
        <v>140</v>
      </c>
      <c r="L2" s="2219" t="s">
        <v>17</v>
      </c>
      <c r="M2" s="2220" t="s">
        <v>20</v>
      </c>
      <c r="P2" s="2211">
        <f>(SUM(I2:I131)-1520+20358)/4.8</f>
        <v>9937.3999808868502</v>
      </c>
    </row>
    <row r="3" spans="1:16" x14ac:dyDescent="0.5">
      <c r="A3" s="2212">
        <v>43835</v>
      </c>
      <c r="B3" s="2213" t="s">
        <v>20</v>
      </c>
      <c r="C3" s="2214" t="s">
        <v>6055</v>
      </c>
      <c r="D3" s="2215">
        <v>43836</v>
      </c>
      <c r="E3" s="2216" t="s">
        <v>20</v>
      </c>
      <c r="F3" s="2214" t="s">
        <v>15</v>
      </c>
      <c r="G3" s="2214" t="s">
        <v>15</v>
      </c>
      <c r="H3" s="2214" t="s">
        <v>15</v>
      </c>
      <c r="I3" s="2218">
        <v>0</v>
      </c>
      <c r="J3" s="2214" t="s">
        <v>15</v>
      </c>
      <c r="K3" s="2214" t="s">
        <v>15</v>
      </c>
      <c r="L3" s="2219" t="s">
        <v>17</v>
      </c>
      <c r="M3" s="2214" t="s">
        <v>20</v>
      </c>
    </row>
    <row r="4" spans="1:16" x14ac:dyDescent="0.5">
      <c r="A4" s="2212">
        <v>43835</v>
      </c>
      <c r="B4" s="2213" t="s">
        <v>20</v>
      </c>
      <c r="C4" s="2214" t="s">
        <v>6048</v>
      </c>
      <c r="D4" s="2215">
        <v>43836</v>
      </c>
      <c r="E4" s="2216" t="s">
        <v>20</v>
      </c>
      <c r="F4" s="2214" t="s">
        <v>15</v>
      </c>
      <c r="G4" s="2214" t="s">
        <v>15</v>
      </c>
      <c r="H4" s="2214" t="s">
        <v>15</v>
      </c>
      <c r="I4" s="2218">
        <v>0</v>
      </c>
      <c r="J4" s="2214" t="s">
        <v>15</v>
      </c>
      <c r="K4" s="2214" t="s">
        <v>15</v>
      </c>
      <c r="L4" s="2219" t="s">
        <v>17</v>
      </c>
      <c r="M4" s="2214" t="s">
        <v>20</v>
      </c>
    </row>
    <row r="5" spans="1:16" ht="42" x14ac:dyDescent="0.5">
      <c r="A5" s="2212">
        <v>43835</v>
      </c>
      <c r="B5" s="2213" t="s">
        <v>20</v>
      </c>
      <c r="C5" s="2214" t="s">
        <v>6047</v>
      </c>
      <c r="D5" s="2215">
        <v>43836</v>
      </c>
      <c r="E5" s="2216" t="s">
        <v>20</v>
      </c>
      <c r="F5" s="2214" t="s">
        <v>15</v>
      </c>
      <c r="G5" s="2214" t="s">
        <v>15</v>
      </c>
      <c r="H5" s="2214" t="s">
        <v>15</v>
      </c>
      <c r="I5" s="2218">
        <v>0</v>
      </c>
      <c r="J5" s="2214" t="s">
        <v>15</v>
      </c>
      <c r="K5" s="2214" t="s">
        <v>15</v>
      </c>
      <c r="L5" s="2219" t="s">
        <v>17</v>
      </c>
      <c r="M5" s="2214" t="s">
        <v>20</v>
      </c>
    </row>
    <row r="6" spans="1:16" ht="126" x14ac:dyDescent="0.5">
      <c r="A6" s="2221">
        <v>43835</v>
      </c>
      <c r="B6" s="2214" t="s">
        <v>4468</v>
      </c>
      <c r="C6" s="2214" t="s">
        <v>6060</v>
      </c>
      <c r="D6" s="2215">
        <v>43836</v>
      </c>
      <c r="E6" s="2216" t="s">
        <v>4468</v>
      </c>
      <c r="F6" s="2217">
        <v>0.58333333333333337</v>
      </c>
      <c r="G6" s="2217">
        <v>0.625</v>
      </c>
      <c r="H6" s="2217">
        <v>0.625</v>
      </c>
      <c r="I6" s="2218">
        <f>3.2*90</f>
        <v>288</v>
      </c>
      <c r="J6" s="2214" t="s">
        <v>6059</v>
      </c>
      <c r="K6" s="2214" t="s">
        <v>140</v>
      </c>
      <c r="L6" s="2219" t="s">
        <v>17</v>
      </c>
      <c r="M6" s="2214" t="s">
        <v>4468</v>
      </c>
    </row>
    <row r="7" spans="1:16" x14ac:dyDescent="0.5">
      <c r="A7" s="2212">
        <v>43835</v>
      </c>
      <c r="B7" s="2213" t="s">
        <v>6063</v>
      </c>
      <c r="C7" s="2214" t="s">
        <v>6062</v>
      </c>
      <c r="D7" s="2215">
        <v>43836</v>
      </c>
      <c r="E7" s="2216" t="s">
        <v>2034</v>
      </c>
      <c r="F7" s="2217">
        <v>0.58333333333333337</v>
      </c>
      <c r="G7" s="2217">
        <v>0.61458333333333337</v>
      </c>
      <c r="H7" s="2217">
        <v>0.61458333333333337</v>
      </c>
      <c r="I7" s="2218">
        <v>0</v>
      </c>
      <c r="J7" s="2214" t="s">
        <v>15</v>
      </c>
      <c r="K7" s="2214" t="s">
        <v>140</v>
      </c>
      <c r="L7" s="2219" t="s">
        <v>17</v>
      </c>
      <c r="M7" s="2214" t="s">
        <v>6061</v>
      </c>
    </row>
    <row r="8" spans="1:16" ht="147" x14ac:dyDescent="0.5">
      <c r="A8" s="2212">
        <v>43835</v>
      </c>
      <c r="B8" s="2213" t="s">
        <v>6058</v>
      </c>
      <c r="C8" s="2214" t="s">
        <v>6057</v>
      </c>
      <c r="D8" s="2215">
        <v>43836</v>
      </c>
      <c r="E8" s="2216" t="s">
        <v>5965</v>
      </c>
      <c r="F8" s="2217">
        <v>0.58333333333333337</v>
      </c>
      <c r="G8" s="2217">
        <v>0.64583333333333337</v>
      </c>
      <c r="H8" s="2217">
        <v>0.64583333333333337</v>
      </c>
      <c r="I8" s="2218">
        <v>0</v>
      </c>
      <c r="J8" s="2214" t="s">
        <v>15</v>
      </c>
      <c r="K8" s="2214" t="s">
        <v>140</v>
      </c>
      <c r="L8" s="2219" t="s">
        <v>17</v>
      </c>
      <c r="M8" s="2214" t="s">
        <v>6036</v>
      </c>
    </row>
    <row r="9" spans="1:16" x14ac:dyDescent="0.5">
      <c r="A9" s="2374">
        <v>43865</v>
      </c>
      <c r="B9" s="2213" t="s">
        <v>20</v>
      </c>
      <c r="C9" s="2214" t="s">
        <v>6474</v>
      </c>
      <c r="D9" s="2367">
        <v>43836</v>
      </c>
      <c r="E9" s="2216" t="s">
        <v>20</v>
      </c>
      <c r="F9" s="2214" t="s">
        <v>15</v>
      </c>
      <c r="G9" s="2214" t="s">
        <v>15</v>
      </c>
      <c r="H9" s="2214" t="s">
        <v>15</v>
      </c>
      <c r="I9" s="2368">
        <v>0</v>
      </c>
      <c r="J9" s="2214" t="s">
        <v>15</v>
      </c>
      <c r="K9" s="2214" t="s">
        <v>15</v>
      </c>
      <c r="L9" s="2219" t="s">
        <v>17</v>
      </c>
      <c r="M9" s="2214" t="s">
        <v>20</v>
      </c>
    </row>
    <row r="10" spans="1:16" ht="63" x14ac:dyDescent="0.5">
      <c r="A10" s="2222">
        <v>43836</v>
      </c>
      <c r="B10" s="2223" t="s">
        <v>6072</v>
      </c>
      <c r="C10" s="2223" t="s">
        <v>6071</v>
      </c>
      <c r="D10" s="2224">
        <v>43837</v>
      </c>
      <c r="E10" s="2225" t="s">
        <v>6072</v>
      </c>
      <c r="F10" s="2226">
        <v>0.35416666666666669</v>
      </c>
      <c r="G10" s="2226">
        <v>0.35416666666666669</v>
      </c>
      <c r="H10" s="2226">
        <v>0.35416666666666669</v>
      </c>
      <c r="I10" s="2227">
        <v>0</v>
      </c>
      <c r="J10" s="2214" t="s">
        <v>16</v>
      </c>
      <c r="K10" s="2214" t="s">
        <v>119</v>
      </c>
      <c r="L10" s="2219" t="s">
        <v>17</v>
      </c>
      <c r="M10" s="2214" t="s">
        <v>6034</v>
      </c>
    </row>
    <row r="11" spans="1:16" x14ac:dyDescent="0.5">
      <c r="A11" s="2212">
        <v>43836</v>
      </c>
      <c r="B11" s="2213" t="s">
        <v>20</v>
      </c>
      <c r="C11" s="2214" t="s">
        <v>6052</v>
      </c>
      <c r="D11" s="2215">
        <v>43837</v>
      </c>
      <c r="E11" s="2216" t="s">
        <v>20</v>
      </c>
      <c r="F11" s="2214" t="s">
        <v>15</v>
      </c>
      <c r="G11" s="2214" t="s">
        <v>15</v>
      </c>
      <c r="H11" s="2214" t="s">
        <v>15</v>
      </c>
      <c r="I11" s="2218">
        <v>0</v>
      </c>
      <c r="J11" s="2214" t="s">
        <v>15</v>
      </c>
      <c r="K11" s="2214" t="s">
        <v>15</v>
      </c>
      <c r="L11" s="2219" t="s">
        <v>17</v>
      </c>
      <c r="M11" s="2214" t="s">
        <v>20</v>
      </c>
    </row>
    <row r="12" spans="1:16" ht="63" x14ac:dyDescent="0.5">
      <c r="A12" s="2212">
        <v>43836</v>
      </c>
      <c r="B12" s="2213" t="s">
        <v>6075</v>
      </c>
      <c r="C12" s="2223" t="s">
        <v>6076</v>
      </c>
      <c r="D12" s="2224">
        <v>43837</v>
      </c>
      <c r="E12" s="2225" t="s">
        <v>6077</v>
      </c>
      <c r="F12" s="2217">
        <v>0.70138888888888884</v>
      </c>
      <c r="G12" s="2217">
        <v>0.72916666666666663</v>
      </c>
      <c r="H12" s="2217">
        <v>0.72916666666666663</v>
      </c>
      <c r="I12" s="2228">
        <v>255</v>
      </c>
      <c r="J12" s="2214" t="s">
        <v>257</v>
      </c>
      <c r="K12" s="2214" t="s">
        <v>119</v>
      </c>
      <c r="L12" s="2219" t="s">
        <v>17</v>
      </c>
      <c r="M12" s="2214" t="s">
        <v>6053</v>
      </c>
    </row>
    <row r="13" spans="1:16" ht="42" x14ac:dyDescent="0.5">
      <c r="A13" s="2212">
        <v>43836</v>
      </c>
      <c r="B13" s="2213" t="s">
        <v>6081</v>
      </c>
      <c r="C13" s="2223" t="s">
        <v>6082</v>
      </c>
      <c r="D13" s="2224">
        <v>43837</v>
      </c>
      <c r="E13" s="2216" t="s">
        <v>5494</v>
      </c>
      <c r="F13" s="2226">
        <v>0.70833333333333337</v>
      </c>
      <c r="G13" s="2226">
        <v>0.70833333333333337</v>
      </c>
      <c r="H13" s="2226">
        <v>0.70833333333333337</v>
      </c>
      <c r="I13" s="2228">
        <f>1.6*120+20</f>
        <v>212</v>
      </c>
      <c r="J13" s="2214" t="s">
        <v>6049</v>
      </c>
      <c r="K13" s="2214" t="s">
        <v>15</v>
      </c>
      <c r="L13" s="2219" t="s">
        <v>17</v>
      </c>
      <c r="M13" s="2214" t="s">
        <v>5367</v>
      </c>
    </row>
    <row r="14" spans="1:16" ht="42" x14ac:dyDescent="0.5">
      <c r="A14" s="2212">
        <v>43836</v>
      </c>
      <c r="B14" s="2213" t="s">
        <v>6078</v>
      </c>
      <c r="C14" s="2223" t="s">
        <v>5751</v>
      </c>
      <c r="D14" s="2224">
        <v>43837</v>
      </c>
      <c r="E14" s="2225" t="s">
        <v>6079</v>
      </c>
      <c r="F14" s="2217">
        <v>0.70138888888888884</v>
      </c>
      <c r="G14" s="2217">
        <v>0.77083333333333337</v>
      </c>
      <c r="H14" s="2217">
        <v>0.77083333333333337</v>
      </c>
      <c r="I14" s="2229">
        <v>99</v>
      </c>
      <c r="J14" s="2230" t="s">
        <v>6080</v>
      </c>
      <c r="K14" s="2214" t="s">
        <v>119</v>
      </c>
      <c r="L14" s="2219" t="s">
        <v>17</v>
      </c>
      <c r="M14" s="2214" t="s">
        <v>6053</v>
      </c>
    </row>
    <row r="15" spans="1:16" ht="42" x14ac:dyDescent="0.5">
      <c r="A15" s="2212">
        <v>43837</v>
      </c>
      <c r="B15" s="2213" t="s">
        <v>20</v>
      </c>
      <c r="C15" s="2214" t="s">
        <v>6093</v>
      </c>
      <c r="D15" s="2215">
        <v>43838</v>
      </c>
      <c r="E15" s="2216" t="s">
        <v>20</v>
      </c>
      <c r="F15" s="2214" t="s">
        <v>15</v>
      </c>
      <c r="G15" s="2214" t="s">
        <v>15</v>
      </c>
      <c r="H15" s="2214" t="s">
        <v>15</v>
      </c>
      <c r="I15" s="2218">
        <v>0</v>
      </c>
      <c r="J15" s="2214" t="s">
        <v>15</v>
      </c>
      <c r="K15" s="2214" t="s">
        <v>15</v>
      </c>
      <c r="L15" s="2219" t="s">
        <v>17</v>
      </c>
      <c r="M15" s="2214" t="s">
        <v>20</v>
      </c>
    </row>
    <row r="16" spans="1:16" ht="294" x14ac:dyDescent="0.5">
      <c r="A16" s="2221">
        <v>43804</v>
      </c>
      <c r="B16" s="2214" t="s">
        <v>131</v>
      </c>
      <c r="C16" s="2214" t="s">
        <v>6074</v>
      </c>
      <c r="D16" s="2215">
        <v>43838</v>
      </c>
      <c r="E16" s="2216" t="s">
        <v>6073</v>
      </c>
      <c r="F16" s="2217">
        <v>0.47916666666666669</v>
      </c>
      <c r="G16" s="2217">
        <v>0.5</v>
      </c>
      <c r="H16" s="2217">
        <v>0.54166666666666663</v>
      </c>
      <c r="I16" s="2218">
        <v>0</v>
      </c>
      <c r="J16" s="2214" t="s">
        <v>6151</v>
      </c>
      <c r="K16" s="2214" t="s">
        <v>140</v>
      </c>
      <c r="L16" s="2219" t="s">
        <v>17</v>
      </c>
      <c r="M16" s="2214" t="s">
        <v>6034</v>
      </c>
    </row>
    <row r="17" spans="1:13" ht="105" x14ac:dyDescent="0.5">
      <c r="A17" s="2231">
        <v>43836</v>
      </c>
      <c r="B17" s="2232" t="s">
        <v>6051</v>
      </c>
      <c r="C17" s="2233" t="s">
        <v>6050</v>
      </c>
      <c r="D17" s="2234">
        <v>43838</v>
      </c>
      <c r="E17" s="2235" t="s">
        <v>5494</v>
      </c>
      <c r="F17" s="2217">
        <v>0.625</v>
      </c>
      <c r="G17" s="2217">
        <v>0.625</v>
      </c>
      <c r="H17" s="2217">
        <v>0.625</v>
      </c>
      <c r="I17" s="2228">
        <f>3*120*0.7</f>
        <v>251.99999999999997</v>
      </c>
      <c r="J17" s="2214" t="s">
        <v>6049</v>
      </c>
      <c r="K17" s="2214" t="s">
        <v>15</v>
      </c>
      <c r="L17" s="2219" t="s">
        <v>17</v>
      </c>
      <c r="M17" s="2214" t="s">
        <v>5367</v>
      </c>
    </row>
    <row r="18" spans="1:13" ht="42" x14ac:dyDescent="0.5">
      <c r="A18" s="2231">
        <v>43835</v>
      </c>
      <c r="B18" s="2232" t="s">
        <v>6004</v>
      </c>
      <c r="C18" s="2233" t="s">
        <v>6086</v>
      </c>
      <c r="D18" s="2234">
        <v>43838</v>
      </c>
      <c r="E18" s="2235" t="s">
        <v>5494</v>
      </c>
      <c r="F18" s="2217">
        <v>0.69444444444444453</v>
      </c>
      <c r="G18" s="2217">
        <v>0.69444444444444453</v>
      </c>
      <c r="H18" s="2217">
        <v>0.69444444444444453</v>
      </c>
      <c r="I18" s="2228">
        <f>1.6*120+70</f>
        <v>262</v>
      </c>
      <c r="J18" s="2214" t="s">
        <v>257</v>
      </c>
      <c r="K18" s="2214" t="s">
        <v>15</v>
      </c>
      <c r="L18" s="2219" t="s">
        <v>6046</v>
      </c>
      <c r="M18" s="2214" t="s">
        <v>6045</v>
      </c>
    </row>
    <row r="19" spans="1:13" ht="42" x14ac:dyDescent="0.5">
      <c r="A19" s="2212">
        <v>43835</v>
      </c>
      <c r="B19" s="2213" t="s">
        <v>5875</v>
      </c>
      <c r="C19" s="2214" t="s">
        <v>6054</v>
      </c>
      <c r="D19" s="2215">
        <v>43838</v>
      </c>
      <c r="E19" s="2216" t="s">
        <v>5494</v>
      </c>
      <c r="F19" s="2217">
        <v>0.75</v>
      </c>
      <c r="G19" s="2217">
        <v>0.75</v>
      </c>
      <c r="H19" s="2217">
        <v>0.75</v>
      </c>
      <c r="I19" s="2229">
        <v>210</v>
      </c>
      <c r="J19" s="2230" t="s">
        <v>6104</v>
      </c>
      <c r="K19" s="2214" t="s">
        <v>15</v>
      </c>
      <c r="L19" s="2219" t="s">
        <v>22</v>
      </c>
      <c r="M19" s="2214" t="s">
        <v>6053</v>
      </c>
    </row>
    <row r="20" spans="1:13" ht="42" x14ac:dyDescent="0.5">
      <c r="A20" s="2212">
        <v>43837</v>
      </c>
      <c r="B20" s="2213" t="s">
        <v>6083</v>
      </c>
      <c r="C20" s="2223" t="s">
        <v>6084</v>
      </c>
      <c r="D20" s="2224">
        <v>43838</v>
      </c>
      <c r="E20" s="2225" t="s">
        <v>5494</v>
      </c>
      <c r="F20" s="2217">
        <v>0.75</v>
      </c>
      <c r="G20" s="2217">
        <v>0.75</v>
      </c>
      <c r="H20" s="2217">
        <v>0.75</v>
      </c>
      <c r="I20" s="2228">
        <f>1.6*120</f>
        <v>192</v>
      </c>
      <c r="J20" s="2214" t="s">
        <v>257</v>
      </c>
      <c r="K20" s="2214" t="s">
        <v>15</v>
      </c>
      <c r="L20" s="2219" t="s">
        <v>17</v>
      </c>
      <c r="M20" s="2214" t="s">
        <v>5367</v>
      </c>
    </row>
    <row r="21" spans="1:13" ht="63" x14ac:dyDescent="0.5">
      <c r="A21" s="2231">
        <v>43835</v>
      </c>
      <c r="B21" s="2232" t="s">
        <v>6044</v>
      </c>
      <c r="C21" s="2233" t="s">
        <v>6043</v>
      </c>
      <c r="D21" s="2234">
        <v>43839</v>
      </c>
      <c r="E21" s="2235" t="s">
        <v>6042</v>
      </c>
      <c r="F21" s="2217">
        <v>0.39583333333333331</v>
      </c>
      <c r="G21" s="2217">
        <v>0.45833333333333331</v>
      </c>
      <c r="H21" s="2217">
        <v>0.5</v>
      </c>
      <c r="I21" s="2228">
        <v>360</v>
      </c>
      <c r="J21" s="2214" t="s">
        <v>4618</v>
      </c>
      <c r="K21" s="2223" t="s">
        <v>119</v>
      </c>
      <c r="L21" s="2219" t="s">
        <v>17</v>
      </c>
      <c r="M21" s="2214" t="s">
        <v>6041</v>
      </c>
    </row>
    <row r="22" spans="1:13" ht="42" x14ac:dyDescent="0.5">
      <c r="A22" s="2212">
        <v>43837</v>
      </c>
      <c r="B22" s="2213" t="s">
        <v>6088</v>
      </c>
      <c r="C22" s="2214" t="s">
        <v>6089</v>
      </c>
      <c r="D22" s="2215">
        <v>43839</v>
      </c>
      <c r="E22" s="2225" t="s">
        <v>5494</v>
      </c>
      <c r="F22" s="2226">
        <v>0.70833333333333337</v>
      </c>
      <c r="G22" s="2226">
        <v>0.70833333333333337</v>
      </c>
      <c r="H22" s="2226">
        <v>0.70833333333333337</v>
      </c>
      <c r="I22" s="2228">
        <v>300</v>
      </c>
      <c r="J22" s="2223" t="s">
        <v>6090</v>
      </c>
      <c r="K22" s="2214" t="s">
        <v>15</v>
      </c>
      <c r="L22" s="2219" t="s">
        <v>17</v>
      </c>
      <c r="M22" s="2214" t="s">
        <v>5367</v>
      </c>
    </row>
    <row r="23" spans="1:13" ht="63" x14ac:dyDescent="0.5">
      <c r="A23" s="2212">
        <v>43839</v>
      </c>
      <c r="B23" s="2213" t="s">
        <v>6111</v>
      </c>
      <c r="C23" s="2223" t="s">
        <v>6112</v>
      </c>
      <c r="D23" s="2224">
        <v>43840</v>
      </c>
      <c r="E23" s="2225" t="s">
        <v>6113</v>
      </c>
      <c r="F23" s="2217">
        <v>0.375</v>
      </c>
      <c r="G23" s="2217">
        <v>0.45833333333333331</v>
      </c>
      <c r="H23" s="2217">
        <v>0.45833333333333331</v>
      </c>
      <c r="I23" s="2228">
        <v>200</v>
      </c>
      <c r="J23" s="2214" t="s">
        <v>6114</v>
      </c>
      <c r="K23" s="2214" t="s">
        <v>119</v>
      </c>
      <c r="L23" s="2219" t="s">
        <v>17</v>
      </c>
      <c r="M23" s="2214" t="s">
        <v>6053</v>
      </c>
    </row>
    <row r="24" spans="1:13" ht="147" x14ac:dyDescent="0.5">
      <c r="A24" s="2231">
        <v>43836</v>
      </c>
      <c r="B24" s="2232" t="s">
        <v>6067</v>
      </c>
      <c r="C24" s="2233" t="s">
        <v>6066</v>
      </c>
      <c r="D24" s="2234">
        <v>43840</v>
      </c>
      <c r="E24" s="2235" t="s">
        <v>6068</v>
      </c>
      <c r="F24" s="2217">
        <v>0.375</v>
      </c>
      <c r="G24" s="2217">
        <v>0.4861111111111111</v>
      </c>
      <c r="H24" s="2217">
        <v>0.4861111111111111</v>
      </c>
      <c r="I24" s="2228">
        <v>360</v>
      </c>
      <c r="J24" s="2214" t="s">
        <v>4618</v>
      </c>
      <c r="K24" s="2214" t="s">
        <v>119</v>
      </c>
      <c r="L24" s="2219" t="s">
        <v>17</v>
      </c>
      <c r="M24" s="2214" t="s">
        <v>2084</v>
      </c>
    </row>
    <row r="25" spans="1:13" ht="168" x14ac:dyDescent="0.5">
      <c r="A25" s="2212">
        <v>43839</v>
      </c>
      <c r="B25" s="2213" t="s">
        <v>6110</v>
      </c>
      <c r="C25" s="2223" t="s">
        <v>6108</v>
      </c>
      <c r="D25" s="2224">
        <v>43840</v>
      </c>
      <c r="E25" s="2225" t="s">
        <v>6109</v>
      </c>
      <c r="F25" s="2217">
        <v>0.58333333333333337</v>
      </c>
      <c r="G25" s="2217">
        <v>0.625</v>
      </c>
      <c r="H25" s="2217">
        <v>0.625</v>
      </c>
      <c r="I25" s="2228">
        <v>100</v>
      </c>
      <c r="J25" s="2214" t="s">
        <v>257</v>
      </c>
      <c r="K25" s="2214" t="s">
        <v>119</v>
      </c>
      <c r="L25" s="2219" t="s">
        <v>17</v>
      </c>
      <c r="M25" s="2214" t="s">
        <v>2084</v>
      </c>
    </row>
    <row r="26" spans="1:13" ht="231" x14ac:dyDescent="0.5">
      <c r="A26" s="2222">
        <v>43836</v>
      </c>
      <c r="B26" s="2223" t="s">
        <v>6119</v>
      </c>
      <c r="C26" s="2223" t="s">
        <v>6069</v>
      </c>
      <c r="D26" s="2224">
        <v>43840</v>
      </c>
      <c r="E26" s="2225" t="s">
        <v>6070</v>
      </c>
      <c r="F26" s="2226">
        <v>0.58333333333333337</v>
      </c>
      <c r="G26" s="2226">
        <v>0.66666666666666663</v>
      </c>
      <c r="H26" s="2217">
        <v>0.66666666666666663</v>
      </c>
      <c r="I26" s="2228">
        <v>120</v>
      </c>
      <c r="J26" s="2214" t="s">
        <v>257</v>
      </c>
      <c r="K26" s="2214" t="s">
        <v>119</v>
      </c>
      <c r="L26" s="2219" t="s">
        <v>17</v>
      </c>
      <c r="M26" s="2214" t="s">
        <v>6041</v>
      </c>
    </row>
    <row r="27" spans="1:13" ht="409.5" x14ac:dyDescent="0.5">
      <c r="A27" s="2231">
        <v>43835</v>
      </c>
      <c r="B27" s="2232" t="s">
        <v>5489</v>
      </c>
      <c r="C27" s="2233" t="s">
        <v>6040</v>
      </c>
      <c r="D27" s="2234">
        <v>43840</v>
      </c>
      <c r="E27" s="2235" t="s">
        <v>5489</v>
      </c>
      <c r="F27" s="2217">
        <v>0.70833333333333337</v>
      </c>
      <c r="G27" s="2217">
        <v>0.75</v>
      </c>
      <c r="H27" s="2217">
        <v>0.75</v>
      </c>
      <c r="I27" s="2229">
        <v>720</v>
      </c>
      <c r="J27" s="2214" t="s">
        <v>6039</v>
      </c>
      <c r="K27" s="2214" t="s">
        <v>119</v>
      </c>
      <c r="L27" s="2219" t="s">
        <v>17</v>
      </c>
      <c r="M27" s="2214" t="s">
        <v>5489</v>
      </c>
    </row>
    <row r="28" spans="1:13" ht="252" x14ac:dyDescent="0.5">
      <c r="A28" s="2212">
        <v>43840</v>
      </c>
      <c r="B28" s="2213" t="s">
        <v>6118</v>
      </c>
      <c r="C28" s="2223" t="s">
        <v>6116</v>
      </c>
      <c r="D28" s="2224">
        <v>43840</v>
      </c>
      <c r="E28" s="2225" t="s">
        <v>6115</v>
      </c>
      <c r="F28" s="2217">
        <v>0.375</v>
      </c>
      <c r="G28" s="2217">
        <v>0.52083333333333337</v>
      </c>
      <c r="H28" s="2217">
        <v>0.52083333333333337</v>
      </c>
      <c r="I28" s="2228">
        <v>200</v>
      </c>
      <c r="J28" s="2214" t="s">
        <v>6114</v>
      </c>
      <c r="K28" s="2214" t="s">
        <v>119</v>
      </c>
      <c r="L28" s="2219" t="s">
        <v>17</v>
      </c>
      <c r="M28" s="2214" t="s">
        <v>6045</v>
      </c>
    </row>
    <row r="29" spans="1:13" ht="409.5" x14ac:dyDescent="0.5">
      <c r="A29" s="2212">
        <v>43835</v>
      </c>
      <c r="B29" s="2213" t="s">
        <v>6035</v>
      </c>
      <c r="C29" s="2214" t="s">
        <v>6207</v>
      </c>
      <c r="D29" s="2215">
        <v>43841</v>
      </c>
      <c r="E29" s="2237" t="s">
        <v>6087</v>
      </c>
      <c r="F29" s="2226">
        <v>0.45833333333333331</v>
      </c>
      <c r="G29" s="2226">
        <v>0.53125</v>
      </c>
      <c r="H29" s="2226">
        <v>0.53125</v>
      </c>
      <c r="I29" s="2227">
        <v>1300</v>
      </c>
      <c r="J29" s="2223" t="s">
        <v>6097</v>
      </c>
      <c r="K29" s="2213" t="s">
        <v>119</v>
      </c>
      <c r="L29" s="2219" t="s">
        <v>17</v>
      </c>
      <c r="M29" s="2214" t="s">
        <v>2084</v>
      </c>
    </row>
    <row r="30" spans="1:13" ht="218.4" customHeight="1" x14ac:dyDescent="0.5">
      <c r="A30" s="2212">
        <v>43835</v>
      </c>
      <c r="B30" s="2213" t="s">
        <v>6035</v>
      </c>
      <c r="C30" s="2214" t="s">
        <v>6124</v>
      </c>
      <c r="D30" s="2215">
        <v>43841</v>
      </c>
      <c r="E30" s="2237" t="s">
        <v>6087</v>
      </c>
      <c r="F30" s="2226">
        <v>0.45833333333333331</v>
      </c>
      <c r="G30" s="2226">
        <v>0.53125</v>
      </c>
      <c r="H30" s="2226">
        <v>0.53125</v>
      </c>
      <c r="I30" s="2227" t="s">
        <v>15</v>
      </c>
      <c r="J30" s="2239" t="s">
        <v>6125</v>
      </c>
      <c r="K30" s="2239" t="s">
        <v>6125</v>
      </c>
      <c r="L30" s="2240" t="s">
        <v>17</v>
      </c>
      <c r="M30" s="2214" t="s">
        <v>2084</v>
      </c>
    </row>
    <row r="31" spans="1:13" ht="357" x14ac:dyDescent="0.5">
      <c r="A31" s="2221">
        <v>43835</v>
      </c>
      <c r="B31" s="2214" t="s">
        <v>4548</v>
      </c>
      <c r="C31" s="2214" t="s">
        <v>6101</v>
      </c>
      <c r="D31" s="2224">
        <v>43841</v>
      </c>
      <c r="E31" s="2237" t="s">
        <v>6123</v>
      </c>
      <c r="F31" s="2226">
        <v>0.45833333333333331</v>
      </c>
      <c r="G31" s="2226">
        <v>0.5</v>
      </c>
      <c r="H31" s="2226">
        <v>0.5</v>
      </c>
      <c r="I31" s="2227">
        <f>100*3.5*4.76</f>
        <v>1666</v>
      </c>
      <c r="J31" s="2238" t="s">
        <v>6038</v>
      </c>
      <c r="K31" s="2213" t="s">
        <v>119</v>
      </c>
      <c r="L31" s="2219" t="s">
        <v>17</v>
      </c>
      <c r="M31" s="2214" t="s">
        <v>3904</v>
      </c>
    </row>
    <row r="32" spans="1:13" ht="147" x14ac:dyDescent="0.5">
      <c r="A32" s="2212">
        <v>43840</v>
      </c>
      <c r="B32" s="2241" t="s">
        <v>987</v>
      </c>
      <c r="C32" s="2214" t="s">
        <v>6128</v>
      </c>
      <c r="D32" s="2215">
        <v>43841</v>
      </c>
      <c r="E32" s="2241" t="s">
        <v>4885</v>
      </c>
      <c r="F32" s="2226">
        <v>0.45833333333333331</v>
      </c>
      <c r="G32" s="2226">
        <v>0.60416666666666663</v>
      </c>
      <c r="H32" s="2226">
        <v>0.60416666666666663</v>
      </c>
      <c r="I32" s="2228">
        <v>216</v>
      </c>
      <c r="J32" s="2239" t="s">
        <v>257</v>
      </c>
      <c r="K32" s="2223" t="s">
        <v>119</v>
      </c>
      <c r="L32" s="2240" t="s">
        <v>22</v>
      </c>
      <c r="M32" s="2214" t="s">
        <v>6096</v>
      </c>
    </row>
    <row r="33" spans="1:13" ht="105" x14ac:dyDescent="0.5">
      <c r="A33" s="2231">
        <v>43837</v>
      </c>
      <c r="B33" s="2233" t="s">
        <v>6100</v>
      </c>
      <c r="C33" s="2233" t="s">
        <v>6091</v>
      </c>
      <c r="D33" s="2234">
        <v>43841</v>
      </c>
      <c r="E33" s="2235" t="s">
        <v>6092</v>
      </c>
      <c r="F33" s="2217">
        <v>0.64583333333333337</v>
      </c>
      <c r="G33" s="2217">
        <v>0.75</v>
      </c>
      <c r="H33" s="2217">
        <v>0.75</v>
      </c>
      <c r="I33" s="2228">
        <v>400</v>
      </c>
      <c r="J33" s="2214" t="s">
        <v>4618</v>
      </c>
      <c r="K33" s="2223" t="s">
        <v>119</v>
      </c>
      <c r="L33" s="2219" t="s">
        <v>17</v>
      </c>
      <c r="M33" s="2214" t="s">
        <v>6053</v>
      </c>
    </row>
    <row r="34" spans="1:13" ht="126" x14ac:dyDescent="0.5">
      <c r="A34" s="2231">
        <v>43839</v>
      </c>
      <c r="B34" s="2232" t="s">
        <v>6105</v>
      </c>
      <c r="C34" s="2233" t="s">
        <v>6107</v>
      </c>
      <c r="D34" s="2234">
        <v>43841</v>
      </c>
      <c r="E34" s="2235" t="s">
        <v>6106</v>
      </c>
      <c r="F34" s="2226">
        <v>0.64583333333333337</v>
      </c>
      <c r="G34" s="2226">
        <v>0.66666666666666663</v>
      </c>
      <c r="H34" s="2226">
        <v>0.66666666666666663</v>
      </c>
      <c r="I34" s="2229">
        <v>500</v>
      </c>
      <c r="J34" s="2230" t="s">
        <v>6149</v>
      </c>
      <c r="K34" s="2223" t="s">
        <v>119</v>
      </c>
      <c r="L34" s="2236" t="s">
        <v>22</v>
      </c>
      <c r="M34" s="2214" t="s">
        <v>22</v>
      </c>
    </row>
    <row r="35" spans="1:13" ht="143.4" customHeight="1" x14ac:dyDescent="0.5">
      <c r="A35" s="2222">
        <v>43837</v>
      </c>
      <c r="B35" s="2223" t="s">
        <v>5795</v>
      </c>
      <c r="C35" s="2223" t="s">
        <v>6126</v>
      </c>
      <c r="D35" s="2224">
        <v>43841</v>
      </c>
      <c r="E35" s="2225" t="s">
        <v>4751</v>
      </c>
      <c r="F35" s="2226">
        <v>0.39583333333333331</v>
      </c>
      <c r="G35" s="2226">
        <v>0.41666666666666669</v>
      </c>
      <c r="H35" s="2226">
        <v>0.45833333333333331</v>
      </c>
      <c r="I35" s="2229">
        <v>126</v>
      </c>
      <c r="J35" s="2230" t="s">
        <v>6150</v>
      </c>
      <c r="K35" s="2223" t="s">
        <v>119</v>
      </c>
      <c r="L35" s="2236" t="s">
        <v>22</v>
      </c>
      <c r="M35" s="2223" t="s">
        <v>6160</v>
      </c>
    </row>
    <row r="36" spans="1:13" ht="105" x14ac:dyDescent="0.5">
      <c r="A36" s="2212">
        <v>43841</v>
      </c>
      <c r="B36" s="2213" t="s">
        <v>6137</v>
      </c>
      <c r="C36" s="2223" t="s">
        <v>6129</v>
      </c>
      <c r="D36" s="2224">
        <v>43842</v>
      </c>
      <c r="E36" s="2225" t="s">
        <v>6130</v>
      </c>
      <c r="F36" s="2217">
        <v>0.66666666666666663</v>
      </c>
      <c r="G36" s="2217">
        <v>0.6875</v>
      </c>
      <c r="H36" s="2217">
        <v>0.6875</v>
      </c>
      <c r="I36" s="2218">
        <v>0</v>
      </c>
      <c r="J36" s="2214" t="s">
        <v>16</v>
      </c>
      <c r="K36" s="2214" t="s">
        <v>15</v>
      </c>
      <c r="L36" s="2219" t="s">
        <v>17</v>
      </c>
      <c r="M36" s="2214" t="s">
        <v>20</v>
      </c>
    </row>
    <row r="37" spans="1:13" ht="42" x14ac:dyDescent="0.5">
      <c r="A37" s="2212">
        <v>43842</v>
      </c>
      <c r="B37" s="2213" t="s">
        <v>6165</v>
      </c>
      <c r="C37" s="2223" t="s">
        <v>6166</v>
      </c>
      <c r="D37" s="2224">
        <v>43842</v>
      </c>
      <c r="E37" s="2225" t="s">
        <v>1271</v>
      </c>
      <c r="F37" s="2226" t="s">
        <v>98</v>
      </c>
      <c r="G37" s="2226">
        <v>0.41666666666666669</v>
      </c>
      <c r="H37" s="2226">
        <v>0.41666666666666669</v>
      </c>
      <c r="I37" s="2228">
        <v>192</v>
      </c>
      <c r="J37" s="2223" t="s">
        <v>6167</v>
      </c>
      <c r="K37" s="2223" t="s">
        <v>15</v>
      </c>
      <c r="L37" s="2236" t="s">
        <v>17</v>
      </c>
      <c r="M37" s="2223" t="s">
        <v>5367</v>
      </c>
    </row>
    <row r="38" spans="1:13" ht="105" x14ac:dyDescent="0.5">
      <c r="A38" s="2222">
        <v>43838</v>
      </c>
      <c r="B38" s="2223" t="s">
        <v>4547</v>
      </c>
      <c r="C38" s="2223" t="s">
        <v>6102</v>
      </c>
      <c r="D38" s="2224">
        <v>43842</v>
      </c>
      <c r="E38" s="2225" t="s">
        <v>5251</v>
      </c>
      <c r="F38" s="2226">
        <v>0.66666666666666663</v>
      </c>
      <c r="G38" s="2226">
        <v>0.72916666666666663</v>
      </c>
      <c r="H38" s="2226">
        <v>0.72916666666666663</v>
      </c>
      <c r="I38" s="2229">
        <v>324</v>
      </c>
      <c r="J38" s="2230" t="s">
        <v>6103</v>
      </c>
      <c r="K38" s="2223"/>
      <c r="L38" s="2236" t="s">
        <v>22</v>
      </c>
      <c r="M38" s="2223" t="s">
        <v>6096</v>
      </c>
    </row>
    <row r="39" spans="1:13" ht="126" x14ac:dyDescent="0.5">
      <c r="A39" s="2222">
        <v>43842</v>
      </c>
      <c r="B39" s="2223" t="s">
        <v>6140</v>
      </c>
      <c r="C39" s="2223" t="s">
        <v>6138</v>
      </c>
      <c r="D39" s="2224">
        <v>43843</v>
      </c>
      <c r="E39" s="2225" t="s">
        <v>6139</v>
      </c>
      <c r="F39" s="2226">
        <v>0.45833333333333331</v>
      </c>
      <c r="G39" s="2226">
        <v>0.54166666666666663</v>
      </c>
      <c r="H39" s="2226">
        <v>0.54166666666666663</v>
      </c>
      <c r="I39" s="2227">
        <v>0</v>
      </c>
      <c r="J39" s="2223" t="s">
        <v>16</v>
      </c>
      <c r="K39" s="2214" t="s">
        <v>15</v>
      </c>
      <c r="L39" s="2219" t="s">
        <v>17</v>
      </c>
      <c r="M39" s="2214" t="s">
        <v>6034</v>
      </c>
    </row>
    <row r="40" spans="1:13" x14ac:dyDescent="0.5">
      <c r="A40" s="2212">
        <v>43841</v>
      </c>
      <c r="B40" s="2213" t="s">
        <v>20</v>
      </c>
      <c r="C40" s="2223" t="s">
        <v>6136</v>
      </c>
      <c r="D40" s="2215">
        <v>43843</v>
      </c>
      <c r="E40" s="2216" t="s">
        <v>20</v>
      </c>
      <c r="F40" s="2214" t="s">
        <v>15</v>
      </c>
      <c r="G40" s="2214" t="s">
        <v>15</v>
      </c>
      <c r="H40" s="2214" t="s">
        <v>15</v>
      </c>
      <c r="I40" s="2218">
        <v>0</v>
      </c>
      <c r="J40" s="2214" t="s">
        <v>15</v>
      </c>
      <c r="K40" s="2214" t="s">
        <v>15</v>
      </c>
      <c r="L40" s="2219" t="s">
        <v>17</v>
      </c>
      <c r="M40" s="2214" t="s">
        <v>20</v>
      </c>
    </row>
    <row r="41" spans="1:13" ht="147" x14ac:dyDescent="0.5">
      <c r="A41" s="2212">
        <v>43842</v>
      </c>
      <c r="B41" s="2213" t="s">
        <v>6168</v>
      </c>
      <c r="C41" s="2223" t="s">
        <v>6169</v>
      </c>
      <c r="D41" s="2224">
        <v>43843</v>
      </c>
      <c r="E41" s="2225" t="s">
        <v>6170</v>
      </c>
      <c r="F41" s="2226" t="s">
        <v>15</v>
      </c>
      <c r="G41" s="2226">
        <v>0.54166666666666663</v>
      </c>
      <c r="H41" s="2226">
        <v>0.54166666666666663</v>
      </c>
      <c r="I41" s="2229">
        <v>154</v>
      </c>
      <c r="J41" s="2223" t="s">
        <v>6171</v>
      </c>
      <c r="K41" s="2223" t="s">
        <v>15</v>
      </c>
      <c r="L41" s="2236" t="s">
        <v>17</v>
      </c>
      <c r="M41" s="2223" t="s">
        <v>5367</v>
      </c>
    </row>
    <row r="42" spans="1:13" ht="84" x14ac:dyDescent="0.5">
      <c r="A42" s="2221">
        <v>43835</v>
      </c>
      <c r="B42" s="2214" t="s">
        <v>6036</v>
      </c>
      <c r="C42" s="2214" t="s">
        <v>6037</v>
      </c>
      <c r="D42" s="2215">
        <v>43844</v>
      </c>
      <c r="E42" s="2216" t="s">
        <v>5013</v>
      </c>
      <c r="F42" s="2217">
        <v>0.375</v>
      </c>
      <c r="G42" s="2217">
        <v>0.45833333333333331</v>
      </c>
      <c r="H42" s="2217">
        <v>0.45833333333333331</v>
      </c>
      <c r="I42" s="2218">
        <v>0</v>
      </c>
      <c r="J42" s="2214" t="s">
        <v>6036</v>
      </c>
      <c r="K42" s="2214" t="s">
        <v>140</v>
      </c>
      <c r="L42" s="2219" t="s">
        <v>17</v>
      </c>
      <c r="M42" s="2214" t="s">
        <v>6036</v>
      </c>
    </row>
    <row r="43" spans="1:13" ht="294" x14ac:dyDescent="0.5">
      <c r="A43" s="2314">
        <v>43840</v>
      </c>
      <c r="B43" s="2315" t="s">
        <v>4968</v>
      </c>
      <c r="C43" s="2247" t="s">
        <v>6209</v>
      </c>
      <c r="D43" s="2316">
        <v>43844</v>
      </c>
      <c r="E43" s="2291" t="s">
        <v>6117</v>
      </c>
      <c r="F43" s="2287">
        <v>0.375</v>
      </c>
      <c r="G43" s="2287">
        <v>0.5</v>
      </c>
      <c r="H43" s="2287">
        <v>0.5</v>
      </c>
      <c r="I43" s="2317">
        <f>360/1.09 +150/1.09</f>
        <v>467.88990825688069</v>
      </c>
      <c r="J43" s="2247" t="s">
        <v>6147</v>
      </c>
      <c r="K43" s="2247" t="s">
        <v>140</v>
      </c>
      <c r="L43" s="2318" t="s">
        <v>17</v>
      </c>
      <c r="M43" s="2247" t="s">
        <v>262</v>
      </c>
    </row>
    <row r="44" spans="1:13" ht="105" x14ac:dyDescent="0.5">
      <c r="A44" s="2231">
        <v>43842</v>
      </c>
      <c r="B44" s="2232" t="s">
        <v>6144</v>
      </c>
      <c r="C44" s="2233" t="s">
        <v>6148</v>
      </c>
      <c r="D44" s="2234">
        <v>43844</v>
      </c>
      <c r="E44" s="2235" t="s">
        <v>6145</v>
      </c>
      <c r="F44" s="2217">
        <v>0.70833333333333337</v>
      </c>
      <c r="G44" s="2217">
        <v>0.79166666666666663</v>
      </c>
      <c r="H44" s="2226">
        <v>0.79166666666666663</v>
      </c>
      <c r="I44" s="2227">
        <v>145.69999999999999</v>
      </c>
      <c r="J44" s="2223" t="s">
        <v>6146</v>
      </c>
      <c r="K44" s="2214" t="s">
        <v>140</v>
      </c>
      <c r="L44" s="2219" t="s">
        <v>17</v>
      </c>
      <c r="M44" s="2214" t="s">
        <v>6121</v>
      </c>
    </row>
    <row r="45" spans="1:13" ht="189" x14ac:dyDescent="0.5">
      <c r="A45" s="2212">
        <v>43843</v>
      </c>
      <c r="B45" s="2213" t="s">
        <v>6099</v>
      </c>
      <c r="C45" s="2223" t="s">
        <v>6208</v>
      </c>
      <c r="D45" s="2215">
        <v>43844</v>
      </c>
      <c r="E45" s="2216" t="s">
        <v>6098</v>
      </c>
      <c r="F45" s="2217">
        <v>0.375</v>
      </c>
      <c r="G45" s="2217">
        <v>0.41666666666666669</v>
      </c>
      <c r="H45" s="2217">
        <v>0.41666666666666669</v>
      </c>
      <c r="I45" s="2218">
        <v>0</v>
      </c>
      <c r="J45" s="2214" t="s">
        <v>16</v>
      </c>
      <c r="K45" s="2214" t="s">
        <v>140</v>
      </c>
      <c r="L45" s="2219" t="s">
        <v>17</v>
      </c>
      <c r="M45" s="2214" t="s">
        <v>6034</v>
      </c>
    </row>
    <row r="46" spans="1:13" x14ac:dyDescent="0.5">
      <c r="A46" s="2212">
        <v>43840</v>
      </c>
      <c r="B46" s="2213" t="s">
        <v>20</v>
      </c>
      <c r="C46" s="2223" t="s">
        <v>6152</v>
      </c>
      <c r="D46" s="2224">
        <v>43845</v>
      </c>
      <c r="E46" s="2225" t="s">
        <v>20</v>
      </c>
      <c r="F46" s="2214" t="s">
        <v>15</v>
      </c>
      <c r="G46" s="2214" t="s">
        <v>15</v>
      </c>
      <c r="H46" s="2214" t="s">
        <v>15</v>
      </c>
      <c r="I46" s="2218">
        <v>0</v>
      </c>
      <c r="J46" s="2214" t="s">
        <v>15</v>
      </c>
      <c r="K46" s="2214" t="s">
        <v>15</v>
      </c>
      <c r="L46" s="2219" t="s">
        <v>17</v>
      </c>
      <c r="M46" s="2214" t="s">
        <v>20</v>
      </c>
    </row>
    <row r="47" spans="1:13" ht="146.4" customHeight="1" x14ac:dyDescent="0.5">
      <c r="A47" s="2212">
        <v>43844</v>
      </c>
      <c r="B47" s="2213" t="s">
        <v>20</v>
      </c>
      <c r="C47" s="2223" t="s">
        <v>6178</v>
      </c>
      <c r="D47" s="2224">
        <v>43845</v>
      </c>
      <c r="E47" s="2225" t="s">
        <v>20</v>
      </c>
      <c r="F47" s="2223" t="s">
        <v>15</v>
      </c>
      <c r="G47" s="2223" t="s">
        <v>15</v>
      </c>
      <c r="H47" s="2223" t="s">
        <v>15</v>
      </c>
      <c r="I47" s="2227">
        <v>0</v>
      </c>
      <c r="J47" s="2223" t="s">
        <v>15</v>
      </c>
      <c r="K47" s="2223" t="s">
        <v>15</v>
      </c>
      <c r="L47" s="2219" t="s">
        <v>17</v>
      </c>
      <c r="M47" s="2214" t="s">
        <v>20</v>
      </c>
    </row>
    <row r="48" spans="1:13" ht="159" customHeight="1" x14ac:dyDescent="0.5">
      <c r="A48" s="2222">
        <v>43845</v>
      </c>
      <c r="B48" s="2223" t="s">
        <v>20</v>
      </c>
      <c r="C48" s="2223" t="s">
        <v>6203</v>
      </c>
      <c r="D48" s="2224">
        <v>43846</v>
      </c>
      <c r="E48" s="2225" t="s">
        <v>20</v>
      </c>
      <c r="F48" s="2226" t="s">
        <v>15</v>
      </c>
      <c r="G48" s="2226" t="s">
        <v>15</v>
      </c>
      <c r="H48" s="2226" t="s">
        <v>15</v>
      </c>
      <c r="I48" s="2227">
        <v>0</v>
      </c>
      <c r="J48" s="2226" t="s">
        <v>15</v>
      </c>
      <c r="K48" s="2226" t="s">
        <v>15</v>
      </c>
      <c r="L48" s="2236" t="s">
        <v>17</v>
      </c>
      <c r="M48" s="2223" t="s">
        <v>20</v>
      </c>
    </row>
    <row r="49" spans="1:13" ht="126" x14ac:dyDescent="0.5">
      <c r="A49" s="2212">
        <v>43845</v>
      </c>
      <c r="B49" s="2213" t="s">
        <v>6189</v>
      </c>
      <c r="C49" s="2223" t="s">
        <v>6190</v>
      </c>
      <c r="D49" s="2224">
        <v>43846</v>
      </c>
      <c r="E49" s="2225" t="s">
        <v>6206</v>
      </c>
      <c r="F49" s="2217">
        <v>0.61458333333333337</v>
      </c>
      <c r="G49" s="2217">
        <v>0.61458333333333337</v>
      </c>
      <c r="H49" s="2217">
        <v>0.61458333333333337</v>
      </c>
      <c r="I49" s="2218">
        <v>0</v>
      </c>
      <c r="J49" s="2214" t="s">
        <v>16</v>
      </c>
      <c r="K49" s="2214" t="s">
        <v>15</v>
      </c>
      <c r="L49" s="2219" t="s">
        <v>17</v>
      </c>
      <c r="M49" s="2214" t="s">
        <v>6034</v>
      </c>
    </row>
    <row r="50" spans="1:13" ht="42" x14ac:dyDescent="0.5">
      <c r="A50" s="2212">
        <v>43845</v>
      </c>
      <c r="B50" s="2213" t="s">
        <v>5491</v>
      </c>
      <c r="C50" s="2223" t="s">
        <v>6199</v>
      </c>
      <c r="D50" s="2224">
        <v>43846</v>
      </c>
      <c r="E50" s="2225" t="s">
        <v>126</v>
      </c>
      <c r="F50" s="2217">
        <v>0.58333333333333337</v>
      </c>
      <c r="G50" s="2217">
        <v>0.70833333333333337</v>
      </c>
      <c r="H50" s="2217">
        <v>0.70833333333333337</v>
      </c>
      <c r="I50" s="2229">
        <f>120*0.7</f>
        <v>84</v>
      </c>
      <c r="J50" s="2214" t="s">
        <v>6200</v>
      </c>
      <c r="K50" s="2214" t="s">
        <v>119</v>
      </c>
      <c r="L50" s="2219" t="s">
        <v>17</v>
      </c>
      <c r="M50" s="2214" t="s">
        <v>6053</v>
      </c>
    </row>
    <row r="51" spans="1:13" ht="42" x14ac:dyDescent="0.5">
      <c r="A51" s="2255">
        <v>43845</v>
      </c>
      <c r="B51" s="2213" t="s">
        <v>6214</v>
      </c>
      <c r="C51" s="2223" t="s">
        <v>6215</v>
      </c>
      <c r="D51" s="2256">
        <v>43847</v>
      </c>
      <c r="E51" s="2225" t="s">
        <v>6216</v>
      </c>
      <c r="F51" s="2217">
        <v>0.52083333333333337</v>
      </c>
      <c r="G51" s="2257">
        <v>0.52083333333333337</v>
      </c>
      <c r="H51" s="2257">
        <v>0.52083333333333337</v>
      </c>
      <c r="I51" s="2258">
        <v>0</v>
      </c>
      <c r="J51" s="2214" t="s">
        <v>16</v>
      </c>
      <c r="K51" s="2214" t="s">
        <v>15</v>
      </c>
      <c r="L51" s="2219" t="s">
        <v>17</v>
      </c>
      <c r="M51" s="2214" t="s">
        <v>6034</v>
      </c>
    </row>
    <row r="52" spans="1:13" ht="105" x14ac:dyDescent="0.5">
      <c r="A52" s="2212">
        <v>43837</v>
      </c>
      <c r="B52" s="2213" t="s">
        <v>6085</v>
      </c>
      <c r="C52" s="2223" t="s">
        <v>6094</v>
      </c>
      <c r="D52" s="2224">
        <v>43847</v>
      </c>
      <c r="E52" s="2225" t="s">
        <v>6095</v>
      </c>
      <c r="F52" s="2217">
        <v>0.66666666666666663</v>
      </c>
      <c r="G52" s="2217">
        <v>0.72222222222222221</v>
      </c>
      <c r="H52" s="2217">
        <v>0.75</v>
      </c>
      <c r="I52" s="2229">
        <v>130</v>
      </c>
      <c r="J52" s="2214" t="s">
        <v>257</v>
      </c>
      <c r="K52" s="2214" t="s">
        <v>140</v>
      </c>
      <c r="L52" s="2219" t="s">
        <v>17</v>
      </c>
      <c r="M52" s="2214" t="s">
        <v>2084</v>
      </c>
    </row>
    <row r="53" spans="1:13" ht="231" x14ac:dyDescent="0.5">
      <c r="A53" s="2255">
        <v>43846</v>
      </c>
      <c r="B53" s="2213" t="s">
        <v>6229</v>
      </c>
      <c r="C53" s="2263" t="s">
        <v>6230</v>
      </c>
      <c r="D53" s="2262">
        <v>43847</v>
      </c>
      <c r="E53" s="2216" t="s">
        <v>6223</v>
      </c>
      <c r="F53" s="2217">
        <v>0.45833333333333331</v>
      </c>
      <c r="G53" s="2217">
        <v>0.54166666666666663</v>
      </c>
      <c r="H53" s="2257">
        <v>0.54166666666666663</v>
      </c>
      <c r="I53" s="2258">
        <v>0</v>
      </c>
      <c r="J53" s="2214" t="s">
        <v>15</v>
      </c>
      <c r="K53" s="2214" t="s">
        <v>140</v>
      </c>
      <c r="L53" s="2219" t="s">
        <v>17</v>
      </c>
      <c r="M53" s="2214" t="s">
        <v>6034</v>
      </c>
    </row>
    <row r="54" spans="1:13" ht="126" x14ac:dyDescent="0.5">
      <c r="A54" s="2212">
        <v>43845</v>
      </c>
      <c r="B54" s="2213" t="s">
        <v>6194</v>
      </c>
      <c r="C54" s="2223" t="s">
        <v>6190</v>
      </c>
      <c r="D54" s="2224">
        <v>43847</v>
      </c>
      <c r="E54" s="2225" t="s">
        <v>6193</v>
      </c>
      <c r="F54" s="2217">
        <v>0.52083333333333337</v>
      </c>
      <c r="G54" s="2217">
        <v>0.52083333333333337</v>
      </c>
      <c r="H54" s="2217">
        <v>0.52083333333333337</v>
      </c>
      <c r="I54" s="2218">
        <v>0</v>
      </c>
      <c r="J54" s="2214" t="s">
        <v>16</v>
      </c>
      <c r="K54" s="2214" t="s">
        <v>15</v>
      </c>
      <c r="L54" s="2219" t="s">
        <v>17</v>
      </c>
      <c r="M54" s="2214" t="s">
        <v>6034</v>
      </c>
    </row>
    <row r="55" spans="1:13" ht="42" x14ac:dyDescent="0.5">
      <c r="A55" s="2255">
        <v>43846</v>
      </c>
      <c r="B55" s="2213" t="s">
        <v>20</v>
      </c>
      <c r="C55" s="2264" t="s">
        <v>6228</v>
      </c>
      <c r="D55" s="2265">
        <v>43847</v>
      </c>
      <c r="E55" s="2266" t="s">
        <v>20</v>
      </c>
      <c r="F55" s="2268" t="s">
        <v>15</v>
      </c>
      <c r="G55" s="2268" t="s">
        <v>15</v>
      </c>
      <c r="H55" s="2268" t="s">
        <v>15</v>
      </c>
      <c r="I55" s="2270" t="s">
        <v>15</v>
      </c>
      <c r="J55" s="2268" t="s">
        <v>15</v>
      </c>
      <c r="K55" s="2268" t="s">
        <v>15</v>
      </c>
      <c r="L55" s="2269" t="s">
        <v>17</v>
      </c>
      <c r="M55" s="2264" t="s">
        <v>20</v>
      </c>
    </row>
    <row r="56" spans="1:13" ht="42" x14ac:dyDescent="0.5">
      <c r="A56" s="2255">
        <v>43846</v>
      </c>
      <c r="B56" s="2213" t="s">
        <v>20</v>
      </c>
      <c r="C56" s="2223" t="s">
        <v>6221</v>
      </c>
      <c r="D56" s="2256">
        <v>43847</v>
      </c>
      <c r="E56" s="2225" t="s">
        <v>20</v>
      </c>
      <c r="F56" s="2214" t="s">
        <v>15</v>
      </c>
      <c r="G56" s="2214" t="s">
        <v>15</v>
      </c>
      <c r="H56" s="2214" t="s">
        <v>15</v>
      </c>
      <c r="I56" s="2258">
        <v>0</v>
      </c>
      <c r="J56" s="2214" t="s">
        <v>15</v>
      </c>
      <c r="K56" s="2214" t="s">
        <v>15</v>
      </c>
      <c r="L56" s="2219" t="s">
        <v>17</v>
      </c>
      <c r="M56" s="2214" t="s">
        <v>20</v>
      </c>
    </row>
    <row r="57" spans="1:13" x14ac:dyDescent="0.5">
      <c r="A57" s="2212">
        <v>43844</v>
      </c>
      <c r="B57" s="2213" t="s">
        <v>20</v>
      </c>
      <c r="C57" s="2214" t="s">
        <v>6184</v>
      </c>
      <c r="D57" s="2215">
        <v>43847</v>
      </c>
      <c r="E57" s="2216" t="s">
        <v>20</v>
      </c>
      <c r="F57" s="2214" t="s">
        <v>15</v>
      </c>
      <c r="G57" s="2214" t="s">
        <v>15</v>
      </c>
      <c r="H57" s="2214" t="s">
        <v>15</v>
      </c>
      <c r="I57" s="2218">
        <v>0</v>
      </c>
      <c r="J57" s="2214" t="s">
        <v>15</v>
      </c>
      <c r="K57" s="2214" t="s">
        <v>15</v>
      </c>
      <c r="L57" s="2219" t="s">
        <v>17</v>
      </c>
      <c r="M57" s="2214" t="s">
        <v>20</v>
      </c>
    </row>
    <row r="58" spans="1:13" x14ac:dyDescent="0.5">
      <c r="A58" s="2212">
        <v>43845</v>
      </c>
      <c r="B58" s="2213" t="s">
        <v>6191</v>
      </c>
      <c r="C58" s="2223" t="s">
        <v>6192</v>
      </c>
      <c r="D58" s="2224">
        <v>43847</v>
      </c>
      <c r="E58" s="2225" t="s">
        <v>126</v>
      </c>
      <c r="F58" s="2217">
        <v>0.45833333333333331</v>
      </c>
      <c r="G58" s="2217">
        <v>0.58333333333333337</v>
      </c>
      <c r="H58" s="2217">
        <v>0.58333333333333337</v>
      </c>
      <c r="I58" s="2229">
        <v>60</v>
      </c>
      <c r="J58" s="2214" t="s">
        <v>257</v>
      </c>
      <c r="K58" s="2214" t="s">
        <v>140</v>
      </c>
      <c r="L58" s="2219" t="s">
        <v>17</v>
      </c>
      <c r="M58" s="2214" t="s">
        <v>6053</v>
      </c>
    </row>
    <row r="59" spans="1:13" ht="105" x14ac:dyDescent="0.5">
      <c r="A59" s="2212">
        <v>43843</v>
      </c>
      <c r="B59" s="2213" t="s">
        <v>4051</v>
      </c>
      <c r="C59" s="2223" t="s">
        <v>6185</v>
      </c>
      <c r="D59" s="2224">
        <v>43847</v>
      </c>
      <c r="E59" s="2216" t="s">
        <v>290</v>
      </c>
      <c r="F59" s="2226">
        <v>0.45833333333333331</v>
      </c>
      <c r="G59" s="2226">
        <v>0.5</v>
      </c>
      <c r="H59" s="2226">
        <v>0.83333333333333337</v>
      </c>
      <c r="I59" s="2227">
        <v>0</v>
      </c>
      <c r="J59" s="2214" t="s">
        <v>6186</v>
      </c>
      <c r="K59" s="2214" t="s">
        <v>140</v>
      </c>
      <c r="L59" s="2219" t="s">
        <v>22</v>
      </c>
      <c r="M59" s="2214" t="s">
        <v>6034</v>
      </c>
    </row>
    <row r="60" spans="1:13" ht="105" x14ac:dyDescent="0.5">
      <c r="A60" s="2319">
        <v>43846</v>
      </c>
      <c r="B60" s="2315" t="s">
        <v>3642</v>
      </c>
      <c r="C60" s="2247" t="s">
        <v>6226</v>
      </c>
      <c r="D60" s="2320">
        <v>43847</v>
      </c>
      <c r="E60" s="2291" t="s">
        <v>4109</v>
      </c>
      <c r="F60" s="2287">
        <v>0.66666666666666663</v>
      </c>
      <c r="G60" s="2321">
        <v>0.70833333333333337</v>
      </c>
      <c r="H60" s="2321">
        <v>0.70833333333333337</v>
      </c>
      <c r="I60" s="2322">
        <f>0.7*(2*12+2*12+1*15+2*15)</f>
        <v>65.099999999999994</v>
      </c>
      <c r="J60" s="2247" t="s">
        <v>6227</v>
      </c>
      <c r="K60" s="2247" t="s">
        <v>140</v>
      </c>
      <c r="L60" s="2318" t="s">
        <v>17</v>
      </c>
      <c r="M60" s="2247" t="s">
        <v>6053</v>
      </c>
    </row>
    <row r="61" spans="1:13" ht="42" x14ac:dyDescent="0.5">
      <c r="A61" s="2212">
        <v>43841</v>
      </c>
      <c r="B61" s="2213" t="s">
        <v>6131</v>
      </c>
      <c r="C61" s="2223" t="s">
        <v>6132</v>
      </c>
      <c r="D61" s="2224">
        <v>43847</v>
      </c>
      <c r="E61" s="2216" t="s">
        <v>5494</v>
      </c>
      <c r="F61" s="2226">
        <v>0.41666666666666669</v>
      </c>
      <c r="G61" s="2226">
        <v>0.41666666666666669</v>
      </c>
      <c r="H61" s="2226">
        <v>0.41666666666666669</v>
      </c>
      <c r="I61" s="2229">
        <v>200</v>
      </c>
      <c r="J61" s="2214" t="s">
        <v>6133</v>
      </c>
      <c r="K61" s="2214" t="s">
        <v>15</v>
      </c>
      <c r="L61" s="2219" t="s">
        <v>17</v>
      </c>
      <c r="M61" s="2214" t="s">
        <v>5367</v>
      </c>
    </row>
    <row r="62" spans="1:13" ht="84" x14ac:dyDescent="0.5">
      <c r="A62" s="2255">
        <v>43846</v>
      </c>
      <c r="B62" s="2213" t="s">
        <v>6224</v>
      </c>
      <c r="C62" s="2223" t="s">
        <v>6225</v>
      </c>
      <c r="D62" s="2262">
        <v>43847</v>
      </c>
      <c r="E62" s="2216" t="s">
        <v>5494</v>
      </c>
      <c r="F62" s="2217">
        <v>0.66666666666666663</v>
      </c>
      <c r="G62" s="2257">
        <v>0.66666666666666663</v>
      </c>
      <c r="H62" s="2257">
        <v>0.66666666666666663</v>
      </c>
      <c r="I62" s="2258">
        <v>0</v>
      </c>
      <c r="J62" s="2214" t="s">
        <v>15</v>
      </c>
      <c r="K62" s="2214" t="s">
        <v>15</v>
      </c>
      <c r="L62" s="2219" t="s">
        <v>17</v>
      </c>
      <c r="M62" s="2214" t="s">
        <v>6034</v>
      </c>
    </row>
    <row r="63" spans="1:13" ht="84" x14ac:dyDescent="0.5">
      <c r="A63" s="2212">
        <v>43841</v>
      </c>
      <c r="B63" s="2213" t="s">
        <v>6131</v>
      </c>
      <c r="C63" s="2223" t="s">
        <v>6134</v>
      </c>
      <c r="D63" s="2224">
        <v>43847</v>
      </c>
      <c r="E63" s="2216" t="s">
        <v>5494</v>
      </c>
      <c r="F63" s="2226">
        <v>0.70833333333333337</v>
      </c>
      <c r="G63" s="2226">
        <v>0.70833333333333337</v>
      </c>
      <c r="H63" s="2226">
        <v>0.70833333333333337</v>
      </c>
      <c r="I63" s="2229">
        <f>6*120</f>
        <v>720</v>
      </c>
      <c r="J63" s="2214" t="s">
        <v>6135</v>
      </c>
      <c r="K63" s="2214" t="s">
        <v>15</v>
      </c>
      <c r="L63" s="2219" t="s">
        <v>17</v>
      </c>
      <c r="M63" s="2214" t="s">
        <v>5367</v>
      </c>
    </row>
    <row r="64" spans="1:13" ht="76.5" customHeight="1" x14ac:dyDescent="0.5">
      <c r="A64" s="2255">
        <v>43846</v>
      </c>
      <c r="B64" s="2213" t="s">
        <v>68</v>
      </c>
      <c r="C64" s="2223" t="s">
        <v>6217</v>
      </c>
      <c r="D64" s="2256">
        <v>43848</v>
      </c>
      <c r="E64" s="2225" t="s">
        <v>5122</v>
      </c>
      <c r="F64" s="2217">
        <v>0.41666666666666669</v>
      </c>
      <c r="G64" s="2257">
        <v>0.45833333333333331</v>
      </c>
      <c r="H64" s="2257">
        <v>0.45833333333333331</v>
      </c>
      <c r="I64" s="2258">
        <v>323.73</v>
      </c>
      <c r="J64" s="2252" t="s">
        <v>6038</v>
      </c>
      <c r="K64" s="2214" t="s">
        <v>119</v>
      </c>
      <c r="L64" s="2219" t="s">
        <v>17</v>
      </c>
      <c r="M64" s="2214" t="s">
        <v>3904</v>
      </c>
    </row>
    <row r="65" spans="1:13" ht="84" x14ac:dyDescent="0.5">
      <c r="A65" s="2245">
        <v>43845</v>
      </c>
      <c r="B65" s="2246" t="s">
        <v>6195</v>
      </c>
      <c r="C65" s="2251" t="s">
        <v>6222</v>
      </c>
      <c r="D65" s="2248">
        <v>43848</v>
      </c>
      <c r="E65" s="2249" t="s">
        <v>6196</v>
      </c>
      <c r="F65" s="2250">
        <v>0.41666666666666669</v>
      </c>
      <c r="G65" s="2250">
        <v>0.5</v>
      </c>
      <c r="H65" s="2250">
        <v>0.5</v>
      </c>
      <c r="I65" s="2227">
        <f>5*75</f>
        <v>375</v>
      </c>
      <c r="J65" s="2252" t="s">
        <v>6197</v>
      </c>
      <c r="K65" s="2214" t="s">
        <v>119</v>
      </c>
      <c r="L65" s="2219" t="s">
        <v>17</v>
      </c>
      <c r="M65" s="2214" t="s">
        <v>6198</v>
      </c>
    </row>
    <row r="66" spans="1:13" ht="64.650000000000006" customHeight="1" x14ac:dyDescent="0.5">
      <c r="A66" s="2314">
        <v>43844</v>
      </c>
      <c r="B66" s="2315" t="s">
        <v>6172</v>
      </c>
      <c r="C66" s="2247" t="s">
        <v>6210</v>
      </c>
      <c r="D66" s="2316">
        <v>43848</v>
      </c>
      <c r="E66" s="2291" t="s">
        <v>5489</v>
      </c>
      <c r="F66" s="2287">
        <v>0.41666666666666669</v>
      </c>
      <c r="G66" s="2287">
        <v>0.54166666666666663</v>
      </c>
      <c r="H66" s="2287">
        <v>0.54166666666666663</v>
      </c>
      <c r="I66" s="2317">
        <v>250</v>
      </c>
      <c r="J66" s="2247" t="s">
        <v>6173</v>
      </c>
      <c r="K66" s="2247" t="s">
        <v>119</v>
      </c>
      <c r="L66" s="2318" t="s">
        <v>17</v>
      </c>
      <c r="M66" s="2247" t="s">
        <v>5489</v>
      </c>
    </row>
    <row r="67" spans="1:13" ht="409.5" x14ac:dyDescent="0.5">
      <c r="A67" s="2245">
        <v>43840</v>
      </c>
      <c r="B67" s="2246" t="s">
        <v>5489</v>
      </c>
      <c r="C67" s="2251" t="s">
        <v>6211</v>
      </c>
      <c r="D67" s="2248">
        <v>43848</v>
      </c>
      <c r="E67" s="2249" t="s">
        <v>5489</v>
      </c>
      <c r="F67" s="2250">
        <v>0.41666666666666669</v>
      </c>
      <c r="G67" s="2250">
        <v>0.54166666666666663</v>
      </c>
      <c r="H67" s="2250">
        <v>0.54166666666666663</v>
      </c>
      <c r="I67" s="2218">
        <v>1300</v>
      </c>
      <c r="J67" s="2252" t="s">
        <v>6122</v>
      </c>
      <c r="K67" s="2214" t="s">
        <v>119</v>
      </c>
      <c r="L67" s="2219" t="s">
        <v>17</v>
      </c>
      <c r="M67" s="2214" t="s">
        <v>5489</v>
      </c>
    </row>
    <row r="68" spans="1:13" ht="168" x14ac:dyDescent="0.5">
      <c r="A68" s="2314">
        <v>43845</v>
      </c>
      <c r="B68" s="2315" t="s">
        <v>6201</v>
      </c>
      <c r="C68" s="2247" t="s">
        <v>6202</v>
      </c>
      <c r="D68" s="2316">
        <v>43848</v>
      </c>
      <c r="E68" s="2291" t="s">
        <v>1043</v>
      </c>
      <c r="F68" s="2287">
        <v>0.66666666666666663</v>
      </c>
      <c r="G68" s="2287">
        <v>0.70833333333333337</v>
      </c>
      <c r="H68" s="2287">
        <v>0.70833333333333337</v>
      </c>
      <c r="I68" s="2317">
        <f>((4+4+4+4+4)*15+(4*5))*0.7</f>
        <v>224</v>
      </c>
      <c r="J68" s="2247" t="s">
        <v>6248</v>
      </c>
      <c r="K68" s="2247" t="s">
        <v>119</v>
      </c>
      <c r="L68" s="2318" t="s">
        <v>17</v>
      </c>
      <c r="M68" s="2247" t="s">
        <v>6053</v>
      </c>
    </row>
    <row r="69" spans="1:13" ht="63" x14ac:dyDescent="0.5">
      <c r="A69" s="2212">
        <v>43845</v>
      </c>
      <c r="B69" s="2213" t="s">
        <v>6204</v>
      </c>
      <c r="C69" s="2223" t="s">
        <v>6205</v>
      </c>
      <c r="D69" s="2224">
        <v>43848</v>
      </c>
      <c r="E69" s="2216" t="s">
        <v>5494</v>
      </c>
      <c r="F69" s="2226">
        <v>0.41666666666666669</v>
      </c>
      <c r="G69" s="2226">
        <v>0.41666666666666669</v>
      </c>
      <c r="H69" s="2226">
        <v>0.41666666666666669</v>
      </c>
      <c r="I69" s="2229">
        <f>1.6*120</f>
        <v>192</v>
      </c>
      <c r="J69" s="2214" t="s">
        <v>6049</v>
      </c>
      <c r="K69" s="2214" t="s">
        <v>15</v>
      </c>
      <c r="L69" s="2219" t="s">
        <v>17</v>
      </c>
      <c r="M69" s="2214" t="s">
        <v>6053</v>
      </c>
    </row>
    <row r="70" spans="1:13" ht="105" x14ac:dyDescent="0.5">
      <c r="A70" s="2273">
        <v>43847</v>
      </c>
      <c r="B70" s="2371" t="s">
        <v>6241</v>
      </c>
      <c r="C70" s="2223" t="s">
        <v>6242</v>
      </c>
      <c r="D70" s="2278">
        <v>43848</v>
      </c>
      <c r="E70" s="2408" t="s">
        <v>5494</v>
      </c>
      <c r="F70" s="2226">
        <v>0.5</v>
      </c>
      <c r="G70" s="2279">
        <v>0.5</v>
      </c>
      <c r="H70" s="2279">
        <v>0.5</v>
      </c>
      <c r="I70" s="2323">
        <v>240</v>
      </c>
      <c r="J70" s="2223" t="s">
        <v>294</v>
      </c>
      <c r="K70" s="2223" t="s">
        <v>15</v>
      </c>
      <c r="L70" s="2236" t="s">
        <v>17</v>
      </c>
      <c r="M70" s="2223" t="s">
        <v>6053</v>
      </c>
    </row>
    <row r="71" spans="1:13" ht="42" x14ac:dyDescent="0.5">
      <c r="A71" s="2273">
        <v>43847</v>
      </c>
      <c r="B71" s="2213" t="s">
        <v>6238</v>
      </c>
      <c r="C71" s="2223" t="s">
        <v>6239</v>
      </c>
      <c r="D71" s="2278">
        <v>43848</v>
      </c>
      <c r="E71" s="2225" t="s">
        <v>5494</v>
      </c>
      <c r="F71" s="2226">
        <v>0.58333333333333337</v>
      </c>
      <c r="G71" s="2279">
        <v>0.58333333333333337</v>
      </c>
      <c r="H71" s="2279">
        <v>0.58333333333333337</v>
      </c>
      <c r="I71" s="2323">
        <v>100</v>
      </c>
      <c r="J71" s="2223" t="s">
        <v>6240</v>
      </c>
      <c r="K71" s="2223" t="s">
        <v>15</v>
      </c>
      <c r="L71" s="2236" t="s">
        <v>17</v>
      </c>
      <c r="M71" s="2223" t="s">
        <v>5367</v>
      </c>
    </row>
    <row r="72" spans="1:13" ht="42" x14ac:dyDescent="0.5">
      <c r="A72" s="2400">
        <v>43844</v>
      </c>
      <c r="B72" s="2403" t="s">
        <v>6187</v>
      </c>
      <c r="C72" s="2405" t="s">
        <v>6188</v>
      </c>
      <c r="D72" s="2406">
        <v>43848</v>
      </c>
      <c r="E72" s="2409" t="s">
        <v>5494</v>
      </c>
      <c r="F72" s="2411">
        <v>0.70833333333333337</v>
      </c>
      <c r="G72" s="2411">
        <v>0.70833333333333337</v>
      </c>
      <c r="H72" s="2373">
        <v>0.70833333333333337</v>
      </c>
      <c r="I72" s="2415">
        <v>200</v>
      </c>
      <c r="J72" s="2242" t="s">
        <v>257</v>
      </c>
      <c r="K72" s="2223" t="s">
        <v>15</v>
      </c>
      <c r="L72" s="2416" t="s">
        <v>17</v>
      </c>
      <c r="M72" s="2214" t="s">
        <v>6053</v>
      </c>
    </row>
    <row r="73" spans="1:13" ht="105" x14ac:dyDescent="0.5">
      <c r="A73" s="2273">
        <v>44182</v>
      </c>
      <c r="B73" s="2213" t="s">
        <v>20</v>
      </c>
      <c r="C73" s="2223" t="s">
        <v>6247</v>
      </c>
      <c r="D73" s="2278">
        <v>43848</v>
      </c>
      <c r="E73" s="2225" t="s">
        <v>20</v>
      </c>
      <c r="F73" s="2225" t="s">
        <v>15</v>
      </c>
      <c r="G73" s="2225" t="s">
        <v>20</v>
      </c>
      <c r="H73" s="2225" t="s">
        <v>20</v>
      </c>
      <c r="I73" s="2280">
        <v>0</v>
      </c>
      <c r="J73" s="2225" t="s">
        <v>20</v>
      </c>
      <c r="K73" s="2225" t="s">
        <v>15</v>
      </c>
      <c r="L73" s="2236" t="s">
        <v>17</v>
      </c>
      <c r="M73" s="2223" t="s">
        <v>20</v>
      </c>
    </row>
    <row r="74" spans="1:13" ht="189" x14ac:dyDescent="0.5">
      <c r="A74" s="2231">
        <v>43844</v>
      </c>
      <c r="B74" s="2232" t="s">
        <v>6212</v>
      </c>
      <c r="C74" s="2233" t="s">
        <v>6213</v>
      </c>
      <c r="D74" s="2234">
        <v>43849</v>
      </c>
      <c r="E74" s="2235" t="s">
        <v>6179</v>
      </c>
      <c r="F74" s="2253">
        <v>0.33333333333333331</v>
      </c>
      <c r="G74" s="2253">
        <v>0.375</v>
      </c>
      <c r="H74" s="2253">
        <v>0.375</v>
      </c>
      <c r="I74" s="2229">
        <v>200</v>
      </c>
      <c r="J74" s="2214" t="s">
        <v>6180</v>
      </c>
      <c r="K74" s="2223" t="s">
        <v>119</v>
      </c>
      <c r="L74" s="2219" t="s">
        <v>17</v>
      </c>
      <c r="M74" s="2214" t="s">
        <v>2084</v>
      </c>
    </row>
    <row r="75" spans="1:13" ht="126" x14ac:dyDescent="0.5">
      <c r="A75" s="2212">
        <v>43843</v>
      </c>
      <c r="B75" s="2213" t="s">
        <v>6162</v>
      </c>
      <c r="C75" s="2223" t="s">
        <v>6260</v>
      </c>
      <c r="D75" s="2224">
        <v>43849</v>
      </c>
      <c r="E75" s="2225" t="s">
        <v>6163</v>
      </c>
      <c r="F75" s="2226">
        <v>0.33333333333333331</v>
      </c>
      <c r="G75" s="2226">
        <v>0.4375</v>
      </c>
      <c r="H75" s="2226">
        <v>0.4375</v>
      </c>
      <c r="I75" s="2229">
        <v>360</v>
      </c>
      <c r="J75" s="2223" t="s">
        <v>6164</v>
      </c>
      <c r="K75" s="2223" t="s">
        <v>119</v>
      </c>
      <c r="L75" s="2236" t="s">
        <v>17</v>
      </c>
      <c r="M75" s="2223" t="s">
        <v>2960</v>
      </c>
    </row>
    <row r="76" spans="1:13" ht="126" x14ac:dyDescent="0.5">
      <c r="A76" s="2245">
        <v>43844</v>
      </c>
      <c r="B76" s="2246" t="s">
        <v>6174</v>
      </c>
      <c r="C76" s="2251" t="s">
        <v>6175</v>
      </c>
      <c r="D76" s="2248">
        <v>43849</v>
      </c>
      <c r="E76" s="2249" t="s">
        <v>6176</v>
      </c>
      <c r="F76" s="2250">
        <v>0.33333333333333331</v>
      </c>
      <c r="G76" s="2250">
        <v>0.4375</v>
      </c>
      <c r="H76" s="2250">
        <v>0.4375</v>
      </c>
      <c r="I76" s="2229">
        <v>650</v>
      </c>
      <c r="J76" s="2214" t="s">
        <v>6177</v>
      </c>
      <c r="K76" s="2223" t="s">
        <v>119</v>
      </c>
      <c r="L76" s="2219" t="s">
        <v>17</v>
      </c>
      <c r="M76" s="2214" t="s">
        <v>2960</v>
      </c>
    </row>
    <row r="77" spans="1:13" ht="84" x14ac:dyDescent="0.5">
      <c r="A77" s="2370">
        <v>43848</v>
      </c>
      <c r="B77" s="2232" t="s">
        <v>6254</v>
      </c>
      <c r="C77" s="2233" t="s">
        <v>6256</v>
      </c>
      <c r="D77" s="2281">
        <v>43849</v>
      </c>
      <c r="E77" s="2235" t="s">
        <v>6255</v>
      </c>
      <c r="F77" s="2253">
        <v>0.5</v>
      </c>
      <c r="G77" s="2284">
        <v>0.54166666666666663</v>
      </c>
      <c r="H77" s="2284">
        <v>0.54166666666666663</v>
      </c>
      <c r="I77" s="2323">
        <v>150</v>
      </c>
      <c r="J77" s="2223" t="s">
        <v>257</v>
      </c>
      <c r="K77" s="2223" t="s">
        <v>119</v>
      </c>
      <c r="L77" s="2219" t="s">
        <v>17</v>
      </c>
      <c r="M77" s="2214" t="s">
        <v>2084</v>
      </c>
    </row>
    <row r="78" spans="1:13" ht="84" x14ac:dyDescent="0.5">
      <c r="A78" s="2259">
        <v>43846</v>
      </c>
      <c r="B78" s="2232" t="s">
        <v>5295</v>
      </c>
      <c r="C78" s="2233" t="s">
        <v>6263</v>
      </c>
      <c r="D78" s="2260">
        <v>43849</v>
      </c>
      <c r="E78" s="2235" t="s">
        <v>5296</v>
      </c>
      <c r="F78" s="2253">
        <v>0.5</v>
      </c>
      <c r="G78" s="2261">
        <v>0.58333333333333337</v>
      </c>
      <c r="H78" s="2261">
        <v>0.58333333333333337</v>
      </c>
      <c r="I78" s="2258">
        <v>525</v>
      </c>
      <c r="J78" s="2252" t="s">
        <v>6262</v>
      </c>
      <c r="K78" s="2223" t="s">
        <v>119</v>
      </c>
      <c r="L78" s="2219" t="s">
        <v>17</v>
      </c>
      <c r="M78" s="2214" t="s">
        <v>6053</v>
      </c>
    </row>
    <row r="79" spans="1:13" ht="84" x14ac:dyDescent="0.5">
      <c r="A79" s="2259">
        <v>43846</v>
      </c>
      <c r="B79" s="2232" t="s">
        <v>6218</v>
      </c>
      <c r="C79" s="2233" t="s">
        <v>6220</v>
      </c>
      <c r="D79" s="2260">
        <v>43849</v>
      </c>
      <c r="E79" s="2235" t="s">
        <v>6219</v>
      </c>
      <c r="F79" s="2253">
        <v>0.5</v>
      </c>
      <c r="G79" s="2261">
        <v>0.625</v>
      </c>
      <c r="H79" s="2261">
        <v>0.625</v>
      </c>
      <c r="I79" s="2258">
        <f>3.5*120*0.7+73.5</f>
        <v>367.5</v>
      </c>
      <c r="J79" s="2252" t="s">
        <v>6264</v>
      </c>
      <c r="K79" s="2214" t="s">
        <v>119</v>
      </c>
      <c r="L79" s="2219" t="s">
        <v>17</v>
      </c>
      <c r="M79" s="2214" t="s">
        <v>6053</v>
      </c>
    </row>
    <row r="80" spans="1:13" ht="126" x14ac:dyDescent="0.5">
      <c r="A80" s="2222">
        <v>43843</v>
      </c>
      <c r="B80" s="2223" t="s">
        <v>6250</v>
      </c>
      <c r="C80" s="2223" t="s">
        <v>6249</v>
      </c>
      <c r="D80" s="2224">
        <v>43849</v>
      </c>
      <c r="E80" s="2225" t="s">
        <v>6155</v>
      </c>
      <c r="F80" s="2217">
        <v>0.5</v>
      </c>
      <c r="G80" s="2217">
        <v>0.66666666666666663</v>
      </c>
      <c r="H80" s="2217">
        <v>0.66666666666666663</v>
      </c>
      <c r="I80" s="2218">
        <v>0</v>
      </c>
      <c r="J80" s="2214" t="s">
        <v>16</v>
      </c>
      <c r="K80" s="2223" t="s">
        <v>119</v>
      </c>
      <c r="L80" s="2219" t="s">
        <v>17</v>
      </c>
      <c r="M80" s="2214" t="s">
        <v>6034</v>
      </c>
    </row>
    <row r="81" spans="1:13" ht="147" x14ac:dyDescent="0.5">
      <c r="A81" s="2401">
        <v>43847</v>
      </c>
      <c r="B81" s="2223" t="s">
        <v>6231</v>
      </c>
      <c r="C81" s="2223" t="s">
        <v>6233</v>
      </c>
      <c r="D81" s="2256">
        <v>43850</v>
      </c>
      <c r="E81" s="2225" t="s">
        <v>6232</v>
      </c>
      <c r="F81" s="2226">
        <v>0.375</v>
      </c>
      <c r="G81" s="2226">
        <v>0.4375</v>
      </c>
      <c r="H81" s="2413">
        <v>0.4375</v>
      </c>
      <c r="I81" s="2324">
        <v>538</v>
      </c>
      <c r="J81" s="2223" t="s">
        <v>6261</v>
      </c>
      <c r="K81" s="2223" t="s">
        <v>119</v>
      </c>
      <c r="L81" s="2236" t="s">
        <v>22</v>
      </c>
      <c r="M81" s="2223" t="s">
        <v>1122</v>
      </c>
    </row>
    <row r="82" spans="1:13" ht="225" customHeight="1" x14ac:dyDescent="0.5">
      <c r="A82" s="2402">
        <v>43846</v>
      </c>
      <c r="B82" s="2404" t="s">
        <v>3223</v>
      </c>
      <c r="C82" s="2264" t="s">
        <v>6265</v>
      </c>
      <c r="D82" s="2407">
        <v>43850</v>
      </c>
      <c r="E82" s="2410" t="s">
        <v>2034</v>
      </c>
      <c r="F82" s="2412">
        <v>0.375</v>
      </c>
      <c r="G82" s="2412">
        <v>0.47916666666666669</v>
      </c>
      <c r="H82" s="2414">
        <v>0.47916666666666669</v>
      </c>
      <c r="I82" s="2267">
        <v>0</v>
      </c>
      <c r="J82" s="2264" t="s">
        <v>15</v>
      </c>
      <c r="K82" s="2264" t="s">
        <v>15</v>
      </c>
      <c r="L82" s="2214" t="s">
        <v>17</v>
      </c>
      <c r="M82" s="2214" t="s">
        <v>6034</v>
      </c>
    </row>
    <row r="83" spans="1:13" ht="225" customHeight="1" x14ac:dyDescent="0.5">
      <c r="A83" s="2276">
        <v>44182</v>
      </c>
      <c r="B83" s="2246" t="s">
        <v>6243</v>
      </c>
      <c r="C83" s="2251" t="s">
        <v>6246</v>
      </c>
      <c r="D83" s="2277">
        <v>43850</v>
      </c>
      <c r="E83" s="2249" t="s">
        <v>6244</v>
      </c>
      <c r="F83" s="2250">
        <v>0.70833333333333337</v>
      </c>
      <c r="G83" s="2279">
        <v>0.75</v>
      </c>
      <c r="H83" s="2279">
        <v>0.75</v>
      </c>
      <c r="I83" s="2280">
        <v>358</v>
      </c>
      <c r="J83" s="2223" t="s">
        <v>6245</v>
      </c>
      <c r="K83" s="2223" t="s">
        <v>15</v>
      </c>
      <c r="L83" s="2236" t="s">
        <v>17</v>
      </c>
      <c r="M83" s="2223" t="s">
        <v>2084</v>
      </c>
    </row>
    <row r="84" spans="1:13" ht="189" customHeight="1" x14ac:dyDescent="0.5">
      <c r="A84" s="2273">
        <v>43848</v>
      </c>
      <c r="B84" s="2213" t="s">
        <v>6251</v>
      </c>
      <c r="C84" s="2233" t="s">
        <v>6252</v>
      </c>
      <c r="D84" s="2281">
        <v>43851</v>
      </c>
      <c r="E84" s="2235" t="s">
        <v>6253</v>
      </c>
      <c r="F84" s="2217">
        <v>0.45833333333333331</v>
      </c>
      <c r="G84" s="2282">
        <v>0.5</v>
      </c>
      <c r="H84" s="2282">
        <v>0.5</v>
      </c>
      <c r="I84" s="2323">
        <f>1.6*2*90</f>
        <v>288</v>
      </c>
      <c r="J84" s="2214" t="s">
        <v>257</v>
      </c>
      <c r="K84" s="2214" t="s">
        <v>15</v>
      </c>
      <c r="L84" s="2219" t="s">
        <v>17</v>
      </c>
      <c r="M84" s="2214" t="s">
        <v>4468</v>
      </c>
    </row>
    <row r="85" spans="1:13" ht="207.9" customHeight="1" x14ac:dyDescent="0.5">
      <c r="A85" s="2212">
        <v>43851</v>
      </c>
      <c r="B85" s="2213" t="s">
        <v>6276</v>
      </c>
      <c r="C85" s="2264" t="s">
        <v>6277</v>
      </c>
      <c r="D85" s="2292">
        <v>43852</v>
      </c>
      <c r="E85" s="2266" t="s">
        <v>6113</v>
      </c>
      <c r="F85" s="2268">
        <v>0.375</v>
      </c>
      <c r="G85" s="2268">
        <v>0.4375</v>
      </c>
      <c r="H85" s="2268">
        <v>0.4375</v>
      </c>
      <c r="I85" s="2229">
        <v>100</v>
      </c>
      <c r="J85" s="2264" t="s">
        <v>257</v>
      </c>
      <c r="K85" s="2264" t="s">
        <v>15</v>
      </c>
      <c r="L85" s="2269" t="s">
        <v>17</v>
      </c>
      <c r="M85" s="2264" t="s">
        <v>330</v>
      </c>
    </row>
    <row r="86" spans="1:13" ht="228.65" customHeight="1" x14ac:dyDescent="0.5">
      <c r="A86" s="2273">
        <v>43850</v>
      </c>
      <c r="B86" s="2371" t="s">
        <v>1877</v>
      </c>
      <c r="C86" s="2264" t="s">
        <v>6270</v>
      </c>
      <c r="D86" s="2274">
        <v>43852</v>
      </c>
      <c r="E86" s="2266" t="s">
        <v>2034</v>
      </c>
      <c r="F86" s="2268">
        <v>0.375</v>
      </c>
      <c r="G86" s="2286">
        <v>0.45833333333333331</v>
      </c>
      <c r="H86" s="2286">
        <v>0.45833333333333331</v>
      </c>
      <c r="I86" s="2270">
        <v>0</v>
      </c>
      <c r="J86" s="2264" t="s">
        <v>16</v>
      </c>
      <c r="K86" s="2264" t="s">
        <v>98</v>
      </c>
      <c r="L86" s="2219" t="s">
        <v>17</v>
      </c>
      <c r="M86" s="2214" t="s">
        <v>6034</v>
      </c>
    </row>
    <row r="87" spans="1:13" ht="154.5" customHeight="1" x14ac:dyDescent="0.5">
      <c r="A87" s="2273">
        <v>43850</v>
      </c>
      <c r="B87" s="2213" t="s">
        <v>131</v>
      </c>
      <c r="C87" s="2264" t="s">
        <v>6270</v>
      </c>
      <c r="D87" s="2274">
        <v>43852</v>
      </c>
      <c r="E87" s="2266" t="s">
        <v>2077</v>
      </c>
      <c r="F87" s="2268">
        <v>0.375</v>
      </c>
      <c r="G87" s="2268">
        <v>0.5</v>
      </c>
      <c r="H87" s="2286">
        <v>0.5</v>
      </c>
      <c r="I87" s="2275">
        <v>0</v>
      </c>
      <c r="J87" s="2264" t="s">
        <v>16</v>
      </c>
      <c r="K87" s="2264" t="s">
        <v>15</v>
      </c>
      <c r="L87" s="2219" t="s">
        <v>17</v>
      </c>
      <c r="M87" s="2214" t="s">
        <v>6034</v>
      </c>
    </row>
    <row r="88" spans="1:13" ht="379.5" customHeight="1" x14ac:dyDescent="0.5">
      <c r="A88" s="2212">
        <v>43851</v>
      </c>
      <c r="B88" s="2213" t="s">
        <v>6278</v>
      </c>
      <c r="C88" s="2264" t="s">
        <v>6279</v>
      </c>
      <c r="D88" s="2292">
        <v>43852</v>
      </c>
      <c r="E88" s="2266" t="s">
        <v>6280</v>
      </c>
      <c r="F88" s="2268">
        <v>0.66666666666666663</v>
      </c>
      <c r="G88" s="2268">
        <v>0.70833333333333337</v>
      </c>
      <c r="H88" s="2268">
        <v>0.75</v>
      </c>
      <c r="I88" s="2229">
        <v>120</v>
      </c>
      <c r="J88" s="2264" t="s">
        <v>257</v>
      </c>
      <c r="K88" s="2264" t="s">
        <v>15</v>
      </c>
      <c r="L88" s="2269" t="s">
        <v>17</v>
      </c>
      <c r="M88" s="2264" t="s">
        <v>330</v>
      </c>
    </row>
    <row r="89" spans="1:13" ht="42" x14ac:dyDescent="0.5">
      <c r="A89" s="2273">
        <v>43850</v>
      </c>
      <c r="B89" s="2213" t="s">
        <v>20</v>
      </c>
      <c r="C89" s="2214" t="s">
        <v>6267</v>
      </c>
      <c r="D89" s="2285">
        <v>43852</v>
      </c>
      <c r="E89" s="2216" t="s">
        <v>20</v>
      </c>
      <c r="F89" s="2217" t="s">
        <v>15</v>
      </c>
      <c r="G89" s="2217" t="s">
        <v>15</v>
      </c>
      <c r="H89" s="2217" t="s">
        <v>15</v>
      </c>
      <c r="I89" s="2283">
        <v>0</v>
      </c>
      <c r="J89" s="2214" t="s">
        <v>20</v>
      </c>
      <c r="K89" s="2214" t="s">
        <v>15</v>
      </c>
      <c r="L89" s="2219" t="s">
        <v>17</v>
      </c>
      <c r="M89" s="2214" t="s">
        <v>20</v>
      </c>
    </row>
    <row r="90" spans="1:13" s="2244" customFormat="1" ht="177" customHeight="1" x14ac:dyDescent="0.5">
      <c r="A90" s="2273">
        <v>43851</v>
      </c>
      <c r="B90" s="2213" t="s">
        <v>20</v>
      </c>
      <c r="C90" s="2263" t="s">
        <v>6284</v>
      </c>
      <c r="D90" s="2285">
        <v>43852</v>
      </c>
      <c r="E90" s="2372" t="s">
        <v>5494</v>
      </c>
      <c r="F90" s="2217" t="s">
        <v>15</v>
      </c>
      <c r="G90" s="2217" t="s">
        <v>15</v>
      </c>
      <c r="H90" s="2217" t="s">
        <v>15</v>
      </c>
      <c r="I90" s="2283">
        <v>0</v>
      </c>
      <c r="J90" s="2214" t="s">
        <v>15</v>
      </c>
      <c r="K90" s="2214" t="s">
        <v>15</v>
      </c>
      <c r="L90" s="2219" t="s">
        <v>17</v>
      </c>
      <c r="M90" s="2214" t="s">
        <v>20</v>
      </c>
    </row>
    <row r="91" spans="1:13" s="2244" customFormat="1" ht="117.9" customHeight="1" x14ac:dyDescent="0.5">
      <c r="A91" s="2297">
        <v>43852</v>
      </c>
      <c r="B91" s="2213" t="s">
        <v>20</v>
      </c>
      <c r="C91" s="2223" t="s">
        <v>6290</v>
      </c>
      <c r="D91" s="2298">
        <v>43853</v>
      </c>
      <c r="E91" s="2216" t="s">
        <v>20</v>
      </c>
      <c r="F91" s="2217" t="s">
        <v>15</v>
      </c>
      <c r="G91" s="2217" t="s">
        <v>15</v>
      </c>
      <c r="H91" s="2217" t="s">
        <v>15</v>
      </c>
      <c r="I91" s="2283">
        <v>0</v>
      </c>
      <c r="J91" s="2214" t="s">
        <v>20</v>
      </c>
      <c r="K91" s="2214" t="s">
        <v>15</v>
      </c>
      <c r="L91" s="2236" t="s">
        <v>22</v>
      </c>
      <c r="M91" s="2214" t="s">
        <v>20</v>
      </c>
    </row>
    <row r="92" spans="1:13" s="2244" customFormat="1" ht="156.9" customHeight="1" x14ac:dyDescent="0.5">
      <c r="A92" s="2273">
        <v>43848</v>
      </c>
      <c r="B92" s="2213" t="s">
        <v>6257</v>
      </c>
      <c r="C92" s="2233" t="s">
        <v>6258</v>
      </c>
      <c r="D92" s="2281">
        <v>43853</v>
      </c>
      <c r="E92" s="2235" t="s">
        <v>5494</v>
      </c>
      <c r="F92" s="2253">
        <v>0.375</v>
      </c>
      <c r="G92" s="2284">
        <v>0.375</v>
      </c>
      <c r="H92" s="2284">
        <v>0.375</v>
      </c>
      <c r="I92" s="2283">
        <v>528</v>
      </c>
      <c r="J92" s="2223" t="s">
        <v>6259</v>
      </c>
      <c r="K92" s="2214" t="s">
        <v>15</v>
      </c>
      <c r="L92" s="2219" t="s">
        <v>17</v>
      </c>
      <c r="M92" s="2214" t="s">
        <v>5367</v>
      </c>
    </row>
    <row r="93" spans="1:13" s="2244" customFormat="1" ht="252" customHeight="1" x14ac:dyDescent="0.5">
      <c r="A93" s="2276">
        <v>43850</v>
      </c>
      <c r="B93" s="2246" t="s">
        <v>6266</v>
      </c>
      <c r="C93" s="2251" t="s">
        <v>6294</v>
      </c>
      <c r="D93" s="2277">
        <v>43854</v>
      </c>
      <c r="E93" s="2249" t="s">
        <v>6176</v>
      </c>
      <c r="F93" s="2217">
        <v>0.40277777777777773</v>
      </c>
      <c r="G93" s="2282">
        <v>0.4375</v>
      </c>
      <c r="H93" s="2282">
        <v>0.4375</v>
      </c>
      <c r="I93" s="2323">
        <f>3.6*130</f>
        <v>468</v>
      </c>
      <c r="J93" s="2214" t="s">
        <v>257</v>
      </c>
      <c r="K93" s="2214" t="s">
        <v>15</v>
      </c>
      <c r="L93" s="2219" t="s">
        <v>17</v>
      </c>
      <c r="M93" s="2214" t="s">
        <v>2960</v>
      </c>
    </row>
    <row r="94" spans="1:13" s="2244" customFormat="1" ht="252" customHeight="1" x14ac:dyDescent="0.5">
      <c r="A94" s="2212">
        <v>43852</v>
      </c>
      <c r="B94" s="2213" t="s">
        <v>6034</v>
      </c>
      <c r="C94" s="2264" t="s">
        <v>6296</v>
      </c>
      <c r="D94" s="2274">
        <v>43854</v>
      </c>
      <c r="E94" s="2266" t="s">
        <v>5367</v>
      </c>
      <c r="F94" s="2268">
        <v>0.53125</v>
      </c>
      <c r="G94" s="2286">
        <v>0.53125</v>
      </c>
      <c r="H94" s="2286">
        <v>0.53125</v>
      </c>
      <c r="I94" s="2275">
        <v>0</v>
      </c>
      <c r="J94" s="2268" t="s">
        <v>16</v>
      </c>
      <c r="K94" s="2268" t="s">
        <v>15</v>
      </c>
      <c r="L94" s="2219" t="s">
        <v>17</v>
      </c>
      <c r="M94" s="2214" t="s">
        <v>6034</v>
      </c>
    </row>
    <row r="95" spans="1:13" s="2244" customFormat="1" ht="225.65" customHeight="1" x14ac:dyDescent="0.5">
      <c r="A95" s="2212">
        <v>43844</v>
      </c>
      <c r="B95" s="2213" t="s">
        <v>20</v>
      </c>
      <c r="C95" s="2223" t="s">
        <v>6183</v>
      </c>
      <c r="D95" s="2224">
        <v>43854</v>
      </c>
      <c r="E95" s="2216" t="s">
        <v>15</v>
      </c>
      <c r="F95" s="2216" t="s">
        <v>15</v>
      </c>
      <c r="G95" s="2216" t="s">
        <v>15</v>
      </c>
      <c r="H95" s="2216" t="s">
        <v>15</v>
      </c>
      <c r="I95" s="2218">
        <v>0</v>
      </c>
      <c r="J95" s="2216" t="s">
        <v>15</v>
      </c>
      <c r="K95" s="2216" t="s">
        <v>15</v>
      </c>
      <c r="L95" s="2219" t="s">
        <v>17</v>
      </c>
      <c r="M95" s="2214" t="s">
        <v>20</v>
      </c>
    </row>
    <row r="96" spans="1:13" s="2244" customFormat="1" ht="225.65" customHeight="1" x14ac:dyDescent="0.5">
      <c r="A96" s="2276">
        <v>43851</v>
      </c>
      <c r="B96" s="2246" t="s">
        <v>6283</v>
      </c>
      <c r="C96" s="2251" t="s">
        <v>6281</v>
      </c>
      <c r="D96" s="2277">
        <v>43855</v>
      </c>
      <c r="E96" s="2249" t="s">
        <v>6176</v>
      </c>
      <c r="F96" s="2250">
        <v>0.39583333333333331</v>
      </c>
      <c r="G96" s="2289">
        <v>0.4375</v>
      </c>
      <c r="H96" s="2289">
        <v>0.4375</v>
      </c>
      <c r="I96" s="2324">
        <v>360</v>
      </c>
      <c r="J96" s="2214" t="s">
        <v>6282</v>
      </c>
      <c r="K96" s="2214" t="s">
        <v>140</v>
      </c>
      <c r="L96" s="2219" t="s">
        <v>17</v>
      </c>
      <c r="M96" s="2214" t="s">
        <v>2960</v>
      </c>
    </row>
    <row r="97" spans="1:13" s="2244" customFormat="1" ht="252" customHeight="1" x14ac:dyDescent="0.5">
      <c r="A97" s="2276">
        <v>43851</v>
      </c>
      <c r="B97" s="2246" t="s">
        <v>6331</v>
      </c>
      <c r="C97" s="2251" t="s">
        <v>6330</v>
      </c>
      <c r="D97" s="2277">
        <v>43855</v>
      </c>
      <c r="E97" s="2237" t="s">
        <v>6332</v>
      </c>
      <c r="F97" s="2250">
        <v>0.48958333333333331</v>
      </c>
      <c r="G97" s="2250">
        <v>0.52083333333333337</v>
      </c>
      <c r="H97" s="2250">
        <v>0.52083333333333337</v>
      </c>
      <c r="I97" s="2283">
        <v>1710</v>
      </c>
      <c r="J97" s="2299" t="s">
        <v>1404</v>
      </c>
      <c r="K97" s="2214" t="s">
        <v>140</v>
      </c>
      <c r="L97" s="2219" t="s">
        <v>17</v>
      </c>
      <c r="M97" s="2214" t="s">
        <v>6045</v>
      </c>
    </row>
    <row r="98" spans="1:13" s="2244" customFormat="1" ht="163.5" customHeight="1" x14ac:dyDescent="0.5">
      <c r="A98" s="2306">
        <v>43852</v>
      </c>
      <c r="B98" s="2223" t="s">
        <v>5489</v>
      </c>
      <c r="C98" s="2223" t="s">
        <v>6286</v>
      </c>
      <c r="D98" s="2278">
        <v>43855</v>
      </c>
      <c r="E98" s="2225" t="s">
        <v>5489</v>
      </c>
      <c r="F98" s="2226">
        <v>0.48958333333333331</v>
      </c>
      <c r="G98" s="2279">
        <v>0.60416666666666663</v>
      </c>
      <c r="H98" s="2279">
        <v>0.60416666666666663</v>
      </c>
      <c r="I98" s="2323">
        <v>300</v>
      </c>
      <c r="J98" s="2214" t="s">
        <v>6285</v>
      </c>
      <c r="K98" s="2214" t="s">
        <v>140</v>
      </c>
      <c r="L98" s="2219" t="s">
        <v>17</v>
      </c>
      <c r="M98" s="2214" t="s">
        <v>5489</v>
      </c>
    </row>
    <row r="99" spans="1:13" s="2244" customFormat="1" ht="183" customHeight="1" x14ac:dyDescent="0.5">
      <c r="A99" s="2297">
        <v>43853</v>
      </c>
      <c r="B99" s="2223" t="s">
        <v>6307</v>
      </c>
      <c r="C99" s="2223" t="s">
        <v>6308</v>
      </c>
      <c r="D99" s="2298">
        <v>43855</v>
      </c>
      <c r="E99" s="2225" t="s">
        <v>6309</v>
      </c>
      <c r="F99" s="2226">
        <v>0.48958333333333331</v>
      </c>
      <c r="G99" s="2300">
        <v>0.625</v>
      </c>
      <c r="H99" s="2294">
        <v>0.625</v>
      </c>
      <c r="I99" s="2366">
        <v>336</v>
      </c>
      <c r="J99" s="2214" t="s">
        <v>257</v>
      </c>
      <c r="K99" s="2214" t="s">
        <v>140</v>
      </c>
      <c r="L99" s="2219" t="s">
        <v>17</v>
      </c>
      <c r="M99" s="2214" t="s">
        <v>6041</v>
      </c>
    </row>
    <row r="100" spans="1:13" s="2244" customFormat="1" ht="281.14999999999998" customHeight="1" x14ac:dyDescent="0.5">
      <c r="A100" s="2245">
        <v>43840</v>
      </c>
      <c r="B100" s="2246" t="s">
        <v>6120</v>
      </c>
      <c r="C100" s="2251" t="s">
        <v>6271</v>
      </c>
      <c r="D100" s="2248">
        <v>43855</v>
      </c>
      <c r="E100" s="2237" t="s">
        <v>6333</v>
      </c>
      <c r="F100" s="2250">
        <v>0.65625</v>
      </c>
      <c r="G100" s="2250">
        <v>0.6875</v>
      </c>
      <c r="H100" s="2250">
        <v>0.6875</v>
      </c>
      <c r="I100" s="2218">
        <f>(4*100*4.76+150+100*120/1000*75)*0.9</f>
        <v>2658.6</v>
      </c>
      <c r="J100" s="2288" t="s">
        <v>6272</v>
      </c>
      <c r="K100" s="2214" t="s">
        <v>140</v>
      </c>
      <c r="L100" s="2219" t="s">
        <v>17</v>
      </c>
      <c r="M100" s="2214" t="s">
        <v>6121</v>
      </c>
    </row>
    <row r="101" spans="1:13" s="2244" customFormat="1" ht="281.14999999999998" customHeight="1" x14ac:dyDescent="0.5">
      <c r="A101" s="2296">
        <v>43852</v>
      </c>
      <c r="B101" s="1412" t="s">
        <v>5317</v>
      </c>
      <c r="C101" s="2233" t="s">
        <v>6289</v>
      </c>
      <c r="D101" s="2302">
        <v>43855</v>
      </c>
      <c r="E101" s="2235" t="s">
        <v>6176</v>
      </c>
      <c r="F101" s="2304">
        <v>0.65625</v>
      </c>
      <c r="G101" s="2253">
        <v>0.75</v>
      </c>
      <c r="H101" s="2217">
        <v>0.77083333333333337</v>
      </c>
      <c r="I101" s="2366">
        <v>420</v>
      </c>
      <c r="J101" s="2214" t="s">
        <v>257</v>
      </c>
      <c r="K101" s="2214" t="s">
        <v>140</v>
      </c>
      <c r="L101" s="2219" t="s">
        <v>22</v>
      </c>
      <c r="M101" s="2214" t="s">
        <v>6096</v>
      </c>
    </row>
    <row r="102" spans="1:13" s="2244" customFormat="1" ht="281.14999999999998" customHeight="1" x14ac:dyDescent="0.5">
      <c r="A102" s="2297">
        <v>43854</v>
      </c>
      <c r="B102" s="2223" t="s">
        <v>6324</v>
      </c>
      <c r="C102" s="2223" t="s">
        <v>6325</v>
      </c>
      <c r="D102" s="2298">
        <v>43855</v>
      </c>
      <c r="E102" s="2225" t="s">
        <v>6032</v>
      </c>
      <c r="F102" s="2226">
        <v>0.39583333333333331</v>
      </c>
      <c r="G102" s="2300">
        <v>0.39583333333333331</v>
      </c>
      <c r="H102" s="2300">
        <v>0.39583333333333331</v>
      </c>
      <c r="I102" s="2366">
        <v>20</v>
      </c>
      <c r="J102" s="2223" t="s">
        <v>257</v>
      </c>
      <c r="K102" s="2223" t="s">
        <v>15</v>
      </c>
      <c r="L102" s="2236" t="s">
        <v>17</v>
      </c>
      <c r="M102" s="2223" t="s">
        <v>6045</v>
      </c>
    </row>
    <row r="103" spans="1:13" s="2244" customFormat="1" ht="281.14999999999998" customHeight="1" x14ac:dyDescent="0.5">
      <c r="A103" s="2297">
        <v>43854</v>
      </c>
      <c r="B103" s="2223" t="s">
        <v>6322</v>
      </c>
      <c r="C103" s="2223" t="s">
        <v>6323</v>
      </c>
      <c r="D103" s="2298">
        <v>43855</v>
      </c>
      <c r="E103" s="2225" t="s">
        <v>5502</v>
      </c>
      <c r="F103" s="2226">
        <v>0.54166666666666663</v>
      </c>
      <c r="G103" s="2300">
        <v>0.54166666666666663</v>
      </c>
      <c r="H103" s="2300">
        <v>0.54166666666666663</v>
      </c>
      <c r="I103" s="2366">
        <f>1.8*120</f>
        <v>216</v>
      </c>
      <c r="J103" s="2223" t="s">
        <v>257</v>
      </c>
      <c r="K103" s="2214" t="s">
        <v>15</v>
      </c>
      <c r="L103" s="2236" t="s">
        <v>17</v>
      </c>
      <c r="M103" s="2223" t="s">
        <v>6053</v>
      </c>
    </row>
    <row r="104" spans="1:13" s="2244" customFormat="1" ht="281.14999999999998" customHeight="1" x14ac:dyDescent="0.5">
      <c r="A104" s="2212">
        <v>43855</v>
      </c>
      <c r="B104" s="2213" t="s">
        <v>911</v>
      </c>
      <c r="C104" s="2223" t="s">
        <v>6334</v>
      </c>
      <c r="D104" s="2224">
        <v>43856</v>
      </c>
      <c r="E104" s="2225" t="s">
        <v>6335</v>
      </c>
      <c r="F104" s="2226">
        <v>0.33333333333333331</v>
      </c>
      <c r="G104" s="2226">
        <v>0.375</v>
      </c>
      <c r="H104" s="2226">
        <v>0.375</v>
      </c>
      <c r="I104" s="2227">
        <v>0</v>
      </c>
      <c r="J104" s="2225" t="s">
        <v>6036</v>
      </c>
      <c r="K104" s="2216" t="s">
        <v>140</v>
      </c>
      <c r="L104" s="2219" t="s">
        <v>17</v>
      </c>
      <c r="M104" s="2214" t="s">
        <v>6036</v>
      </c>
    </row>
    <row r="105" spans="1:13" s="2244" customFormat="1" ht="281.14999999999998" customHeight="1" x14ac:dyDescent="0.5">
      <c r="A105" s="2374">
        <v>43866</v>
      </c>
      <c r="B105" s="2213" t="s">
        <v>6496</v>
      </c>
      <c r="C105" s="2223" t="s">
        <v>6497</v>
      </c>
      <c r="D105" s="2360">
        <v>43896</v>
      </c>
      <c r="E105" s="2225" t="s">
        <v>5489</v>
      </c>
      <c r="F105" s="2226" t="s">
        <v>15</v>
      </c>
      <c r="G105" s="2378">
        <v>0.625</v>
      </c>
      <c r="H105" s="2378">
        <v>0.75</v>
      </c>
      <c r="I105" s="2361">
        <f>5*90</f>
        <v>450</v>
      </c>
      <c r="J105" s="2214" t="s">
        <v>6498</v>
      </c>
      <c r="K105" s="2216" t="s">
        <v>15</v>
      </c>
      <c r="L105" s="2219" t="s">
        <v>17</v>
      </c>
      <c r="M105" s="2214" t="s">
        <v>5489</v>
      </c>
    </row>
    <row r="106" spans="1:13" s="2244" customFormat="1" ht="281.14999999999998" customHeight="1" x14ac:dyDescent="0.5">
      <c r="A106" s="2273">
        <v>43852</v>
      </c>
      <c r="B106" s="2213" t="s">
        <v>5489</v>
      </c>
      <c r="C106" s="2251" t="s">
        <v>6287</v>
      </c>
      <c r="D106" s="2277">
        <v>43856</v>
      </c>
      <c r="E106" s="2249" t="s">
        <v>5489</v>
      </c>
      <c r="F106" s="2217">
        <v>0.5</v>
      </c>
      <c r="G106" s="2282">
        <v>0.54166666666666663</v>
      </c>
      <c r="H106" s="2282">
        <v>0.54166666666666663</v>
      </c>
      <c r="I106" s="2323">
        <v>250</v>
      </c>
      <c r="J106" s="2214" t="s">
        <v>6285</v>
      </c>
      <c r="K106" s="2214" t="s">
        <v>15</v>
      </c>
      <c r="L106" s="2219" t="s">
        <v>17</v>
      </c>
      <c r="M106" s="2214" t="s">
        <v>5489</v>
      </c>
    </row>
    <row r="107" spans="1:13" s="2244" customFormat="1" ht="281.14999999999998" customHeight="1" x14ac:dyDescent="0.5">
      <c r="A107" s="2231">
        <v>43844</v>
      </c>
      <c r="B107" s="2232" t="s">
        <v>5489</v>
      </c>
      <c r="C107" s="2233" t="s">
        <v>6182</v>
      </c>
      <c r="D107" s="2234">
        <v>43856</v>
      </c>
      <c r="E107" s="2235" t="s">
        <v>5489</v>
      </c>
      <c r="F107" s="2253">
        <v>0.5</v>
      </c>
      <c r="G107" s="2217">
        <v>0.54166666666666663</v>
      </c>
      <c r="H107" s="2217">
        <v>0.54166666666666663</v>
      </c>
      <c r="I107" s="2229">
        <v>880</v>
      </c>
      <c r="J107" s="2214" t="s">
        <v>6181</v>
      </c>
      <c r="K107" s="2214" t="s">
        <v>15</v>
      </c>
      <c r="L107" s="2219" t="s">
        <v>17</v>
      </c>
      <c r="M107" s="2214" t="s">
        <v>5489</v>
      </c>
    </row>
    <row r="108" spans="1:13" s="2244" customFormat="1" ht="281.14999999999998" customHeight="1" x14ac:dyDescent="0.5">
      <c r="A108" s="2245">
        <v>43853</v>
      </c>
      <c r="B108" s="2246" t="s">
        <v>6298</v>
      </c>
      <c r="C108" s="2251" t="s">
        <v>6316</v>
      </c>
      <c r="D108" s="2248">
        <v>43856</v>
      </c>
      <c r="E108" s="2249" t="s">
        <v>6176</v>
      </c>
      <c r="F108" s="2217">
        <v>0.5</v>
      </c>
      <c r="G108" s="2217">
        <v>0.58333333333333337</v>
      </c>
      <c r="H108" s="2217">
        <v>0.58333333333333337</v>
      </c>
      <c r="I108" s="2229">
        <f>3*130+100</f>
        <v>490</v>
      </c>
      <c r="J108" s="2230" t="s">
        <v>6299</v>
      </c>
      <c r="K108" s="2214" t="s">
        <v>15</v>
      </c>
      <c r="L108" s="2219" t="s">
        <v>17</v>
      </c>
      <c r="M108" s="2214" t="s">
        <v>2960</v>
      </c>
    </row>
    <row r="109" spans="1:13" s="2244" customFormat="1" ht="252" customHeight="1" x14ac:dyDescent="0.5">
      <c r="A109" s="2222">
        <v>43853</v>
      </c>
      <c r="B109" s="2223" t="s">
        <v>6036</v>
      </c>
      <c r="C109" s="2223" t="s">
        <v>6295</v>
      </c>
      <c r="D109" s="2224">
        <v>43857</v>
      </c>
      <c r="E109" s="2225" t="s">
        <v>6297</v>
      </c>
      <c r="F109" s="2226">
        <v>0.375</v>
      </c>
      <c r="G109" s="2226">
        <v>0.41666666666666669</v>
      </c>
      <c r="H109" s="2226">
        <v>0.41666666666666669</v>
      </c>
      <c r="I109" s="2227">
        <v>0</v>
      </c>
      <c r="J109" s="2225" t="s">
        <v>6036</v>
      </c>
      <c r="K109" s="2216" t="s">
        <v>15</v>
      </c>
      <c r="L109" s="2219" t="s">
        <v>17</v>
      </c>
      <c r="M109" s="2214" t="s">
        <v>6036</v>
      </c>
    </row>
    <row r="110" spans="1:13" s="2244" customFormat="1" ht="252" customHeight="1" x14ac:dyDescent="0.5">
      <c r="A110" s="2273">
        <v>43850</v>
      </c>
      <c r="B110" s="2213" t="s">
        <v>6268</v>
      </c>
      <c r="C110" s="2214" t="s">
        <v>6343</v>
      </c>
      <c r="D110" s="2285">
        <v>43857</v>
      </c>
      <c r="E110" s="2216" t="s">
        <v>1731</v>
      </c>
      <c r="F110" s="2217">
        <v>0.47916666666666669</v>
      </c>
      <c r="G110" s="2282">
        <v>0.5</v>
      </c>
      <c r="H110" s="2282">
        <v>0.5</v>
      </c>
      <c r="I110" s="2283">
        <v>0</v>
      </c>
      <c r="J110" s="2214" t="s">
        <v>16</v>
      </c>
      <c r="K110" s="2214" t="s">
        <v>15</v>
      </c>
      <c r="L110" s="2219" t="s">
        <v>17</v>
      </c>
      <c r="M110" s="2214" t="s">
        <v>6034</v>
      </c>
    </row>
    <row r="111" spans="1:13" s="2244" customFormat="1" ht="252" customHeight="1" x14ac:dyDescent="0.5">
      <c r="A111" s="2273">
        <v>43850</v>
      </c>
      <c r="B111" s="2213" t="s">
        <v>6269</v>
      </c>
      <c r="C111" s="2264" t="s">
        <v>6265</v>
      </c>
      <c r="D111" s="2265">
        <v>43857</v>
      </c>
      <c r="E111" s="2266" t="s">
        <v>126</v>
      </c>
      <c r="F111" s="2268">
        <v>0.47916666666666669</v>
      </c>
      <c r="G111" s="2268">
        <v>0.52777777777777779</v>
      </c>
      <c r="H111" s="2271">
        <v>0.52777777777777779</v>
      </c>
      <c r="I111" s="2267">
        <v>0</v>
      </c>
      <c r="J111" s="2264" t="s">
        <v>15</v>
      </c>
      <c r="K111" s="2264" t="s">
        <v>15</v>
      </c>
      <c r="L111" s="2219" t="s">
        <v>17</v>
      </c>
      <c r="M111" s="2214" t="s">
        <v>6034</v>
      </c>
    </row>
    <row r="112" spans="1:13" s="2244" customFormat="1" ht="140.4" customHeight="1" x14ac:dyDescent="0.5">
      <c r="A112" s="2212">
        <v>43853</v>
      </c>
      <c r="B112" s="2213" t="s">
        <v>5412</v>
      </c>
      <c r="C112" s="2223" t="s">
        <v>6311</v>
      </c>
      <c r="D112" s="2224">
        <v>43858</v>
      </c>
      <c r="E112" s="2225" t="s">
        <v>6310</v>
      </c>
      <c r="F112" s="2226">
        <v>0.41666666666666669</v>
      </c>
      <c r="G112" s="2226">
        <v>0.45833333333333331</v>
      </c>
      <c r="H112" s="2217">
        <v>0.45833333333333331</v>
      </c>
      <c r="I112" s="2229">
        <f>3.5*90</f>
        <v>315</v>
      </c>
      <c r="J112" s="2214" t="s">
        <v>6362</v>
      </c>
      <c r="K112" s="2214" t="s">
        <v>140</v>
      </c>
      <c r="L112" s="2219" t="s">
        <v>17</v>
      </c>
      <c r="M112" s="2214" t="s">
        <v>6041</v>
      </c>
    </row>
    <row r="113" spans="1:13" s="2244" customFormat="1" ht="409.6" customHeight="1" x14ac:dyDescent="0.5">
      <c r="A113" s="2307">
        <v>43856</v>
      </c>
      <c r="B113" s="2213" t="s">
        <v>6342</v>
      </c>
      <c r="C113" s="2223" t="s">
        <v>6344</v>
      </c>
      <c r="D113" s="2311">
        <v>43858</v>
      </c>
      <c r="E113" s="2225" t="s">
        <v>6341</v>
      </c>
      <c r="F113" s="2226">
        <v>0.41666666666666669</v>
      </c>
      <c r="G113" s="2226">
        <v>0.5</v>
      </c>
      <c r="H113" s="2226">
        <v>0.5</v>
      </c>
      <c r="I113" s="2313">
        <v>0</v>
      </c>
      <c r="J113" s="2225" t="s">
        <v>16</v>
      </c>
      <c r="K113" s="2216" t="s">
        <v>140</v>
      </c>
      <c r="L113" s="2219" t="s">
        <v>17</v>
      </c>
      <c r="M113" s="2214" t="s">
        <v>6034</v>
      </c>
    </row>
    <row r="114" spans="1:13" s="2244" customFormat="1" ht="155.4" customHeight="1" x14ac:dyDescent="0.5">
      <c r="A114" s="2307">
        <v>43856</v>
      </c>
      <c r="B114" s="2213" t="s">
        <v>6339</v>
      </c>
      <c r="C114" s="2223" t="s">
        <v>6340</v>
      </c>
      <c r="D114" s="2311">
        <v>43858</v>
      </c>
      <c r="E114" s="2225" t="s">
        <v>5367</v>
      </c>
      <c r="F114" s="2226">
        <v>0.54166666666666663</v>
      </c>
      <c r="G114" s="2312">
        <v>0.54166666666666663</v>
      </c>
      <c r="H114" s="2312">
        <v>0.54166666666666663</v>
      </c>
      <c r="I114" s="2313">
        <v>0</v>
      </c>
      <c r="J114" s="2225" t="s">
        <v>16</v>
      </c>
      <c r="K114" s="2216" t="s">
        <v>15</v>
      </c>
      <c r="L114" s="2219" t="s">
        <v>17</v>
      </c>
      <c r="M114" s="2214" t="s">
        <v>6034</v>
      </c>
    </row>
    <row r="115" spans="1:13" s="2244" customFormat="1" ht="155.4" customHeight="1" x14ac:dyDescent="0.5">
      <c r="A115" s="2212">
        <v>43857</v>
      </c>
      <c r="B115" s="2213" t="s">
        <v>6346</v>
      </c>
      <c r="C115" s="2223" t="s">
        <v>6345</v>
      </c>
      <c r="D115" s="2224">
        <v>43858</v>
      </c>
      <c r="E115" s="2216" t="s">
        <v>5494</v>
      </c>
      <c r="F115" s="2217">
        <v>0.75</v>
      </c>
      <c r="G115" s="2217">
        <v>0.75</v>
      </c>
      <c r="H115" s="2217">
        <v>0.75</v>
      </c>
      <c r="I115" s="2218">
        <v>180</v>
      </c>
      <c r="J115" s="2214" t="s">
        <v>257</v>
      </c>
      <c r="K115" s="2214" t="s">
        <v>15</v>
      </c>
      <c r="L115" s="2236" t="s">
        <v>17</v>
      </c>
      <c r="M115" s="2214" t="s">
        <v>2084</v>
      </c>
    </row>
    <row r="116" spans="1:13" s="2244" customFormat="1" ht="69.650000000000006" customHeight="1" x14ac:dyDescent="0.5">
      <c r="A116" s="2231">
        <v>43857</v>
      </c>
      <c r="B116" s="2232" t="s">
        <v>5166</v>
      </c>
      <c r="C116" s="2233" t="s">
        <v>6363</v>
      </c>
      <c r="D116" s="2234">
        <v>43858</v>
      </c>
      <c r="E116" s="2235" t="s">
        <v>6358</v>
      </c>
      <c r="F116" s="2253">
        <v>0.75</v>
      </c>
      <c r="G116" s="2226">
        <v>0.79166666666666663</v>
      </c>
      <c r="H116" s="2226">
        <v>0.79166666666666663</v>
      </c>
      <c r="I116" s="2229">
        <v>312</v>
      </c>
      <c r="J116" s="2252" t="s">
        <v>6359</v>
      </c>
      <c r="K116" s="2214" t="s">
        <v>140</v>
      </c>
      <c r="L116" s="2219" t="s">
        <v>17</v>
      </c>
      <c r="M116" s="2214" t="s">
        <v>17</v>
      </c>
    </row>
    <row r="117" spans="1:13" s="2244" customFormat="1" ht="409.5" customHeight="1" x14ac:dyDescent="0.5">
      <c r="A117" s="2339">
        <v>43858</v>
      </c>
      <c r="B117" s="2213" t="s">
        <v>6385</v>
      </c>
      <c r="C117" s="2239" t="s">
        <v>6378</v>
      </c>
      <c r="D117" s="2326">
        <v>43859</v>
      </c>
      <c r="E117" s="2225" t="s">
        <v>6379</v>
      </c>
      <c r="F117" s="2226" t="s">
        <v>15</v>
      </c>
      <c r="G117" s="2226" t="s">
        <v>3213</v>
      </c>
      <c r="H117" s="2226" t="s">
        <v>3213</v>
      </c>
      <c r="I117" s="2328">
        <v>0</v>
      </c>
      <c r="J117" s="2225" t="s">
        <v>16</v>
      </c>
      <c r="K117" s="2216" t="s">
        <v>15</v>
      </c>
      <c r="L117" s="2219" t="s">
        <v>17</v>
      </c>
      <c r="M117" s="2214" t="s">
        <v>6034</v>
      </c>
    </row>
    <row r="118" spans="1:13" s="2244" customFormat="1" ht="111.65" customHeight="1" x14ac:dyDescent="0.5">
      <c r="A118" s="2303">
        <v>43854</v>
      </c>
      <c r="B118" s="2272" t="s">
        <v>20</v>
      </c>
      <c r="C118" s="2223" t="s">
        <v>6313</v>
      </c>
      <c r="D118" s="2298">
        <v>43859</v>
      </c>
      <c r="E118" s="2225" t="s">
        <v>20</v>
      </c>
      <c r="F118" s="2226" t="s">
        <v>15</v>
      </c>
      <c r="G118" s="2226" t="s">
        <v>15</v>
      </c>
      <c r="H118" s="2226" t="s">
        <v>15</v>
      </c>
      <c r="I118" s="2295">
        <v>0</v>
      </c>
      <c r="J118" s="2226" t="s">
        <v>15</v>
      </c>
      <c r="K118" s="2226" t="s">
        <v>15</v>
      </c>
      <c r="L118" s="2219" t="s">
        <v>17</v>
      </c>
      <c r="M118" s="2214" t="s">
        <v>20</v>
      </c>
    </row>
    <row r="119" spans="1:13" s="2244" customFormat="1" ht="252" customHeight="1" x14ac:dyDescent="0.5">
      <c r="A119" s="2333">
        <v>43857</v>
      </c>
      <c r="B119" s="2213" t="s">
        <v>20</v>
      </c>
      <c r="C119" s="2223" t="s">
        <v>6377</v>
      </c>
      <c r="D119" s="2326">
        <v>43859</v>
      </c>
      <c r="E119" s="2225" t="s">
        <v>20</v>
      </c>
      <c r="F119" s="2226" t="s">
        <v>15</v>
      </c>
      <c r="G119" s="2226" t="s">
        <v>15</v>
      </c>
      <c r="H119" s="2226" t="s">
        <v>15</v>
      </c>
      <c r="I119" s="2295">
        <v>0</v>
      </c>
      <c r="J119" s="2226" t="s">
        <v>15</v>
      </c>
      <c r="K119" s="2226" t="s">
        <v>15</v>
      </c>
      <c r="L119" s="2219" t="s">
        <v>22</v>
      </c>
      <c r="M119" s="2214" t="s">
        <v>20</v>
      </c>
    </row>
    <row r="120" spans="1:13" s="2244" customFormat="1" ht="252" customHeight="1" x14ac:dyDescent="0.5">
      <c r="A120" s="2212">
        <v>43853</v>
      </c>
      <c r="B120" s="2213" t="s">
        <v>6300</v>
      </c>
      <c r="C120" s="2251" t="s">
        <v>6301</v>
      </c>
      <c r="D120" s="2248">
        <v>43860</v>
      </c>
      <c r="E120" s="2249" t="s">
        <v>6302</v>
      </c>
      <c r="F120" s="2217">
        <v>0.375</v>
      </c>
      <c r="G120" s="2217">
        <v>0.40625</v>
      </c>
      <c r="H120" s="2217">
        <v>0.40625</v>
      </c>
      <c r="I120" s="2229">
        <v>180</v>
      </c>
      <c r="J120" s="2214" t="s">
        <v>6303</v>
      </c>
      <c r="K120" s="2214" t="s">
        <v>140</v>
      </c>
      <c r="L120" s="2219" t="s">
        <v>17</v>
      </c>
      <c r="M120" s="2214" t="s">
        <v>6053</v>
      </c>
    </row>
    <row r="121" spans="1:13" s="2244" customFormat="1" ht="252" customHeight="1" x14ac:dyDescent="0.5">
      <c r="A121" s="2212">
        <v>43859</v>
      </c>
      <c r="B121" s="2213" t="s">
        <v>6403</v>
      </c>
      <c r="C121" s="2223" t="s">
        <v>6402</v>
      </c>
      <c r="D121" s="2224">
        <v>43860</v>
      </c>
      <c r="E121" s="2225" t="s">
        <v>6404</v>
      </c>
      <c r="F121" s="2226">
        <v>0.48958333333333331</v>
      </c>
      <c r="G121" s="2226">
        <v>0.52083333333333337</v>
      </c>
      <c r="H121" s="2226">
        <v>0.52083333333333337</v>
      </c>
      <c r="I121" s="2218">
        <v>0</v>
      </c>
      <c r="J121" s="2226" t="s">
        <v>6405</v>
      </c>
      <c r="K121" s="2226" t="s">
        <v>140</v>
      </c>
      <c r="L121" s="2219" t="s">
        <v>17</v>
      </c>
      <c r="M121" s="2214" t="s">
        <v>6061</v>
      </c>
    </row>
    <row r="122" spans="1:13" s="2244" customFormat="1" ht="252" customHeight="1" x14ac:dyDescent="0.5">
      <c r="A122" s="2212">
        <v>43857</v>
      </c>
      <c r="B122" s="2213" t="s">
        <v>6406</v>
      </c>
      <c r="C122" s="2214" t="s">
        <v>6408</v>
      </c>
      <c r="D122" s="2215">
        <v>43860</v>
      </c>
      <c r="E122" s="2216" t="s">
        <v>6407</v>
      </c>
      <c r="F122" s="2217">
        <v>0.625</v>
      </c>
      <c r="G122" s="2217">
        <v>0.66666666666666663</v>
      </c>
      <c r="H122" s="2217">
        <v>0.66666666666666663</v>
      </c>
      <c r="I122" s="2227">
        <v>0</v>
      </c>
      <c r="J122" s="2223" t="s">
        <v>15</v>
      </c>
      <c r="K122" s="2223" t="s">
        <v>140</v>
      </c>
      <c r="L122" s="2236" t="s">
        <v>17</v>
      </c>
      <c r="M122" s="2214" t="s">
        <v>6061</v>
      </c>
    </row>
    <row r="123" spans="1:13" s="2244" customFormat="1" ht="252" customHeight="1" x14ac:dyDescent="0.5">
      <c r="A123" s="2212">
        <v>43859</v>
      </c>
      <c r="B123" s="2213" t="s">
        <v>6400</v>
      </c>
      <c r="C123" s="2233" t="s">
        <v>6401</v>
      </c>
      <c r="D123" s="2234">
        <v>43860</v>
      </c>
      <c r="E123" s="2225" t="s">
        <v>5494</v>
      </c>
      <c r="F123" s="2226">
        <v>0.66666666666666663</v>
      </c>
      <c r="G123" s="2226">
        <v>0.66666666666666663</v>
      </c>
      <c r="H123" s="2226">
        <v>0.66666666666666663</v>
      </c>
      <c r="I123" s="2229">
        <v>100</v>
      </c>
      <c r="J123" s="2223" t="s">
        <v>257</v>
      </c>
      <c r="K123" s="2223" t="s">
        <v>15</v>
      </c>
      <c r="L123" s="2236" t="s">
        <v>17</v>
      </c>
      <c r="M123" s="2214" t="s">
        <v>5367</v>
      </c>
    </row>
    <row r="124" spans="1:13" s="2244" customFormat="1" ht="252" customHeight="1" x14ac:dyDescent="0.5">
      <c r="A124" s="2357">
        <v>43860</v>
      </c>
      <c r="B124" s="2223" t="s">
        <v>615</v>
      </c>
      <c r="C124" s="2223" t="s">
        <v>6422</v>
      </c>
      <c r="D124" s="2344">
        <v>43861</v>
      </c>
      <c r="E124" s="2225" t="s">
        <v>6424</v>
      </c>
      <c r="F124" s="2354">
        <v>0.35416666666666669</v>
      </c>
      <c r="G124" s="2354">
        <v>0.35416666666666669</v>
      </c>
      <c r="H124" s="2354">
        <v>0.35416666666666669</v>
      </c>
      <c r="I124" s="2355">
        <v>0</v>
      </c>
      <c r="J124" s="2223" t="s">
        <v>6423</v>
      </c>
      <c r="K124" s="2223" t="s">
        <v>15</v>
      </c>
      <c r="L124" s="2236" t="s">
        <v>22</v>
      </c>
      <c r="M124" s="2223" t="s">
        <v>6034</v>
      </c>
    </row>
    <row r="125" spans="1:13" s="2244" customFormat="1" ht="252" customHeight="1" x14ac:dyDescent="0.5">
      <c r="A125" s="2336">
        <v>43858</v>
      </c>
      <c r="B125" s="2232" t="s">
        <v>6386</v>
      </c>
      <c r="C125" s="2338" t="s">
        <v>6389</v>
      </c>
      <c r="D125" s="2334">
        <v>43861</v>
      </c>
      <c r="E125" s="2235" t="s">
        <v>6387</v>
      </c>
      <c r="F125" s="2226">
        <v>0.40625</v>
      </c>
      <c r="G125" s="2327">
        <v>0.45833333333333331</v>
      </c>
      <c r="H125" s="2327">
        <v>0.45833333333333331</v>
      </c>
      <c r="I125" s="2335">
        <v>216</v>
      </c>
      <c r="J125" s="2340" t="s">
        <v>6388</v>
      </c>
      <c r="K125" s="2216" t="s">
        <v>119</v>
      </c>
      <c r="L125" s="2219" t="s">
        <v>974</v>
      </c>
      <c r="M125" s="2214" t="s">
        <v>6096</v>
      </c>
    </row>
    <row r="126" spans="1:13" s="2244" customFormat="1" ht="252" customHeight="1" x14ac:dyDescent="0.5">
      <c r="A126" s="2336">
        <v>43858</v>
      </c>
      <c r="B126" s="2232" t="s">
        <v>6380</v>
      </c>
      <c r="C126" s="2338" t="s">
        <v>6381</v>
      </c>
      <c r="D126" s="2334">
        <v>43861</v>
      </c>
      <c r="E126" s="2235" t="s">
        <v>6382</v>
      </c>
      <c r="F126" s="2226">
        <v>0.40625</v>
      </c>
      <c r="G126" s="2327">
        <v>0.47222222222222227</v>
      </c>
      <c r="H126" s="2327">
        <v>0.47222222222222227</v>
      </c>
      <c r="I126" s="2337">
        <v>150</v>
      </c>
      <c r="J126" s="2225" t="s">
        <v>6383</v>
      </c>
      <c r="K126" s="2216" t="s">
        <v>119</v>
      </c>
      <c r="L126" s="2219" t="s">
        <v>6384</v>
      </c>
      <c r="M126" s="2214" t="s">
        <v>6121</v>
      </c>
    </row>
    <row r="127" spans="1:13" s="2244" customFormat="1" ht="252" customHeight="1" x14ac:dyDescent="0.5">
      <c r="A127" s="2339">
        <v>43858</v>
      </c>
      <c r="B127" s="2213" t="s">
        <v>6366</v>
      </c>
      <c r="C127" s="2223" t="s">
        <v>6409</v>
      </c>
      <c r="D127" s="2326">
        <v>43861</v>
      </c>
      <c r="E127" s="2216" t="s">
        <v>6366</v>
      </c>
      <c r="F127" s="2217">
        <v>0.40625</v>
      </c>
      <c r="G127" s="2329">
        <v>0.5</v>
      </c>
      <c r="H127" s="2329">
        <v>0.5</v>
      </c>
      <c r="I127" s="2330">
        <v>0</v>
      </c>
      <c r="J127" s="2214" t="s">
        <v>15</v>
      </c>
      <c r="K127" s="2214" t="s">
        <v>119</v>
      </c>
      <c r="L127" s="2236" t="s">
        <v>17</v>
      </c>
      <c r="M127" s="2214" t="s">
        <v>289</v>
      </c>
    </row>
    <row r="128" spans="1:13" s="2244" customFormat="1" ht="252" customHeight="1" x14ac:dyDescent="0.5">
      <c r="A128" s="2333">
        <v>43857</v>
      </c>
      <c r="B128" s="2233" t="s">
        <v>5280</v>
      </c>
      <c r="C128" s="2233" t="s">
        <v>6367</v>
      </c>
      <c r="D128" s="2334">
        <v>43861</v>
      </c>
      <c r="E128" s="2235" t="s">
        <v>6432</v>
      </c>
      <c r="F128" s="2253">
        <v>0.57291666666666663</v>
      </c>
      <c r="G128" s="2253">
        <v>0.60416666666666663</v>
      </c>
      <c r="H128" s="2253">
        <v>0.60416666666666663</v>
      </c>
      <c r="I128" s="2337">
        <v>240</v>
      </c>
      <c r="J128" s="2230" t="s">
        <v>6368</v>
      </c>
      <c r="K128" s="2223" t="s">
        <v>119</v>
      </c>
      <c r="L128" s="2236" t="s">
        <v>974</v>
      </c>
      <c r="M128" s="2223" t="s">
        <v>6096</v>
      </c>
    </row>
    <row r="129" spans="1:13" s="2244" customFormat="1" ht="252" customHeight="1" x14ac:dyDescent="0.5">
      <c r="A129" s="2222">
        <v>43859</v>
      </c>
      <c r="B129" s="2223" t="s">
        <v>6395</v>
      </c>
      <c r="C129" s="2223" t="s">
        <v>6397</v>
      </c>
      <c r="D129" s="2224">
        <v>43861</v>
      </c>
      <c r="E129" s="2225" t="s">
        <v>6396</v>
      </c>
      <c r="F129" s="2226">
        <v>0.57291666666666663</v>
      </c>
      <c r="G129" s="2226">
        <v>0.66666666666666663</v>
      </c>
      <c r="H129" s="2226">
        <v>0.66666666666666663</v>
      </c>
      <c r="I129" s="2229">
        <v>135</v>
      </c>
      <c r="J129" s="2225" t="s">
        <v>6503</v>
      </c>
      <c r="K129" s="2216" t="s">
        <v>119</v>
      </c>
      <c r="L129" s="2219" t="s">
        <v>17</v>
      </c>
      <c r="M129" s="2214" t="s">
        <v>5367</v>
      </c>
    </row>
    <row r="130" spans="1:13" s="2244" customFormat="1" ht="252" customHeight="1" x14ac:dyDescent="0.5">
      <c r="A130" s="2212">
        <v>43857</v>
      </c>
      <c r="B130" s="2223" t="s">
        <v>6353</v>
      </c>
      <c r="C130" s="2223" t="s">
        <v>6354</v>
      </c>
      <c r="D130" s="2224">
        <v>43861</v>
      </c>
      <c r="E130" s="2225" t="s">
        <v>6355</v>
      </c>
      <c r="F130" s="2226">
        <v>0.57291666666666663</v>
      </c>
      <c r="G130" s="2226">
        <v>0.72916666666666663</v>
      </c>
      <c r="H130" s="2226">
        <v>0.72916666666666663</v>
      </c>
      <c r="I130" s="2229">
        <f>2*90+25</f>
        <v>205</v>
      </c>
      <c r="J130" s="2252" t="s">
        <v>6356</v>
      </c>
      <c r="K130" s="2216" t="s">
        <v>119</v>
      </c>
      <c r="L130" s="2219" t="s">
        <v>17</v>
      </c>
      <c r="M130" s="2214" t="s">
        <v>6041</v>
      </c>
    </row>
    <row r="131" spans="1:13" s="2244" customFormat="1" ht="109.5" customHeight="1" x14ac:dyDescent="0.5">
      <c r="A131" s="2352">
        <v>43860</v>
      </c>
      <c r="B131" s="2213" t="s">
        <v>20</v>
      </c>
      <c r="C131" s="2223" t="s">
        <v>6417</v>
      </c>
      <c r="D131" s="2344">
        <v>43861</v>
      </c>
      <c r="E131" s="2225" t="s">
        <v>6418</v>
      </c>
      <c r="F131" s="2217" t="s">
        <v>15</v>
      </c>
      <c r="G131" s="2217" t="s">
        <v>15</v>
      </c>
      <c r="H131" s="2217" t="s">
        <v>15</v>
      </c>
      <c r="I131" s="2343">
        <v>0</v>
      </c>
      <c r="J131" s="2214" t="s">
        <v>20</v>
      </c>
      <c r="K131" s="2214" t="s">
        <v>15</v>
      </c>
      <c r="L131" s="2219" t="s">
        <v>17</v>
      </c>
      <c r="M131" s="2214" t="s">
        <v>20</v>
      </c>
    </row>
    <row r="132" spans="1:13" s="2244" customFormat="1" ht="139.5" customHeight="1" x14ac:dyDescent="0.5">
      <c r="A132" s="2222">
        <v>43859</v>
      </c>
      <c r="B132" s="2223" t="s">
        <v>131</v>
      </c>
      <c r="C132" s="2223" t="s">
        <v>6399</v>
      </c>
      <c r="D132" s="2224">
        <v>43862</v>
      </c>
      <c r="E132" s="2225" t="s">
        <v>1731</v>
      </c>
      <c r="F132" s="2226">
        <v>0.3888888888888889</v>
      </c>
      <c r="G132" s="2226">
        <v>0.41666666666666669</v>
      </c>
      <c r="H132" s="2226">
        <v>0.41666666666666669</v>
      </c>
      <c r="I132" s="2227">
        <f>1.5*4.8*150</f>
        <v>1080</v>
      </c>
      <c r="J132" s="2288" t="s">
        <v>5376</v>
      </c>
      <c r="K132" s="2214" t="s">
        <v>119</v>
      </c>
      <c r="L132" s="2236" t="s">
        <v>17</v>
      </c>
      <c r="M132" s="2214" t="s">
        <v>2077</v>
      </c>
    </row>
    <row r="133" spans="1:13" s="2244" customFormat="1" ht="91.5" customHeight="1" x14ac:dyDescent="0.5">
      <c r="A133" s="2301">
        <v>43854</v>
      </c>
      <c r="B133" s="2232" t="s">
        <v>6312</v>
      </c>
      <c r="C133" s="2233" t="s">
        <v>6315</v>
      </c>
      <c r="D133" s="2302">
        <v>43862</v>
      </c>
      <c r="E133" s="2235" t="s">
        <v>6436</v>
      </c>
      <c r="F133" s="2253">
        <v>0.3888888888888889</v>
      </c>
      <c r="G133" s="2253">
        <v>0.45833333333333331</v>
      </c>
      <c r="H133" s="2253">
        <v>0.45833333333333331</v>
      </c>
      <c r="I133" s="2295">
        <f>5*120 + 80</f>
        <v>680</v>
      </c>
      <c r="J133" s="2214" t="s">
        <v>6314</v>
      </c>
      <c r="K133" s="2214" t="s">
        <v>119</v>
      </c>
      <c r="L133" s="2219" t="s">
        <v>17</v>
      </c>
      <c r="M133" s="2214" t="s">
        <v>5367</v>
      </c>
    </row>
    <row r="134" spans="1:13" s="2244" customFormat="1" ht="252" customHeight="1" x14ac:dyDescent="0.5">
      <c r="A134" s="2352">
        <v>43859</v>
      </c>
      <c r="B134" s="2213" t="s">
        <v>5280</v>
      </c>
      <c r="C134" s="2223" t="s">
        <v>6433</v>
      </c>
      <c r="D134" s="2344">
        <v>43862</v>
      </c>
      <c r="E134" s="2216" t="s">
        <v>6428</v>
      </c>
      <c r="F134" s="2345">
        <v>0.3888888888888889</v>
      </c>
      <c r="G134" s="2345">
        <v>0.5</v>
      </c>
      <c r="H134" s="2345">
        <v>0.5</v>
      </c>
      <c r="I134" s="2351">
        <v>360</v>
      </c>
      <c r="J134" s="2223" t="s">
        <v>6368</v>
      </c>
      <c r="K134" s="2214" t="s">
        <v>119</v>
      </c>
      <c r="L134" s="2236" t="s">
        <v>974</v>
      </c>
      <c r="M134" s="2214" t="s">
        <v>4468</v>
      </c>
    </row>
    <row r="135" spans="1:13" s="2244" customFormat="1" ht="409.5" customHeight="1" x14ac:dyDescent="0.5">
      <c r="A135" s="2339">
        <v>43859</v>
      </c>
      <c r="B135" s="2213" t="s">
        <v>6390</v>
      </c>
      <c r="C135" s="2214" t="s">
        <v>6439</v>
      </c>
      <c r="D135" s="2341">
        <v>43862</v>
      </c>
      <c r="E135" s="2216" t="s">
        <v>6438</v>
      </c>
      <c r="F135" s="2217">
        <v>0.3888888888888889</v>
      </c>
      <c r="G135" s="2329">
        <v>0.54166666666666663</v>
      </c>
      <c r="H135" s="2329">
        <v>0.54166666666666663</v>
      </c>
      <c r="I135" s="2330">
        <v>400</v>
      </c>
      <c r="J135" s="2288" t="s">
        <v>6392</v>
      </c>
      <c r="K135" s="2214" t="s">
        <v>119</v>
      </c>
      <c r="L135" s="2219" t="s">
        <v>17</v>
      </c>
      <c r="M135" s="2214" t="s">
        <v>6391</v>
      </c>
    </row>
    <row r="136" spans="1:13" s="2244" customFormat="1" ht="252.65" customHeight="1" x14ac:dyDescent="0.5">
      <c r="A136" s="2307">
        <v>43856</v>
      </c>
      <c r="B136" s="2213" t="s">
        <v>6307</v>
      </c>
      <c r="C136" s="2214" t="s">
        <v>6337</v>
      </c>
      <c r="D136" s="2308">
        <v>43862</v>
      </c>
      <c r="E136" s="2216" t="s">
        <v>6336</v>
      </c>
      <c r="F136" s="2217">
        <v>0.3888888888888889</v>
      </c>
      <c r="G136" s="2310">
        <v>0.60416666666666663</v>
      </c>
      <c r="H136" s="2310">
        <v>0.60416666666666663</v>
      </c>
      <c r="I136" s="2309">
        <f>3.5*120*0.7</f>
        <v>294</v>
      </c>
      <c r="J136" s="2214" t="s">
        <v>6338</v>
      </c>
      <c r="K136" s="2214" t="s">
        <v>119</v>
      </c>
      <c r="L136" s="2219" t="s">
        <v>17</v>
      </c>
      <c r="M136" s="2214" t="s">
        <v>20</v>
      </c>
    </row>
    <row r="137" spans="1:13" s="2244" customFormat="1" ht="252" customHeight="1" x14ac:dyDescent="0.5">
      <c r="A137" s="2222">
        <v>43853</v>
      </c>
      <c r="B137" s="2223" t="s">
        <v>6304</v>
      </c>
      <c r="C137" s="2223" t="s">
        <v>6305</v>
      </c>
      <c r="D137" s="2224">
        <v>43862</v>
      </c>
      <c r="E137" s="2225" t="s">
        <v>6306</v>
      </c>
      <c r="F137" s="2226">
        <v>0.64583333333333337</v>
      </c>
      <c r="G137" s="2226">
        <v>0.66666666666666663</v>
      </c>
      <c r="H137" s="2217">
        <v>0.66666666666666663</v>
      </c>
      <c r="I137" s="2309">
        <v>270</v>
      </c>
      <c r="J137" s="2214" t="s">
        <v>6437</v>
      </c>
      <c r="K137" s="2214" t="s">
        <v>119</v>
      </c>
      <c r="L137" s="2219" t="s">
        <v>17</v>
      </c>
      <c r="M137" s="2214" t="s">
        <v>6053</v>
      </c>
    </row>
    <row r="138" spans="1:13" s="2244" customFormat="1" ht="252" customHeight="1" x14ac:dyDescent="0.5">
      <c r="A138" s="2303">
        <v>43853</v>
      </c>
      <c r="B138" s="2213" t="s">
        <v>6317</v>
      </c>
      <c r="C138" s="2223" t="s">
        <v>6413</v>
      </c>
      <c r="D138" s="2298">
        <v>43862</v>
      </c>
      <c r="E138" s="2237" t="s">
        <v>6440</v>
      </c>
      <c r="F138" s="2300">
        <v>0.64583333333333337</v>
      </c>
      <c r="G138" s="2226">
        <v>0.69791666666666663</v>
      </c>
      <c r="H138" s="2217">
        <v>0.69791666666666663</v>
      </c>
      <c r="I138" s="2295">
        <v>2068</v>
      </c>
      <c r="J138" s="2288" t="s">
        <v>6318</v>
      </c>
      <c r="K138" s="2214" t="s">
        <v>119</v>
      </c>
      <c r="L138" s="2219" t="s">
        <v>22</v>
      </c>
      <c r="M138" s="2214" t="s">
        <v>6045</v>
      </c>
    </row>
    <row r="139" spans="1:13" s="2244" customFormat="1" ht="145.5" customHeight="1" x14ac:dyDescent="0.5">
      <c r="A139" s="2222">
        <v>43843</v>
      </c>
      <c r="B139" s="2223" t="s">
        <v>6153</v>
      </c>
      <c r="C139" s="2223" t="s">
        <v>6288</v>
      </c>
      <c r="D139" s="2224">
        <v>43862</v>
      </c>
      <c r="E139" s="2237" t="s">
        <v>6161</v>
      </c>
      <c r="F139" s="2217">
        <v>0.64583333333333337</v>
      </c>
      <c r="G139" s="2217">
        <v>0.72916666666666663</v>
      </c>
      <c r="H139" s="2226">
        <v>0.72916666666666663</v>
      </c>
      <c r="I139" s="2227">
        <v>800</v>
      </c>
      <c r="J139" s="2288" t="s">
        <v>6154</v>
      </c>
      <c r="K139" s="2214" t="s">
        <v>119</v>
      </c>
      <c r="L139" s="2219" t="s">
        <v>17</v>
      </c>
      <c r="M139" s="2214" t="s">
        <v>6045</v>
      </c>
    </row>
    <row r="140" spans="1:13" s="2244" customFormat="1" ht="147.9" customHeight="1" x14ac:dyDescent="0.5">
      <c r="A140" s="2212">
        <v>43857</v>
      </c>
      <c r="B140" s="2213" t="s">
        <v>6361</v>
      </c>
      <c r="C140" s="2223" t="s">
        <v>6369</v>
      </c>
      <c r="D140" s="2224">
        <v>43862</v>
      </c>
      <c r="E140" s="2216" t="s">
        <v>5494</v>
      </c>
      <c r="F140" s="2226">
        <v>0.45833333333333331</v>
      </c>
      <c r="G140" s="2226">
        <v>0.45833333333333331</v>
      </c>
      <c r="H140" s="2226">
        <v>0.45833333333333331</v>
      </c>
      <c r="I140" s="2227">
        <f>1.8*80</f>
        <v>144</v>
      </c>
      <c r="J140" s="2223" t="s">
        <v>6360</v>
      </c>
      <c r="K140" s="2223" t="s">
        <v>15</v>
      </c>
      <c r="L140" s="2236" t="s">
        <v>17</v>
      </c>
      <c r="M140" s="2214" t="s">
        <v>5367</v>
      </c>
    </row>
    <row r="141" spans="1:13" s="2244" customFormat="1" ht="273.64999999999998" customHeight="1" x14ac:dyDescent="0.5">
      <c r="A141" s="2339">
        <v>43858</v>
      </c>
      <c r="B141" s="2213" t="s">
        <v>6366</v>
      </c>
      <c r="C141" s="2223" t="s">
        <v>6409</v>
      </c>
      <c r="D141" s="2326">
        <v>43862</v>
      </c>
      <c r="E141" s="2216" t="s">
        <v>6366</v>
      </c>
      <c r="F141" s="2217">
        <v>0.32291666666666669</v>
      </c>
      <c r="G141" s="2329">
        <v>0.375</v>
      </c>
      <c r="H141" s="2329">
        <v>0.375</v>
      </c>
      <c r="I141" s="2330">
        <v>0</v>
      </c>
      <c r="J141" s="2214" t="s">
        <v>15</v>
      </c>
      <c r="K141" s="2214" t="s">
        <v>17</v>
      </c>
      <c r="L141" s="2236" t="s">
        <v>17</v>
      </c>
      <c r="M141" s="2214" t="s">
        <v>289</v>
      </c>
    </row>
    <row r="142" spans="1:13" s="2244" customFormat="1" ht="174.65" customHeight="1" x14ac:dyDescent="0.5">
      <c r="A142" s="2374">
        <v>43862</v>
      </c>
      <c r="B142" s="2213" t="s">
        <v>6441</v>
      </c>
      <c r="C142" s="2214" t="s">
        <v>6442</v>
      </c>
      <c r="D142" s="2367">
        <v>43863</v>
      </c>
      <c r="E142" s="2216" t="s">
        <v>6443</v>
      </c>
      <c r="F142" s="2217">
        <v>0.3611111111111111</v>
      </c>
      <c r="G142" s="2369">
        <v>0.375</v>
      </c>
      <c r="H142" s="2369">
        <v>0.375</v>
      </c>
      <c r="I142" s="2368">
        <v>240</v>
      </c>
      <c r="J142" s="2214" t="s">
        <v>257</v>
      </c>
      <c r="K142" s="2214" t="s">
        <v>119</v>
      </c>
      <c r="L142" s="2219" t="s">
        <v>17</v>
      </c>
      <c r="M142" s="2214" t="s">
        <v>6041</v>
      </c>
    </row>
    <row r="143" spans="1:13" s="2244" customFormat="1" ht="252" customHeight="1" x14ac:dyDescent="0.5">
      <c r="A143" s="2339">
        <v>43858</v>
      </c>
      <c r="B143" s="2213" t="s">
        <v>6366</v>
      </c>
      <c r="C143" s="2223" t="s">
        <v>6409</v>
      </c>
      <c r="D143" s="2326">
        <v>43863</v>
      </c>
      <c r="E143" s="2216" t="s">
        <v>6366</v>
      </c>
      <c r="F143" s="2217">
        <v>0.3611111111111111</v>
      </c>
      <c r="G143" s="2329">
        <v>0.39583333333333331</v>
      </c>
      <c r="H143" s="2329">
        <v>0.39583333333333331</v>
      </c>
      <c r="I143" s="2330">
        <v>0</v>
      </c>
      <c r="J143" s="2214" t="s">
        <v>15</v>
      </c>
      <c r="K143" s="2214" t="s">
        <v>119</v>
      </c>
      <c r="L143" s="2236" t="s">
        <v>17</v>
      </c>
      <c r="M143" s="2214" t="s">
        <v>289</v>
      </c>
    </row>
    <row r="144" spans="1:13" s="2244" customFormat="1" ht="249.65" customHeight="1" x14ac:dyDescent="0.5">
      <c r="A144" s="2212">
        <v>43857</v>
      </c>
      <c r="B144" s="2213" t="s">
        <v>6347</v>
      </c>
      <c r="C144" s="2223" t="s">
        <v>6348</v>
      </c>
      <c r="D144" s="2224">
        <v>43863</v>
      </c>
      <c r="E144" s="2216" t="s">
        <v>5494</v>
      </c>
      <c r="F144" s="2217">
        <v>0.375</v>
      </c>
      <c r="G144" s="2217">
        <v>0.375</v>
      </c>
      <c r="H144" s="2217">
        <v>0.375</v>
      </c>
      <c r="I144" s="2218">
        <v>30</v>
      </c>
      <c r="J144" s="2214" t="s">
        <v>257</v>
      </c>
      <c r="K144" s="2214" t="s">
        <v>15</v>
      </c>
      <c r="L144" s="2236" t="s">
        <v>17</v>
      </c>
      <c r="M144" s="2214" t="s">
        <v>6045</v>
      </c>
    </row>
    <row r="145" spans="1:13" s="2244" customFormat="1" ht="126.9" customHeight="1" x14ac:dyDescent="0.5">
      <c r="A145" s="2352">
        <v>43860</v>
      </c>
      <c r="B145" s="2213" t="s">
        <v>6419</v>
      </c>
      <c r="C145" s="2223" t="s">
        <v>6420</v>
      </c>
      <c r="D145" s="2344">
        <v>43863</v>
      </c>
      <c r="E145" s="2225" t="s">
        <v>5494</v>
      </c>
      <c r="F145" s="2217">
        <v>0.5</v>
      </c>
      <c r="G145" s="2345">
        <v>0.5</v>
      </c>
      <c r="H145" s="2345">
        <v>0.5</v>
      </c>
      <c r="I145" s="2351">
        <v>259</v>
      </c>
      <c r="J145" s="2214" t="s">
        <v>6421</v>
      </c>
      <c r="K145" s="2214" t="s">
        <v>15</v>
      </c>
      <c r="L145" s="2219" t="s">
        <v>17</v>
      </c>
      <c r="M145" s="2214" t="s">
        <v>5367</v>
      </c>
    </row>
    <row r="146" spans="1:13" s="2244" customFormat="1" ht="81.900000000000006" customHeight="1" x14ac:dyDescent="0.5">
      <c r="A146" s="2346">
        <v>43860</v>
      </c>
      <c r="B146" s="2347" t="s">
        <v>6414</v>
      </c>
      <c r="C146" s="2348" t="s">
        <v>6415</v>
      </c>
      <c r="D146" s="2349">
        <v>43863</v>
      </c>
      <c r="E146" s="2350" t="s">
        <v>5494</v>
      </c>
      <c r="F146" s="2345">
        <v>0.5</v>
      </c>
      <c r="G146" s="2345">
        <v>0.5</v>
      </c>
      <c r="H146" s="2345">
        <v>0.5</v>
      </c>
      <c r="I146" s="2351">
        <v>455</v>
      </c>
      <c r="J146" s="2214" t="s">
        <v>6416</v>
      </c>
      <c r="K146" s="2214" t="s">
        <v>15</v>
      </c>
      <c r="L146" s="2219" t="s">
        <v>17</v>
      </c>
      <c r="M146" s="2214" t="s">
        <v>6041</v>
      </c>
    </row>
    <row r="147" spans="1:13" s="2244" customFormat="1" ht="276" customHeight="1" x14ac:dyDescent="0.5">
      <c r="A147" s="2374">
        <v>43862</v>
      </c>
      <c r="B147" s="2213" t="s">
        <v>6445</v>
      </c>
      <c r="C147" s="2214" t="s">
        <v>6446</v>
      </c>
      <c r="D147" s="2367">
        <v>43863</v>
      </c>
      <c r="E147" s="2216" t="s">
        <v>5367</v>
      </c>
      <c r="F147" s="2217">
        <v>0.66666666666666663</v>
      </c>
      <c r="G147" s="2369">
        <v>0.66666666666666663</v>
      </c>
      <c r="H147" s="2369">
        <v>0.66666666666666663</v>
      </c>
      <c r="I147" s="2368">
        <v>240</v>
      </c>
      <c r="J147" s="2214" t="s">
        <v>6447</v>
      </c>
      <c r="K147" s="2214" t="s">
        <v>15</v>
      </c>
      <c r="L147" s="2219" t="s">
        <v>17</v>
      </c>
      <c r="M147" s="2214" t="s">
        <v>5367</v>
      </c>
    </row>
    <row r="148" spans="1:13" s="2244" customFormat="1" ht="120.65" customHeight="1" x14ac:dyDescent="0.5">
      <c r="A148" s="2352">
        <v>43860</v>
      </c>
      <c r="B148" s="2213" t="s">
        <v>6412</v>
      </c>
      <c r="C148" s="2214" t="s">
        <v>6410</v>
      </c>
      <c r="D148" s="2342">
        <v>43864</v>
      </c>
      <c r="E148" s="2216" t="s">
        <v>6411</v>
      </c>
      <c r="F148" s="2217">
        <v>0.41666666666666669</v>
      </c>
      <c r="G148" s="2217">
        <v>0.45833333333333331</v>
      </c>
      <c r="H148" s="2217">
        <v>0.45833333333333331</v>
      </c>
      <c r="I148" s="2343">
        <v>0</v>
      </c>
      <c r="J148" s="2214" t="s">
        <v>16</v>
      </c>
      <c r="K148" s="2214" t="s">
        <v>140</v>
      </c>
      <c r="L148" s="2219" t="s">
        <v>17</v>
      </c>
      <c r="M148" s="2214" t="s">
        <v>6034</v>
      </c>
    </row>
    <row r="149" spans="1:13" s="2244" customFormat="1" ht="123.9" customHeight="1" x14ac:dyDescent="0.5">
      <c r="A149" s="2359">
        <v>43861</v>
      </c>
      <c r="B149" s="2213" t="s">
        <v>5489</v>
      </c>
      <c r="C149" s="2223" t="s">
        <v>6451</v>
      </c>
      <c r="D149" s="2360">
        <v>43864</v>
      </c>
      <c r="E149" s="2225" t="s">
        <v>5489</v>
      </c>
      <c r="F149" s="2226">
        <v>0.41666666666666669</v>
      </c>
      <c r="G149" s="2226">
        <v>0.5</v>
      </c>
      <c r="H149" s="2226">
        <v>0.5</v>
      </c>
      <c r="I149" s="2361">
        <v>0</v>
      </c>
      <c r="J149" s="2225" t="s">
        <v>6034</v>
      </c>
      <c r="K149" s="2216" t="s">
        <v>140</v>
      </c>
      <c r="L149" s="2219" t="s">
        <v>17</v>
      </c>
      <c r="M149" s="2214" t="s">
        <v>5489</v>
      </c>
    </row>
    <row r="150" spans="1:13" s="2244" customFormat="1" ht="140.4" customHeight="1" x14ac:dyDescent="0.5">
      <c r="A150" s="2374">
        <v>43863</v>
      </c>
      <c r="B150" s="2375" t="s">
        <v>615</v>
      </c>
      <c r="C150" s="2376" t="s">
        <v>6453</v>
      </c>
      <c r="D150" s="2360">
        <v>43864</v>
      </c>
      <c r="E150" s="2377" t="s">
        <v>2034</v>
      </c>
      <c r="F150" s="2378"/>
      <c r="G150" s="2378">
        <v>0.41666666666666669</v>
      </c>
      <c r="H150" s="2378">
        <v>0.54166666666666663</v>
      </c>
      <c r="I150" s="2361">
        <v>0</v>
      </c>
      <c r="J150" s="2377" t="s">
        <v>6423</v>
      </c>
      <c r="K150" s="2379"/>
      <c r="L150" s="2380" t="s">
        <v>22</v>
      </c>
      <c r="M150" s="2381" t="s">
        <v>298</v>
      </c>
    </row>
    <row r="151" spans="1:13" s="2244" customFormat="1" ht="95.4" customHeight="1" x14ac:dyDescent="0.5">
      <c r="A151" s="2339">
        <v>43857</v>
      </c>
      <c r="B151" s="2213" t="s">
        <v>6365</v>
      </c>
      <c r="C151" s="2223" t="s">
        <v>6394</v>
      </c>
      <c r="D151" s="2326">
        <v>43864</v>
      </c>
      <c r="E151" s="2225" t="s">
        <v>6364</v>
      </c>
      <c r="F151" s="2327">
        <v>0.41666666666666669</v>
      </c>
      <c r="G151" s="2327">
        <v>0.54166666666666663</v>
      </c>
      <c r="H151" s="2327">
        <v>0.54166666666666663</v>
      </c>
      <c r="I151" s="2328">
        <v>0</v>
      </c>
      <c r="J151" s="2225" t="s">
        <v>16</v>
      </c>
      <c r="K151" s="2216" t="s">
        <v>140</v>
      </c>
      <c r="L151" s="2219" t="s">
        <v>17</v>
      </c>
      <c r="M151" s="2214" t="s">
        <v>6034</v>
      </c>
    </row>
    <row r="152" spans="1:13" s="2244" customFormat="1" ht="95.4" customHeight="1" x14ac:dyDescent="0.5">
      <c r="A152" s="2374">
        <v>43862</v>
      </c>
      <c r="B152" s="2213" t="s">
        <v>6034</v>
      </c>
      <c r="C152" s="2214" t="s">
        <v>6444</v>
      </c>
      <c r="D152" s="2367">
        <v>43864</v>
      </c>
      <c r="E152" s="2216" t="s">
        <v>5367</v>
      </c>
      <c r="F152" s="2214" t="s">
        <v>15</v>
      </c>
      <c r="G152" s="2217" t="s">
        <v>15</v>
      </c>
      <c r="H152" s="2217" t="s">
        <v>15</v>
      </c>
      <c r="I152" s="2368">
        <v>0</v>
      </c>
      <c r="J152" s="2214" t="s">
        <v>16</v>
      </c>
      <c r="K152" s="2214" t="s">
        <v>15</v>
      </c>
      <c r="L152" s="2219" t="s">
        <v>17</v>
      </c>
      <c r="M152" s="2214" t="s">
        <v>6034</v>
      </c>
    </row>
    <row r="153" spans="1:13" s="2244" customFormat="1" ht="113.15" customHeight="1" x14ac:dyDescent="0.5">
      <c r="A153" s="2374">
        <v>43864</v>
      </c>
      <c r="B153" s="2213" t="s">
        <v>6468</v>
      </c>
      <c r="C153" s="2223" t="s">
        <v>6455</v>
      </c>
      <c r="D153" s="2360">
        <v>43865</v>
      </c>
      <c r="E153" s="2225" t="s">
        <v>6469</v>
      </c>
      <c r="F153" s="2226">
        <v>0.61805555555555558</v>
      </c>
      <c r="G153" s="2378">
        <v>0.64583333333333337</v>
      </c>
      <c r="H153" s="2378">
        <v>0.64583333333333337</v>
      </c>
      <c r="I153" s="2313">
        <v>0</v>
      </c>
      <c r="J153" s="2225" t="s">
        <v>16</v>
      </c>
      <c r="K153" s="2216" t="s">
        <v>119</v>
      </c>
      <c r="L153" s="2219" t="s">
        <v>17</v>
      </c>
      <c r="M153" s="2214" t="s">
        <v>6034</v>
      </c>
    </row>
    <row r="154" spans="1:13" s="2244" customFormat="1" ht="165.9" customHeight="1" x14ac:dyDescent="0.5">
      <c r="A154" s="2212">
        <v>43864</v>
      </c>
      <c r="B154" s="2213" t="s">
        <v>6459</v>
      </c>
      <c r="C154" s="2223" t="s">
        <v>6460</v>
      </c>
      <c r="D154" s="2224">
        <v>43865</v>
      </c>
      <c r="E154" s="2225" t="s">
        <v>6461</v>
      </c>
      <c r="F154" s="2226">
        <v>0.61805555555555558</v>
      </c>
      <c r="G154" s="2226">
        <v>0.5625</v>
      </c>
      <c r="H154" s="2226">
        <v>0.5625</v>
      </c>
      <c r="I154" s="2227">
        <v>0</v>
      </c>
      <c r="J154" s="2223" t="s">
        <v>16</v>
      </c>
      <c r="K154" s="2223" t="s">
        <v>15</v>
      </c>
      <c r="L154" s="2236" t="s">
        <v>17</v>
      </c>
      <c r="M154" s="2214" t="s">
        <v>6034</v>
      </c>
    </row>
    <row r="155" spans="1:13" s="2244" customFormat="1" ht="165" customHeight="1" x14ac:dyDescent="0.5">
      <c r="A155" s="2212">
        <v>43864</v>
      </c>
      <c r="B155" s="2213" t="s">
        <v>6463</v>
      </c>
      <c r="C155" s="2223" t="s">
        <v>6464</v>
      </c>
      <c r="D155" s="2224">
        <v>43865</v>
      </c>
      <c r="E155" s="2225" t="s">
        <v>5494</v>
      </c>
      <c r="F155" s="2226">
        <v>0.41666666666666669</v>
      </c>
      <c r="G155" s="2226">
        <v>0.41666666666666669</v>
      </c>
      <c r="H155" s="2226">
        <v>0.41666666666666669</v>
      </c>
      <c r="I155" s="2227">
        <v>200</v>
      </c>
      <c r="J155" s="2223" t="s">
        <v>257</v>
      </c>
      <c r="K155" s="2223" t="s">
        <v>15</v>
      </c>
      <c r="L155" s="2236" t="s">
        <v>17</v>
      </c>
      <c r="M155" s="2214" t="s">
        <v>5367</v>
      </c>
    </row>
    <row r="156" spans="1:13" s="2244" customFormat="1" ht="266.39999999999998" customHeight="1" x14ac:dyDescent="0.5">
      <c r="A156" s="2212">
        <v>43860</v>
      </c>
      <c r="B156" s="2213" t="s">
        <v>6435</v>
      </c>
      <c r="C156" s="2223" t="s">
        <v>6452</v>
      </c>
      <c r="D156" s="2224">
        <v>43866</v>
      </c>
      <c r="E156" s="2225" t="s">
        <v>6434</v>
      </c>
      <c r="F156" s="2226" t="s">
        <v>15</v>
      </c>
      <c r="G156" s="2226">
        <v>0.60416666666666663</v>
      </c>
      <c r="H156" s="2226">
        <v>0.60416666666666663</v>
      </c>
      <c r="I156" s="2227">
        <v>0</v>
      </c>
      <c r="J156" s="2225" t="s">
        <v>16</v>
      </c>
      <c r="K156" s="2216" t="s">
        <v>15</v>
      </c>
      <c r="L156" s="2219" t="s">
        <v>17</v>
      </c>
      <c r="M156" s="2214" t="s">
        <v>5367</v>
      </c>
    </row>
    <row r="157" spans="1:13" s="2244" customFormat="1" ht="87.9" customHeight="1" x14ac:dyDescent="0.5">
      <c r="A157" s="2339">
        <v>43858</v>
      </c>
      <c r="B157" s="2213" t="s">
        <v>20</v>
      </c>
      <c r="C157" s="2223" t="s">
        <v>6373</v>
      </c>
      <c r="D157" s="2326">
        <v>43866</v>
      </c>
      <c r="E157" s="2216" t="s">
        <v>20</v>
      </c>
      <c r="F157" s="2217" t="s">
        <v>15</v>
      </c>
      <c r="G157" s="2217" t="s">
        <v>15</v>
      </c>
      <c r="H157" s="2217" t="s">
        <v>15</v>
      </c>
      <c r="I157" s="2330">
        <v>0</v>
      </c>
      <c r="J157" s="2214" t="s">
        <v>15</v>
      </c>
      <c r="K157" s="2214" t="s">
        <v>15</v>
      </c>
      <c r="L157" s="2236" t="s">
        <v>17</v>
      </c>
      <c r="M157" s="2214" t="s">
        <v>20</v>
      </c>
    </row>
    <row r="158" spans="1:13" s="2244" customFormat="1" ht="72" customHeight="1" x14ac:dyDescent="0.5">
      <c r="A158" s="2212">
        <v>43842</v>
      </c>
      <c r="B158" s="2213" t="s">
        <v>20</v>
      </c>
      <c r="C158" s="2223" t="s">
        <v>6143</v>
      </c>
      <c r="D158" s="2224">
        <v>43866</v>
      </c>
      <c r="E158" s="2225" t="s">
        <v>20</v>
      </c>
      <c r="F158" s="2214" t="s">
        <v>15</v>
      </c>
      <c r="G158" s="2214" t="s">
        <v>15</v>
      </c>
      <c r="H158" s="2214" t="s">
        <v>15</v>
      </c>
      <c r="I158" s="2218">
        <v>0</v>
      </c>
      <c r="J158" s="2214" t="s">
        <v>15</v>
      </c>
      <c r="K158" s="2214" t="s">
        <v>15</v>
      </c>
      <c r="L158" s="2219" t="s">
        <v>17</v>
      </c>
      <c r="M158" s="2214" t="s">
        <v>20</v>
      </c>
    </row>
    <row r="159" spans="1:13" s="2244" customFormat="1" ht="119.4" customHeight="1" x14ac:dyDescent="0.5">
      <c r="A159" s="2382">
        <v>43864</v>
      </c>
      <c r="B159" s="2223" t="s">
        <v>6457</v>
      </c>
      <c r="C159" s="2223" t="s">
        <v>6458</v>
      </c>
      <c r="D159" s="2360">
        <v>43866</v>
      </c>
      <c r="E159" s="2225" t="s">
        <v>5494</v>
      </c>
      <c r="F159" s="2226" t="s">
        <v>15</v>
      </c>
      <c r="G159" s="2378">
        <v>0.54166666666666663</v>
      </c>
      <c r="H159" s="2378">
        <v>0.54166666666666663</v>
      </c>
      <c r="I159" s="2227">
        <v>100</v>
      </c>
      <c r="J159" s="2223" t="s">
        <v>257</v>
      </c>
      <c r="K159" s="2223" t="s">
        <v>15</v>
      </c>
      <c r="L159" s="2236" t="s">
        <v>17</v>
      </c>
      <c r="M159" s="2214" t="s">
        <v>5367</v>
      </c>
    </row>
    <row r="160" spans="1:13" s="2244" customFormat="1" ht="252" customHeight="1" x14ac:dyDescent="0.5">
      <c r="A160" s="2212">
        <v>43865</v>
      </c>
      <c r="B160" s="2213" t="s">
        <v>6465</v>
      </c>
      <c r="C160" s="2223" t="s">
        <v>6467</v>
      </c>
      <c r="D160" s="2224">
        <v>43866</v>
      </c>
      <c r="E160" s="2225" t="s">
        <v>6466</v>
      </c>
      <c r="F160" s="2226" t="s">
        <v>15</v>
      </c>
      <c r="G160" s="2226">
        <v>0.41666666666666669</v>
      </c>
      <c r="H160" s="2226">
        <v>0.75</v>
      </c>
      <c r="I160" s="2227">
        <v>0</v>
      </c>
      <c r="J160" s="2223" t="s">
        <v>298</v>
      </c>
      <c r="K160" s="2223" t="s">
        <v>15</v>
      </c>
      <c r="L160" s="2236" t="s">
        <v>17</v>
      </c>
      <c r="M160" s="2214" t="s">
        <v>5367</v>
      </c>
    </row>
    <row r="161" spans="1:13" s="2244" customFormat="1" ht="252" customHeight="1" x14ac:dyDescent="0.5">
      <c r="A161" s="2212">
        <v>43859</v>
      </c>
      <c r="B161" s="2213" t="s">
        <v>20</v>
      </c>
      <c r="C161" s="2223" t="s">
        <v>6393</v>
      </c>
      <c r="D161" s="2224">
        <v>43867</v>
      </c>
      <c r="E161" s="2225" t="s">
        <v>5489</v>
      </c>
      <c r="F161" s="2226" t="s">
        <v>15</v>
      </c>
      <c r="G161" s="2226" t="s">
        <v>15</v>
      </c>
      <c r="H161" s="2226" t="s">
        <v>15</v>
      </c>
      <c r="I161" s="2227">
        <v>0</v>
      </c>
      <c r="J161" s="2225" t="s">
        <v>3798</v>
      </c>
      <c r="K161" s="2216" t="s">
        <v>15</v>
      </c>
      <c r="L161" s="2219" t="s">
        <v>17</v>
      </c>
      <c r="M161" s="2214" t="s">
        <v>6034</v>
      </c>
    </row>
    <row r="162" spans="1:13" s="2244" customFormat="1" ht="252" customHeight="1" x14ac:dyDescent="0.5">
      <c r="A162" s="2212">
        <v>43864</v>
      </c>
      <c r="B162" s="2213" t="s">
        <v>131</v>
      </c>
      <c r="C162" s="2223" t="s">
        <v>6462</v>
      </c>
      <c r="D162" s="2224">
        <v>43867</v>
      </c>
      <c r="E162" s="2225" t="s">
        <v>2077</v>
      </c>
      <c r="F162" s="2226" t="s">
        <v>15</v>
      </c>
      <c r="G162" s="2226">
        <v>0.5</v>
      </c>
      <c r="H162" s="2226">
        <v>0.625</v>
      </c>
      <c r="I162" s="2227">
        <v>0</v>
      </c>
      <c r="J162" s="2223" t="s">
        <v>16</v>
      </c>
      <c r="K162" s="2223" t="s">
        <v>15</v>
      </c>
      <c r="L162" s="2236" t="s">
        <v>17</v>
      </c>
      <c r="M162" s="2214" t="s">
        <v>6034</v>
      </c>
    </row>
    <row r="163" spans="1:13" s="2244" customFormat="1" ht="252" customHeight="1" x14ac:dyDescent="0.5">
      <c r="A163" s="2352">
        <v>43860</v>
      </c>
      <c r="B163" s="2213" t="s">
        <v>6429</v>
      </c>
      <c r="C163" s="2223" t="s">
        <v>6430</v>
      </c>
      <c r="D163" s="2344">
        <v>43868</v>
      </c>
      <c r="E163" s="2353" t="s">
        <v>6431</v>
      </c>
      <c r="F163" s="2354"/>
      <c r="G163" s="2354">
        <v>0.58333333333333337</v>
      </c>
      <c r="H163" s="2354">
        <v>0.58333333333333337</v>
      </c>
      <c r="I163" s="2355"/>
      <c r="J163" s="2353"/>
      <c r="K163" s="2358"/>
      <c r="L163" s="2219" t="s">
        <v>22</v>
      </c>
      <c r="M163" s="2356"/>
    </row>
    <row r="164" spans="1:13" s="2244" customFormat="1" ht="252" customHeight="1" x14ac:dyDescent="0.5">
      <c r="A164" s="2336">
        <v>43858</v>
      </c>
      <c r="B164" s="2232" t="s">
        <v>6371</v>
      </c>
      <c r="C164" s="2233" t="s">
        <v>6370</v>
      </c>
      <c r="D164" s="2334">
        <v>43868</v>
      </c>
      <c r="E164" s="2235" t="s">
        <v>6454</v>
      </c>
      <c r="F164" s="2253" t="s">
        <v>15</v>
      </c>
      <c r="G164" s="2329">
        <v>0.70833333333333337</v>
      </c>
      <c r="H164" s="2329">
        <v>0.70833333333333337</v>
      </c>
      <c r="I164" s="2330">
        <f>4*120*0.9</f>
        <v>432</v>
      </c>
      <c r="J164" s="2214" t="s">
        <v>6372</v>
      </c>
      <c r="K164" s="2214" t="s">
        <v>15</v>
      </c>
      <c r="L164" s="2236" t="s">
        <v>17</v>
      </c>
      <c r="M164" s="2214" t="s">
        <v>6041</v>
      </c>
    </row>
    <row r="165" spans="1:13" s="2244" customFormat="1" ht="252" customHeight="1" x14ac:dyDescent="0.5">
      <c r="A165" s="2301">
        <v>43854</v>
      </c>
      <c r="B165" s="2232" t="s">
        <v>6320</v>
      </c>
      <c r="C165" s="2233" t="s">
        <v>6319</v>
      </c>
      <c r="D165" s="2302">
        <v>43868</v>
      </c>
      <c r="E165" s="2235" t="s">
        <v>5489</v>
      </c>
      <c r="F165" s="2217" t="s">
        <v>15</v>
      </c>
      <c r="G165" s="2217" t="s">
        <v>49</v>
      </c>
      <c r="H165" s="2217" t="s">
        <v>49</v>
      </c>
      <c r="I165" s="2227">
        <v>600</v>
      </c>
      <c r="J165" s="2252" t="s">
        <v>6321</v>
      </c>
      <c r="K165" s="2214" t="s">
        <v>621</v>
      </c>
      <c r="L165" s="2219" t="s">
        <v>17</v>
      </c>
      <c r="M165" s="2214" t="s">
        <v>5489</v>
      </c>
    </row>
    <row r="166" spans="1:13" s="2244" customFormat="1" ht="252" customHeight="1" x14ac:dyDescent="0.5">
      <c r="A166" s="2383">
        <v>43865</v>
      </c>
      <c r="B166" s="2232" t="s">
        <v>6471</v>
      </c>
      <c r="C166" s="2233" t="s">
        <v>6473</v>
      </c>
      <c r="D166" s="2384">
        <v>43869</v>
      </c>
      <c r="E166" s="2235" t="s">
        <v>6470</v>
      </c>
      <c r="F166" s="2214" t="s">
        <v>15</v>
      </c>
      <c r="G166" s="2369">
        <v>0.35416666666666669</v>
      </c>
      <c r="H166" s="2369">
        <v>0.40625</v>
      </c>
      <c r="I166" s="2368">
        <v>390</v>
      </c>
      <c r="J166" s="2214" t="s">
        <v>257</v>
      </c>
      <c r="K166" s="2214" t="s">
        <v>15</v>
      </c>
      <c r="L166" s="2219" t="s">
        <v>6046</v>
      </c>
      <c r="M166" s="2214" t="s">
        <v>6472</v>
      </c>
    </row>
    <row r="167" spans="1:13" s="2244" customFormat="1" ht="252" customHeight="1" x14ac:dyDescent="0.5">
      <c r="A167" s="2231">
        <v>43842</v>
      </c>
      <c r="B167" s="2232" t="s">
        <v>6141</v>
      </c>
      <c r="C167" s="2233" t="s">
        <v>6357</v>
      </c>
      <c r="D167" s="2234">
        <v>43869</v>
      </c>
      <c r="E167" s="2237" t="s">
        <v>6142</v>
      </c>
      <c r="F167" s="2233" t="s">
        <v>15</v>
      </c>
      <c r="G167" s="2253">
        <v>0.60416666666666663</v>
      </c>
      <c r="H167" s="2253">
        <v>0.60416666666666663</v>
      </c>
      <c r="I167" s="2254">
        <v>2686</v>
      </c>
      <c r="J167" s="2252" t="s">
        <v>4501</v>
      </c>
      <c r="K167" s="2214" t="s">
        <v>15</v>
      </c>
      <c r="L167" s="2219" t="s">
        <v>17</v>
      </c>
      <c r="M167" s="2214" t="s">
        <v>6053</v>
      </c>
    </row>
    <row r="168" spans="1:13" s="2244" customFormat="1" ht="252" customHeight="1" x14ac:dyDescent="0.5">
      <c r="A168" s="2231">
        <v>43859</v>
      </c>
      <c r="B168" s="2232" t="s">
        <v>6456</v>
      </c>
      <c r="C168" s="2233" t="s">
        <v>6499</v>
      </c>
      <c r="D168" s="2234">
        <v>43870</v>
      </c>
      <c r="E168" s="2235" t="s">
        <v>5489</v>
      </c>
      <c r="F168" s="2226" t="s">
        <v>15</v>
      </c>
      <c r="G168" s="2226" t="s">
        <v>49</v>
      </c>
      <c r="H168" s="2226" t="s">
        <v>49</v>
      </c>
      <c r="I168" s="2227">
        <f>95*9+10+108</f>
        <v>973</v>
      </c>
      <c r="J168" s="2225" t="s">
        <v>6500</v>
      </c>
      <c r="K168" s="2216" t="s">
        <v>15</v>
      </c>
      <c r="L168" s="2219" t="s">
        <v>17</v>
      </c>
      <c r="M168" s="2214" t="s">
        <v>5489</v>
      </c>
    </row>
    <row r="169" spans="1:13" s="2244" customFormat="1" ht="69" customHeight="1" x14ac:dyDescent="0.5">
      <c r="A169" s="2296">
        <v>43853</v>
      </c>
      <c r="B169" s="2246" t="s">
        <v>6189</v>
      </c>
      <c r="C169" s="2251" t="s">
        <v>6293</v>
      </c>
      <c r="D169" s="2293">
        <v>43876</v>
      </c>
      <c r="E169" s="2237" t="s">
        <v>6291</v>
      </c>
      <c r="F169" s="2217" t="s">
        <v>15</v>
      </c>
      <c r="G169" s="2294">
        <v>0.72916666666666663</v>
      </c>
      <c r="H169" s="2294">
        <v>0.73541666666666661</v>
      </c>
      <c r="I169" s="2295">
        <v>2000</v>
      </c>
      <c r="J169" s="2214" t="s">
        <v>6292</v>
      </c>
      <c r="K169" s="2214" t="s">
        <v>15</v>
      </c>
      <c r="L169" s="2219" t="s">
        <v>17</v>
      </c>
      <c r="M169" s="2214" t="s">
        <v>6045</v>
      </c>
    </row>
    <row r="170" spans="1:13" s="2244" customFormat="1" ht="105.65" customHeight="1" x14ac:dyDescent="0.5">
      <c r="A170" s="2212">
        <v>43843</v>
      </c>
      <c r="B170" s="2213" t="s">
        <v>6156</v>
      </c>
      <c r="C170" s="2251" t="s">
        <v>6157</v>
      </c>
      <c r="D170" s="2224">
        <v>43876</v>
      </c>
      <c r="E170" s="2237" t="s">
        <v>6158</v>
      </c>
      <c r="F170" s="2226" t="s">
        <v>15</v>
      </c>
      <c r="G170" s="2226">
        <v>0.6875</v>
      </c>
      <c r="H170" s="2226">
        <v>0.6875</v>
      </c>
      <c r="I170" s="2227">
        <v>1000</v>
      </c>
      <c r="J170" s="2223" t="s">
        <v>6159</v>
      </c>
      <c r="K170" s="2223" t="s">
        <v>15</v>
      </c>
      <c r="L170" s="2236" t="s">
        <v>17</v>
      </c>
      <c r="M170" s="2223" t="s">
        <v>6045</v>
      </c>
    </row>
    <row r="171" spans="1:13" s="2244" customFormat="1" ht="252" customHeight="1" x14ac:dyDescent="0.5">
      <c r="A171" s="2273">
        <v>43847</v>
      </c>
      <c r="B171" s="2213" t="s">
        <v>20</v>
      </c>
      <c r="C171" s="2264" t="s">
        <v>6237</v>
      </c>
      <c r="D171" s="2274">
        <v>43881</v>
      </c>
      <c r="E171" s="2266" t="s">
        <v>20</v>
      </c>
      <c r="F171" s="2268" t="s">
        <v>15</v>
      </c>
      <c r="G171" s="2268" t="s">
        <v>15</v>
      </c>
      <c r="H171" s="2268" t="s">
        <v>15</v>
      </c>
      <c r="I171" s="2275">
        <v>0</v>
      </c>
      <c r="J171" s="2268" t="s">
        <v>15</v>
      </c>
      <c r="K171" s="2268" t="s">
        <v>15</v>
      </c>
      <c r="L171" s="2219" t="s">
        <v>17</v>
      </c>
      <c r="M171" s="2214" t="s">
        <v>20</v>
      </c>
    </row>
    <row r="172" spans="1:13" s="2244" customFormat="1" ht="95.4" customHeight="1" x14ac:dyDescent="0.5">
      <c r="A172" s="2359">
        <v>43862</v>
      </c>
      <c r="B172" s="2213" t="s">
        <v>6448</v>
      </c>
      <c r="C172" s="2214" t="s">
        <v>6449</v>
      </c>
      <c r="D172" s="2367">
        <v>43883</v>
      </c>
      <c r="E172" s="2216" t="s">
        <v>5367</v>
      </c>
      <c r="F172" s="2217" t="s">
        <v>15</v>
      </c>
      <c r="G172" s="2369">
        <v>0.625</v>
      </c>
      <c r="H172" s="2369">
        <v>0.625</v>
      </c>
      <c r="I172" s="2368">
        <v>0</v>
      </c>
      <c r="J172" s="2214" t="s">
        <v>16</v>
      </c>
      <c r="K172" s="2214" t="s">
        <v>15</v>
      </c>
      <c r="L172" s="2219" t="s">
        <v>17</v>
      </c>
      <c r="M172" s="2214" t="s">
        <v>6450</v>
      </c>
    </row>
    <row r="173" spans="1:13" ht="147" x14ac:dyDescent="0.5">
      <c r="A173" s="2276">
        <v>43847</v>
      </c>
      <c r="B173" s="2246" t="s">
        <v>6214</v>
      </c>
      <c r="C173" s="2251" t="s">
        <v>6236</v>
      </c>
      <c r="D173" s="2277">
        <v>43883</v>
      </c>
      <c r="E173" s="2249" t="s">
        <v>6234</v>
      </c>
      <c r="F173" s="2250" t="s">
        <v>15</v>
      </c>
      <c r="G173" s="2268" t="s">
        <v>6235</v>
      </c>
      <c r="H173" s="2268" t="s">
        <v>6235</v>
      </c>
      <c r="I173" s="2275">
        <f>150+5*100</f>
        <v>650</v>
      </c>
      <c r="J173" s="2264" t="s">
        <v>4618</v>
      </c>
      <c r="K173" s="2264" t="s">
        <v>98</v>
      </c>
      <c r="L173" s="2219" t="s">
        <v>17</v>
      </c>
      <c r="M173" s="2214" t="s">
        <v>6045</v>
      </c>
    </row>
    <row r="174" spans="1:13" ht="63" x14ac:dyDescent="0.5">
      <c r="A174" s="2325">
        <v>43858</v>
      </c>
      <c r="B174" s="2213" t="s">
        <v>6374</v>
      </c>
      <c r="C174" s="2223" t="s">
        <v>6375</v>
      </c>
      <c r="D174" s="2326">
        <v>43890</v>
      </c>
      <c r="E174" s="2216" t="s">
        <v>5494</v>
      </c>
      <c r="F174" s="2217" t="s">
        <v>15</v>
      </c>
      <c r="G174" s="2329">
        <v>0.41666666666666669</v>
      </c>
      <c r="H174" s="2329">
        <v>0.41666666666666669</v>
      </c>
      <c r="I174" s="2337">
        <v>80</v>
      </c>
      <c r="J174" s="2214" t="s">
        <v>6376</v>
      </c>
      <c r="K174" s="2214" t="s">
        <v>15</v>
      </c>
      <c r="L174" s="2236" t="s">
        <v>17</v>
      </c>
      <c r="M174" s="2214" t="s">
        <v>5367</v>
      </c>
    </row>
    <row r="175" spans="1:13" ht="84" x14ac:dyDescent="0.5">
      <c r="A175" s="2352">
        <v>43859</v>
      </c>
      <c r="B175" s="2213" t="s">
        <v>6425</v>
      </c>
      <c r="C175" s="2223" t="s">
        <v>6426</v>
      </c>
      <c r="D175" s="2344">
        <v>43891</v>
      </c>
      <c r="E175" s="2358" t="s">
        <v>6427</v>
      </c>
      <c r="F175" s="2345"/>
      <c r="G175" s="2345">
        <v>0.625</v>
      </c>
      <c r="H175" s="2345">
        <v>0.75</v>
      </c>
      <c r="I175" s="2355">
        <v>400</v>
      </c>
      <c r="J175" s="2214" t="s">
        <v>257</v>
      </c>
      <c r="K175" s="2356"/>
      <c r="L175" s="2236" t="s">
        <v>22</v>
      </c>
      <c r="M175" s="2214" t="s">
        <v>5367</v>
      </c>
    </row>
    <row r="176" spans="1:13" ht="399" x14ac:dyDescent="0.5">
      <c r="A176" s="2276">
        <v>43851</v>
      </c>
      <c r="B176" s="2246" t="s">
        <v>6273</v>
      </c>
      <c r="C176" s="2247" t="s">
        <v>6274</v>
      </c>
      <c r="D176" s="2277">
        <v>43974</v>
      </c>
      <c r="E176" s="2291" t="s">
        <v>6275</v>
      </c>
      <c r="F176" s="2217" t="s">
        <v>15</v>
      </c>
      <c r="G176" s="2287" t="s">
        <v>49</v>
      </c>
      <c r="H176" s="2287" t="s">
        <v>49</v>
      </c>
      <c r="I176" s="2283">
        <f>36*75+400+300+150*3.5*4.76</f>
        <v>5899</v>
      </c>
      <c r="J176" s="2290"/>
      <c r="K176" s="2290"/>
      <c r="L176" s="2219" t="s">
        <v>17</v>
      </c>
      <c r="M176" s="2214" t="s">
        <v>6053</v>
      </c>
    </row>
    <row r="177" spans="1:13" ht="32.4" customHeight="1" x14ac:dyDescent="0.5">
      <c r="A177" s="2301">
        <v>43854</v>
      </c>
      <c r="B177" s="2232" t="s">
        <v>6326</v>
      </c>
      <c r="C177" s="2233" t="s">
        <v>6328</v>
      </c>
      <c r="D177" s="2302">
        <v>43981</v>
      </c>
      <c r="E177" s="2235" t="s">
        <v>6327</v>
      </c>
      <c r="F177" s="2233" t="s">
        <v>15</v>
      </c>
      <c r="G177" s="2304">
        <v>0.83333333333333337</v>
      </c>
      <c r="H177" s="2304">
        <v>0.83333333333333337</v>
      </c>
      <c r="I177" s="2305">
        <f>300+10*85</f>
        <v>1150</v>
      </c>
      <c r="J177" s="2223" t="s">
        <v>6329</v>
      </c>
      <c r="K177" s="2223" t="s">
        <v>15</v>
      </c>
      <c r="L177" s="2236" t="s">
        <v>17</v>
      </c>
      <c r="M177" s="2223" t="s">
        <v>5367</v>
      </c>
    </row>
    <row r="178" spans="1:13" ht="409.5" x14ac:dyDescent="0.5">
      <c r="A178" s="2331">
        <v>43857</v>
      </c>
      <c r="B178" s="2332" t="s">
        <v>6350</v>
      </c>
      <c r="C178" s="2233" t="s">
        <v>6349</v>
      </c>
      <c r="D178" s="2234">
        <v>44079</v>
      </c>
      <c r="E178" s="2235" t="s">
        <v>6351</v>
      </c>
      <c r="F178" s="2253" t="s">
        <v>15</v>
      </c>
      <c r="G178" s="2217">
        <v>0.77083333333333337</v>
      </c>
      <c r="H178" s="2217">
        <v>0.77083333333333337</v>
      </c>
      <c r="I178" s="2218">
        <v>3800</v>
      </c>
      <c r="J178" s="2214" t="s">
        <v>6352</v>
      </c>
      <c r="K178" s="2214" t="s">
        <v>15</v>
      </c>
      <c r="L178" s="2236" t="s">
        <v>17</v>
      </c>
      <c r="M178" s="2243" t="s">
        <v>6045</v>
      </c>
    </row>
    <row r="188" spans="1:13" x14ac:dyDescent="0.5">
      <c r="E188" s="2211">
        <f>627+708-440</f>
        <v>895</v>
      </c>
    </row>
    <row r="200" spans="3:7" x14ac:dyDescent="0.5">
      <c r="C200" s="2228">
        <v>212</v>
      </c>
      <c r="G200" s="2228">
        <v>262</v>
      </c>
    </row>
    <row r="201" spans="3:7" x14ac:dyDescent="0.5">
      <c r="C201" s="2228">
        <v>251.99999999999997</v>
      </c>
      <c r="G201" s="2229">
        <v>210</v>
      </c>
    </row>
    <row r="202" spans="3:7" x14ac:dyDescent="0.5">
      <c r="C202" s="2228">
        <v>192</v>
      </c>
      <c r="G202" s="2385">
        <v>0</v>
      </c>
    </row>
    <row r="203" spans="3:7" x14ac:dyDescent="0.5">
      <c r="C203" s="2228">
        <v>300</v>
      </c>
      <c r="G203" s="2229">
        <v>192</v>
      </c>
    </row>
    <row r="204" spans="3:7" x14ac:dyDescent="0.5">
      <c r="C204" s="2228">
        <v>192</v>
      </c>
      <c r="G204" s="2229">
        <v>240</v>
      </c>
    </row>
    <row r="205" spans="3:7" x14ac:dyDescent="0.5">
      <c r="C205" s="2229">
        <v>154</v>
      </c>
      <c r="G205" s="2415">
        <v>200</v>
      </c>
    </row>
    <row r="206" spans="3:7" x14ac:dyDescent="0.5">
      <c r="C206" s="2229">
        <v>200</v>
      </c>
      <c r="G206" s="2385">
        <v>0</v>
      </c>
    </row>
    <row r="207" spans="3:7" x14ac:dyDescent="0.5">
      <c r="C207" s="2229">
        <v>720</v>
      </c>
      <c r="G207" s="2229">
        <v>20</v>
      </c>
    </row>
    <row r="208" spans="3:7" x14ac:dyDescent="0.5">
      <c r="C208" s="2229">
        <v>100</v>
      </c>
      <c r="G208" s="2229">
        <v>216</v>
      </c>
    </row>
    <row r="209" spans="2:7" x14ac:dyDescent="0.5">
      <c r="C209" s="2218">
        <v>528</v>
      </c>
      <c r="G209" s="2417">
        <v>180</v>
      </c>
    </row>
    <row r="210" spans="2:7" x14ac:dyDescent="0.5">
      <c r="C210" s="2229">
        <v>100</v>
      </c>
      <c r="G210" s="2418">
        <f>SUM(G200:G209)</f>
        <v>1520</v>
      </c>
    </row>
    <row r="211" spans="2:7" x14ac:dyDescent="0.5">
      <c r="C211" s="2417">
        <v>135</v>
      </c>
    </row>
    <row r="215" spans="2:7" ht="21.5" thickBot="1" x14ac:dyDescent="0.55000000000000004">
      <c r="E215" s="2211">
        <v>1520</v>
      </c>
    </row>
    <row r="216" spans="2:7" ht="21.5" thickBot="1" x14ac:dyDescent="0.55000000000000004">
      <c r="B216" s="2467" t="s">
        <v>2108</v>
      </c>
      <c r="C216" s="2468" t="s">
        <v>6699</v>
      </c>
    </row>
    <row r="217" spans="2:7" x14ac:dyDescent="0.5">
      <c r="B217" s="2465">
        <v>43831</v>
      </c>
      <c r="C217" s="2466">
        <f>SUMIF(A66:A211,B217,I66:I211)/4.8</f>
        <v>0</v>
      </c>
    </row>
    <row r="218" spans="2:7" x14ac:dyDescent="0.5">
      <c r="B218" s="2463">
        <v>43832</v>
      </c>
      <c r="C218" s="2466">
        <f t="shared" ref="C218:C247" si="0">SUMIF(A67:A212,B218,I67:I212)/4.8</f>
        <v>0</v>
      </c>
    </row>
    <row r="219" spans="2:7" x14ac:dyDescent="0.5">
      <c r="B219" s="2465">
        <v>43833</v>
      </c>
      <c r="C219" s="2466">
        <f t="shared" si="0"/>
        <v>0</v>
      </c>
    </row>
    <row r="220" spans="2:7" x14ac:dyDescent="0.5">
      <c r="B220" s="2463">
        <v>43834</v>
      </c>
      <c r="C220" s="2466">
        <f t="shared" si="0"/>
        <v>0</v>
      </c>
    </row>
    <row r="221" spans="2:7" x14ac:dyDescent="0.5">
      <c r="B221" s="2465">
        <v>43835</v>
      </c>
      <c r="C221" s="2466">
        <f t="shared" si="0"/>
        <v>0</v>
      </c>
    </row>
    <row r="222" spans="2:7" x14ac:dyDescent="0.5">
      <c r="B222" s="2463">
        <v>43836</v>
      </c>
      <c r="C222" s="2466">
        <f t="shared" si="0"/>
        <v>0</v>
      </c>
      <c r="E222" s="2438" t="s">
        <v>6698</v>
      </c>
      <c r="F222" s="2458">
        <f>SUM(C217:C260)</f>
        <v>7830.7500000000009</v>
      </c>
    </row>
    <row r="223" spans="2:7" x14ac:dyDescent="0.5">
      <c r="B223" s="2465">
        <v>43837</v>
      </c>
      <c r="C223" s="2466">
        <f t="shared" si="0"/>
        <v>0</v>
      </c>
      <c r="E223" s="2438"/>
      <c r="F223" s="2432"/>
    </row>
    <row r="224" spans="2:7" x14ac:dyDescent="0.5">
      <c r="B224" s="2463">
        <v>43838</v>
      </c>
      <c r="C224" s="2466">
        <f t="shared" si="0"/>
        <v>0</v>
      </c>
      <c r="E224" s="2438" t="s">
        <v>6700</v>
      </c>
      <c r="F224" s="2458">
        <f>F222/31</f>
        <v>252.60483870967744</v>
      </c>
    </row>
    <row r="225" spans="2:3" x14ac:dyDescent="0.5">
      <c r="B225" s="2465">
        <v>43839</v>
      </c>
      <c r="C225" s="2466">
        <f t="shared" si="0"/>
        <v>0</v>
      </c>
    </row>
    <row r="226" spans="2:3" x14ac:dyDescent="0.5">
      <c r="B226" s="2463">
        <v>43840</v>
      </c>
      <c r="C226" s="2466">
        <f t="shared" si="0"/>
        <v>553.875</v>
      </c>
    </row>
    <row r="227" spans="2:3" x14ac:dyDescent="0.5">
      <c r="B227" s="2465">
        <v>43841</v>
      </c>
      <c r="C227" s="2466">
        <f t="shared" si="0"/>
        <v>0</v>
      </c>
    </row>
    <row r="228" spans="2:3" x14ac:dyDescent="0.5">
      <c r="B228" s="2463">
        <v>43842</v>
      </c>
      <c r="C228" s="2466">
        <f t="shared" si="0"/>
        <v>559.58333333333337</v>
      </c>
    </row>
    <row r="229" spans="2:3" x14ac:dyDescent="0.5">
      <c r="B229" s="2465">
        <v>43843</v>
      </c>
      <c r="C229" s="2466">
        <f t="shared" si="0"/>
        <v>375</v>
      </c>
    </row>
    <row r="230" spans="2:3" x14ac:dyDescent="0.5">
      <c r="B230" s="2463">
        <v>43844</v>
      </c>
      <c r="C230" s="2466">
        <f t="shared" si="0"/>
        <v>183.33333333333334</v>
      </c>
    </row>
    <row r="231" spans="2:3" x14ac:dyDescent="0.5">
      <c r="B231" s="2465">
        <v>43845</v>
      </c>
      <c r="C231" s="2466">
        <f t="shared" si="0"/>
        <v>0</v>
      </c>
    </row>
    <row r="232" spans="2:3" x14ac:dyDescent="0.5">
      <c r="B232" s="2463">
        <v>43846</v>
      </c>
      <c r="C232" s="2466">
        <f t="shared" si="0"/>
        <v>0</v>
      </c>
    </row>
    <row r="233" spans="2:3" x14ac:dyDescent="0.5">
      <c r="B233" s="2465">
        <v>43847</v>
      </c>
      <c r="C233" s="2466">
        <f t="shared" si="0"/>
        <v>135.41666666666669</v>
      </c>
    </row>
    <row r="234" spans="2:3" x14ac:dyDescent="0.5">
      <c r="B234" s="2463">
        <v>43848</v>
      </c>
      <c r="C234" s="2466">
        <f t="shared" si="0"/>
        <v>170</v>
      </c>
    </row>
    <row r="235" spans="2:3" x14ac:dyDescent="0.5">
      <c r="B235" s="2465">
        <v>43849</v>
      </c>
      <c r="C235" s="2466">
        <f t="shared" si="0"/>
        <v>0</v>
      </c>
    </row>
    <row r="236" spans="2:3" x14ac:dyDescent="0.5">
      <c r="B236" s="2463">
        <v>43850</v>
      </c>
      <c r="C236" s="2466">
        <f t="shared" si="0"/>
        <v>97.5</v>
      </c>
    </row>
    <row r="237" spans="2:3" x14ac:dyDescent="0.5">
      <c r="B237" s="2465">
        <v>43851</v>
      </c>
      <c r="C237" s="2466">
        <f t="shared" si="0"/>
        <v>1685.2083333333335</v>
      </c>
    </row>
    <row r="238" spans="2:3" x14ac:dyDescent="0.5">
      <c r="B238" s="2463">
        <v>43852</v>
      </c>
      <c r="C238" s="2466">
        <f t="shared" si="0"/>
        <v>202.08333333333334</v>
      </c>
    </row>
    <row r="239" spans="2:3" x14ac:dyDescent="0.5">
      <c r="B239" s="2465">
        <v>43853</v>
      </c>
      <c r="C239" s="2466">
        <f t="shared" si="0"/>
        <v>1178.9583333333335</v>
      </c>
    </row>
    <row r="240" spans="2:3" x14ac:dyDescent="0.5">
      <c r="B240" s="2463">
        <v>43854</v>
      </c>
      <c r="C240" s="2466">
        <f t="shared" si="0"/>
        <v>555.41666666666674</v>
      </c>
    </row>
    <row r="241" spans="2:3" x14ac:dyDescent="0.5">
      <c r="B241" s="2465">
        <v>43855</v>
      </c>
      <c r="C241" s="2466">
        <f t="shared" si="0"/>
        <v>0</v>
      </c>
    </row>
    <row r="242" spans="2:3" x14ac:dyDescent="0.5">
      <c r="B242" s="2463">
        <v>43856</v>
      </c>
      <c r="C242" s="2466">
        <f t="shared" si="0"/>
        <v>61.25</v>
      </c>
    </row>
    <row r="243" spans="2:3" x14ac:dyDescent="0.5">
      <c r="B243" s="2465">
        <v>43857</v>
      </c>
      <c r="C243" s="2466">
        <f t="shared" si="0"/>
        <v>1023.125</v>
      </c>
    </row>
    <row r="244" spans="2:3" x14ac:dyDescent="0.5">
      <c r="B244" s="2463">
        <v>43858</v>
      </c>
      <c r="C244" s="2466">
        <f t="shared" si="0"/>
        <v>182.91666666666669</v>
      </c>
    </row>
    <row r="245" spans="2:3" x14ac:dyDescent="0.5">
      <c r="B245" s="2465">
        <v>43859</v>
      </c>
      <c r="C245" s="2466">
        <f t="shared" si="0"/>
        <v>718.33333333333337</v>
      </c>
    </row>
    <row r="246" spans="2:3" x14ac:dyDescent="0.5">
      <c r="B246" s="2463">
        <v>43860</v>
      </c>
      <c r="C246" s="2466">
        <f t="shared" si="0"/>
        <v>148.75</v>
      </c>
    </row>
    <row r="247" spans="2:3" x14ac:dyDescent="0.5">
      <c r="B247" s="2465">
        <v>43861</v>
      </c>
      <c r="C247" s="2466">
        <f t="shared" si="0"/>
        <v>0</v>
      </c>
    </row>
  </sheetData>
  <phoneticPr fontId="150" type="noConversion"/>
  <conditionalFormatting sqref="B1:M1">
    <cfRule type="cellIs" dxfId="1764" priority="1" operator="equal">
      <formula>TODAY()</formula>
    </cfRule>
    <cfRule type="cellIs" dxfId="1763" priority="2" operator="equal">
      <formula>TODAY()</formula>
    </cfRule>
  </conditionalFormatting>
  <printOptions horizontalCentered="1" verticalCentered="1"/>
  <pageMargins left="0" right="0" top="0" bottom="0" header="0" footer="0"/>
  <pageSetup paperSize="9" scale="10"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S42"/>
  <sheetViews>
    <sheetView zoomScale="85" zoomScaleNormal="85" workbookViewId="0">
      <selection activeCell="N26" sqref="N26"/>
    </sheetView>
  </sheetViews>
  <sheetFormatPr defaultColWidth="8.453125" defaultRowHeight="14.5" x14ac:dyDescent="0.35"/>
  <cols>
    <col min="1" max="1" width="16.453125" style="13" customWidth="1"/>
    <col min="2" max="5" width="8.453125" style="13" customWidth="1"/>
    <col min="6" max="7" width="11.453125" style="13" customWidth="1"/>
    <col min="8" max="9" width="8.453125" style="13" customWidth="1"/>
    <col min="10" max="10" width="14" style="13" customWidth="1"/>
    <col min="11" max="15" width="8.453125" style="13" customWidth="1"/>
    <col min="16" max="16" width="11.453125" style="13" customWidth="1"/>
    <col min="17" max="1025" width="8.453125" style="13" customWidth="1"/>
    <col min="1026" max="16384" width="8.453125" style="13"/>
  </cols>
  <sheetData>
    <row r="1" spans="1:19" x14ac:dyDescent="0.35">
      <c r="A1" s="65" t="s">
        <v>2157</v>
      </c>
      <c r="B1" s="65" t="s">
        <v>516</v>
      </c>
      <c r="C1" s="65" t="s">
        <v>515</v>
      </c>
      <c r="D1" s="65" t="s">
        <v>514</v>
      </c>
      <c r="E1" s="65" t="s">
        <v>513</v>
      </c>
      <c r="F1" s="65" t="s">
        <v>512</v>
      </c>
      <c r="J1" s="13" t="s">
        <v>2156</v>
      </c>
      <c r="O1" s="390" t="s">
        <v>314</v>
      </c>
      <c r="P1" s="390"/>
      <c r="Q1" s="390"/>
    </row>
    <row r="2" spans="1:19" x14ac:dyDescent="0.35">
      <c r="A2" s="65" t="s">
        <v>2155</v>
      </c>
      <c r="B2" s="2509">
        <v>921.03004290000001</v>
      </c>
      <c r="C2" s="2510">
        <v>1127.467811</v>
      </c>
      <c r="D2" s="2509">
        <v>86.909871240000001</v>
      </c>
      <c r="E2" s="2509">
        <v>443.99141630000003</v>
      </c>
      <c r="F2" s="2509">
        <v>2579.3991420000002</v>
      </c>
      <c r="I2" s="390" t="s">
        <v>2154</v>
      </c>
      <c r="J2" s="13">
        <v>4000</v>
      </c>
      <c r="K2" s="13" t="s">
        <v>2153</v>
      </c>
      <c r="L2" s="355"/>
      <c r="O2" s="390" t="s">
        <v>2108</v>
      </c>
      <c r="P2" s="390" t="s">
        <v>2152</v>
      </c>
      <c r="Q2" s="390" t="s">
        <v>2151</v>
      </c>
    </row>
    <row r="3" spans="1:19" x14ac:dyDescent="0.35">
      <c r="A3" s="65" t="s">
        <v>2150</v>
      </c>
      <c r="B3" s="2509">
        <v>1227</v>
      </c>
      <c r="C3" s="2509">
        <v>1209</v>
      </c>
      <c r="D3" s="2511">
        <v>4555</v>
      </c>
      <c r="E3" s="2512">
        <v>2979</v>
      </c>
      <c r="F3" s="2509">
        <v>9972</v>
      </c>
      <c r="O3" s="393">
        <v>43496</v>
      </c>
      <c r="P3" s="390" t="s">
        <v>2149</v>
      </c>
      <c r="Q3" s="390">
        <v>245</v>
      </c>
      <c r="S3" s="13">
        <f>SUM(Q3:Q23)</f>
        <v>8807</v>
      </c>
    </row>
    <row r="4" spans="1:19" x14ac:dyDescent="0.35">
      <c r="A4" s="65" t="s">
        <v>2148</v>
      </c>
      <c r="B4" s="2509">
        <v>482.51</v>
      </c>
      <c r="C4" s="2509">
        <v>411.27</v>
      </c>
      <c r="D4" s="2509">
        <v>781.01</v>
      </c>
      <c r="E4" s="2509">
        <v>582.08000000000004</v>
      </c>
      <c r="F4" s="2509">
        <f t="shared" ref="F4:F9" si="0">SUM(B4:E4)</f>
        <v>2256.87</v>
      </c>
      <c r="O4" s="393">
        <v>43505</v>
      </c>
      <c r="P4" s="390" t="s">
        <v>2147</v>
      </c>
      <c r="Q4" s="390">
        <v>170</v>
      </c>
    </row>
    <row r="5" spans="1:19" x14ac:dyDescent="0.35">
      <c r="A5" s="65" t="s">
        <v>2146</v>
      </c>
      <c r="B5" s="2509">
        <v>276</v>
      </c>
      <c r="C5" s="2509">
        <v>1602</v>
      </c>
      <c r="D5" s="2509">
        <v>587</v>
      </c>
      <c r="E5" s="2511">
        <v>2049</v>
      </c>
      <c r="F5" s="2509">
        <f t="shared" si="0"/>
        <v>4514</v>
      </c>
      <c r="O5" s="393">
        <v>43519</v>
      </c>
      <c r="P5" s="390" t="s">
        <v>2145</v>
      </c>
      <c r="Q5" s="390">
        <v>185</v>
      </c>
    </row>
    <row r="6" spans="1:19" x14ac:dyDescent="0.35">
      <c r="A6" s="65" t="s">
        <v>2144</v>
      </c>
      <c r="B6" s="2511">
        <v>5796</v>
      </c>
      <c r="C6" s="2509">
        <v>2628</v>
      </c>
      <c r="D6" s="2509">
        <v>605.55999999999995</v>
      </c>
      <c r="E6" s="2509">
        <v>2739</v>
      </c>
      <c r="F6" s="2509">
        <f t="shared" si="0"/>
        <v>11768.56</v>
      </c>
      <c r="H6" s="13">
        <v>5443.9551422319473</v>
      </c>
      <c r="O6" s="393">
        <v>43532</v>
      </c>
      <c r="P6" s="390" t="s">
        <v>2143</v>
      </c>
      <c r="Q6" s="390">
        <v>342</v>
      </c>
    </row>
    <row r="7" spans="1:19" x14ac:dyDescent="0.35">
      <c r="A7" s="65" t="s">
        <v>2142</v>
      </c>
      <c r="B7" s="2509">
        <v>1611.7</v>
      </c>
      <c r="C7" s="2509">
        <v>3645.11</v>
      </c>
      <c r="D7" s="2509">
        <v>2371.64</v>
      </c>
      <c r="E7" s="2511">
        <v>10026</v>
      </c>
      <c r="F7" s="389">
        <f t="shared" si="0"/>
        <v>17654.45</v>
      </c>
      <c r="H7" s="13">
        <v>4393.7133479212252</v>
      </c>
      <c r="O7" s="393">
        <v>43528</v>
      </c>
      <c r="P7" s="390" t="s">
        <v>2141</v>
      </c>
      <c r="Q7" s="390">
        <v>2315</v>
      </c>
      <c r="S7" s="13" t="s">
        <v>2140</v>
      </c>
    </row>
    <row r="8" spans="1:19" x14ac:dyDescent="0.35">
      <c r="A8" s="65" t="s">
        <v>2139</v>
      </c>
      <c r="B8" s="389">
        <v>1106.40756302521</v>
      </c>
      <c r="C8" s="389">
        <v>2637.8991596638698</v>
      </c>
      <c r="D8" s="389">
        <v>2808.59243697479</v>
      </c>
      <c r="E8" s="2513">
        <v>6993.1407563025195</v>
      </c>
      <c r="F8" s="389">
        <f t="shared" si="0"/>
        <v>13546.03991596639</v>
      </c>
      <c r="H8" s="13">
        <v>5969.0547045951862</v>
      </c>
      <c r="O8" s="393">
        <v>43525</v>
      </c>
      <c r="P8" s="390" t="s">
        <v>2138</v>
      </c>
      <c r="Q8" s="390">
        <v>4020</v>
      </c>
      <c r="S8" s="13">
        <f>SUM(Q6:Q12)</f>
        <v>8207</v>
      </c>
    </row>
    <row r="9" spans="1:19" x14ac:dyDescent="0.35">
      <c r="A9" s="65" t="s">
        <v>2137</v>
      </c>
      <c r="B9" s="389">
        <v>4393.9873949579796</v>
      </c>
      <c r="C9" s="2513">
        <v>8549.7478991596709</v>
      </c>
      <c r="D9" s="389">
        <v>1946.89075630252</v>
      </c>
      <c r="E9" s="389">
        <v>4894.6008403361302</v>
      </c>
      <c r="F9" s="389">
        <f t="shared" si="0"/>
        <v>19785.226890756301</v>
      </c>
      <c r="H9" s="13">
        <v>8546.3129102844632</v>
      </c>
      <c r="O9" s="391">
        <v>43532</v>
      </c>
      <c r="P9" s="390" t="s">
        <v>2136</v>
      </c>
      <c r="Q9" s="390">
        <v>343</v>
      </c>
    </row>
    <row r="10" spans="1:19" x14ac:dyDescent="0.35">
      <c r="A10" s="65" t="s">
        <v>2135</v>
      </c>
      <c r="B10" s="389">
        <v>3322.5315126050423</v>
      </c>
      <c r="C10" s="389">
        <v>3260.1050420168071</v>
      </c>
      <c r="D10" s="389">
        <v>3869.1911764705883</v>
      </c>
      <c r="E10" s="389">
        <v>4329.3592436974795</v>
      </c>
      <c r="F10" s="389">
        <v>14781.186974789913</v>
      </c>
      <c r="O10" s="391">
        <v>43541</v>
      </c>
      <c r="P10" s="390" t="s">
        <v>2134</v>
      </c>
      <c r="Q10" s="390">
        <v>455</v>
      </c>
    </row>
    <row r="11" spans="1:19" x14ac:dyDescent="0.35">
      <c r="A11" s="389" t="s">
        <v>4459</v>
      </c>
      <c r="B11" s="2514">
        <v>1265.2310924369749</v>
      </c>
      <c r="C11" s="2514">
        <v>1757.3634453781513</v>
      </c>
      <c r="D11" s="2514">
        <v>1565.5987394957983</v>
      </c>
      <c r="E11" s="2515">
        <v>8717.5105042016803</v>
      </c>
      <c r="F11" s="389">
        <f>SUM(B11:E11)</f>
        <v>13305.703781512606</v>
      </c>
      <c r="O11" s="391">
        <v>43547</v>
      </c>
      <c r="P11" s="390" t="s">
        <v>2133</v>
      </c>
      <c r="Q11" s="390">
        <v>600</v>
      </c>
    </row>
    <row r="12" spans="1:19" x14ac:dyDescent="0.35">
      <c r="A12" s="389" t="s">
        <v>4490</v>
      </c>
      <c r="B12" s="389">
        <v>5443</v>
      </c>
      <c r="C12" s="389">
        <v>4393</v>
      </c>
      <c r="D12" s="389">
        <v>5969</v>
      </c>
      <c r="E12" s="2513">
        <v>8546</v>
      </c>
      <c r="F12" s="2516">
        <f>B12+C12+D12+E12</f>
        <v>24351</v>
      </c>
      <c r="O12" s="391">
        <v>43548</v>
      </c>
      <c r="P12" s="390" t="s">
        <v>2132</v>
      </c>
      <c r="Q12" s="390">
        <v>132</v>
      </c>
    </row>
    <row r="13" spans="1:19" x14ac:dyDescent="0.35">
      <c r="A13" s="389" t="s">
        <v>4462</v>
      </c>
      <c r="B13" s="389"/>
      <c r="C13" s="389"/>
      <c r="D13" s="389"/>
      <c r="E13" s="2513"/>
      <c r="F13" s="2516">
        <v>19151</v>
      </c>
      <c r="O13" s="391"/>
      <c r="P13" s="390"/>
      <c r="Q13" s="390"/>
    </row>
    <row r="14" spans="1:19" x14ac:dyDescent="0.35">
      <c r="A14" s="389" t="s">
        <v>2155</v>
      </c>
      <c r="B14" s="389">
        <v>2225.1418067226896</v>
      </c>
      <c r="C14" s="389">
        <v>4433.3655462184879</v>
      </c>
      <c r="D14" s="389">
        <v>951.05042016806726</v>
      </c>
      <c r="E14" s="389">
        <v>3741.659663865546</v>
      </c>
      <c r="F14" s="389">
        <v>11351</v>
      </c>
    </row>
    <row r="15" spans="1:19" x14ac:dyDescent="0.35">
      <c r="A15" s="389" t="s">
        <v>6065</v>
      </c>
      <c r="B15" s="389"/>
      <c r="C15" s="389"/>
      <c r="D15" s="389"/>
      <c r="E15" s="389"/>
      <c r="F15" s="389">
        <v>28639</v>
      </c>
    </row>
    <row r="16" spans="1:19" x14ac:dyDescent="0.35">
      <c r="A16" s="389"/>
      <c r="B16" s="389"/>
      <c r="C16" s="389"/>
      <c r="D16" s="389"/>
      <c r="E16" s="389"/>
      <c r="F16" s="389"/>
    </row>
    <row r="18" spans="1:18" ht="116" x14ac:dyDescent="0.35">
      <c r="A18" s="23">
        <v>43653</v>
      </c>
      <c r="B18" s="22" t="s">
        <v>20</v>
      </c>
      <c r="C18" s="22" t="s">
        <v>2131</v>
      </c>
      <c r="D18" s="23">
        <v>43654</v>
      </c>
      <c r="E18" s="22" t="s">
        <v>20</v>
      </c>
      <c r="F18" s="22" t="s">
        <v>15</v>
      </c>
      <c r="G18" s="79">
        <v>0.5</v>
      </c>
      <c r="H18" s="79">
        <v>0.5</v>
      </c>
      <c r="I18" s="22">
        <v>0</v>
      </c>
      <c r="J18" s="22" t="s">
        <v>20</v>
      </c>
      <c r="K18" s="22" t="s">
        <v>15</v>
      </c>
      <c r="L18" s="22" t="s">
        <v>17</v>
      </c>
    </row>
    <row r="20" spans="1:18" x14ac:dyDescent="0.35">
      <c r="A20" s="13" t="s">
        <v>516</v>
      </c>
      <c r="B20" s="13">
        <v>3322.5315126050423</v>
      </c>
      <c r="C20" s="13" t="s">
        <v>515</v>
      </c>
      <c r="D20" s="13">
        <v>3260.1050420168071</v>
      </c>
      <c r="E20" s="13" t="s">
        <v>514</v>
      </c>
      <c r="F20" s="13">
        <v>3869.1911764705883</v>
      </c>
      <c r="G20" s="13" t="s">
        <v>513</v>
      </c>
      <c r="H20" s="13">
        <v>4329.3592436974795</v>
      </c>
      <c r="I20" s="13" t="s">
        <v>512</v>
      </c>
      <c r="J20" s="13">
        <v>14781.186974789913</v>
      </c>
    </row>
    <row r="23" spans="1:18" x14ac:dyDescent="0.35">
      <c r="A23" s="389"/>
      <c r="B23" s="389"/>
      <c r="C23" s="389"/>
      <c r="D23" s="389"/>
      <c r="E23" s="389"/>
    </row>
    <row r="24" spans="1:18" x14ac:dyDescent="0.35">
      <c r="A24" s="389"/>
      <c r="B24" s="389"/>
      <c r="C24" s="389"/>
      <c r="D24" s="389"/>
      <c r="E24" s="389"/>
    </row>
    <row r="25" spans="1:18" x14ac:dyDescent="0.35">
      <c r="A25" s="389"/>
      <c r="B25" s="389"/>
      <c r="C25" s="389"/>
      <c r="D25" s="389"/>
      <c r="E25" s="389"/>
    </row>
    <row r="26" spans="1:18" x14ac:dyDescent="0.35">
      <c r="A26" s="389"/>
      <c r="B26" s="389"/>
      <c r="C26" s="389"/>
      <c r="D26" s="389"/>
      <c r="E26" s="389"/>
      <c r="J26" s="13">
        <v>11351.21743697479</v>
      </c>
      <c r="L26" s="13">
        <v>11351.21743697479</v>
      </c>
      <c r="N26" s="13">
        <v>2225.1418067226896</v>
      </c>
      <c r="O26" s="13">
        <v>4433.3655462184879</v>
      </c>
      <c r="P26" s="13">
        <v>951.05042016806726</v>
      </c>
      <c r="Q26" s="13">
        <v>3741.659663865546</v>
      </c>
      <c r="R26" s="13">
        <f>SUM(N26:Q26)</f>
        <v>11351.21743697479</v>
      </c>
    </row>
    <row r="27" spans="1:18" x14ac:dyDescent="0.35">
      <c r="A27" s="389"/>
      <c r="B27" s="389"/>
      <c r="C27" s="389"/>
      <c r="D27" s="389"/>
      <c r="E27" s="389"/>
    </row>
    <row r="28" spans="1:18" x14ac:dyDescent="0.35">
      <c r="A28" s="389"/>
      <c r="B28" s="389"/>
      <c r="C28" s="389"/>
      <c r="D28" s="389"/>
      <c r="E28" s="389"/>
      <c r="J28" s="13">
        <v>2225.1418067226896</v>
      </c>
    </row>
    <row r="29" spans="1:18" x14ac:dyDescent="0.35">
      <c r="A29" s="389"/>
      <c r="B29" s="389"/>
      <c r="C29" s="389"/>
      <c r="D29" s="389"/>
      <c r="E29" s="389"/>
      <c r="J29" s="13">
        <v>4433.3655462184879</v>
      </c>
    </row>
    <row r="30" spans="1:18" x14ac:dyDescent="0.35">
      <c r="A30" s="389"/>
      <c r="B30" s="389"/>
      <c r="C30" s="389"/>
      <c r="D30" s="389"/>
      <c r="E30" s="389"/>
      <c r="J30" s="13">
        <v>951.05042016806726</v>
      </c>
    </row>
    <row r="31" spans="1:18" x14ac:dyDescent="0.35">
      <c r="A31" s="389"/>
      <c r="B31" s="389"/>
      <c r="C31" s="389"/>
      <c r="D31" s="389"/>
      <c r="E31" s="389"/>
      <c r="J31" s="13">
        <v>3741.659663865546</v>
      </c>
    </row>
    <row r="32" spans="1:18" x14ac:dyDescent="0.35">
      <c r="A32" s="389"/>
      <c r="B32" s="389"/>
      <c r="C32" s="389"/>
      <c r="D32" s="389"/>
      <c r="E32" s="389"/>
    </row>
    <row r="33" spans="1:10" x14ac:dyDescent="0.35">
      <c r="A33" s="389"/>
      <c r="B33" s="389"/>
      <c r="C33" s="389"/>
      <c r="D33" s="389"/>
      <c r="E33" s="389"/>
    </row>
    <row r="34" spans="1:10" x14ac:dyDescent="0.35">
      <c r="A34" s="389"/>
      <c r="B34" s="389"/>
      <c r="C34" s="389"/>
      <c r="D34" s="389"/>
      <c r="E34" s="389"/>
    </row>
    <row r="36" spans="1:10" x14ac:dyDescent="0.35">
      <c r="H36" s="13" t="s">
        <v>7104</v>
      </c>
    </row>
    <row r="39" spans="1:10" x14ac:dyDescent="0.35">
      <c r="G39" s="343"/>
      <c r="H39" s="2504">
        <v>2019</v>
      </c>
      <c r="I39" s="2504">
        <v>2018</v>
      </c>
    </row>
    <row r="40" spans="1:10" x14ac:dyDescent="0.35">
      <c r="G40" s="2503" t="s">
        <v>2148</v>
      </c>
      <c r="H40" s="2502">
        <v>9843</v>
      </c>
      <c r="I40" s="2502">
        <v>2579</v>
      </c>
      <c r="J40" s="2641">
        <f>H40/I40</f>
        <v>3.8165955796820472</v>
      </c>
    </row>
    <row r="41" spans="1:10" x14ac:dyDescent="0.35">
      <c r="A41" s="343"/>
      <c r="B41" s="343"/>
      <c r="C41" s="343"/>
      <c r="D41" s="343"/>
      <c r="E41" s="343"/>
      <c r="G41" s="2503" t="s">
        <v>2146</v>
      </c>
      <c r="H41" s="2502">
        <f>12823-3136/4.8+21041/4.8</f>
        <v>16553.208333333332</v>
      </c>
      <c r="I41" s="2502">
        <v>4514</v>
      </c>
      <c r="J41" s="2641">
        <f>H41/I41</f>
        <v>3.6670820410574505</v>
      </c>
    </row>
    <row r="42" spans="1:10" x14ac:dyDescent="0.35">
      <c r="A42" s="343"/>
      <c r="B42" s="343"/>
      <c r="C42" s="343"/>
      <c r="D42" s="343"/>
      <c r="E42" s="343"/>
      <c r="G42" s="2503" t="s">
        <v>2144</v>
      </c>
      <c r="H42" s="2502">
        <v>6586</v>
      </c>
      <c r="I42" s="2502">
        <v>11678</v>
      </c>
      <c r="J42" s="2642">
        <f>H42/I42</f>
        <v>0.56396643260832335</v>
      </c>
    </row>
  </sheetData>
  <conditionalFormatting sqref="A18:L18">
    <cfRule type="cellIs" dxfId="1744" priority="1" operator="equal">
      <formula>TODAY()</formula>
    </cfRule>
    <cfRule type="cellIs" dxfId="1743" priority="2" operator="equal">
      <formula>TODAY()</formula>
    </cfRule>
  </conditionalFormatting>
  <pageMargins left="0.7" right="0.7" top="0.75" bottom="0.75" header="0.51180555555555496" footer="0.51180555555555496"/>
  <pageSetup firstPageNumber="0"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4">
    <pageSetUpPr fitToPage="1"/>
  </sheetPr>
  <dimension ref="A1:O237"/>
  <sheetViews>
    <sheetView zoomScale="55" zoomScaleNormal="55" workbookViewId="0">
      <selection activeCell="K4" sqref="K4"/>
    </sheetView>
  </sheetViews>
  <sheetFormatPr defaultColWidth="8.90625" defaultRowHeight="14.5" x14ac:dyDescent="0.35"/>
  <cols>
    <col min="1" max="1" width="12.54296875" style="1" customWidth="1"/>
    <col min="2" max="2" width="24.08984375" style="1" customWidth="1"/>
    <col min="3" max="3" width="40.453125" style="1" customWidth="1"/>
    <col min="4" max="4" width="13.08984375" style="1" customWidth="1"/>
    <col min="5" max="5" width="25.90625" style="1" customWidth="1"/>
    <col min="6" max="6" width="8.90625" style="1" customWidth="1"/>
    <col min="7" max="8" width="8.90625" style="1"/>
    <col min="9" max="9" width="18" style="1" customWidth="1"/>
    <col min="10" max="10" width="16.54296875" style="1" customWidth="1"/>
    <col min="11" max="11" width="8.90625" style="1"/>
    <col min="12" max="12" width="18.90625" style="1" customWidth="1"/>
    <col min="13" max="14" width="8.90625" style="1"/>
    <col min="15" max="15" width="11.453125" style="1" bestFit="1" customWidth="1"/>
    <col min="16" max="16384" width="8.90625" style="1"/>
  </cols>
  <sheetData>
    <row r="1" spans="1:15" x14ac:dyDescent="0.35">
      <c r="A1" s="2600" t="s">
        <v>6818</v>
      </c>
      <c r="B1" s="2601" t="s">
        <v>1</v>
      </c>
      <c r="C1" s="2601" t="s">
        <v>2</v>
      </c>
      <c r="D1" s="2601" t="s">
        <v>3</v>
      </c>
      <c r="E1" s="2601" t="s">
        <v>2081</v>
      </c>
      <c r="F1" s="2601" t="s">
        <v>5</v>
      </c>
      <c r="G1" s="2601" t="s">
        <v>6</v>
      </c>
      <c r="H1" s="2601" t="s">
        <v>7</v>
      </c>
      <c r="I1" s="2601" t="s">
        <v>8</v>
      </c>
      <c r="J1" s="2601" t="s">
        <v>9</v>
      </c>
      <c r="K1" s="2601" t="s">
        <v>10</v>
      </c>
      <c r="L1" s="2601" t="s">
        <v>11</v>
      </c>
      <c r="M1" s="2602" t="s">
        <v>6064</v>
      </c>
      <c r="O1" s="1">
        <f>SUM(I1:I137)/4.8</f>
        <v>6049.3791666666666</v>
      </c>
    </row>
    <row r="2" spans="1:15" ht="188.5" x14ac:dyDescent="0.35">
      <c r="A2" s="2149">
        <v>43890</v>
      </c>
      <c r="B2" s="817" t="s">
        <v>7071</v>
      </c>
      <c r="C2" s="817" t="s">
        <v>7074</v>
      </c>
      <c r="D2" s="1814">
        <v>43891</v>
      </c>
      <c r="E2" s="1149" t="s">
        <v>7072</v>
      </c>
      <c r="F2" s="2628">
        <v>0.39583333333333331</v>
      </c>
      <c r="G2" s="2628">
        <v>0.41666666666666669</v>
      </c>
      <c r="H2" s="2628">
        <v>0.41666666666666669</v>
      </c>
      <c r="I2" s="1956">
        <f>1.8*200</f>
        <v>360</v>
      </c>
      <c r="J2" s="817" t="s">
        <v>7073</v>
      </c>
      <c r="K2" s="817" t="s">
        <v>119</v>
      </c>
      <c r="L2" s="817" t="s">
        <v>17</v>
      </c>
      <c r="M2" s="839" t="s">
        <v>6053</v>
      </c>
    </row>
    <row r="3" spans="1:15" ht="101.5" x14ac:dyDescent="0.35">
      <c r="A3" s="2145">
        <v>43887</v>
      </c>
      <c r="B3" s="1733" t="s">
        <v>6990</v>
      </c>
      <c r="C3" s="1733" t="s">
        <v>7049</v>
      </c>
      <c r="D3" s="2146">
        <v>43891</v>
      </c>
      <c r="E3" s="2150" t="s">
        <v>6991</v>
      </c>
      <c r="F3" s="1756">
        <v>0.39583333333333331</v>
      </c>
      <c r="G3" s="1756">
        <v>0.45833333333333331</v>
      </c>
      <c r="H3" s="6">
        <v>0.45833333333333331</v>
      </c>
      <c r="I3" s="1630">
        <v>390</v>
      </c>
      <c r="J3" s="817" t="s">
        <v>6992</v>
      </c>
      <c r="K3" s="817" t="s">
        <v>119</v>
      </c>
      <c r="L3" s="817" t="s">
        <v>17</v>
      </c>
      <c r="M3" s="839" t="s">
        <v>6041</v>
      </c>
    </row>
    <row r="4" spans="1:15" ht="232" x14ac:dyDescent="0.35">
      <c r="A4" s="2149">
        <v>43886</v>
      </c>
      <c r="B4" s="817" t="s">
        <v>4548</v>
      </c>
      <c r="C4" s="817" t="s">
        <v>6961</v>
      </c>
      <c r="D4" s="1814">
        <v>43891</v>
      </c>
      <c r="E4" s="1571" t="s">
        <v>7059</v>
      </c>
      <c r="F4" s="2628">
        <v>0.5</v>
      </c>
      <c r="G4" s="2628">
        <v>0.53472222222222221</v>
      </c>
      <c r="H4" s="2628">
        <v>0.53472222222222221</v>
      </c>
      <c r="I4" s="1956">
        <f>65*3.5*4.8</f>
        <v>1092</v>
      </c>
      <c r="J4" s="817" t="s">
        <v>4808</v>
      </c>
      <c r="K4" s="817" t="s">
        <v>119</v>
      </c>
      <c r="L4" s="817" t="s">
        <v>17</v>
      </c>
      <c r="M4" s="839" t="s">
        <v>6827</v>
      </c>
    </row>
    <row r="5" spans="1:15" ht="101.5" x14ac:dyDescent="0.35">
      <c r="A5" s="2149">
        <v>43859</v>
      </c>
      <c r="B5" s="817" t="s">
        <v>6425</v>
      </c>
      <c r="C5" s="5" t="s">
        <v>7082</v>
      </c>
      <c r="D5" s="2486">
        <v>43891</v>
      </c>
      <c r="E5" s="824" t="s">
        <v>6032</v>
      </c>
      <c r="F5" s="6">
        <v>0.5</v>
      </c>
      <c r="G5" s="6">
        <v>0.625</v>
      </c>
      <c r="H5" s="6">
        <v>0.625</v>
      </c>
      <c r="I5" s="1630">
        <v>540</v>
      </c>
      <c r="J5" s="5" t="s">
        <v>7086</v>
      </c>
      <c r="K5" s="5" t="s">
        <v>15</v>
      </c>
      <c r="L5" s="5" t="s">
        <v>22</v>
      </c>
      <c r="M5" s="807" t="s">
        <v>5367</v>
      </c>
    </row>
    <row r="6" spans="1:15" ht="43.5" x14ac:dyDescent="0.35">
      <c r="A6" s="2149">
        <v>43890</v>
      </c>
      <c r="B6" s="817" t="s">
        <v>7063</v>
      </c>
      <c r="C6" s="817" t="s">
        <v>7064</v>
      </c>
      <c r="D6" s="1814">
        <v>43891</v>
      </c>
      <c r="E6" s="1149" t="s">
        <v>7065</v>
      </c>
      <c r="F6" s="2628">
        <v>0.5</v>
      </c>
      <c r="G6" s="2628">
        <v>0.66666666666666663</v>
      </c>
      <c r="H6" s="2628"/>
      <c r="I6" s="1809">
        <v>0</v>
      </c>
      <c r="J6" s="817" t="s">
        <v>7066</v>
      </c>
      <c r="K6" s="817" t="s">
        <v>119</v>
      </c>
      <c r="L6" s="817" t="s">
        <v>17</v>
      </c>
      <c r="M6" s="839" t="s">
        <v>6061</v>
      </c>
    </row>
    <row r="7" spans="1:15" ht="58" x14ac:dyDescent="0.35">
      <c r="A7" s="2485">
        <v>43887</v>
      </c>
      <c r="B7" s="5" t="s">
        <v>7015</v>
      </c>
      <c r="C7" s="5" t="s">
        <v>7016</v>
      </c>
      <c r="D7" s="2486">
        <v>43891</v>
      </c>
      <c r="E7" s="824" t="s">
        <v>5494</v>
      </c>
      <c r="F7" s="6">
        <v>0.5</v>
      </c>
      <c r="G7" s="6">
        <v>0.5</v>
      </c>
      <c r="H7" s="6">
        <v>0.5</v>
      </c>
      <c r="I7" s="1630">
        <f>(1.2+1.8)*80</f>
        <v>240</v>
      </c>
      <c r="J7" s="817" t="s">
        <v>7017</v>
      </c>
      <c r="K7" s="817" t="s">
        <v>15</v>
      </c>
      <c r="L7" s="817" t="s">
        <v>17</v>
      </c>
      <c r="M7" s="839" t="s">
        <v>5367</v>
      </c>
    </row>
    <row r="8" spans="1:15" ht="72.5" x14ac:dyDescent="0.35">
      <c r="A8" s="2149">
        <v>43890</v>
      </c>
      <c r="B8" s="817" t="s">
        <v>7060</v>
      </c>
      <c r="C8" s="817" t="s">
        <v>7061</v>
      </c>
      <c r="D8" s="1814">
        <v>43891</v>
      </c>
      <c r="E8" s="1149" t="s">
        <v>5367</v>
      </c>
      <c r="F8" s="2628">
        <v>0.5</v>
      </c>
      <c r="G8" s="2628">
        <v>0.5</v>
      </c>
      <c r="H8" s="2628">
        <v>0.5</v>
      </c>
      <c r="I8" s="1809">
        <v>0</v>
      </c>
      <c r="J8" s="817" t="s">
        <v>16</v>
      </c>
      <c r="K8" s="817" t="s">
        <v>15</v>
      </c>
      <c r="L8" s="817" t="s">
        <v>17</v>
      </c>
      <c r="M8" s="839" t="s">
        <v>5367</v>
      </c>
    </row>
    <row r="9" spans="1:15" ht="203" x14ac:dyDescent="0.35">
      <c r="A9" s="2485">
        <v>43890</v>
      </c>
      <c r="B9" s="5" t="s">
        <v>7062</v>
      </c>
      <c r="C9" s="5" t="s">
        <v>6981</v>
      </c>
      <c r="D9" s="2486">
        <v>43891</v>
      </c>
      <c r="E9" s="824" t="s">
        <v>5367</v>
      </c>
      <c r="F9" s="6">
        <v>0.5625</v>
      </c>
      <c r="G9" s="6">
        <v>0.5625</v>
      </c>
      <c r="H9" s="6">
        <v>0.5625</v>
      </c>
      <c r="I9" s="1678">
        <v>0</v>
      </c>
      <c r="J9" s="817" t="s">
        <v>16</v>
      </c>
      <c r="K9" s="817" t="s">
        <v>15</v>
      </c>
      <c r="L9" s="817" t="s">
        <v>17</v>
      </c>
      <c r="M9" s="839" t="s">
        <v>6034</v>
      </c>
    </row>
    <row r="10" spans="1:15" ht="203" x14ac:dyDescent="0.35">
      <c r="A10" s="2485">
        <v>43879</v>
      </c>
      <c r="B10" s="5" t="s">
        <v>6825</v>
      </c>
      <c r="C10" s="5" t="s">
        <v>6822</v>
      </c>
      <c r="D10" s="2486">
        <v>43891</v>
      </c>
      <c r="E10" s="824" t="s">
        <v>5367</v>
      </c>
      <c r="F10" s="6">
        <v>0.60416666666666663</v>
      </c>
      <c r="G10" s="6">
        <v>0.60416666666666663</v>
      </c>
      <c r="H10" s="6">
        <v>0.60416666666666663</v>
      </c>
      <c r="I10" s="1678">
        <v>0</v>
      </c>
      <c r="J10" s="5" t="s">
        <v>6821</v>
      </c>
      <c r="K10" s="5" t="s">
        <v>15</v>
      </c>
      <c r="L10" s="5" t="s">
        <v>17</v>
      </c>
      <c r="M10" s="807" t="s">
        <v>6034</v>
      </c>
    </row>
    <row r="11" spans="1:15" ht="29" x14ac:dyDescent="0.35">
      <c r="A11" s="2485">
        <v>43886</v>
      </c>
      <c r="B11" s="2545" t="s">
        <v>6072</v>
      </c>
      <c r="C11" s="2545" t="s">
        <v>6966</v>
      </c>
      <c r="D11" s="2486">
        <v>43892</v>
      </c>
      <c r="E11" s="2545" t="s">
        <v>6072</v>
      </c>
      <c r="F11" s="2598">
        <v>0.375</v>
      </c>
      <c r="G11" s="2598">
        <v>0.375</v>
      </c>
      <c r="H11" s="2598">
        <v>0.375</v>
      </c>
      <c r="I11" s="2597">
        <f>12*40+12*70</f>
        <v>1320</v>
      </c>
      <c r="J11" s="2628" t="s">
        <v>4060</v>
      </c>
      <c r="K11" s="2628" t="s">
        <v>15</v>
      </c>
      <c r="L11" s="817" t="s">
        <v>17</v>
      </c>
      <c r="M11" s="2569" t="s">
        <v>6034</v>
      </c>
    </row>
    <row r="12" spans="1:15" ht="29" x14ac:dyDescent="0.35">
      <c r="A12" s="2149">
        <v>43886</v>
      </c>
      <c r="B12" s="2596" t="s">
        <v>6967</v>
      </c>
      <c r="C12" s="2596" t="s">
        <v>6968</v>
      </c>
      <c r="D12" s="1814">
        <v>43892</v>
      </c>
      <c r="E12" s="2596" t="s">
        <v>1445</v>
      </c>
      <c r="F12" s="2599">
        <v>0.375</v>
      </c>
      <c r="G12" s="2599">
        <v>0.375</v>
      </c>
      <c r="H12" s="2599">
        <v>0.375</v>
      </c>
      <c r="I12" s="2613">
        <f>0.7*(3*40+3*70)</f>
        <v>230.99999999999997</v>
      </c>
      <c r="J12" s="2628" t="s">
        <v>1493</v>
      </c>
      <c r="K12" s="2628" t="s">
        <v>15</v>
      </c>
      <c r="L12" s="817" t="s">
        <v>17</v>
      </c>
      <c r="M12" s="2569" t="s">
        <v>6053</v>
      </c>
    </row>
    <row r="13" spans="1:15" ht="29" x14ac:dyDescent="0.35">
      <c r="A13" s="2149">
        <v>43890</v>
      </c>
      <c r="B13" s="817" t="s">
        <v>7067</v>
      </c>
      <c r="C13" s="817" t="s">
        <v>7081</v>
      </c>
      <c r="D13" s="1814">
        <v>43892</v>
      </c>
      <c r="E13" s="1149" t="s">
        <v>7068</v>
      </c>
      <c r="F13" s="2628">
        <v>0.41666666666666669</v>
      </c>
      <c r="G13" s="2628">
        <v>0.41666666666666669</v>
      </c>
      <c r="H13" s="2628">
        <v>0.41666666666666669</v>
      </c>
      <c r="I13" s="1956">
        <f>0.7*(70+40)</f>
        <v>77</v>
      </c>
      <c r="J13" s="817" t="s">
        <v>257</v>
      </c>
      <c r="K13" s="817" t="s">
        <v>15</v>
      </c>
      <c r="L13" s="817" t="s">
        <v>17</v>
      </c>
      <c r="M13" s="839" t="s">
        <v>7069</v>
      </c>
    </row>
    <row r="14" spans="1:15" ht="29" x14ac:dyDescent="0.35">
      <c r="A14" s="2485">
        <v>43888</v>
      </c>
      <c r="B14" s="5" t="s">
        <v>136</v>
      </c>
      <c r="C14" s="5" t="s">
        <v>7032</v>
      </c>
      <c r="D14" s="2486">
        <v>43892</v>
      </c>
      <c r="E14" s="2486" t="s">
        <v>5494</v>
      </c>
      <c r="F14" s="6">
        <v>0.41666666666666669</v>
      </c>
      <c r="G14" s="6">
        <v>0.41666666666666669</v>
      </c>
      <c r="H14" s="6">
        <v>0.41666666666666669</v>
      </c>
      <c r="I14" s="1630">
        <f>12*40</f>
        <v>480</v>
      </c>
      <c r="J14" s="817" t="s">
        <v>7033</v>
      </c>
      <c r="K14" s="817" t="s">
        <v>15</v>
      </c>
      <c r="L14" s="817" t="s">
        <v>17</v>
      </c>
      <c r="M14" s="839" t="s">
        <v>6053</v>
      </c>
    </row>
    <row r="15" spans="1:15" ht="72.5" x14ac:dyDescent="0.35">
      <c r="A15" s="2149">
        <v>43886</v>
      </c>
      <c r="B15" s="2596" t="s">
        <v>6969</v>
      </c>
      <c r="C15" s="2596" t="s">
        <v>6965</v>
      </c>
      <c r="D15" s="1814">
        <v>43892</v>
      </c>
      <c r="E15" s="2596" t="s">
        <v>6970</v>
      </c>
      <c r="F15" s="2599">
        <v>0.41666666666666669</v>
      </c>
      <c r="G15" s="2599">
        <v>0.45833333333333331</v>
      </c>
      <c r="H15" s="2599">
        <v>0.45833333333333331</v>
      </c>
      <c r="I15" s="2613">
        <f>3*99+3*10+4*12+70</f>
        <v>445</v>
      </c>
      <c r="J15" s="2628" t="s">
        <v>6971</v>
      </c>
      <c r="K15" s="817" t="s">
        <v>140</v>
      </c>
      <c r="L15" s="817" t="s">
        <v>17</v>
      </c>
      <c r="M15" s="2569" t="s">
        <v>6053</v>
      </c>
    </row>
    <row r="16" spans="1:15" ht="130.5" x14ac:dyDescent="0.35">
      <c r="A16" s="2485">
        <v>43891</v>
      </c>
      <c r="B16" s="5" t="s">
        <v>7098</v>
      </c>
      <c r="C16" s="5" t="s">
        <v>7099</v>
      </c>
      <c r="D16" s="2486">
        <v>43892</v>
      </c>
      <c r="E16" s="824" t="s">
        <v>7072</v>
      </c>
      <c r="F16" s="6">
        <v>0.41666666666666669</v>
      </c>
      <c r="G16" s="6">
        <v>0.4861111111111111</v>
      </c>
      <c r="H16" s="6">
        <v>0.4861111111111111</v>
      </c>
      <c r="I16" s="1630">
        <v>460</v>
      </c>
      <c r="J16" s="817" t="s">
        <v>7089</v>
      </c>
      <c r="K16" s="817" t="s">
        <v>140</v>
      </c>
      <c r="L16" s="817" t="s">
        <v>17</v>
      </c>
      <c r="M16" s="839" t="s">
        <v>6053</v>
      </c>
    </row>
    <row r="17" spans="1:14" ht="101.5" x14ac:dyDescent="0.35">
      <c r="A17" s="2149">
        <v>43888</v>
      </c>
      <c r="B17" s="817" t="s">
        <v>7027</v>
      </c>
      <c r="C17" s="817" t="s">
        <v>7029</v>
      </c>
      <c r="D17" s="1814">
        <v>43892</v>
      </c>
      <c r="E17" s="1814" t="s">
        <v>7030</v>
      </c>
      <c r="F17" s="2628">
        <v>0.41666666666666669</v>
      </c>
      <c r="G17" s="2628">
        <v>0.52083333333333337</v>
      </c>
      <c r="H17" s="2628">
        <v>0.52083333333333337</v>
      </c>
      <c r="I17" s="1809">
        <v>0</v>
      </c>
      <c r="J17" s="817" t="s">
        <v>6944</v>
      </c>
      <c r="K17" s="817" t="s">
        <v>140</v>
      </c>
      <c r="L17" s="817" t="s">
        <v>17</v>
      </c>
      <c r="M17" s="839" t="s">
        <v>17</v>
      </c>
    </row>
    <row r="18" spans="1:14" ht="29" x14ac:dyDescent="0.35">
      <c r="A18" s="2485">
        <v>43891</v>
      </c>
      <c r="B18" s="5" t="s">
        <v>6718</v>
      </c>
      <c r="C18" s="5" t="s">
        <v>7096</v>
      </c>
      <c r="D18" s="2486">
        <v>43892</v>
      </c>
      <c r="E18" s="824" t="s">
        <v>5807</v>
      </c>
      <c r="F18" s="2598">
        <v>0.41666666666666669</v>
      </c>
      <c r="G18" s="6">
        <v>0.54166666666666663</v>
      </c>
      <c r="H18" s="6">
        <v>0.54166666666666663</v>
      </c>
      <c r="I18" s="1630">
        <v>60</v>
      </c>
      <c r="J18" s="817" t="s">
        <v>2043</v>
      </c>
      <c r="K18" s="817" t="s">
        <v>140</v>
      </c>
      <c r="L18" s="817" t="s">
        <v>17</v>
      </c>
      <c r="M18" s="839" t="s">
        <v>6121</v>
      </c>
    </row>
    <row r="19" spans="1:14" ht="43.5" x14ac:dyDescent="0.35">
      <c r="A19" s="2149">
        <v>43889</v>
      </c>
      <c r="B19" s="817" t="s">
        <v>7083</v>
      </c>
      <c r="C19" s="817" t="s">
        <v>7084</v>
      </c>
      <c r="D19" s="1814">
        <v>43892</v>
      </c>
      <c r="E19" s="1149" t="s">
        <v>7085</v>
      </c>
      <c r="F19" s="2599">
        <v>0.41666666666666669</v>
      </c>
      <c r="G19" s="2628">
        <v>0.56944444444444442</v>
      </c>
      <c r="H19" s="2628">
        <v>0.56944444444444442</v>
      </c>
      <c r="I19" s="1956">
        <v>300</v>
      </c>
      <c r="J19" s="817" t="s">
        <v>7097</v>
      </c>
      <c r="K19" s="817" t="s">
        <v>140</v>
      </c>
      <c r="L19" s="817" t="s">
        <v>22</v>
      </c>
      <c r="M19" s="839" t="s">
        <v>6096</v>
      </c>
    </row>
    <row r="20" spans="1:14" ht="29" x14ac:dyDescent="0.35">
      <c r="A20" s="2485">
        <v>43887</v>
      </c>
      <c r="B20" s="5" t="s">
        <v>615</v>
      </c>
      <c r="C20" s="5" t="s">
        <v>6996</v>
      </c>
      <c r="D20" s="2486">
        <v>43892</v>
      </c>
      <c r="E20" s="824" t="s">
        <v>2034</v>
      </c>
      <c r="F20" s="6">
        <v>0.41666666666666669</v>
      </c>
      <c r="G20" s="6">
        <v>0.60416666666666663</v>
      </c>
      <c r="H20" s="6">
        <v>0.60416666666666663</v>
      </c>
      <c r="I20" s="1678">
        <f>1.6*80*4</f>
        <v>512</v>
      </c>
      <c r="J20" s="5" t="s">
        <v>7001</v>
      </c>
      <c r="K20" s="817" t="s">
        <v>140</v>
      </c>
      <c r="L20" s="5" t="s">
        <v>17</v>
      </c>
      <c r="M20" s="807" t="s">
        <v>6053</v>
      </c>
    </row>
    <row r="21" spans="1:14" ht="43.5" x14ac:dyDescent="0.35">
      <c r="A21" s="2485">
        <v>43891</v>
      </c>
      <c r="B21" s="5" t="s">
        <v>615</v>
      </c>
      <c r="C21" s="5" t="s">
        <v>7090</v>
      </c>
      <c r="D21" s="2486">
        <v>43892</v>
      </c>
      <c r="E21" s="824" t="s">
        <v>126</v>
      </c>
      <c r="F21" s="6">
        <v>0.41666666666666669</v>
      </c>
      <c r="G21" s="6">
        <v>0.60416666666666663</v>
      </c>
      <c r="H21" s="6">
        <v>0.60416666666666663</v>
      </c>
      <c r="I21" s="1678">
        <v>0</v>
      </c>
      <c r="J21" s="817" t="s">
        <v>7091</v>
      </c>
      <c r="K21" s="817" t="s">
        <v>140</v>
      </c>
      <c r="L21" s="817" t="s">
        <v>17</v>
      </c>
      <c r="M21" s="839" t="s">
        <v>289</v>
      </c>
    </row>
    <row r="22" spans="1:14" ht="116" x14ac:dyDescent="0.35">
      <c r="A22" s="2149">
        <v>43891</v>
      </c>
      <c r="B22" s="817" t="s">
        <v>7095</v>
      </c>
      <c r="C22" s="1390" t="s">
        <v>7094</v>
      </c>
      <c r="D22" s="1814">
        <v>43892</v>
      </c>
      <c r="E22" s="1149" t="s">
        <v>7092</v>
      </c>
      <c r="F22" s="2628">
        <v>0.41666666666666669</v>
      </c>
      <c r="G22" s="2628">
        <v>0.64583333333333337</v>
      </c>
      <c r="H22" s="2628">
        <v>0.64583333333333337</v>
      </c>
      <c r="I22" s="1630">
        <v>199</v>
      </c>
      <c r="J22" s="817" t="s">
        <v>7093</v>
      </c>
      <c r="K22" s="817" t="s">
        <v>140</v>
      </c>
      <c r="L22" s="817" t="s">
        <v>17</v>
      </c>
      <c r="M22" s="839" t="s">
        <v>2084</v>
      </c>
    </row>
    <row r="23" spans="1:14" ht="29" x14ac:dyDescent="0.35">
      <c r="A23" s="2485">
        <v>43890</v>
      </c>
      <c r="B23" s="5" t="s">
        <v>4055</v>
      </c>
      <c r="C23" s="5" t="s">
        <v>7080</v>
      </c>
      <c r="D23" s="2486">
        <v>43892</v>
      </c>
      <c r="E23" s="824" t="s">
        <v>5494</v>
      </c>
      <c r="F23" s="6">
        <v>0.5</v>
      </c>
      <c r="G23" s="6">
        <v>0.5</v>
      </c>
      <c r="H23" s="6">
        <v>0.5</v>
      </c>
      <c r="I23" s="1630">
        <v>99</v>
      </c>
      <c r="J23" s="817" t="s">
        <v>7077</v>
      </c>
      <c r="K23" s="817" t="s">
        <v>15</v>
      </c>
      <c r="L23" s="817" t="s">
        <v>17</v>
      </c>
      <c r="M23" s="839" t="s">
        <v>5367</v>
      </c>
    </row>
    <row r="24" spans="1:14" ht="29" x14ac:dyDescent="0.35">
      <c r="A24" s="2149">
        <v>43887</v>
      </c>
      <c r="B24" s="817" t="s">
        <v>615</v>
      </c>
      <c r="C24" s="817" t="s">
        <v>6996</v>
      </c>
      <c r="D24" s="1814">
        <v>43892</v>
      </c>
      <c r="E24" s="1149" t="s">
        <v>6997</v>
      </c>
      <c r="F24" s="2628">
        <v>0.5</v>
      </c>
      <c r="G24" s="2628">
        <v>0.5</v>
      </c>
      <c r="H24" s="2628">
        <v>0.5</v>
      </c>
      <c r="I24" s="1809">
        <v>0</v>
      </c>
      <c r="J24" s="817" t="s">
        <v>6998</v>
      </c>
      <c r="K24" s="817" t="s">
        <v>15</v>
      </c>
      <c r="L24" s="817" t="s">
        <v>17</v>
      </c>
      <c r="M24" s="839" t="s">
        <v>6053</v>
      </c>
    </row>
    <row r="25" spans="1:14" ht="72.5" x14ac:dyDescent="0.35">
      <c r="A25" s="2149">
        <v>43893</v>
      </c>
      <c r="B25" s="817" t="s">
        <v>7154</v>
      </c>
      <c r="C25" s="817" t="s">
        <v>7153</v>
      </c>
      <c r="D25" s="1814">
        <v>43893</v>
      </c>
      <c r="E25" s="1149" t="s">
        <v>7151</v>
      </c>
      <c r="F25" s="2628">
        <v>0.5</v>
      </c>
      <c r="G25" s="2628">
        <v>0.54166666666666663</v>
      </c>
      <c r="H25" s="2628">
        <v>0.54166666666666663</v>
      </c>
      <c r="I25" s="1956">
        <f>0.7*70</f>
        <v>49</v>
      </c>
      <c r="J25" s="2628" t="s">
        <v>7152</v>
      </c>
      <c r="K25" s="2628" t="s">
        <v>119</v>
      </c>
      <c r="L25" s="817" t="s">
        <v>17</v>
      </c>
      <c r="M25" s="839" t="s">
        <v>6053</v>
      </c>
      <c r="N25" s="1592"/>
    </row>
    <row r="26" spans="1:14" ht="43.5" x14ac:dyDescent="0.35">
      <c r="A26" s="2149">
        <v>43891</v>
      </c>
      <c r="B26" s="817" t="s">
        <v>911</v>
      </c>
      <c r="C26" s="817" t="s">
        <v>7088</v>
      </c>
      <c r="D26" s="1814">
        <v>43893</v>
      </c>
      <c r="E26" s="1149" t="s">
        <v>48</v>
      </c>
      <c r="F26" s="2628">
        <v>0.5625</v>
      </c>
      <c r="G26" s="2628">
        <v>0.60416666666666663</v>
      </c>
      <c r="H26" s="2628">
        <v>0.60416666666666663</v>
      </c>
      <c r="I26" s="1809">
        <v>0</v>
      </c>
      <c r="J26" s="817" t="s">
        <v>7066</v>
      </c>
      <c r="K26" s="817" t="s">
        <v>140</v>
      </c>
      <c r="L26" s="817" t="s">
        <v>17</v>
      </c>
      <c r="M26" s="839" t="s">
        <v>6061</v>
      </c>
    </row>
    <row r="27" spans="1:14" ht="101.5" x14ac:dyDescent="0.35">
      <c r="A27" s="2149">
        <v>43882</v>
      </c>
      <c r="B27" s="817" t="s">
        <v>6905</v>
      </c>
      <c r="C27" s="5" t="s">
        <v>6904</v>
      </c>
      <c r="D27" s="2486">
        <v>43893</v>
      </c>
      <c r="E27" s="824" t="s">
        <v>6908</v>
      </c>
      <c r="F27" s="6">
        <v>0.5625</v>
      </c>
      <c r="G27" s="6">
        <v>0.66666666666666663</v>
      </c>
      <c r="H27" s="6">
        <v>0.66666666666666663</v>
      </c>
      <c r="I27" s="1630">
        <v>200</v>
      </c>
      <c r="J27" s="1430" t="s">
        <v>6906</v>
      </c>
      <c r="K27" s="817" t="s">
        <v>140</v>
      </c>
      <c r="L27" s="817" t="s">
        <v>974</v>
      </c>
      <c r="M27" s="839" t="s">
        <v>6907</v>
      </c>
    </row>
    <row r="28" spans="1:14" ht="159.5" x14ac:dyDescent="0.35">
      <c r="A28" s="2149">
        <v>43893</v>
      </c>
      <c r="B28" s="817" t="s">
        <v>7148</v>
      </c>
      <c r="C28" s="817" t="s">
        <v>7149</v>
      </c>
      <c r="D28" s="1814">
        <v>43894</v>
      </c>
      <c r="E28" s="1149" t="s">
        <v>5494</v>
      </c>
      <c r="F28" s="2628">
        <v>0.65625</v>
      </c>
      <c r="G28" s="2628">
        <v>0.65625</v>
      </c>
      <c r="H28" s="2628">
        <v>0.65625</v>
      </c>
      <c r="I28" s="1956">
        <f>1.6*80</f>
        <v>128</v>
      </c>
      <c r="J28" s="2628" t="s">
        <v>7150</v>
      </c>
      <c r="K28" s="2628" t="s">
        <v>15</v>
      </c>
      <c r="L28" s="817" t="s">
        <v>17</v>
      </c>
      <c r="M28" s="839" t="s">
        <v>5367</v>
      </c>
    </row>
    <row r="29" spans="1:14" ht="130.5" x14ac:dyDescent="0.35">
      <c r="A29" s="2152">
        <v>43893</v>
      </c>
      <c r="B29" s="1850" t="s">
        <v>7136</v>
      </c>
      <c r="C29" s="1850" t="s">
        <v>7137</v>
      </c>
      <c r="D29" s="1999">
        <v>43894</v>
      </c>
      <c r="E29" s="2000" t="s">
        <v>5494</v>
      </c>
      <c r="F29" s="2628">
        <v>0.75</v>
      </c>
      <c r="G29" s="2628">
        <v>0.75</v>
      </c>
      <c r="H29" s="2628">
        <v>0.75</v>
      </c>
      <c r="I29" s="1956">
        <v>160</v>
      </c>
      <c r="J29" s="817" t="s">
        <v>7138</v>
      </c>
      <c r="K29" s="817" t="s">
        <v>15</v>
      </c>
      <c r="L29" s="817" t="s">
        <v>17</v>
      </c>
      <c r="M29" s="839" t="s">
        <v>5367</v>
      </c>
    </row>
    <row r="30" spans="1:14" ht="29" x14ac:dyDescent="0.35">
      <c r="A30" s="2149">
        <v>43893</v>
      </c>
      <c r="B30" s="817" t="s">
        <v>20</v>
      </c>
      <c r="C30" s="817" t="s">
        <v>7147</v>
      </c>
      <c r="D30" s="1814">
        <v>43894</v>
      </c>
      <c r="E30" s="1149" t="s">
        <v>20</v>
      </c>
      <c r="F30" s="2628" t="s">
        <v>15</v>
      </c>
      <c r="G30" s="2628" t="s">
        <v>15</v>
      </c>
      <c r="H30" s="2628" t="s">
        <v>15</v>
      </c>
      <c r="I30" s="1809">
        <v>0</v>
      </c>
      <c r="J30" s="2628" t="s">
        <v>15</v>
      </c>
      <c r="K30" s="2628" t="s">
        <v>15</v>
      </c>
      <c r="L30" s="817" t="s">
        <v>17</v>
      </c>
      <c r="M30" s="839" t="s">
        <v>20</v>
      </c>
    </row>
    <row r="31" spans="1:14" ht="43.5" x14ac:dyDescent="0.35">
      <c r="A31" s="1994">
        <v>43894</v>
      </c>
      <c r="B31" s="7" t="s">
        <v>7166</v>
      </c>
      <c r="C31" s="7" t="s">
        <v>7165</v>
      </c>
      <c r="D31" s="1899">
        <v>43895</v>
      </c>
      <c r="E31" s="881" t="s">
        <v>7167</v>
      </c>
      <c r="F31" s="836">
        <v>0.375</v>
      </c>
      <c r="G31" s="2628">
        <v>0.3888888888888889</v>
      </c>
      <c r="H31" s="2628">
        <v>0.3888888888888889</v>
      </c>
      <c r="I31" s="1956">
        <v>44</v>
      </c>
      <c r="J31" s="817" t="s">
        <v>257</v>
      </c>
      <c r="K31" s="817" t="s">
        <v>119</v>
      </c>
      <c r="L31" s="817" t="s">
        <v>17</v>
      </c>
      <c r="M31" s="839" t="s">
        <v>2084</v>
      </c>
    </row>
    <row r="32" spans="1:14" ht="232" x14ac:dyDescent="0.35">
      <c r="A32" s="2149">
        <v>43892</v>
      </c>
      <c r="B32" s="817" t="s">
        <v>7120</v>
      </c>
      <c r="C32" s="817" t="s">
        <v>7183</v>
      </c>
      <c r="D32" s="1814">
        <v>43895</v>
      </c>
      <c r="E32" s="1149" t="s">
        <v>7121</v>
      </c>
      <c r="F32" s="2628">
        <v>0.375</v>
      </c>
      <c r="G32" s="2628">
        <v>0.40625</v>
      </c>
      <c r="H32" s="2628">
        <v>0.40625</v>
      </c>
      <c r="I32" s="1956">
        <v>2275.92</v>
      </c>
      <c r="J32" s="817" t="s">
        <v>7122</v>
      </c>
      <c r="K32" s="817" t="s">
        <v>119</v>
      </c>
      <c r="L32" s="817" t="s">
        <v>6046</v>
      </c>
      <c r="M32" s="839" t="s">
        <v>6053</v>
      </c>
    </row>
    <row r="33" spans="1:13" ht="174" x14ac:dyDescent="0.35">
      <c r="A33" s="2149">
        <v>43894</v>
      </c>
      <c r="B33" s="817" t="s">
        <v>7180</v>
      </c>
      <c r="C33" s="5" t="s">
        <v>7179</v>
      </c>
      <c r="D33" s="2486">
        <v>43895</v>
      </c>
      <c r="E33" s="824" t="s">
        <v>7181</v>
      </c>
      <c r="F33" s="6">
        <v>0.45833333333333331</v>
      </c>
      <c r="G33" s="2628">
        <v>0.5</v>
      </c>
      <c r="H33" s="2628">
        <v>0.5</v>
      </c>
      <c r="I33" s="1809">
        <v>0</v>
      </c>
      <c r="J33" s="817" t="s">
        <v>16</v>
      </c>
      <c r="K33" s="817" t="s">
        <v>119</v>
      </c>
      <c r="L33" s="817" t="s">
        <v>17</v>
      </c>
      <c r="M33" s="839" t="s">
        <v>6034</v>
      </c>
    </row>
    <row r="34" spans="1:13" ht="72.5" x14ac:dyDescent="0.35">
      <c r="A34" s="2149">
        <v>43893</v>
      </c>
      <c r="B34" s="817" t="s">
        <v>7139</v>
      </c>
      <c r="C34" s="817" t="s">
        <v>7140</v>
      </c>
      <c r="D34" s="1814">
        <v>43895</v>
      </c>
      <c r="E34" s="1149" t="s">
        <v>7141</v>
      </c>
      <c r="F34" s="2628">
        <v>0.45833333333333331</v>
      </c>
      <c r="G34" s="2628">
        <v>0.54166666666666663</v>
      </c>
      <c r="H34" s="2628">
        <v>0.54166666666666663</v>
      </c>
      <c r="I34" s="1956">
        <f>(1.6+1.2)*80</f>
        <v>224</v>
      </c>
      <c r="J34" s="817" t="s">
        <v>257</v>
      </c>
      <c r="K34" s="817" t="s">
        <v>119</v>
      </c>
      <c r="L34" s="817" t="s">
        <v>17</v>
      </c>
      <c r="M34" s="839" t="s">
        <v>6053</v>
      </c>
    </row>
    <row r="35" spans="1:13" ht="116" x14ac:dyDescent="0.35">
      <c r="A35" s="2149">
        <v>43892</v>
      </c>
      <c r="B35" s="817" t="s">
        <v>7109</v>
      </c>
      <c r="C35" s="817" t="s">
        <v>7108</v>
      </c>
      <c r="D35" s="1814">
        <v>43895</v>
      </c>
      <c r="E35" s="1149" t="s">
        <v>7107</v>
      </c>
      <c r="F35" s="2628">
        <v>0.45833333333333331</v>
      </c>
      <c r="G35" s="2628">
        <v>0.58333333333333337</v>
      </c>
      <c r="H35" s="2628">
        <v>0.58333333333333337</v>
      </c>
      <c r="I35" s="1809">
        <v>0</v>
      </c>
      <c r="J35" s="817" t="s">
        <v>16</v>
      </c>
      <c r="K35" s="817" t="s">
        <v>119</v>
      </c>
      <c r="L35" s="817" t="s">
        <v>17</v>
      </c>
      <c r="M35" s="839" t="s">
        <v>5489</v>
      </c>
    </row>
    <row r="36" spans="1:13" ht="29" x14ac:dyDescent="0.35">
      <c r="A36" s="2485">
        <v>43887</v>
      </c>
      <c r="B36" s="2545" t="s">
        <v>7011</v>
      </c>
      <c r="C36" s="2545" t="s">
        <v>7012</v>
      </c>
      <c r="D36" s="2486">
        <v>43895</v>
      </c>
      <c r="E36" s="2545" t="s">
        <v>5494</v>
      </c>
      <c r="F36" s="2598">
        <v>0.70833333333333337</v>
      </c>
      <c r="G36" s="2598">
        <v>0.70833333333333337</v>
      </c>
      <c r="H36" s="2598">
        <v>0.70833333333333337</v>
      </c>
      <c r="I36" s="2545">
        <v>0</v>
      </c>
      <c r="J36" s="817" t="s">
        <v>7013</v>
      </c>
      <c r="K36" s="817" t="s">
        <v>15</v>
      </c>
      <c r="L36" s="817" t="s">
        <v>22</v>
      </c>
      <c r="M36" s="839" t="s">
        <v>6034</v>
      </c>
    </row>
    <row r="37" spans="1:13" ht="72.5" x14ac:dyDescent="0.35">
      <c r="A37" s="2149">
        <v>43894</v>
      </c>
      <c r="B37" s="817" t="s">
        <v>7182</v>
      </c>
      <c r="C37" s="817" t="s">
        <v>7108</v>
      </c>
      <c r="D37" s="2486">
        <v>43895</v>
      </c>
      <c r="E37" s="824" t="s">
        <v>5494</v>
      </c>
      <c r="F37" s="6">
        <v>0.79166666666666663</v>
      </c>
      <c r="G37" s="2628">
        <v>0.79166666666666663</v>
      </c>
      <c r="H37" s="2628">
        <v>0.79166666666666663</v>
      </c>
      <c r="I37" s="1809">
        <v>0</v>
      </c>
      <c r="J37" s="817" t="s">
        <v>16</v>
      </c>
      <c r="K37" s="817" t="s">
        <v>15</v>
      </c>
      <c r="L37" s="817" t="s">
        <v>17</v>
      </c>
      <c r="M37" s="839" t="s">
        <v>6034</v>
      </c>
    </row>
    <row r="38" spans="1:13" ht="29" x14ac:dyDescent="0.35">
      <c r="A38" s="2149">
        <v>43890</v>
      </c>
      <c r="B38" s="817" t="s">
        <v>20</v>
      </c>
      <c r="C38" s="817" t="s">
        <v>7078</v>
      </c>
      <c r="D38" s="1814">
        <v>43895</v>
      </c>
      <c r="E38" s="1149" t="s">
        <v>15</v>
      </c>
      <c r="F38" s="2628" t="s">
        <v>15</v>
      </c>
      <c r="G38" s="2628" t="s">
        <v>15</v>
      </c>
      <c r="H38" s="2628" t="s">
        <v>15</v>
      </c>
      <c r="I38" s="1809">
        <v>0</v>
      </c>
      <c r="J38" s="2628" t="s">
        <v>15</v>
      </c>
      <c r="K38" s="2628" t="s">
        <v>15</v>
      </c>
      <c r="L38" s="817" t="s">
        <v>17</v>
      </c>
      <c r="M38" s="839" t="s">
        <v>6034</v>
      </c>
    </row>
    <row r="39" spans="1:13" x14ac:dyDescent="0.35">
      <c r="A39" s="2149">
        <v>43885</v>
      </c>
      <c r="B39" s="2596" t="s">
        <v>20</v>
      </c>
      <c r="C39" s="2596" t="s">
        <v>6929</v>
      </c>
      <c r="D39" s="1814">
        <v>43895</v>
      </c>
      <c r="E39" s="1149" t="s">
        <v>15</v>
      </c>
      <c r="F39" s="2596" t="s">
        <v>15</v>
      </c>
      <c r="G39" s="2596" t="s">
        <v>15</v>
      </c>
      <c r="H39" s="2596" t="s">
        <v>15</v>
      </c>
      <c r="I39" s="2596">
        <v>0</v>
      </c>
      <c r="J39" s="817" t="s">
        <v>15</v>
      </c>
      <c r="K39" s="817" t="s">
        <v>15</v>
      </c>
      <c r="L39" s="817" t="s">
        <v>17</v>
      </c>
      <c r="M39" s="839" t="s">
        <v>20</v>
      </c>
    </row>
    <row r="40" spans="1:13" ht="87" x14ac:dyDescent="0.35">
      <c r="A40" s="2485">
        <v>43885</v>
      </c>
      <c r="B40" s="5" t="s">
        <v>6920</v>
      </c>
      <c r="C40" s="5" t="s">
        <v>6943</v>
      </c>
      <c r="D40" s="2486">
        <v>43896</v>
      </c>
      <c r="E40" s="824" t="s">
        <v>6919</v>
      </c>
      <c r="F40" s="6">
        <v>0.33333333333333331</v>
      </c>
      <c r="G40" s="6">
        <v>0.35416666666666669</v>
      </c>
      <c r="H40" s="6">
        <v>0.35416666666666669</v>
      </c>
      <c r="I40" s="1678">
        <v>0</v>
      </c>
      <c r="J40" s="817" t="s">
        <v>6944</v>
      </c>
      <c r="K40" s="817" t="s">
        <v>140</v>
      </c>
      <c r="L40" s="817" t="s">
        <v>6046</v>
      </c>
      <c r="M40" s="839" t="s">
        <v>6942</v>
      </c>
    </row>
    <row r="41" spans="1:13" ht="72.5" x14ac:dyDescent="0.35">
      <c r="A41" s="1994">
        <v>43894</v>
      </c>
      <c r="B41" s="7" t="s">
        <v>7161</v>
      </c>
      <c r="C41" s="7" t="s">
        <v>7162</v>
      </c>
      <c r="D41" s="1899">
        <v>43896</v>
      </c>
      <c r="E41" s="881" t="s">
        <v>7163</v>
      </c>
      <c r="F41" s="836">
        <v>0.40625</v>
      </c>
      <c r="G41" s="836">
        <v>0.43055555555555558</v>
      </c>
      <c r="H41" s="836">
        <v>0.43055555555555558</v>
      </c>
      <c r="I41" s="1630">
        <f>2.5*200</f>
        <v>500</v>
      </c>
      <c r="J41" s="7" t="s">
        <v>7164</v>
      </c>
      <c r="K41" s="817" t="s">
        <v>140</v>
      </c>
      <c r="L41" s="7" t="s">
        <v>17</v>
      </c>
      <c r="M41" s="809" t="s">
        <v>2084</v>
      </c>
    </row>
    <row r="42" spans="1:13" ht="72.5" x14ac:dyDescent="0.35">
      <c r="A42" s="2149">
        <v>43894</v>
      </c>
      <c r="B42" s="817" t="s">
        <v>4951</v>
      </c>
      <c r="C42" s="817" t="s">
        <v>7171</v>
      </c>
      <c r="D42" s="1899">
        <v>43896</v>
      </c>
      <c r="E42" s="1149" t="s">
        <v>1080</v>
      </c>
      <c r="F42" s="836">
        <v>0.40625</v>
      </c>
      <c r="G42" s="836">
        <v>0.47222222222222227</v>
      </c>
      <c r="H42" s="836">
        <v>0.47222222222222227</v>
      </c>
      <c r="I42" s="1630">
        <v>250</v>
      </c>
      <c r="J42" s="817" t="s">
        <v>7119</v>
      </c>
      <c r="K42" s="817" t="s">
        <v>140</v>
      </c>
      <c r="L42" s="817" t="s">
        <v>17</v>
      </c>
      <c r="M42" s="839" t="s">
        <v>5489</v>
      </c>
    </row>
    <row r="43" spans="1:13" ht="58" x14ac:dyDescent="0.35">
      <c r="A43" s="2149">
        <v>43866</v>
      </c>
      <c r="B43" s="817" t="s">
        <v>6496</v>
      </c>
      <c r="C43" s="817" t="s">
        <v>7087</v>
      </c>
      <c r="D43" s="1814">
        <v>43896</v>
      </c>
      <c r="E43" s="1149" t="s">
        <v>5489</v>
      </c>
      <c r="F43" s="2628">
        <v>0.40625</v>
      </c>
      <c r="G43" s="2628">
        <v>0.47222222222222227</v>
      </c>
      <c r="H43" s="2628">
        <v>0.47222222222222227</v>
      </c>
      <c r="I43" s="1956">
        <f>6*90</f>
        <v>540</v>
      </c>
      <c r="J43" s="2628" t="s">
        <v>6501</v>
      </c>
      <c r="K43" s="817" t="s">
        <v>140</v>
      </c>
      <c r="L43" s="817" t="s">
        <v>17</v>
      </c>
      <c r="M43" s="839" t="s">
        <v>5489</v>
      </c>
    </row>
    <row r="44" spans="1:13" ht="43.5" x14ac:dyDescent="0.35">
      <c r="A44" s="2485">
        <v>43895</v>
      </c>
      <c r="B44" s="5" t="s">
        <v>5436</v>
      </c>
      <c r="C44" s="5" t="s">
        <v>7190</v>
      </c>
      <c r="D44" s="2486">
        <v>43896</v>
      </c>
      <c r="E44" s="824" t="s">
        <v>5494</v>
      </c>
      <c r="F44" s="6">
        <v>0.45833333333333331</v>
      </c>
      <c r="G44" s="2628">
        <v>0.45833333333333331</v>
      </c>
      <c r="H44" s="2628">
        <v>0.45833333333333331</v>
      </c>
      <c r="I44" s="1956">
        <f>108*7</f>
        <v>756</v>
      </c>
      <c r="J44" s="2628" t="s">
        <v>7191</v>
      </c>
      <c r="K44" s="2628" t="s">
        <v>15</v>
      </c>
      <c r="L44" s="817" t="s">
        <v>17</v>
      </c>
      <c r="M44" s="839" t="s">
        <v>6053</v>
      </c>
    </row>
    <row r="45" spans="1:13" ht="29" x14ac:dyDescent="0.35">
      <c r="A45" s="2149">
        <v>43890</v>
      </c>
      <c r="B45" s="817" t="s">
        <v>7075</v>
      </c>
      <c r="C45" s="817" t="s">
        <v>7079</v>
      </c>
      <c r="D45" s="1814">
        <v>43896</v>
      </c>
      <c r="E45" s="1149" t="s">
        <v>5494</v>
      </c>
      <c r="F45" s="2628">
        <v>0.625</v>
      </c>
      <c r="G45" s="2628">
        <v>0.625</v>
      </c>
      <c r="H45" s="2628">
        <v>0.625</v>
      </c>
      <c r="I45" s="1956">
        <v>120</v>
      </c>
      <c r="J45" s="817" t="s">
        <v>7077</v>
      </c>
      <c r="K45" s="817" t="s">
        <v>15</v>
      </c>
      <c r="L45" s="817" t="s">
        <v>17</v>
      </c>
      <c r="M45" s="839" t="s">
        <v>5367</v>
      </c>
    </row>
    <row r="46" spans="1:13" ht="43.5" x14ac:dyDescent="0.35">
      <c r="A46" s="2149">
        <v>43887</v>
      </c>
      <c r="B46" s="2596" t="s">
        <v>7011</v>
      </c>
      <c r="C46" s="2596" t="s">
        <v>7117</v>
      </c>
      <c r="D46" s="1814">
        <v>43896</v>
      </c>
      <c r="E46" s="2596" t="s">
        <v>5494</v>
      </c>
      <c r="F46" s="2599">
        <v>0.66666666666666663</v>
      </c>
      <c r="G46" s="2599">
        <v>0.66666666666666663</v>
      </c>
      <c r="H46" s="2599">
        <v>0.66666666666666663</v>
      </c>
      <c r="I46" s="2596">
        <v>0</v>
      </c>
      <c r="J46" s="817" t="s">
        <v>7013</v>
      </c>
      <c r="K46" s="817" t="s">
        <v>15</v>
      </c>
      <c r="L46" s="817" t="s">
        <v>22</v>
      </c>
      <c r="M46" s="839" t="s">
        <v>6053</v>
      </c>
    </row>
    <row r="47" spans="1:13" ht="188.5" x14ac:dyDescent="0.35">
      <c r="A47" s="2149">
        <v>43892</v>
      </c>
      <c r="B47" s="7" t="s">
        <v>7125</v>
      </c>
      <c r="C47" s="7" t="s">
        <v>7232</v>
      </c>
      <c r="D47" s="1899">
        <v>43896</v>
      </c>
      <c r="E47" s="881" t="s">
        <v>7126</v>
      </c>
      <c r="F47" s="836">
        <v>0.66666666666666663</v>
      </c>
      <c r="G47" s="2628">
        <v>0.70833333333333337</v>
      </c>
      <c r="H47" s="2628">
        <v>0.70833333333333337</v>
      </c>
      <c r="I47" s="1956">
        <f>8*15+4*5</f>
        <v>140</v>
      </c>
      <c r="J47" s="817" t="s">
        <v>6501</v>
      </c>
      <c r="K47" s="817" t="s">
        <v>140</v>
      </c>
      <c r="L47" s="817" t="s">
        <v>17</v>
      </c>
      <c r="M47" s="839" t="s">
        <v>17</v>
      </c>
    </row>
    <row r="48" spans="1:13" ht="87" x14ac:dyDescent="0.35">
      <c r="A48" s="2149">
        <v>43885</v>
      </c>
      <c r="B48" s="817" t="s">
        <v>6920</v>
      </c>
      <c r="C48" s="817" t="s">
        <v>6945</v>
      </c>
      <c r="D48" s="1814">
        <v>43897</v>
      </c>
      <c r="E48" s="1149" t="s">
        <v>6919</v>
      </c>
      <c r="F48" s="2628">
        <v>0.3888888888888889</v>
      </c>
      <c r="G48" s="2628">
        <v>0.41666666666666669</v>
      </c>
      <c r="H48" s="2628">
        <v>0.41666666666666669</v>
      </c>
      <c r="I48" s="1809">
        <v>0</v>
      </c>
      <c r="J48" s="817" t="s">
        <v>6944</v>
      </c>
      <c r="K48" s="817" t="s">
        <v>140</v>
      </c>
      <c r="L48" s="817" t="s">
        <v>6046</v>
      </c>
      <c r="M48" s="839" t="s">
        <v>6942</v>
      </c>
    </row>
    <row r="49" spans="1:13" ht="87" x14ac:dyDescent="0.35">
      <c r="A49" s="1830">
        <v>43885</v>
      </c>
      <c r="B49" s="2555" t="s">
        <v>663</v>
      </c>
      <c r="C49" s="2555" t="s">
        <v>6928</v>
      </c>
      <c r="D49" s="1808">
        <v>43897</v>
      </c>
      <c r="E49" s="2555" t="s">
        <v>6927</v>
      </c>
      <c r="F49" s="2598">
        <v>0.3888888888888889</v>
      </c>
      <c r="G49" s="2598">
        <v>0.45833333333333331</v>
      </c>
      <c r="H49" s="2598">
        <v>0.45833333333333331</v>
      </c>
      <c r="I49" s="2597">
        <v>660</v>
      </c>
      <c r="J49" s="817" t="s">
        <v>7132</v>
      </c>
      <c r="K49" s="817" t="s">
        <v>140</v>
      </c>
      <c r="L49" s="817" t="s">
        <v>17</v>
      </c>
      <c r="M49" s="839" t="s">
        <v>6041</v>
      </c>
    </row>
    <row r="50" spans="1:13" ht="217.5" x14ac:dyDescent="0.35">
      <c r="A50" s="2152">
        <v>43893</v>
      </c>
      <c r="B50" s="1850" t="s">
        <v>7143</v>
      </c>
      <c r="C50" s="1850" t="s">
        <v>7144</v>
      </c>
      <c r="D50" s="1999">
        <v>43897</v>
      </c>
      <c r="E50" s="1149" t="s">
        <v>7145</v>
      </c>
      <c r="F50" s="2628">
        <v>0.3888888888888889</v>
      </c>
      <c r="G50" s="2628">
        <v>0.5</v>
      </c>
      <c r="H50" s="2628">
        <v>0.5</v>
      </c>
      <c r="I50" s="1956">
        <f>6*130+90*2</f>
        <v>960</v>
      </c>
      <c r="J50" s="2628" t="s">
        <v>7146</v>
      </c>
      <c r="K50" s="817" t="s">
        <v>140</v>
      </c>
      <c r="L50" s="817" t="s">
        <v>17</v>
      </c>
      <c r="M50" s="839" t="s">
        <v>5367</v>
      </c>
    </row>
    <row r="51" spans="1:13" ht="29" x14ac:dyDescent="0.35">
      <c r="A51" s="1994">
        <v>43895</v>
      </c>
      <c r="B51" s="7" t="s">
        <v>7188</v>
      </c>
      <c r="C51" s="7" t="s">
        <v>7189</v>
      </c>
      <c r="D51" s="1899">
        <v>43897</v>
      </c>
      <c r="E51" s="881" t="s">
        <v>5494</v>
      </c>
      <c r="F51" s="836">
        <v>0.4375</v>
      </c>
      <c r="G51" s="836">
        <v>0.4375</v>
      </c>
      <c r="H51" s="836">
        <v>0.4375</v>
      </c>
      <c r="I51" s="1630">
        <f>1.2*80</f>
        <v>96</v>
      </c>
      <c r="J51" s="7" t="s">
        <v>257</v>
      </c>
      <c r="K51" s="817" t="s">
        <v>15</v>
      </c>
      <c r="L51" s="7" t="s">
        <v>17</v>
      </c>
      <c r="M51" s="809" t="s">
        <v>2084</v>
      </c>
    </row>
    <row r="52" spans="1:13" ht="58" x14ac:dyDescent="0.35">
      <c r="A52" s="1994">
        <v>43895</v>
      </c>
      <c r="B52" s="7" t="s">
        <v>7209</v>
      </c>
      <c r="C52" s="7" t="s">
        <v>7211</v>
      </c>
      <c r="D52" s="1899">
        <v>43897</v>
      </c>
      <c r="E52" s="881" t="s">
        <v>5494</v>
      </c>
      <c r="F52" s="836">
        <v>0.5</v>
      </c>
      <c r="G52" s="2628">
        <v>0.5</v>
      </c>
      <c r="H52" s="2628">
        <v>0.5</v>
      </c>
      <c r="I52" s="1956">
        <v>160</v>
      </c>
      <c r="J52" s="817" t="s">
        <v>7210</v>
      </c>
      <c r="K52" s="817" t="s">
        <v>15</v>
      </c>
      <c r="L52" s="817" t="s">
        <v>17</v>
      </c>
      <c r="M52" s="839" t="s">
        <v>5367</v>
      </c>
    </row>
    <row r="53" spans="1:13" ht="203" x14ac:dyDescent="0.35">
      <c r="A53" s="1994">
        <v>43895</v>
      </c>
      <c r="B53" s="7" t="s">
        <v>7194</v>
      </c>
      <c r="C53" s="5" t="s">
        <v>6822</v>
      </c>
      <c r="D53" s="2486">
        <v>43897</v>
      </c>
      <c r="E53" s="824" t="s">
        <v>5367</v>
      </c>
      <c r="F53" s="6">
        <v>0.53472222222222221</v>
      </c>
      <c r="G53" s="6">
        <v>0.54166666666666663</v>
      </c>
      <c r="H53" s="6">
        <v>0.54166666666666663</v>
      </c>
      <c r="I53" s="1678">
        <v>0</v>
      </c>
      <c r="J53" s="5" t="s">
        <v>6821</v>
      </c>
      <c r="K53" s="5" t="s">
        <v>15</v>
      </c>
      <c r="L53" s="5" t="s">
        <v>17</v>
      </c>
      <c r="M53" s="807" t="s">
        <v>6034</v>
      </c>
    </row>
    <row r="54" spans="1:13" ht="101.5" x14ac:dyDescent="0.35">
      <c r="A54" s="2149">
        <v>43892</v>
      </c>
      <c r="B54" s="817" t="s">
        <v>7110</v>
      </c>
      <c r="C54" s="817" t="s">
        <v>7113</v>
      </c>
      <c r="D54" s="1814">
        <v>43897</v>
      </c>
      <c r="E54" s="1149" t="s">
        <v>7111</v>
      </c>
      <c r="F54" s="2628">
        <v>0.54166666666666663</v>
      </c>
      <c r="G54" s="2628">
        <v>0.5625</v>
      </c>
      <c r="H54" s="2628">
        <v>0.5625</v>
      </c>
      <c r="I54" s="1956">
        <v>165</v>
      </c>
      <c r="J54" s="817" t="s">
        <v>7112</v>
      </c>
      <c r="K54" s="817" t="s">
        <v>140</v>
      </c>
      <c r="L54" s="817" t="s">
        <v>17</v>
      </c>
      <c r="M54" s="839" t="s">
        <v>2084</v>
      </c>
    </row>
    <row r="55" spans="1:13" ht="145" x14ac:dyDescent="0.35">
      <c r="A55" s="2149">
        <v>43894</v>
      </c>
      <c r="B55" s="817" t="s">
        <v>7158</v>
      </c>
      <c r="C55" s="817" t="s">
        <v>7159</v>
      </c>
      <c r="D55" s="1814">
        <v>43897</v>
      </c>
      <c r="E55" s="1149" t="s">
        <v>2960</v>
      </c>
      <c r="F55" s="2628">
        <v>0.54166666666666663</v>
      </c>
      <c r="G55" s="2628">
        <v>0.58333333333333337</v>
      </c>
      <c r="H55" s="2628">
        <v>0.58333333333333337</v>
      </c>
      <c r="I55" s="1956">
        <v>400</v>
      </c>
      <c r="J55" s="817" t="s">
        <v>7160</v>
      </c>
      <c r="K55" s="817" t="s">
        <v>140</v>
      </c>
      <c r="L55" s="817" t="s">
        <v>17</v>
      </c>
      <c r="M55" s="839" t="s">
        <v>2960</v>
      </c>
    </row>
    <row r="56" spans="1:13" ht="101.5" x14ac:dyDescent="0.35">
      <c r="A56" s="2145">
        <v>43895</v>
      </c>
      <c r="B56" s="1733" t="s">
        <v>7229</v>
      </c>
      <c r="C56" s="1733" t="s">
        <v>7203</v>
      </c>
      <c r="D56" s="2146">
        <v>43897</v>
      </c>
      <c r="E56" s="881" t="s">
        <v>7201</v>
      </c>
      <c r="F56" s="836">
        <v>0.54166666666666663</v>
      </c>
      <c r="G56" s="2628">
        <v>0.625</v>
      </c>
      <c r="H56" s="2628">
        <v>0.625</v>
      </c>
      <c r="I56" s="1956">
        <v>250</v>
      </c>
      <c r="J56" s="817" t="s">
        <v>7202</v>
      </c>
      <c r="K56" s="817" t="s">
        <v>140</v>
      </c>
      <c r="L56" s="817" t="s">
        <v>17</v>
      </c>
      <c r="M56" s="839" t="s">
        <v>5367</v>
      </c>
    </row>
    <row r="57" spans="1:13" ht="203" x14ac:dyDescent="0.35">
      <c r="A57" s="2485">
        <v>43894</v>
      </c>
      <c r="B57" s="5" t="s">
        <v>7184</v>
      </c>
      <c r="C57" s="5" t="s">
        <v>6822</v>
      </c>
      <c r="D57" s="2486">
        <v>43897</v>
      </c>
      <c r="E57" s="824" t="s">
        <v>5367</v>
      </c>
      <c r="F57" s="6">
        <v>0.61458333333333337</v>
      </c>
      <c r="G57" s="6">
        <v>0.625</v>
      </c>
      <c r="H57" s="6">
        <v>0.625</v>
      </c>
      <c r="I57" s="1678">
        <v>0</v>
      </c>
      <c r="J57" s="5" t="s">
        <v>6821</v>
      </c>
      <c r="K57" s="5" t="s">
        <v>15</v>
      </c>
      <c r="L57" s="5" t="s">
        <v>17</v>
      </c>
      <c r="M57" s="807" t="s">
        <v>6034</v>
      </c>
    </row>
    <row r="58" spans="1:13" ht="72.5" x14ac:dyDescent="0.35">
      <c r="A58" s="1830">
        <v>43890</v>
      </c>
      <c r="B58" s="10" t="s">
        <v>7075</v>
      </c>
      <c r="C58" s="10" t="s">
        <v>7076</v>
      </c>
      <c r="D58" s="1808">
        <v>43897</v>
      </c>
      <c r="E58" s="823" t="s">
        <v>5502</v>
      </c>
      <c r="F58" s="6" t="s">
        <v>15</v>
      </c>
      <c r="G58" s="6">
        <v>0.5</v>
      </c>
      <c r="H58" s="6">
        <v>0.5</v>
      </c>
      <c r="I58" s="1630">
        <v>607</v>
      </c>
      <c r="J58" s="817" t="s">
        <v>7077</v>
      </c>
      <c r="K58" s="817" t="s">
        <v>15</v>
      </c>
      <c r="L58" s="817" t="s">
        <v>17</v>
      </c>
      <c r="M58" s="839" t="s">
        <v>5367</v>
      </c>
    </row>
    <row r="59" spans="1:13" ht="101.5" x14ac:dyDescent="0.35">
      <c r="A59" s="2149">
        <v>43880</v>
      </c>
      <c r="B59" s="817" t="s">
        <v>6883</v>
      </c>
      <c r="C59" s="817" t="s">
        <v>6824</v>
      </c>
      <c r="D59" s="1814">
        <v>43897</v>
      </c>
      <c r="E59" s="1149" t="s">
        <v>5367</v>
      </c>
      <c r="F59" s="2628" t="s">
        <v>15</v>
      </c>
      <c r="G59" s="2628">
        <v>0.6875</v>
      </c>
      <c r="H59" s="2628">
        <v>0.6875</v>
      </c>
      <c r="I59" s="1809">
        <v>0</v>
      </c>
      <c r="J59" s="817" t="s">
        <v>6034</v>
      </c>
      <c r="K59" s="817" t="s">
        <v>15</v>
      </c>
      <c r="L59" s="817" t="s">
        <v>17</v>
      </c>
      <c r="M59" s="839" t="s">
        <v>6034</v>
      </c>
    </row>
    <row r="60" spans="1:13" ht="87" x14ac:dyDescent="0.35">
      <c r="A60" s="2149">
        <v>43892</v>
      </c>
      <c r="B60" s="7" t="s">
        <v>7123</v>
      </c>
      <c r="C60" s="7" t="s">
        <v>7247</v>
      </c>
      <c r="D60" s="1899">
        <v>43898</v>
      </c>
      <c r="E60" s="881" t="s">
        <v>7248</v>
      </c>
      <c r="F60" s="836">
        <v>0.44791666666666669</v>
      </c>
      <c r="G60" s="836">
        <v>0.47916666666666669</v>
      </c>
      <c r="H60" s="836">
        <v>0.47916666666666669</v>
      </c>
      <c r="I60" s="1630">
        <f>0.7*(1.5*90+40)</f>
        <v>122.49999999999999</v>
      </c>
      <c r="J60" s="817" t="s">
        <v>7124</v>
      </c>
      <c r="K60" s="817" t="s">
        <v>140</v>
      </c>
      <c r="L60" s="817" t="s">
        <v>17</v>
      </c>
      <c r="M60" s="839" t="s">
        <v>6053</v>
      </c>
    </row>
    <row r="61" spans="1:13" ht="101.5" x14ac:dyDescent="0.35">
      <c r="A61" s="2149">
        <v>43892</v>
      </c>
      <c r="B61" s="817" t="s">
        <v>4951</v>
      </c>
      <c r="C61" s="817" t="s">
        <v>7118</v>
      </c>
      <c r="D61" s="1814">
        <v>43898</v>
      </c>
      <c r="E61" s="1149" t="s">
        <v>1080</v>
      </c>
      <c r="F61" s="2628">
        <v>0.44791666666666669</v>
      </c>
      <c r="G61" s="2628">
        <v>0.51041666666666663</v>
      </c>
      <c r="H61" s="2628">
        <v>0.51041666666666663</v>
      </c>
      <c r="I61" s="1956">
        <v>300</v>
      </c>
      <c r="J61" s="817" t="s">
        <v>7119</v>
      </c>
      <c r="K61" s="817" t="s">
        <v>140</v>
      </c>
      <c r="L61" s="817" t="s">
        <v>17</v>
      </c>
      <c r="M61" s="839" t="s">
        <v>5489</v>
      </c>
    </row>
    <row r="62" spans="1:13" x14ac:dyDescent="0.35">
      <c r="A62" s="2149">
        <v>43898</v>
      </c>
      <c r="B62" s="817" t="s">
        <v>7263</v>
      </c>
      <c r="C62" s="817" t="s">
        <v>7264</v>
      </c>
      <c r="D62" s="1814">
        <v>43898</v>
      </c>
      <c r="E62" s="1149" t="s">
        <v>15</v>
      </c>
      <c r="F62" s="1149" t="s">
        <v>15</v>
      </c>
      <c r="G62" s="1149" t="s">
        <v>15</v>
      </c>
      <c r="H62" s="1149" t="s">
        <v>15</v>
      </c>
      <c r="I62" s="1956">
        <v>120</v>
      </c>
      <c r="J62" s="817" t="s">
        <v>257</v>
      </c>
      <c r="K62" s="817" t="s">
        <v>140</v>
      </c>
      <c r="L62" s="817" t="s">
        <v>17</v>
      </c>
      <c r="M62" s="839" t="s">
        <v>6041</v>
      </c>
    </row>
    <row r="63" spans="1:13" ht="58" x14ac:dyDescent="0.35">
      <c r="A63" s="1994">
        <v>43895</v>
      </c>
      <c r="B63" s="7" t="s">
        <v>7237</v>
      </c>
      <c r="C63" s="7" t="s">
        <v>2721</v>
      </c>
      <c r="D63" s="1899">
        <v>43898</v>
      </c>
      <c r="E63" s="881" t="s">
        <v>5494</v>
      </c>
      <c r="F63" s="836">
        <v>0.45833333333333331</v>
      </c>
      <c r="G63" s="2628">
        <v>0.45833333333333331</v>
      </c>
      <c r="H63" s="2628">
        <v>0.45833333333333331</v>
      </c>
      <c r="I63" s="1956">
        <f>199*2</f>
        <v>398</v>
      </c>
      <c r="J63" s="817" t="s">
        <v>7238</v>
      </c>
      <c r="K63" s="817" t="s">
        <v>15</v>
      </c>
      <c r="L63" s="817" t="s">
        <v>17</v>
      </c>
      <c r="M63" s="839" t="s">
        <v>2084</v>
      </c>
    </row>
    <row r="64" spans="1:13" ht="29" x14ac:dyDescent="0.35">
      <c r="A64" s="2149">
        <v>43896</v>
      </c>
      <c r="B64" s="817" t="s">
        <v>7235</v>
      </c>
      <c r="C64" s="817" t="s">
        <v>7236</v>
      </c>
      <c r="D64" s="1814">
        <v>43898</v>
      </c>
      <c r="E64" s="1149" t="s">
        <v>115</v>
      </c>
      <c r="F64" s="2628">
        <v>0.5</v>
      </c>
      <c r="G64" s="2628">
        <v>0.5</v>
      </c>
      <c r="H64" s="2628">
        <v>0.5</v>
      </c>
      <c r="I64" s="1956">
        <f>1.2*80</f>
        <v>96</v>
      </c>
      <c r="J64" s="817" t="s">
        <v>257</v>
      </c>
      <c r="K64" s="817" t="s">
        <v>15</v>
      </c>
      <c r="L64" s="817" t="s">
        <v>17</v>
      </c>
      <c r="M64" s="839" t="s">
        <v>6053</v>
      </c>
    </row>
    <row r="65" spans="1:13" ht="130.5" x14ac:dyDescent="0.35">
      <c r="A65" s="1994">
        <v>43894</v>
      </c>
      <c r="B65" s="7" t="s">
        <v>7168</v>
      </c>
      <c r="C65" s="7" t="s">
        <v>7169</v>
      </c>
      <c r="D65" s="1899">
        <v>43898</v>
      </c>
      <c r="E65" s="881" t="s">
        <v>5494</v>
      </c>
      <c r="F65" s="836">
        <v>0.5</v>
      </c>
      <c r="G65" s="2628">
        <v>0.5</v>
      </c>
      <c r="H65" s="2628">
        <v>0.5</v>
      </c>
      <c r="I65" s="1956">
        <f>1.5*80</f>
        <v>120</v>
      </c>
      <c r="J65" s="817" t="s">
        <v>7170</v>
      </c>
      <c r="K65" s="817" t="s">
        <v>15</v>
      </c>
      <c r="L65" s="817" t="s">
        <v>17</v>
      </c>
      <c r="M65" s="839" t="s">
        <v>5367</v>
      </c>
    </row>
    <row r="66" spans="1:13" ht="58" x14ac:dyDescent="0.35">
      <c r="A66" s="2149">
        <v>43897</v>
      </c>
      <c r="B66" s="817" t="s">
        <v>7244</v>
      </c>
      <c r="C66" s="817" t="s">
        <v>7245</v>
      </c>
      <c r="D66" s="1814">
        <v>43898</v>
      </c>
      <c r="E66" s="1149" t="s">
        <v>115</v>
      </c>
      <c r="F66" s="2628">
        <v>0.54166666666666663</v>
      </c>
      <c r="G66" s="2628">
        <v>0.54166666666666663</v>
      </c>
      <c r="H66" s="2628">
        <v>0.54166666666666663</v>
      </c>
      <c r="I66" s="1956">
        <v>243</v>
      </c>
      <c r="J66" s="817" t="s">
        <v>7246</v>
      </c>
      <c r="K66" s="817" t="s">
        <v>15</v>
      </c>
      <c r="L66" s="817" t="s">
        <v>17</v>
      </c>
      <c r="M66" s="839" t="s">
        <v>5367</v>
      </c>
    </row>
    <row r="67" spans="1:13" ht="43.5" x14ac:dyDescent="0.35">
      <c r="A67" s="1994">
        <v>43895</v>
      </c>
      <c r="B67" s="7" t="s">
        <v>7206</v>
      </c>
      <c r="C67" s="7" t="s">
        <v>7207</v>
      </c>
      <c r="D67" s="1899">
        <v>43898</v>
      </c>
      <c r="E67" s="881" t="s">
        <v>5494</v>
      </c>
      <c r="F67" s="836">
        <v>0.66666666666666663</v>
      </c>
      <c r="G67" s="2628">
        <v>0.66666666666666663</v>
      </c>
      <c r="H67" s="2628">
        <v>0.66666666666666663</v>
      </c>
      <c r="I67" s="1956">
        <f>1.6*3*80</f>
        <v>384.00000000000006</v>
      </c>
      <c r="J67" s="2064" t="s">
        <v>108</v>
      </c>
      <c r="K67" s="817" t="s">
        <v>15</v>
      </c>
      <c r="L67" s="817" t="s">
        <v>17</v>
      </c>
      <c r="M67" s="839" t="s">
        <v>7208</v>
      </c>
    </row>
    <row r="68" spans="1:13" x14ac:dyDescent="0.35">
      <c r="A68" s="2149">
        <v>43899</v>
      </c>
      <c r="B68" s="817" t="s">
        <v>1486</v>
      </c>
      <c r="C68" s="817" t="s">
        <v>7265</v>
      </c>
      <c r="D68" s="1814">
        <v>43899</v>
      </c>
      <c r="E68" s="1149" t="s">
        <v>5494</v>
      </c>
      <c r="F68" s="2628">
        <v>0.75</v>
      </c>
      <c r="G68" s="2628">
        <v>0.75</v>
      </c>
      <c r="H68" s="2628">
        <v>0.75</v>
      </c>
      <c r="I68" s="1956">
        <v>65</v>
      </c>
      <c r="J68" s="817" t="s">
        <v>1493</v>
      </c>
      <c r="K68" s="817" t="s">
        <v>15</v>
      </c>
      <c r="L68" s="817" t="s">
        <v>17</v>
      </c>
      <c r="M68" s="839" t="s">
        <v>6053</v>
      </c>
    </row>
    <row r="69" spans="1:13" ht="29" x14ac:dyDescent="0.35">
      <c r="A69" s="2149">
        <v>43899</v>
      </c>
      <c r="B69" s="817" t="s">
        <v>7258</v>
      </c>
      <c r="C69" s="817" t="s">
        <v>7259</v>
      </c>
      <c r="D69" s="1814">
        <v>43899</v>
      </c>
      <c r="E69" s="1149" t="s">
        <v>5502</v>
      </c>
      <c r="F69" s="2628">
        <v>0.58333333333333337</v>
      </c>
      <c r="G69" s="2628">
        <v>0.58333333333333337</v>
      </c>
      <c r="H69" s="2628">
        <v>0.58333333333333337</v>
      </c>
      <c r="I69" s="1956">
        <f>99*10</f>
        <v>990</v>
      </c>
      <c r="J69" s="817" t="s">
        <v>7295</v>
      </c>
      <c r="K69" s="817" t="s">
        <v>15</v>
      </c>
      <c r="L69" s="817" t="s">
        <v>17</v>
      </c>
      <c r="M69" s="839" t="s">
        <v>6053</v>
      </c>
    </row>
    <row r="70" spans="1:13" ht="72.5" x14ac:dyDescent="0.35">
      <c r="A70" s="1994">
        <v>43895</v>
      </c>
      <c r="B70" s="7" t="s">
        <v>7200</v>
      </c>
      <c r="C70" s="7" t="s">
        <v>7205</v>
      </c>
      <c r="D70" s="1899">
        <v>43899</v>
      </c>
      <c r="E70" s="881" t="s">
        <v>7204</v>
      </c>
      <c r="F70" s="836">
        <v>0.39583333333333331</v>
      </c>
      <c r="G70" s="2628">
        <v>0.41666666666666669</v>
      </c>
      <c r="H70" s="2628">
        <v>0.41666666666666669</v>
      </c>
      <c r="I70" s="1956">
        <v>120</v>
      </c>
      <c r="J70" s="817" t="s">
        <v>7160</v>
      </c>
      <c r="K70" s="817" t="s">
        <v>119</v>
      </c>
      <c r="L70" s="817" t="s">
        <v>17</v>
      </c>
      <c r="M70" s="839" t="s">
        <v>5367</v>
      </c>
    </row>
    <row r="71" spans="1:13" ht="43.5" x14ac:dyDescent="0.35">
      <c r="A71" s="1994">
        <v>43893</v>
      </c>
      <c r="B71" s="7" t="s">
        <v>4820</v>
      </c>
      <c r="C71" s="7" t="s">
        <v>7129</v>
      </c>
      <c r="D71" s="1899">
        <v>43899</v>
      </c>
      <c r="E71" s="881" t="s">
        <v>7130</v>
      </c>
      <c r="F71" s="836">
        <v>0.45833333333333331</v>
      </c>
      <c r="G71" s="836">
        <v>0.48958333333333331</v>
      </c>
      <c r="H71" s="836">
        <v>0.48958333333333331</v>
      </c>
      <c r="I71" s="1630">
        <v>180</v>
      </c>
      <c r="J71" s="7" t="s">
        <v>5651</v>
      </c>
      <c r="K71" s="817" t="s">
        <v>119</v>
      </c>
      <c r="L71" s="7" t="s">
        <v>17</v>
      </c>
      <c r="M71" s="809" t="s">
        <v>6041</v>
      </c>
    </row>
    <row r="72" spans="1:13" ht="29" x14ac:dyDescent="0.35">
      <c r="A72" s="1994">
        <v>43896</v>
      </c>
      <c r="B72" s="7" t="s">
        <v>7212</v>
      </c>
      <c r="C72" s="7" t="s">
        <v>7213</v>
      </c>
      <c r="D72" s="1899">
        <v>43899</v>
      </c>
      <c r="E72" s="881" t="s">
        <v>7214</v>
      </c>
      <c r="F72" s="836">
        <v>0.45833333333333331</v>
      </c>
      <c r="G72" s="836">
        <v>0.52083333333333337</v>
      </c>
      <c r="H72" s="836">
        <v>0.52083333333333337</v>
      </c>
      <c r="I72" s="1630">
        <v>132</v>
      </c>
      <c r="J72" s="7" t="s">
        <v>257</v>
      </c>
      <c r="K72" s="7" t="s">
        <v>119</v>
      </c>
      <c r="L72" s="7" t="s">
        <v>22</v>
      </c>
      <c r="M72" s="809" t="s">
        <v>6096</v>
      </c>
    </row>
    <row r="73" spans="1:13" ht="29" x14ac:dyDescent="0.35">
      <c r="A73" s="1994">
        <v>43893</v>
      </c>
      <c r="B73" s="7" t="s">
        <v>5412</v>
      </c>
      <c r="C73" s="7" t="s">
        <v>7128</v>
      </c>
      <c r="D73" s="1899">
        <v>43899</v>
      </c>
      <c r="E73" s="881" t="s">
        <v>7127</v>
      </c>
      <c r="F73" s="836">
        <v>0.45833333333333331</v>
      </c>
      <c r="G73" s="836">
        <v>0.55208333333333337</v>
      </c>
      <c r="H73" s="836">
        <v>0.55208333333333337</v>
      </c>
      <c r="I73" s="1630">
        <v>240</v>
      </c>
      <c r="J73" s="7" t="s">
        <v>294</v>
      </c>
      <c r="K73" s="7" t="s">
        <v>119</v>
      </c>
      <c r="L73" s="7" t="s">
        <v>17</v>
      </c>
      <c r="M73" s="809" t="s">
        <v>6041</v>
      </c>
    </row>
    <row r="74" spans="1:13" ht="87" x14ac:dyDescent="0.35">
      <c r="A74" s="1994">
        <v>43896</v>
      </c>
      <c r="B74" s="7" t="s">
        <v>7241</v>
      </c>
      <c r="C74" s="7" t="s">
        <v>7240</v>
      </c>
      <c r="D74" s="1899">
        <v>43899</v>
      </c>
      <c r="E74" s="881" t="s">
        <v>7239</v>
      </c>
      <c r="F74" s="836">
        <v>0.45833333333333331</v>
      </c>
      <c r="G74" s="836">
        <v>0.57291666666666663</v>
      </c>
      <c r="H74" s="836">
        <v>0.57291666666666663</v>
      </c>
      <c r="I74" s="1100">
        <v>0</v>
      </c>
      <c r="J74" s="7" t="s">
        <v>7242</v>
      </c>
      <c r="K74" s="7" t="s">
        <v>119</v>
      </c>
      <c r="L74" s="7" t="s">
        <v>17</v>
      </c>
      <c r="M74" s="809" t="s">
        <v>2084</v>
      </c>
    </row>
    <row r="75" spans="1:13" ht="101.5" x14ac:dyDescent="0.35">
      <c r="A75" s="1994">
        <v>43888</v>
      </c>
      <c r="B75" s="7" t="s">
        <v>7034</v>
      </c>
      <c r="C75" s="7" t="s">
        <v>7249</v>
      </c>
      <c r="D75" s="1899">
        <v>43899</v>
      </c>
      <c r="E75" s="1899" t="s">
        <v>7036</v>
      </c>
      <c r="F75" s="836">
        <v>0.45833333333333331</v>
      </c>
      <c r="G75" s="836">
        <v>0.59722222222222221</v>
      </c>
      <c r="H75" s="836">
        <v>0.59722222222222221</v>
      </c>
      <c r="I75" s="1630">
        <v>1179</v>
      </c>
      <c r="J75" s="7" t="s">
        <v>7250</v>
      </c>
      <c r="K75" s="7" t="s">
        <v>119</v>
      </c>
      <c r="L75" s="7" t="s">
        <v>17</v>
      </c>
      <c r="M75" s="7" t="s">
        <v>6121</v>
      </c>
    </row>
    <row r="76" spans="1:13" ht="58" x14ac:dyDescent="0.35">
      <c r="A76" s="1994">
        <v>43896</v>
      </c>
      <c r="B76" s="7" t="s">
        <v>697</v>
      </c>
      <c r="C76" s="7" t="s">
        <v>7254</v>
      </c>
      <c r="D76" s="1899">
        <v>43899</v>
      </c>
      <c r="E76" s="881" t="s">
        <v>126</v>
      </c>
      <c r="F76" s="836">
        <v>0.45833333333333331</v>
      </c>
      <c r="G76" s="836">
        <v>0.625</v>
      </c>
      <c r="H76" s="836">
        <v>0.625</v>
      </c>
      <c r="I76" s="1100">
        <v>0</v>
      </c>
      <c r="J76" s="7" t="s">
        <v>5716</v>
      </c>
      <c r="K76" s="7" t="s">
        <v>119</v>
      </c>
      <c r="L76" s="7" t="s">
        <v>17</v>
      </c>
      <c r="M76" s="809" t="s">
        <v>6053</v>
      </c>
    </row>
    <row r="77" spans="1:13" ht="72.5" x14ac:dyDescent="0.35">
      <c r="A77" s="1994">
        <v>43896</v>
      </c>
      <c r="B77" s="7" t="s">
        <v>7252</v>
      </c>
      <c r="C77" s="7" t="s">
        <v>7253</v>
      </c>
      <c r="D77" s="1899">
        <v>43899</v>
      </c>
      <c r="E77" s="824" t="s">
        <v>6668</v>
      </c>
      <c r="F77" s="836">
        <v>0.45833333333333331</v>
      </c>
      <c r="G77" s="2628">
        <v>0.66666666666666663</v>
      </c>
      <c r="H77" s="2628">
        <v>0.66666666666666663</v>
      </c>
      <c r="I77" s="1100">
        <v>0</v>
      </c>
      <c r="J77" s="817" t="s">
        <v>5171</v>
      </c>
      <c r="K77" s="817" t="s">
        <v>119</v>
      </c>
      <c r="L77" s="817" t="s">
        <v>17</v>
      </c>
      <c r="M77" s="839" t="s">
        <v>6053</v>
      </c>
    </row>
    <row r="78" spans="1:13" ht="43.5" x14ac:dyDescent="0.35">
      <c r="A78" s="1994">
        <v>43896</v>
      </c>
      <c r="B78" s="7" t="s">
        <v>7251</v>
      </c>
      <c r="C78" s="7" t="s">
        <v>7234</v>
      </c>
      <c r="D78" s="1899">
        <v>43899</v>
      </c>
      <c r="E78" s="881" t="s">
        <v>5494</v>
      </c>
      <c r="F78" s="836">
        <v>0.45833333333333331</v>
      </c>
      <c r="G78" s="836">
        <v>0.45833333333333331</v>
      </c>
      <c r="H78" s="836">
        <v>0.45833333333333331</v>
      </c>
      <c r="I78" s="1630">
        <v>150</v>
      </c>
      <c r="J78" s="870" t="s">
        <v>7233</v>
      </c>
      <c r="K78" s="7" t="s">
        <v>15</v>
      </c>
      <c r="L78" s="7" t="s">
        <v>974</v>
      </c>
      <c r="M78" s="809" t="s">
        <v>6096</v>
      </c>
    </row>
    <row r="79" spans="1:13" ht="43.5" x14ac:dyDescent="0.35">
      <c r="A79" s="2485">
        <v>43895</v>
      </c>
      <c r="B79" s="5" t="s">
        <v>5436</v>
      </c>
      <c r="C79" s="5" t="s">
        <v>7192</v>
      </c>
      <c r="D79" s="2486">
        <v>43899</v>
      </c>
      <c r="E79" s="824" t="s">
        <v>5494</v>
      </c>
      <c r="F79" s="6">
        <v>0.45833333333333331</v>
      </c>
      <c r="G79" s="2628">
        <v>0.45833333333333331</v>
      </c>
      <c r="H79" s="2628">
        <v>0.45833333333333331</v>
      </c>
      <c r="I79" s="1809">
        <v>0</v>
      </c>
      <c r="J79" s="2628" t="s">
        <v>7193</v>
      </c>
      <c r="K79" s="817" t="s">
        <v>15</v>
      </c>
      <c r="L79" s="817" t="s">
        <v>17</v>
      </c>
      <c r="M79" s="839" t="s">
        <v>6053</v>
      </c>
    </row>
    <row r="80" spans="1:13" ht="29" x14ac:dyDescent="0.35">
      <c r="A80" s="2149">
        <v>43899</v>
      </c>
      <c r="B80" s="817" t="s">
        <v>136</v>
      </c>
      <c r="C80" s="817" t="s">
        <v>7266</v>
      </c>
      <c r="D80" s="1814">
        <v>43900</v>
      </c>
      <c r="E80" s="1149" t="s">
        <v>7267</v>
      </c>
      <c r="F80" s="2628">
        <v>0.35416666666666669</v>
      </c>
      <c r="G80" s="2628">
        <v>0.35416666666666669</v>
      </c>
      <c r="H80" s="2628">
        <v>0.35416666666666669</v>
      </c>
      <c r="I80" s="1809">
        <v>0</v>
      </c>
      <c r="J80" s="817" t="s">
        <v>7091</v>
      </c>
      <c r="K80" s="817" t="s">
        <v>15</v>
      </c>
      <c r="L80" s="817" t="s">
        <v>17</v>
      </c>
      <c r="M80" s="839" t="s">
        <v>6053</v>
      </c>
    </row>
    <row r="81" spans="1:14" ht="58" x14ac:dyDescent="0.35">
      <c r="A81" s="2149">
        <v>43899</v>
      </c>
      <c r="B81" s="817" t="s">
        <v>3798</v>
      </c>
      <c r="C81" s="817" t="s">
        <v>7281</v>
      </c>
      <c r="D81" s="1814">
        <v>43900</v>
      </c>
      <c r="E81" s="1149" t="s">
        <v>7279</v>
      </c>
      <c r="F81" s="2628" t="s">
        <v>15</v>
      </c>
      <c r="G81" s="2628" t="s">
        <v>15</v>
      </c>
      <c r="H81" s="2628" t="s">
        <v>15</v>
      </c>
      <c r="I81" s="1809" t="s">
        <v>15</v>
      </c>
      <c r="J81" s="817" t="s">
        <v>15</v>
      </c>
      <c r="K81" s="817" t="s">
        <v>15</v>
      </c>
      <c r="L81" s="817" t="s">
        <v>22</v>
      </c>
      <c r="M81" s="839" t="s">
        <v>3798</v>
      </c>
    </row>
    <row r="82" spans="1:14" ht="72.5" x14ac:dyDescent="0.35">
      <c r="A82" s="2149">
        <v>43893</v>
      </c>
      <c r="B82" s="817" t="s">
        <v>7270</v>
      </c>
      <c r="C82" s="817" t="s">
        <v>7155</v>
      </c>
      <c r="D82" s="1814">
        <v>43900</v>
      </c>
      <c r="E82" s="1149" t="s">
        <v>7156</v>
      </c>
      <c r="F82" s="2628">
        <v>0.3888888888888889</v>
      </c>
      <c r="G82" s="2628">
        <v>0.41666666666666669</v>
      </c>
      <c r="H82" s="2628">
        <v>0.41666666666666669</v>
      </c>
      <c r="I82" s="1956">
        <f>1.2*90</f>
        <v>108</v>
      </c>
      <c r="J82" s="817" t="s">
        <v>257</v>
      </c>
      <c r="K82" s="817" t="s">
        <v>140</v>
      </c>
      <c r="L82" s="817" t="s">
        <v>17</v>
      </c>
      <c r="M82" s="839" t="s">
        <v>7157</v>
      </c>
    </row>
    <row r="83" spans="1:14" ht="72.5" x14ac:dyDescent="0.35">
      <c r="A83" s="2485">
        <v>43899</v>
      </c>
      <c r="B83" s="5" t="s">
        <v>7271</v>
      </c>
      <c r="C83" s="5" t="s">
        <v>7272</v>
      </c>
      <c r="D83" s="2486">
        <v>43900</v>
      </c>
      <c r="E83" s="824" t="s">
        <v>126</v>
      </c>
      <c r="F83" s="6">
        <v>0.39583333333333331</v>
      </c>
      <c r="G83" s="2628">
        <v>0.4375</v>
      </c>
      <c r="H83" s="2628">
        <v>0.4375</v>
      </c>
      <c r="I83" s="1956">
        <f>15*15*0.7</f>
        <v>157.5</v>
      </c>
      <c r="J83" s="2628" t="s">
        <v>7273</v>
      </c>
      <c r="K83" s="817" t="s">
        <v>140</v>
      </c>
      <c r="L83" s="817" t="s">
        <v>17</v>
      </c>
      <c r="M83" s="839" t="s">
        <v>6053</v>
      </c>
    </row>
    <row r="84" spans="1:14" ht="101.5" x14ac:dyDescent="0.35">
      <c r="A84" s="1994">
        <v>43896</v>
      </c>
      <c r="B84" s="7" t="s">
        <v>7243</v>
      </c>
      <c r="C84" s="7" t="s">
        <v>7274</v>
      </c>
      <c r="D84" s="1899">
        <v>43900</v>
      </c>
      <c r="E84" s="881" t="s">
        <v>126</v>
      </c>
      <c r="F84" s="836">
        <v>0.39583333333333331</v>
      </c>
      <c r="G84" s="2628">
        <v>0.4375</v>
      </c>
      <c r="H84" s="2628">
        <v>0.4375</v>
      </c>
      <c r="I84" s="1809">
        <v>0</v>
      </c>
      <c r="J84" s="817" t="s">
        <v>15</v>
      </c>
      <c r="K84" s="817" t="s">
        <v>140</v>
      </c>
      <c r="L84" s="817" t="s">
        <v>17</v>
      </c>
      <c r="M84" s="839" t="s">
        <v>6061</v>
      </c>
    </row>
    <row r="85" spans="1:14" ht="101.5" x14ac:dyDescent="0.35">
      <c r="A85" s="1994">
        <v>43900</v>
      </c>
      <c r="B85" s="7" t="s">
        <v>5702</v>
      </c>
      <c r="C85" s="7" t="s">
        <v>7283</v>
      </c>
      <c r="D85" s="1899">
        <v>43901</v>
      </c>
      <c r="E85" s="881" t="s">
        <v>7282</v>
      </c>
      <c r="F85" s="836">
        <v>0.36458333333333331</v>
      </c>
      <c r="G85" s="836">
        <v>0.38541666666666669</v>
      </c>
      <c r="H85" s="2628">
        <v>0.38541666666666669</v>
      </c>
      <c r="I85" s="1956">
        <v>398</v>
      </c>
      <c r="J85" s="817" t="s">
        <v>5929</v>
      </c>
      <c r="K85" s="817" t="s">
        <v>119</v>
      </c>
      <c r="L85" s="817" t="s">
        <v>22</v>
      </c>
      <c r="M85" s="839" t="s">
        <v>7291</v>
      </c>
    </row>
    <row r="86" spans="1:14" ht="29" x14ac:dyDescent="0.35">
      <c r="A86" s="2485">
        <v>43900</v>
      </c>
      <c r="B86" s="5" t="s">
        <v>7275</v>
      </c>
      <c r="C86" s="5" t="s">
        <v>7277</v>
      </c>
      <c r="D86" s="2486">
        <v>43901</v>
      </c>
      <c r="E86" s="824" t="s">
        <v>7276</v>
      </c>
      <c r="F86" s="6">
        <v>0.4375</v>
      </c>
      <c r="G86" s="2628">
        <v>0.45833333333333331</v>
      </c>
      <c r="H86" s="2628">
        <v>0.45833333333333331</v>
      </c>
      <c r="I86" s="1956">
        <v>160</v>
      </c>
      <c r="J86" s="2628" t="s">
        <v>294</v>
      </c>
      <c r="K86" s="817" t="s">
        <v>119</v>
      </c>
      <c r="L86" s="817" t="s">
        <v>17</v>
      </c>
      <c r="M86" s="839" t="s">
        <v>5489</v>
      </c>
    </row>
    <row r="87" spans="1:14" ht="43.5" x14ac:dyDescent="0.35">
      <c r="A87" s="2485">
        <v>43899</v>
      </c>
      <c r="B87" s="5" t="s">
        <v>5795</v>
      </c>
      <c r="C87" s="5" t="s">
        <v>7280</v>
      </c>
      <c r="D87" s="2486">
        <v>43901</v>
      </c>
      <c r="E87" s="881" t="s">
        <v>6975</v>
      </c>
      <c r="F87" s="6">
        <v>0.4375</v>
      </c>
      <c r="G87" s="2628">
        <v>0.5</v>
      </c>
      <c r="H87" s="2628">
        <v>0.5</v>
      </c>
      <c r="I87" s="1956">
        <v>168</v>
      </c>
      <c r="J87" s="2611" t="s">
        <v>7297</v>
      </c>
      <c r="K87" s="817" t="s">
        <v>119</v>
      </c>
      <c r="L87" s="817" t="s">
        <v>22</v>
      </c>
      <c r="M87" s="839" t="s">
        <v>6096</v>
      </c>
    </row>
    <row r="88" spans="1:14" ht="232" x14ac:dyDescent="0.35">
      <c r="A88" s="1994">
        <v>43895</v>
      </c>
      <c r="B88" s="7" t="s">
        <v>7197</v>
      </c>
      <c r="C88" s="7" t="s">
        <v>7198</v>
      </c>
      <c r="D88" s="1899">
        <v>43901</v>
      </c>
      <c r="E88" s="881" t="s">
        <v>7199</v>
      </c>
      <c r="F88" s="836">
        <v>0.4375</v>
      </c>
      <c r="G88" s="836">
        <v>0.54166666666666663</v>
      </c>
      <c r="H88" s="836">
        <v>0.54166666666666663</v>
      </c>
      <c r="I88" s="1100">
        <v>0</v>
      </c>
      <c r="J88" s="7" t="s">
        <v>6821</v>
      </c>
      <c r="K88" s="7" t="s">
        <v>119</v>
      </c>
      <c r="L88" s="7" t="s">
        <v>17</v>
      </c>
      <c r="M88" s="809" t="s">
        <v>6034</v>
      </c>
    </row>
    <row r="89" spans="1:14" ht="58" x14ac:dyDescent="0.35">
      <c r="A89" s="2149">
        <v>43901</v>
      </c>
      <c r="B89" s="2614" t="s">
        <v>7306</v>
      </c>
      <c r="C89" s="817" t="s">
        <v>7304</v>
      </c>
      <c r="D89" s="1814">
        <v>43902</v>
      </c>
      <c r="E89" s="1149" t="s">
        <v>7305</v>
      </c>
      <c r="F89" s="2628">
        <v>0.60416666666666663</v>
      </c>
      <c r="G89" s="2628">
        <v>0.625</v>
      </c>
      <c r="H89" s="2628">
        <v>0.625</v>
      </c>
      <c r="I89" s="1956">
        <v>120</v>
      </c>
      <c r="J89" s="817" t="s">
        <v>257</v>
      </c>
      <c r="K89" s="817" t="s">
        <v>140</v>
      </c>
      <c r="L89" s="817" t="s">
        <v>17</v>
      </c>
      <c r="M89" s="839" t="s">
        <v>6041</v>
      </c>
    </row>
    <row r="90" spans="1:14" ht="72.5" x14ac:dyDescent="0.35">
      <c r="A90" s="2149">
        <v>43899</v>
      </c>
      <c r="B90" s="817" t="s">
        <v>7268</v>
      </c>
      <c r="C90" s="817" t="s">
        <v>7269</v>
      </c>
      <c r="D90" s="1814">
        <v>43902</v>
      </c>
      <c r="E90" s="1149" t="s">
        <v>7307</v>
      </c>
      <c r="F90" s="2628">
        <v>0.60416666666666663</v>
      </c>
      <c r="G90" s="2628">
        <v>0.64583333333333337</v>
      </c>
      <c r="H90" s="2628">
        <v>0.64583333333333337</v>
      </c>
      <c r="I90" s="1956">
        <f>1.6*90</f>
        <v>144</v>
      </c>
      <c r="J90" s="817" t="s">
        <v>1493</v>
      </c>
      <c r="K90" s="817" t="s">
        <v>140</v>
      </c>
      <c r="L90" s="817" t="s">
        <v>17</v>
      </c>
      <c r="M90" s="839" t="s">
        <v>6121</v>
      </c>
    </row>
    <row r="91" spans="1:14" ht="174" x14ac:dyDescent="0.35">
      <c r="A91" s="2149">
        <v>43900</v>
      </c>
      <c r="B91" s="817" t="s">
        <v>7308</v>
      </c>
      <c r="C91" s="817" t="s">
        <v>7309</v>
      </c>
      <c r="D91" s="1814">
        <v>43902</v>
      </c>
      <c r="E91" s="1149" t="s">
        <v>7296</v>
      </c>
      <c r="F91" s="2628">
        <v>0.77083333333333337</v>
      </c>
      <c r="G91" s="2628">
        <v>0.79166666666666663</v>
      </c>
      <c r="H91" s="2628">
        <v>0.79166666666666663</v>
      </c>
      <c r="I91" s="1956">
        <v>310</v>
      </c>
      <c r="J91" s="817" t="s">
        <v>257</v>
      </c>
      <c r="K91" s="817" t="s">
        <v>140</v>
      </c>
      <c r="L91" s="817" t="s">
        <v>17</v>
      </c>
      <c r="M91" s="839" t="s">
        <v>2084</v>
      </c>
    </row>
    <row r="92" spans="1:14" ht="203" x14ac:dyDescent="0.35">
      <c r="A92" s="2485">
        <v>43880</v>
      </c>
      <c r="B92" s="5" t="s">
        <v>7070</v>
      </c>
      <c r="C92" s="5" t="s">
        <v>6822</v>
      </c>
      <c r="D92" s="2486">
        <v>43902</v>
      </c>
      <c r="E92" s="824" t="s">
        <v>5367</v>
      </c>
      <c r="F92" s="6">
        <v>0.79166666666666663</v>
      </c>
      <c r="G92" s="6">
        <v>0.79166666666666663</v>
      </c>
      <c r="H92" s="6">
        <v>0.79166666666666663</v>
      </c>
      <c r="I92" s="1678">
        <v>0</v>
      </c>
      <c r="J92" s="5" t="s">
        <v>6821</v>
      </c>
      <c r="K92" s="5" t="s">
        <v>15</v>
      </c>
      <c r="L92" s="5" t="s">
        <v>17</v>
      </c>
      <c r="M92" s="807" t="s">
        <v>6034</v>
      </c>
    </row>
    <row r="93" spans="1:14" ht="43.5" x14ac:dyDescent="0.35">
      <c r="A93" s="2149">
        <v>43901</v>
      </c>
      <c r="B93" s="817" t="s">
        <v>7299</v>
      </c>
      <c r="C93" s="817" t="s">
        <v>7300</v>
      </c>
      <c r="D93" s="1814">
        <v>43902</v>
      </c>
      <c r="E93" s="1149" t="s">
        <v>5494</v>
      </c>
      <c r="F93" s="2628">
        <v>0.83333333333333337</v>
      </c>
      <c r="G93" s="2628">
        <v>0.83333333333333337</v>
      </c>
      <c r="H93" s="2628">
        <v>0.83333333333333337</v>
      </c>
      <c r="I93" s="1956">
        <v>60</v>
      </c>
      <c r="J93" s="817" t="s">
        <v>7301</v>
      </c>
      <c r="K93" s="817" t="s">
        <v>15</v>
      </c>
      <c r="L93" s="817" t="s">
        <v>17</v>
      </c>
      <c r="M93" s="839" t="s">
        <v>5367</v>
      </c>
    </row>
    <row r="94" spans="1:14" ht="58" x14ac:dyDescent="0.35">
      <c r="A94" s="1994">
        <v>43896</v>
      </c>
      <c r="B94" s="7" t="s">
        <v>7230</v>
      </c>
      <c r="C94" s="2142" t="s">
        <v>7231</v>
      </c>
      <c r="D94" s="1899">
        <v>43902</v>
      </c>
      <c r="E94" s="881" t="s">
        <v>15</v>
      </c>
      <c r="F94" s="881" t="s">
        <v>15</v>
      </c>
      <c r="G94" s="881" t="s">
        <v>15</v>
      </c>
      <c r="H94" s="881" t="s">
        <v>15</v>
      </c>
      <c r="I94" s="1809">
        <v>0</v>
      </c>
      <c r="J94" s="881" t="s">
        <v>15</v>
      </c>
      <c r="K94" s="881" t="s">
        <v>15</v>
      </c>
      <c r="L94" s="881" t="s">
        <v>17</v>
      </c>
      <c r="M94" s="2609" t="s">
        <v>15</v>
      </c>
    </row>
    <row r="95" spans="1:14" ht="87" x14ac:dyDescent="0.35">
      <c r="A95" s="2149">
        <v>43882</v>
      </c>
      <c r="B95" s="817" t="s">
        <v>6905</v>
      </c>
      <c r="C95" s="5" t="s">
        <v>6909</v>
      </c>
      <c r="D95" s="2486">
        <v>43904</v>
      </c>
      <c r="E95" s="824" t="s">
        <v>5494</v>
      </c>
      <c r="F95" s="6">
        <v>0.5</v>
      </c>
      <c r="G95" s="6">
        <v>0.5</v>
      </c>
      <c r="H95" s="6">
        <v>0.5</v>
      </c>
      <c r="I95" s="1630">
        <v>400</v>
      </c>
      <c r="J95" s="1430" t="s">
        <v>3926</v>
      </c>
      <c r="K95" s="817" t="s">
        <v>140</v>
      </c>
      <c r="L95" s="817" t="s">
        <v>974</v>
      </c>
      <c r="M95" s="839" t="s">
        <v>6907</v>
      </c>
    </row>
    <row r="96" spans="1:14" ht="29" x14ac:dyDescent="0.35">
      <c r="A96" s="2149">
        <v>43903</v>
      </c>
      <c r="B96" s="817" t="s">
        <v>4113</v>
      </c>
      <c r="C96" s="5" t="s">
        <v>7322</v>
      </c>
      <c r="D96" s="2486">
        <v>43904</v>
      </c>
      <c r="E96" s="824" t="s">
        <v>7323</v>
      </c>
      <c r="F96" s="6">
        <v>0.66666666666666663</v>
      </c>
      <c r="G96" s="2628">
        <v>0.70833333333333337</v>
      </c>
      <c r="H96" s="2628">
        <v>0.70833333333333337</v>
      </c>
      <c r="I96" s="1956">
        <v>240</v>
      </c>
      <c r="J96" s="817" t="s">
        <v>257</v>
      </c>
      <c r="K96" s="817" t="s">
        <v>119</v>
      </c>
      <c r="L96" s="817" t="s">
        <v>974</v>
      </c>
      <c r="M96" s="839" t="s">
        <v>6096</v>
      </c>
      <c r="N96" s="2608"/>
    </row>
    <row r="97" spans="1:13" ht="43.5" x14ac:dyDescent="0.35">
      <c r="A97" s="2149">
        <v>43902</v>
      </c>
      <c r="B97" s="817" t="s">
        <v>805</v>
      </c>
      <c r="C97" s="817" t="s">
        <v>7310</v>
      </c>
      <c r="D97" s="1814">
        <v>43905</v>
      </c>
      <c r="E97" s="1149" t="s">
        <v>7311</v>
      </c>
      <c r="F97" s="2628">
        <v>0.39583333333333331</v>
      </c>
      <c r="G97" s="2628">
        <v>0.41666666666666669</v>
      </c>
      <c r="H97" s="2628">
        <v>0.41666666666666669</v>
      </c>
      <c r="I97" s="1956">
        <v>240</v>
      </c>
      <c r="J97" s="817" t="s">
        <v>7312</v>
      </c>
      <c r="K97" s="817" t="s">
        <v>119</v>
      </c>
      <c r="L97" s="817" t="s">
        <v>17</v>
      </c>
      <c r="M97" s="839" t="s">
        <v>6041</v>
      </c>
    </row>
    <row r="98" spans="1:13" ht="72.5" x14ac:dyDescent="0.35">
      <c r="A98" s="2149">
        <v>43904</v>
      </c>
      <c r="B98" s="817" t="s">
        <v>7337</v>
      </c>
      <c r="C98" s="5" t="s">
        <v>7335</v>
      </c>
      <c r="D98" s="2486">
        <v>43905</v>
      </c>
      <c r="E98" s="824" t="s">
        <v>7336</v>
      </c>
      <c r="F98" s="6">
        <v>0.39583333333333331</v>
      </c>
      <c r="G98" s="2628">
        <v>0.4375</v>
      </c>
      <c r="H98" s="2628">
        <v>0.4375</v>
      </c>
      <c r="I98" s="1956">
        <v>100</v>
      </c>
      <c r="J98" s="817" t="s">
        <v>1493</v>
      </c>
      <c r="K98" s="817" t="s">
        <v>119</v>
      </c>
      <c r="L98" s="817" t="s">
        <v>17</v>
      </c>
      <c r="M98" s="839" t="s">
        <v>17</v>
      </c>
    </row>
    <row r="99" spans="1:13" ht="87" x14ac:dyDescent="0.35">
      <c r="A99" s="2149">
        <v>43904</v>
      </c>
      <c r="B99" s="817" t="s">
        <v>7333</v>
      </c>
      <c r="C99" s="817" t="s">
        <v>7331</v>
      </c>
      <c r="D99" s="1814">
        <v>43905</v>
      </c>
      <c r="E99" s="1149" t="s">
        <v>7332</v>
      </c>
      <c r="F99" s="2628">
        <v>0.39583333333333331</v>
      </c>
      <c r="G99" s="2628">
        <v>0.47916666666666669</v>
      </c>
      <c r="H99" s="2628">
        <v>0.47916666666666669</v>
      </c>
      <c r="I99" s="1809">
        <f>1.2*120*0.9</f>
        <v>129.6</v>
      </c>
      <c r="J99" s="817" t="s">
        <v>7334</v>
      </c>
      <c r="K99" s="817" t="s">
        <v>119</v>
      </c>
      <c r="L99" s="817" t="s">
        <v>17</v>
      </c>
      <c r="M99" s="839" t="s">
        <v>6121</v>
      </c>
    </row>
    <row r="100" spans="1:13" ht="72.5" x14ac:dyDescent="0.35">
      <c r="A100" s="2149">
        <v>43901</v>
      </c>
      <c r="B100" s="817" t="s">
        <v>7302</v>
      </c>
      <c r="C100" s="817" t="s">
        <v>7321</v>
      </c>
      <c r="D100" s="1814">
        <v>43905</v>
      </c>
      <c r="E100" s="1149" t="s">
        <v>7303</v>
      </c>
      <c r="F100" s="2628">
        <v>0.39583333333333331</v>
      </c>
      <c r="G100" s="2628">
        <v>0.5</v>
      </c>
      <c r="H100" s="2628">
        <v>0.5</v>
      </c>
      <c r="I100" s="1956">
        <v>100</v>
      </c>
      <c r="J100" s="817" t="s">
        <v>257</v>
      </c>
      <c r="K100" s="817" t="s">
        <v>119</v>
      </c>
      <c r="L100" s="817" t="s">
        <v>17</v>
      </c>
      <c r="M100" s="839" t="s">
        <v>6041</v>
      </c>
    </row>
    <row r="101" spans="1:13" ht="72.5" x14ac:dyDescent="0.35">
      <c r="A101" s="2149">
        <v>43873</v>
      </c>
      <c r="B101" s="5" t="s">
        <v>7338</v>
      </c>
      <c r="C101" s="5" t="s">
        <v>7320</v>
      </c>
      <c r="D101" s="2486">
        <v>43905</v>
      </c>
      <c r="E101" s="824" t="s">
        <v>7319</v>
      </c>
      <c r="F101" s="6">
        <v>0.39583333333333331</v>
      </c>
      <c r="G101" s="2628">
        <v>0.54166666666666663</v>
      </c>
      <c r="H101" s="2628">
        <v>0.54166666666666663</v>
      </c>
      <c r="I101" s="1630">
        <v>224</v>
      </c>
      <c r="J101" s="2085" t="s">
        <v>7313</v>
      </c>
      <c r="K101" s="817" t="s">
        <v>119</v>
      </c>
      <c r="L101" s="817" t="s">
        <v>974</v>
      </c>
      <c r="M101" s="839" t="s">
        <v>6096</v>
      </c>
    </row>
    <row r="102" spans="1:13" ht="29" x14ac:dyDescent="0.35">
      <c r="A102" s="2149">
        <v>43904</v>
      </c>
      <c r="B102" s="817" t="s">
        <v>7330</v>
      </c>
      <c r="C102" s="817" t="s">
        <v>7329</v>
      </c>
      <c r="D102" s="1814">
        <v>43905</v>
      </c>
      <c r="E102" s="1149" t="s">
        <v>5494</v>
      </c>
      <c r="F102" s="2628">
        <v>0.5</v>
      </c>
      <c r="G102" s="2628">
        <v>0.5</v>
      </c>
      <c r="H102" s="2628">
        <v>0.5</v>
      </c>
      <c r="I102" s="1956">
        <f>1.6*80</f>
        <v>128</v>
      </c>
      <c r="J102" s="817" t="s">
        <v>257</v>
      </c>
      <c r="K102" s="817" t="s">
        <v>15</v>
      </c>
      <c r="L102" s="817" t="s">
        <v>17</v>
      </c>
      <c r="M102" s="839" t="s">
        <v>2084</v>
      </c>
    </row>
    <row r="103" spans="1:13" ht="72.5" x14ac:dyDescent="0.35">
      <c r="A103" s="1994">
        <v>43902</v>
      </c>
      <c r="B103" s="7" t="s">
        <v>7315</v>
      </c>
      <c r="C103" s="5" t="s">
        <v>7317</v>
      </c>
      <c r="D103" s="2486">
        <v>43906</v>
      </c>
      <c r="E103" s="824" t="s">
        <v>7316</v>
      </c>
      <c r="F103" s="6">
        <v>0.375</v>
      </c>
      <c r="G103" s="2628">
        <v>0.41666666666666669</v>
      </c>
      <c r="H103" s="2628">
        <v>0.41666666666666669</v>
      </c>
      <c r="I103" s="1809" t="s">
        <v>15</v>
      </c>
      <c r="J103" s="817" t="s">
        <v>7318</v>
      </c>
      <c r="K103" s="817" t="s">
        <v>15</v>
      </c>
      <c r="L103" s="817" t="s">
        <v>17</v>
      </c>
      <c r="M103" s="839" t="s">
        <v>6061</v>
      </c>
    </row>
    <row r="104" spans="1:13" ht="159.5" x14ac:dyDescent="0.35">
      <c r="A104" s="2485">
        <v>43904</v>
      </c>
      <c r="B104" s="1090" t="s">
        <v>7345</v>
      </c>
      <c r="C104" s="5" t="s">
        <v>7324</v>
      </c>
      <c r="D104" s="2486">
        <v>43907</v>
      </c>
      <c r="E104" s="824" t="s">
        <v>7325</v>
      </c>
      <c r="F104" s="6" t="s">
        <v>15</v>
      </c>
      <c r="G104" s="2628">
        <v>0.5</v>
      </c>
      <c r="H104" s="2628">
        <v>0.58333333333333337</v>
      </c>
      <c r="I104" s="1956">
        <v>100</v>
      </c>
      <c r="J104" s="2628" t="s">
        <v>257</v>
      </c>
      <c r="K104" s="2628" t="s">
        <v>7346</v>
      </c>
      <c r="L104" s="817" t="s">
        <v>17</v>
      </c>
      <c r="M104" s="839" t="s">
        <v>6450</v>
      </c>
    </row>
    <row r="105" spans="1:13" ht="87" x14ac:dyDescent="0.35">
      <c r="A105" s="2149">
        <v>43907</v>
      </c>
      <c r="B105" s="817" t="s">
        <v>7353</v>
      </c>
      <c r="C105" s="817" t="s">
        <v>7352</v>
      </c>
      <c r="D105" s="1814">
        <v>43908</v>
      </c>
      <c r="E105" s="1149" t="s">
        <v>5502</v>
      </c>
      <c r="F105" s="2628">
        <v>0.5</v>
      </c>
      <c r="G105" s="2628">
        <v>0.5</v>
      </c>
      <c r="H105" s="2628">
        <v>0.5</v>
      </c>
      <c r="I105" s="1956">
        <f>3*80+1.5*75</f>
        <v>352.5</v>
      </c>
      <c r="J105" s="817" t="s">
        <v>7349</v>
      </c>
      <c r="K105" s="817" t="s">
        <v>15</v>
      </c>
      <c r="L105" s="817" t="s">
        <v>17</v>
      </c>
      <c r="M105" s="839" t="s">
        <v>7208</v>
      </c>
    </row>
    <row r="106" spans="1:13" ht="72.5" x14ac:dyDescent="0.35">
      <c r="A106" s="2149">
        <v>43906</v>
      </c>
      <c r="B106" s="817" t="s">
        <v>7358</v>
      </c>
      <c r="C106" s="817" t="s">
        <v>7339</v>
      </c>
      <c r="D106" s="1814">
        <v>43908</v>
      </c>
      <c r="E106" s="1149" t="s">
        <v>126</v>
      </c>
      <c r="F106" s="2628">
        <v>0.5</v>
      </c>
      <c r="G106" s="2628">
        <v>0.54166666666666663</v>
      </c>
      <c r="H106" s="2628">
        <v>0.54166666666666663</v>
      </c>
      <c r="I106" s="1809">
        <v>0</v>
      </c>
      <c r="J106" s="817" t="s">
        <v>7341</v>
      </c>
      <c r="K106" s="817" t="s">
        <v>140</v>
      </c>
      <c r="L106" s="817" t="s">
        <v>17</v>
      </c>
      <c r="M106" s="839" t="s">
        <v>6053</v>
      </c>
    </row>
    <row r="107" spans="1:13" ht="72.5" x14ac:dyDescent="0.35">
      <c r="A107" s="2149">
        <v>43906</v>
      </c>
      <c r="B107" s="817" t="s">
        <v>7342</v>
      </c>
      <c r="C107" s="5" t="s">
        <v>7343</v>
      </c>
      <c r="D107" s="2486">
        <v>43908</v>
      </c>
      <c r="E107" s="824" t="s">
        <v>5494</v>
      </c>
      <c r="F107" s="6">
        <v>0.75</v>
      </c>
      <c r="G107" s="2628">
        <v>0.75</v>
      </c>
      <c r="H107" s="2628">
        <v>0.75</v>
      </c>
      <c r="I107" s="2121">
        <f>140+85+40</f>
        <v>265</v>
      </c>
      <c r="J107" s="817" t="s">
        <v>7344</v>
      </c>
      <c r="K107" s="817" t="s">
        <v>15</v>
      </c>
      <c r="L107" s="817" t="s">
        <v>17</v>
      </c>
      <c r="M107" s="839" t="s">
        <v>6053</v>
      </c>
    </row>
    <row r="108" spans="1:13" ht="58" x14ac:dyDescent="0.35">
      <c r="A108" s="2485">
        <v>43907</v>
      </c>
      <c r="B108" s="5" t="s">
        <v>7367</v>
      </c>
      <c r="C108" s="5" t="s">
        <v>7356</v>
      </c>
      <c r="D108" s="2486">
        <v>43909</v>
      </c>
      <c r="E108" s="824" t="s">
        <v>7357</v>
      </c>
      <c r="F108" s="6">
        <v>0.60416666666666663</v>
      </c>
      <c r="G108" s="2628">
        <v>0.625</v>
      </c>
      <c r="H108" s="2628">
        <v>0.625</v>
      </c>
      <c r="I108" s="1956">
        <f>105</f>
        <v>105</v>
      </c>
      <c r="J108" s="2628" t="s">
        <v>257</v>
      </c>
      <c r="K108" s="2628" t="s">
        <v>15</v>
      </c>
      <c r="L108" s="817" t="s">
        <v>17</v>
      </c>
      <c r="M108" s="839" t="s">
        <v>20</v>
      </c>
    </row>
    <row r="109" spans="1:13" ht="101.5" x14ac:dyDescent="0.35">
      <c r="A109" s="2149">
        <v>43908</v>
      </c>
      <c r="B109" s="817" t="s">
        <v>7362</v>
      </c>
      <c r="C109" s="817" t="s">
        <v>7366</v>
      </c>
      <c r="D109" s="1814">
        <v>43909</v>
      </c>
      <c r="E109" s="1149" t="s">
        <v>7361</v>
      </c>
      <c r="F109" s="2628">
        <v>0.60416666666666663</v>
      </c>
      <c r="G109" s="2628">
        <v>0.64583333333333337</v>
      </c>
      <c r="H109" s="2628">
        <v>0.64583333333333337</v>
      </c>
      <c r="I109" s="1956">
        <f>1.5*90</f>
        <v>135</v>
      </c>
      <c r="J109" s="1149" t="s">
        <v>7368</v>
      </c>
      <c r="K109" s="1149" t="s">
        <v>119</v>
      </c>
      <c r="L109" s="817" t="s">
        <v>17</v>
      </c>
      <c r="M109" s="839" t="s">
        <v>17</v>
      </c>
    </row>
    <row r="110" spans="1:13" ht="72.5" x14ac:dyDescent="0.35">
      <c r="A110" s="1830">
        <v>43900</v>
      </c>
      <c r="B110" s="10" t="s">
        <v>7376</v>
      </c>
      <c r="C110" s="10" t="s">
        <v>7278</v>
      </c>
      <c r="D110" s="1808">
        <v>43910</v>
      </c>
      <c r="E110" s="824" t="s">
        <v>7276</v>
      </c>
      <c r="F110" s="6" t="s">
        <v>3213</v>
      </c>
      <c r="G110" s="2628">
        <v>0.375</v>
      </c>
      <c r="H110" s="2628">
        <v>0.70833333333333337</v>
      </c>
      <c r="I110" s="1956">
        <v>80</v>
      </c>
      <c r="J110" s="2628" t="s">
        <v>294</v>
      </c>
      <c r="K110" s="817" t="s">
        <v>15</v>
      </c>
      <c r="L110" s="817" t="s">
        <v>17</v>
      </c>
      <c r="M110" s="839" t="s">
        <v>5489</v>
      </c>
    </row>
    <row r="111" spans="1:13" ht="43.5" x14ac:dyDescent="0.35">
      <c r="A111" s="2149">
        <v>43908</v>
      </c>
      <c r="B111" s="817" t="s">
        <v>7363</v>
      </c>
      <c r="C111" s="817" t="s">
        <v>7365</v>
      </c>
      <c r="D111" s="1814">
        <v>43910</v>
      </c>
      <c r="E111" s="1149" t="s">
        <v>5494</v>
      </c>
      <c r="F111" s="2628">
        <v>0.75</v>
      </c>
      <c r="G111" s="2628">
        <v>0.75</v>
      </c>
      <c r="H111" s="2628">
        <v>0.75</v>
      </c>
      <c r="I111" s="1809">
        <f>60*4</f>
        <v>240</v>
      </c>
      <c r="J111" s="1149" t="s">
        <v>7364</v>
      </c>
      <c r="K111" s="1149" t="s">
        <v>15</v>
      </c>
      <c r="L111" s="817" t="s">
        <v>17</v>
      </c>
      <c r="M111" s="839" t="s">
        <v>5367</v>
      </c>
    </row>
    <row r="112" spans="1:13" ht="72.5" x14ac:dyDescent="0.35">
      <c r="A112" s="2149">
        <v>43909</v>
      </c>
      <c r="B112" s="817" t="s">
        <v>7382</v>
      </c>
      <c r="C112" s="817" t="s">
        <v>7369</v>
      </c>
      <c r="D112" s="1814">
        <v>43911</v>
      </c>
      <c r="E112" s="1149" t="s">
        <v>7370</v>
      </c>
      <c r="F112" s="2628">
        <v>0.41666666666666669</v>
      </c>
      <c r="G112" s="2628">
        <v>0.41666666666666669</v>
      </c>
      <c r="H112" s="2628">
        <v>0.5</v>
      </c>
      <c r="I112" s="1956">
        <v>120</v>
      </c>
      <c r="J112" s="817" t="s">
        <v>257</v>
      </c>
      <c r="K112" s="817" t="s">
        <v>119</v>
      </c>
      <c r="L112" s="817" t="s">
        <v>17</v>
      </c>
      <c r="M112" s="839" t="s">
        <v>6121</v>
      </c>
    </row>
    <row r="113" spans="1:13" ht="72.5" x14ac:dyDescent="0.35">
      <c r="A113" s="1994">
        <v>43896</v>
      </c>
      <c r="B113" s="7" t="s">
        <v>7225</v>
      </c>
      <c r="C113" s="5" t="s">
        <v>7226</v>
      </c>
      <c r="D113" s="2486">
        <v>43911</v>
      </c>
      <c r="E113" s="824" t="s">
        <v>5494</v>
      </c>
      <c r="F113" s="6">
        <v>0.5</v>
      </c>
      <c r="G113" s="6">
        <v>0.5</v>
      </c>
      <c r="H113" s="6">
        <v>0.5</v>
      </c>
      <c r="I113" s="2627">
        <f>3*80</f>
        <v>240</v>
      </c>
      <c r="J113" s="817" t="s">
        <v>7227</v>
      </c>
      <c r="K113" s="817" t="s">
        <v>15</v>
      </c>
      <c r="L113" s="817" t="s">
        <v>17</v>
      </c>
      <c r="M113" s="839" t="s">
        <v>5367</v>
      </c>
    </row>
    <row r="114" spans="1:13" ht="58" x14ac:dyDescent="0.35">
      <c r="A114" s="2485">
        <v>43900</v>
      </c>
      <c r="B114" s="5" t="s">
        <v>7292</v>
      </c>
      <c r="C114" s="5" t="s">
        <v>7293</v>
      </c>
      <c r="D114" s="2486">
        <v>43911</v>
      </c>
      <c r="E114" s="2137" t="s">
        <v>5494</v>
      </c>
      <c r="F114" s="6">
        <v>0.5</v>
      </c>
      <c r="G114" s="2628">
        <v>0.5</v>
      </c>
      <c r="H114" s="2628">
        <v>0.5</v>
      </c>
      <c r="I114" s="2627">
        <v>240</v>
      </c>
      <c r="J114" s="817" t="s">
        <v>7294</v>
      </c>
      <c r="K114" s="817" t="s">
        <v>15</v>
      </c>
      <c r="L114" s="817" t="s">
        <v>4068</v>
      </c>
      <c r="M114" s="839" t="s">
        <v>5367</v>
      </c>
    </row>
    <row r="115" spans="1:13" ht="58" x14ac:dyDescent="0.35">
      <c r="A115" s="2149">
        <v>43907</v>
      </c>
      <c r="B115" s="817" t="s">
        <v>7347</v>
      </c>
      <c r="C115" s="817" t="s">
        <v>7348</v>
      </c>
      <c r="D115" s="1814">
        <v>43911</v>
      </c>
      <c r="E115" s="1149" t="s">
        <v>5502</v>
      </c>
      <c r="F115" s="2628">
        <v>0.54166666666666663</v>
      </c>
      <c r="G115" s="2628">
        <v>0.54166666666666663</v>
      </c>
      <c r="H115" s="2628">
        <v>0.54166666666666663</v>
      </c>
      <c r="I115" s="2627">
        <f>2*80</f>
        <v>160</v>
      </c>
      <c r="J115" s="817" t="s">
        <v>6984</v>
      </c>
      <c r="K115" s="817" t="s">
        <v>15</v>
      </c>
      <c r="L115" s="817" t="s">
        <v>17</v>
      </c>
      <c r="M115" s="839" t="s">
        <v>2084</v>
      </c>
    </row>
    <row r="116" spans="1:13" ht="58" x14ac:dyDescent="0.35">
      <c r="A116" s="2149">
        <v>43910</v>
      </c>
      <c r="B116" s="817" t="s">
        <v>7377</v>
      </c>
      <c r="C116" s="817" t="s">
        <v>7380</v>
      </c>
      <c r="D116" s="1814">
        <v>43912</v>
      </c>
      <c r="E116" s="1149" t="s">
        <v>7378</v>
      </c>
      <c r="F116" s="2628">
        <v>0.45833333333333331</v>
      </c>
      <c r="G116" s="2628">
        <v>0.5</v>
      </c>
      <c r="H116" s="2628">
        <v>0.5</v>
      </c>
      <c r="I116" s="1956">
        <v>99</v>
      </c>
      <c r="J116" s="2628" t="s">
        <v>7379</v>
      </c>
      <c r="K116" s="2628" t="s">
        <v>140</v>
      </c>
      <c r="L116" s="817" t="s">
        <v>17</v>
      </c>
      <c r="M116" s="839" t="s">
        <v>6041</v>
      </c>
    </row>
    <row r="117" spans="1:13" ht="174" x14ac:dyDescent="0.35">
      <c r="A117" s="2149">
        <v>43912</v>
      </c>
      <c r="B117" s="817" t="s">
        <v>7383</v>
      </c>
      <c r="C117" s="817" t="s">
        <v>7385</v>
      </c>
      <c r="D117" s="1814">
        <v>43913</v>
      </c>
      <c r="E117" s="1149" t="s">
        <v>7384</v>
      </c>
      <c r="F117" s="2628">
        <v>0.61458333333333337</v>
      </c>
      <c r="G117" s="2628">
        <v>0.64583333333333337</v>
      </c>
      <c r="H117" s="2628">
        <v>0.64583333333333337</v>
      </c>
      <c r="I117" s="1956">
        <f>1.6*90+15+65+24</f>
        <v>248</v>
      </c>
      <c r="J117" s="817" t="s">
        <v>5187</v>
      </c>
      <c r="K117" s="817" t="s">
        <v>119</v>
      </c>
      <c r="L117" s="817" t="s">
        <v>17</v>
      </c>
      <c r="M117" s="839" t="s">
        <v>6121</v>
      </c>
    </row>
    <row r="118" spans="1:13" ht="58" x14ac:dyDescent="0.35">
      <c r="A118" s="2149">
        <v>43912</v>
      </c>
      <c r="B118" s="817" t="s">
        <v>7394</v>
      </c>
      <c r="C118" s="817" t="s">
        <v>7392</v>
      </c>
      <c r="D118" s="1814">
        <v>43913</v>
      </c>
      <c r="E118" s="1149" t="s">
        <v>7390</v>
      </c>
      <c r="F118" s="2628">
        <v>0.61458333333333337</v>
      </c>
      <c r="G118" s="2628" t="s">
        <v>972</v>
      </c>
      <c r="H118" s="2628" t="s">
        <v>972</v>
      </c>
      <c r="I118" s="1956">
        <v>126</v>
      </c>
      <c r="J118" s="1430" t="s">
        <v>7391</v>
      </c>
      <c r="K118" s="817" t="s">
        <v>119</v>
      </c>
      <c r="L118" s="817" t="s">
        <v>974</v>
      </c>
      <c r="M118" s="839" t="s">
        <v>6096</v>
      </c>
    </row>
    <row r="119" spans="1:13" ht="72.5" x14ac:dyDescent="0.35">
      <c r="A119" s="2149">
        <v>43913</v>
      </c>
      <c r="B119" s="817" t="s">
        <v>5138</v>
      </c>
      <c r="C119" s="817" t="s">
        <v>7400</v>
      </c>
      <c r="D119" s="1814">
        <v>43914</v>
      </c>
      <c r="E119" s="1149" t="s">
        <v>7399</v>
      </c>
      <c r="F119" s="2628">
        <v>0.4375</v>
      </c>
      <c r="G119" s="2628">
        <v>0.45833333333333331</v>
      </c>
      <c r="H119" s="2628">
        <v>0.45833333333333331</v>
      </c>
      <c r="I119" s="1956">
        <v>100</v>
      </c>
      <c r="J119" s="817" t="s">
        <v>257</v>
      </c>
      <c r="K119" s="817" t="s">
        <v>15</v>
      </c>
      <c r="L119" s="817" t="s">
        <v>216</v>
      </c>
      <c r="M119" s="839" t="s">
        <v>2084</v>
      </c>
    </row>
    <row r="120" spans="1:13" ht="43.5" x14ac:dyDescent="0.35">
      <c r="A120" s="2149">
        <v>43913</v>
      </c>
      <c r="B120" s="817" t="s">
        <v>7395</v>
      </c>
      <c r="C120" s="817" t="s">
        <v>7398</v>
      </c>
      <c r="D120" s="1814">
        <v>43914</v>
      </c>
      <c r="E120" s="1149" t="s">
        <v>7396</v>
      </c>
      <c r="F120" s="2628">
        <v>0.4375</v>
      </c>
      <c r="G120" s="2628">
        <v>0.47916666666666669</v>
      </c>
      <c r="H120" s="2628">
        <v>0.47916666666666669</v>
      </c>
      <c r="I120" s="1956">
        <v>105</v>
      </c>
      <c r="J120" s="817" t="s">
        <v>7397</v>
      </c>
      <c r="K120" s="817" t="s">
        <v>15</v>
      </c>
      <c r="L120" s="817" t="s">
        <v>17</v>
      </c>
      <c r="M120" s="839" t="s">
        <v>6041</v>
      </c>
    </row>
    <row r="121" spans="1:13" ht="101.5" x14ac:dyDescent="0.35">
      <c r="A121" s="2149">
        <v>43909</v>
      </c>
      <c r="B121" s="817" t="s">
        <v>7405</v>
      </c>
      <c r="C121" s="817" t="s">
        <v>7371</v>
      </c>
      <c r="D121" s="1814">
        <v>43914</v>
      </c>
      <c r="E121" s="1149" t="s">
        <v>7372</v>
      </c>
      <c r="F121" s="2628">
        <v>0.4375</v>
      </c>
      <c r="G121" s="2628">
        <v>0.58333333333333337</v>
      </c>
      <c r="H121" s="2628">
        <v>0.58333333333333337</v>
      </c>
      <c r="I121" s="1956">
        <v>180</v>
      </c>
      <c r="J121" s="817" t="s">
        <v>7373</v>
      </c>
      <c r="K121" s="817" t="s">
        <v>15</v>
      </c>
      <c r="L121" s="817" t="s">
        <v>17</v>
      </c>
      <c r="M121" s="839" t="s">
        <v>17</v>
      </c>
    </row>
    <row r="122" spans="1:13" ht="87" x14ac:dyDescent="0.35">
      <c r="A122" s="2149">
        <v>43913</v>
      </c>
      <c r="B122" s="817" t="s">
        <v>20</v>
      </c>
      <c r="C122" s="817" t="s">
        <v>7404</v>
      </c>
      <c r="D122" s="1814">
        <v>43914</v>
      </c>
      <c r="E122" s="1149" t="s">
        <v>20</v>
      </c>
      <c r="F122" s="2628" t="s">
        <v>15</v>
      </c>
      <c r="G122" s="2628" t="s">
        <v>15</v>
      </c>
      <c r="H122" s="2628" t="s">
        <v>15</v>
      </c>
      <c r="I122" s="1809">
        <v>0</v>
      </c>
      <c r="J122" s="2628" t="s">
        <v>15</v>
      </c>
      <c r="K122" s="2628" t="s">
        <v>15</v>
      </c>
      <c r="L122" s="817" t="s">
        <v>17</v>
      </c>
      <c r="M122" s="839" t="s">
        <v>330</v>
      </c>
    </row>
    <row r="123" spans="1:13" ht="29" x14ac:dyDescent="0.35">
      <c r="A123" s="2149">
        <v>43914</v>
      </c>
      <c r="B123" s="2020" t="s">
        <v>501</v>
      </c>
      <c r="C123" s="817" t="s">
        <v>7406</v>
      </c>
      <c r="D123" s="1814">
        <v>43914</v>
      </c>
      <c r="E123" s="1015" t="s">
        <v>7407</v>
      </c>
      <c r="F123" s="2628" t="s">
        <v>15</v>
      </c>
      <c r="G123" s="2628" t="s">
        <v>972</v>
      </c>
      <c r="H123" s="2628" t="s">
        <v>972</v>
      </c>
      <c r="I123" s="1956">
        <v>135</v>
      </c>
      <c r="J123" s="2628" t="s">
        <v>257</v>
      </c>
      <c r="K123" s="2628" t="s">
        <v>15</v>
      </c>
      <c r="L123" s="817" t="s">
        <v>22</v>
      </c>
      <c r="M123" s="839" t="s">
        <v>6096</v>
      </c>
    </row>
    <row r="124" spans="1:13" ht="203" x14ac:dyDescent="0.35">
      <c r="A124" s="2149">
        <v>43912</v>
      </c>
      <c r="B124" s="817" t="s">
        <v>7388</v>
      </c>
      <c r="C124" s="817" t="s">
        <v>7389</v>
      </c>
      <c r="D124" s="1814">
        <v>43915</v>
      </c>
      <c r="E124" s="1149" t="s">
        <v>7386</v>
      </c>
      <c r="F124" s="2628">
        <v>0.45833333333333331</v>
      </c>
      <c r="G124" s="2628">
        <v>0.5</v>
      </c>
      <c r="H124" s="2628">
        <v>0.5</v>
      </c>
      <c r="I124" s="1809">
        <f>1.6*90 +35</f>
        <v>179</v>
      </c>
      <c r="J124" s="1430" t="s">
        <v>7387</v>
      </c>
      <c r="K124" s="817" t="s">
        <v>119</v>
      </c>
      <c r="L124" s="817" t="s">
        <v>17</v>
      </c>
      <c r="M124" s="839" t="s">
        <v>17</v>
      </c>
    </row>
    <row r="125" spans="1:13" ht="101.5" x14ac:dyDescent="0.35">
      <c r="A125" s="2149">
        <v>43914</v>
      </c>
      <c r="B125" s="817" t="s">
        <v>6243</v>
      </c>
      <c r="C125" s="817" t="s">
        <v>7411</v>
      </c>
      <c r="D125" s="1814">
        <v>43915</v>
      </c>
      <c r="E125" s="1149" t="s">
        <v>7410</v>
      </c>
      <c r="F125" s="2628">
        <v>0.625</v>
      </c>
      <c r="G125" s="2628">
        <v>0.67708333333333337</v>
      </c>
      <c r="H125" s="2628">
        <v>0.6777777777777777</v>
      </c>
      <c r="I125" s="1809">
        <f>65*5</f>
        <v>325</v>
      </c>
      <c r="J125" s="817" t="s">
        <v>7415</v>
      </c>
      <c r="K125" s="817" t="s">
        <v>15</v>
      </c>
      <c r="L125" s="817" t="s">
        <v>6046</v>
      </c>
      <c r="M125" s="839" t="s">
        <v>2084</v>
      </c>
    </row>
    <row r="126" spans="1:13" ht="29" x14ac:dyDescent="0.35">
      <c r="A126" s="2149">
        <v>43914</v>
      </c>
      <c r="B126" s="817" t="s">
        <v>6243</v>
      </c>
      <c r="C126" s="817" t="s">
        <v>7412</v>
      </c>
      <c r="D126" s="1814">
        <v>43915</v>
      </c>
      <c r="E126" s="1149" t="s">
        <v>7416</v>
      </c>
      <c r="F126" s="2628">
        <v>0.625</v>
      </c>
      <c r="G126" s="2628">
        <v>0.70833333333333337</v>
      </c>
      <c r="H126" s="2628">
        <v>0.70833333333333337</v>
      </c>
      <c r="I126" s="1809">
        <v>0</v>
      </c>
      <c r="J126" s="817" t="s">
        <v>7413</v>
      </c>
      <c r="K126" s="817" t="s">
        <v>15</v>
      </c>
      <c r="L126" s="817" t="s">
        <v>6046</v>
      </c>
      <c r="M126" s="839" t="s">
        <v>2084</v>
      </c>
    </row>
    <row r="127" spans="1:13" ht="72.5" x14ac:dyDescent="0.35">
      <c r="A127" s="2149">
        <v>43910</v>
      </c>
      <c r="B127" s="817" t="s">
        <v>7381</v>
      </c>
      <c r="C127" s="817" t="s">
        <v>7393</v>
      </c>
      <c r="D127" s="1814">
        <v>43915</v>
      </c>
      <c r="E127" s="1149" t="s">
        <v>6670</v>
      </c>
      <c r="F127" s="2628">
        <v>0.625</v>
      </c>
      <c r="G127" s="2628">
        <v>0.64583333333333337</v>
      </c>
      <c r="H127" s="2628">
        <v>0.64583333333333337</v>
      </c>
      <c r="I127" s="1956">
        <f>24*12</f>
        <v>288</v>
      </c>
      <c r="J127" s="2628" t="s">
        <v>257</v>
      </c>
      <c r="K127" s="2628" t="s">
        <v>15</v>
      </c>
      <c r="L127" s="817" t="s">
        <v>17</v>
      </c>
      <c r="M127" s="839" t="s">
        <v>6053</v>
      </c>
    </row>
    <row r="128" spans="1:13" ht="29" x14ac:dyDescent="0.35">
      <c r="A128" s="2149">
        <v>43907</v>
      </c>
      <c r="B128" s="817" t="s">
        <v>20</v>
      </c>
      <c r="C128" s="817" t="s">
        <v>7355</v>
      </c>
      <c r="D128" s="1814">
        <v>43915</v>
      </c>
      <c r="E128" s="1149" t="s">
        <v>20</v>
      </c>
      <c r="F128" s="2628" t="s">
        <v>15</v>
      </c>
      <c r="G128" s="2628" t="s">
        <v>15</v>
      </c>
      <c r="H128" s="2628" t="s">
        <v>15</v>
      </c>
      <c r="I128" s="1809">
        <v>0</v>
      </c>
      <c r="J128" s="2628" t="s">
        <v>15</v>
      </c>
      <c r="K128" s="2628" t="s">
        <v>15</v>
      </c>
      <c r="L128" s="817" t="s">
        <v>17</v>
      </c>
      <c r="M128" s="839" t="s">
        <v>20</v>
      </c>
    </row>
    <row r="129" spans="1:13" ht="58" x14ac:dyDescent="0.35">
      <c r="A129" s="2485">
        <v>43915</v>
      </c>
      <c r="B129" s="5" t="s">
        <v>7429</v>
      </c>
      <c r="C129" s="5" t="s">
        <v>7433</v>
      </c>
      <c r="D129" s="2486">
        <v>43916</v>
      </c>
      <c r="E129" s="824" t="s">
        <v>7428</v>
      </c>
      <c r="F129" s="6">
        <v>0.5</v>
      </c>
      <c r="G129" s="2628">
        <v>0.52083333333333337</v>
      </c>
      <c r="H129" s="2628">
        <v>0.52083333333333337</v>
      </c>
      <c r="I129" s="1809">
        <v>160</v>
      </c>
      <c r="J129" s="2628" t="s">
        <v>7430</v>
      </c>
      <c r="K129" s="817" t="s">
        <v>140</v>
      </c>
      <c r="L129" s="817" t="s">
        <v>17</v>
      </c>
      <c r="M129" s="839" t="s">
        <v>2084</v>
      </c>
    </row>
    <row r="130" spans="1:13" ht="58" x14ac:dyDescent="0.35">
      <c r="A130" s="2101">
        <v>43913</v>
      </c>
      <c r="B130" s="1412" t="s">
        <v>7401</v>
      </c>
      <c r="C130" s="1412" t="s">
        <v>7403</v>
      </c>
      <c r="D130" s="1957">
        <v>43916</v>
      </c>
      <c r="E130" s="1958" t="s">
        <v>7402</v>
      </c>
      <c r="F130" s="2628">
        <v>0.5</v>
      </c>
      <c r="G130" s="2628">
        <v>0.55208333333333337</v>
      </c>
      <c r="H130" s="2628">
        <v>0.55208333333333337</v>
      </c>
      <c r="I130" s="1809">
        <f>1.5*120</f>
        <v>180</v>
      </c>
      <c r="J130" s="817" t="s">
        <v>257</v>
      </c>
      <c r="K130" s="817" t="s">
        <v>140</v>
      </c>
      <c r="L130" s="817" t="s">
        <v>17</v>
      </c>
      <c r="M130" s="839" t="s">
        <v>330</v>
      </c>
    </row>
    <row r="131" spans="1:13" ht="116" x14ac:dyDescent="0.35">
      <c r="A131" s="2485">
        <v>43915</v>
      </c>
      <c r="B131" s="5" t="s">
        <v>7423</v>
      </c>
      <c r="C131" s="5" t="s">
        <v>7421</v>
      </c>
      <c r="D131" s="2486">
        <v>43916</v>
      </c>
      <c r="E131" s="824" t="s">
        <v>7422</v>
      </c>
      <c r="F131" s="6">
        <v>0.5</v>
      </c>
      <c r="G131" s="2628">
        <v>0.56944444444444442</v>
      </c>
      <c r="H131" s="2628">
        <v>0.56944444444444442</v>
      </c>
      <c r="I131" s="1956">
        <v>129</v>
      </c>
      <c r="J131" s="2628" t="s">
        <v>7424</v>
      </c>
      <c r="K131" s="817" t="s">
        <v>140</v>
      </c>
      <c r="L131" s="817" t="s">
        <v>17</v>
      </c>
      <c r="M131" s="839" t="s">
        <v>6041</v>
      </c>
    </row>
    <row r="132" spans="1:13" ht="58" x14ac:dyDescent="0.35">
      <c r="A132" s="2149">
        <v>43916</v>
      </c>
      <c r="B132" s="817" t="s">
        <v>7434</v>
      </c>
      <c r="C132" s="817" t="s">
        <v>7435</v>
      </c>
      <c r="D132" s="1814">
        <v>43917</v>
      </c>
      <c r="E132" s="1149" t="s">
        <v>7436</v>
      </c>
      <c r="F132" s="2628" t="s">
        <v>15</v>
      </c>
      <c r="G132" s="2628" t="s">
        <v>3213</v>
      </c>
      <c r="H132" s="2628" t="s">
        <v>3213</v>
      </c>
      <c r="I132" s="1809">
        <v>207</v>
      </c>
      <c r="J132" s="817" t="s">
        <v>7437</v>
      </c>
      <c r="K132" s="817" t="s">
        <v>119</v>
      </c>
      <c r="L132" s="817" t="s">
        <v>17</v>
      </c>
      <c r="M132" s="839" t="s">
        <v>2084</v>
      </c>
    </row>
    <row r="133" spans="1:13" ht="159.5" x14ac:dyDescent="0.35">
      <c r="A133" s="2149">
        <v>43914</v>
      </c>
      <c r="B133" s="817" t="s">
        <v>7444</v>
      </c>
      <c r="C133" s="817" t="s">
        <v>7408</v>
      </c>
      <c r="D133" s="1814">
        <v>43917</v>
      </c>
      <c r="E133" s="1149" t="s">
        <v>7409</v>
      </c>
      <c r="F133" s="817" t="s">
        <v>15</v>
      </c>
      <c r="G133" s="2628">
        <v>0.46875</v>
      </c>
      <c r="H133" s="2628">
        <v>0.46875</v>
      </c>
      <c r="I133" s="1809">
        <v>144</v>
      </c>
      <c r="J133" s="817" t="s">
        <v>7414</v>
      </c>
      <c r="K133" s="817" t="s">
        <v>15</v>
      </c>
      <c r="L133" s="817" t="s">
        <v>17</v>
      </c>
      <c r="M133" s="839" t="s">
        <v>2084</v>
      </c>
    </row>
    <row r="134" spans="1:13" ht="72.5" x14ac:dyDescent="0.35">
      <c r="A134" s="2152">
        <v>43907</v>
      </c>
      <c r="B134" s="1850" t="s">
        <v>7350</v>
      </c>
      <c r="C134" s="1850" t="s">
        <v>7354</v>
      </c>
      <c r="D134" s="1999">
        <v>43918</v>
      </c>
      <c r="E134" s="2000" t="s">
        <v>5502</v>
      </c>
      <c r="F134" s="1864">
        <v>0.41666666666666669</v>
      </c>
      <c r="G134" s="1864">
        <v>0.41666666666666669</v>
      </c>
      <c r="H134" s="2628">
        <v>0.41666666666666669</v>
      </c>
      <c r="I134" s="1809">
        <f>3.5*120</f>
        <v>420</v>
      </c>
      <c r="J134" s="817" t="s">
        <v>7351</v>
      </c>
      <c r="K134" s="817" t="s">
        <v>15</v>
      </c>
      <c r="L134" s="817" t="s">
        <v>17</v>
      </c>
      <c r="M134" s="839" t="s">
        <v>5367</v>
      </c>
    </row>
    <row r="135" spans="1:13" ht="58" x14ac:dyDescent="0.35">
      <c r="A135" s="2485">
        <v>43915</v>
      </c>
      <c r="B135" s="5" t="s">
        <v>7120</v>
      </c>
      <c r="C135" s="5" t="s">
        <v>7432</v>
      </c>
      <c r="D135" s="2486">
        <v>43920</v>
      </c>
      <c r="E135" s="824" t="s">
        <v>7431</v>
      </c>
      <c r="F135" s="6" t="s">
        <v>15</v>
      </c>
      <c r="G135" s="2628">
        <v>0.5</v>
      </c>
      <c r="H135" s="2628">
        <v>0.5</v>
      </c>
      <c r="I135" s="1809">
        <f>1.6*80</f>
        <v>128</v>
      </c>
      <c r="J135" s="2628" t="s">
        <v>257</v>
      </c>
      <c r="K135" s="2628" t="s">
        <v>15</v>
      </c>
      <c r="L135" s="817" t="s">
        <v>17</v>
      </c>
      <c r="M135" s="839" t="s">
        <v>6849</v>
      </c>
    </row>
    <row r="136" spans="1:13" ht="174" x14ac:dyDescent="0.35">
      <c r="A136" s="2149">
        <v>43916</v>
      </c>
      <c r="B136" s="817" t="s">
        <v>7445</v>
      </c>
      <c r="C136" s="817" t="s">
        <v>7442</v>
      </c>
      <c r="D136" s="1814">
        <v>43921</v>
      </c>
      <c r="E136" s="1149" t="s">
        <v>7441</v>
      </c>
      <c r="F136" s="2628" t="s">
        <v>15</v>
      </c>
      <c r="G136" s="2628" t="s">
        <v>972</v>
      </c>
      <c r="H136" s="2628" t="s">
        <v>972</v>
      </c>
      <c r="I136" s="1809">
        <f>1.5*120</f>
        <v>180</v>
      </c>
      <c r="J136" s="817" t="s">
        <v>7443</v>
      </c>
      <c r="K136" s="817" t="s">
        <v>15</v>
      </c>
      <c r="L136" s="817" t="s">
        <v>17</v>
      </c>
      <c r="M136" s="839" t="s">
        <v>6045</v>
      </c>
    </row>
    <row r="137" spans="1:13" ht="58" x14ac:dyDescent="0.35">
      <c r="A137" s="2152">
        <v>43915</v>
      </c>
      <c r="B137" s="1850" t="s">
        <v>7417</v>
      </c>
      <c r="C137" s="1850" t="s">
        <v>7418</v>
      </c>
      <c r="D137" s="1999">
        <v>43921</v>
      </c>
      <c r="E137" s="2000" t="s">
        <v>7419</v>
      </c>
      <c r="F137" s="1864"/>
      <c r="G137" s="2628" t="s">
        <v>49</v>
      </c>
      <c r="H137" s="2628" t="s">
        <v>49</v>
      </c>
      <c r="I137" s="2121">
        <v>150</v>
      </c>
      <c r="J137" s="2085" t="s">
        <v>7420</v>
      </c>
      <c r="K137" s="817"/>
      <c r="L137" s="817" t="s">
        <v>22</v>
      </c>
      <c r="M137" s="839" t="s">
        <v>6096</v>
      </c>
    </row>
    <row r="138" spans="1:13" ht="159.5" x14ac:dyDescent="0.35">
      <c r="A138" s="2149">
        <v>43894</v>
      </c>
      <c r="B138" s="817" t="s">
        <v>7174</v>
      </c>
      <c r="C138" s="817" t="s">
        <v>7175</v>
      </c>
      <c r="D138" s="1814">
        <v>43921</v>
      </c>
      <c r="E138" s="1149" t="s">
        <v>7176</v>
      </c>
      <c r="F138" s="2628" t="s">
        <v>15</v>
      </c>
      <c r="G138" s="2628">
        <v>0.66666666666666663</v>
      </c>
      <c r="H138" s="2628">
        <v>0.66666666666666663</v>
      </c>
      <c r="I138" s="1809">
        <v>0</v>
      </c>
      <c r="J138" s="817" t="s">
        <v>15</v>
      </c>
      <c r="K138" s="817" t="s">
        <v>140</v>
      </c>
      <c r="L138" s="817" t="s">
        <v>17</v>
      </c>
      <c r="M138" s="839" t="s">
        <v>6061</v>
      </c>
    </row>
    <row r="139" spans="1:13" ht="333.5" x14ac:dyDescent="0.35">
      <c r="A139" s="2149">
        <v>43894</v>
      </c>
      <c r="B139" s="817" t="s">
        <v>6366</v>
      </c>
      <c r="C139" s="817" t="s">
        <v>7177</v>
      </c>
      <c r="D139" s="1814">
        <v>43921</v>
      </c>
      <c r="E139" s="1149" t="s">
        <v>7176</v>
      </c>
      <c r="F139" s="2628" t="s">
        <v>15</v>
      </c>
      <c r="G139" s="2628">
        <v>0.39583333333333331</v>
      </c>
      <c r="H139" s="2628">
        <v>0.39583333333333331</v>
      </c>
      <c r="I139" s="1809">
        <v>0</v>
      </c>
      <c r="J139" s="817" t="s">
        <v>15</v>
      </c>
      <c r="K139" s="817" t="s">
        <v>140</v>
      </c>
      <c r="L139" s="817" t="s">
        <v>17</v>
      </c>
      <c r="M139" s="839" t="s">
        <v>6061</v>
      </c>
    </row>
    <row r="140" spans="1:13" ht="348" x14ac:dyDescent="0.35">
      <c r="A140" s="2149">
        <v>43894</v>
      </c>
      <c r="B140" s="817" t="s">
        <v>6366</v>
      </c>
      <c r="C140" s="817" t="s">
        <v>7178</v>
      </c>
      <c r="D140" s="1814">
        <v>43921</v>
      </c>
      <c r="E140" s="1149" t="s">
        <v>7176</v>
      </c>
      <c r="F140" s="2628" t="s">
        <v>15</v>
      </c>
      <c r="G140" s="2628">
        <v>0.39583333333333331</v>
      </c>
      <c r="H140" s="2628">
        <v>0.39583333333333331</v>
      </c>
      <c r="I140" s="1809">
        <v>0</v>
      </c>
      <c r="J140" s="817" t="s">
        <v>15</v>
      </c>
      <c r="K140" s="817" t="s">
        <v>140</v>
      </c>
      <c r="L140" s="817" t="s">
        <v>17</v>
      </c>
      <c r="M140" s="839" t="s">
        <v>6061</v>
      </c>
    </row>
    <row r="141" spans="1:13" ht="72.5" x14ac:dyDescent="0.35">
      <c r="A141" s="2149">
        <v>43862</v>
      </c>
      <c r="B141" s="2434" t="s">
        <v>6896</v>
      </c>
      <c r="C141" s="817" t="s">
        <v>6449</v>
      </c>
      <c r="D141" s="1814">
        <v>43921</v>
      </c>
      <c r="E141" s="1149" t="s">
        <v>5367</v>
      </c>
      <c r="F141" s="2628" t="s">
        <v>15</v>
      </c>
      <c r="G141" s="2628">
        <v>0.625</v>
      </c>
      <c r="H141" s="2628">
        <v>0.625</v>
      </c>
      <c r="I141" s="1809">
        <v>0</v>
      </c>
      <c r="J141" s="817" t="s">
        <v>16</v>
      </c>
      <c r="K141" s="817" t="s">
        <v>15</v>
      </c>
      <c r="L141" s="817" t="s">
        <v>17</v>
      </c>
      <c r="M141" s="839" t="s">
        <v>6450</v>
      </c>
    </row>
    <row r="142" spans="1:13" ht="348" x14ac:dyDescent="0.35">
      <c r="A142" s="2149">
        <v>43894</v>
      </c>
      <c r="B142" s="817" t="s">
        <v>6366</v>
      </c>
      <c r="C142" s="817" t="s">
        <v>7178</v>
      </c>
      <c r="D142" s="1814">
        <v>43921</v>
      </c>
      <c r="E142" s="1149" t="s">
        <v>7176</v>
      </c>
      <c r="F142" s="2628" t="s">
        <v>15</v>
      </c>
      <c r="G142" s="2628">
        <v>0.39583333333333331</v>
      </c>
      <c r="H142" s="2628">
        <v>0.39583333333333331</v>
      </c>
      <c r="I142" s="1809">
        <v>0</v>
      </c>
      <c r="J142" s="817" t="s">
        <v>15</v>
      </c>
      <c r="K142" s="817" t="s">
        <v>140</v>
      </c>
      <c r="L142" s="817" t="s">
        <v>17</v>
      </c>
      <c r="M142" s="839" t="s">
        <v>6061</v>
      </c>
    </row>
    <row r="143" spans="1:13" ht="29" x14ac:dyDescent="0.35">
      <c r="A143" s="2149">
        <v>43872</v>
      </c>
      <c r="B143" s="817" t="s">
        <v>20</v>
      </c>
      <c r="C143" s="817" t="s">
        <v>6647</v>
      </c>
      <c r="D143" s="1814">
        <v>43922</v>
      </c>
      <c r="E143" s="1149" t="s">
        <v>20</v>
      </c>
      <c r="F143" s="2628" t="s">
        <v>15</v>
      </c>
      <c r="G143" s="2628" t="s">
        <v>15</v>
      </c>
      <c r="H143" s="2628" t="s">
        <v>15</v>
      </c>
      <c r="I143" s="1809">
        <v>0</v>
      </c>
      <c r="J143" s="817" t="s">
        <v>20</v>
      </c>
      <c r="K143" s="817" t="s">
        <v>15</v>
      </c>
      <c r="L143" s="817" t="s">
        <v>17</v>
      </c>
      <c r="M143" s="839" t="s">
        <v>20</v>
      </c>
    </row>
    <row r="144" spans="1:13" ht="58" x14ac:dyDescent="0.35">
      <c r="A144" s="2485">
        <v>43915</v>
      </c>
      <c r="B144" s="5" t="s">
        <v>7427</v>
      </c>
      <c r="C144" s="5" t="s">
        <v>7425</v>
      </c>
      <c r="D144" s="2486">
        <v>43924</v>
      </c>
      <c r="E144" s="824" t="s">
        <v>7426</v>
      </c>
      <c r="F144" s="6" t="s">
        <v>15</v>
      </c>
      <c r="G144" s="2628" t="s">
        <v>972</v>
      </c>
      <c r="H144" s="2628" t="s">
        <v>972</v>
      </c>
      <c r="I144" s="1809">
        <v>205</v>
      </c>
      <c r="J144" s="2628" t="s">
        <v>257</v>
      </c>
      <c r="K144" s="2628" t="s">
        <v>15</v>
      </c>
      <c r="L144" s="817" t="s">
        <v>17</v>
      </c>
      <c r="M144" s="839" t="s">
        <v>6041</v>
      </c>
    </row>
    <row r="145" spans="1:13" ht="203" x14ac:dyDescent="0.35">
      <c r="A145" s="1994">
        <v>43902</v>
      </c>
      <c r="B145" s="7" t="s">
        <v>7314</v>
      </c>
      <c r="C145" s="5" t="s">
        <v>6822</v>
      </c>
      <c r="D145" s="2486">
        <v>43925</v>
      </c>
      <c r="E145" s="824" t="s">
        <v>5367</v>
      </c>
      <c r="F145" s="6">
        <v>0.54166666666666663</v>
      </c>
      <c r="G145" s="6">
        <v>0.54166666666666663</v>
      </c>
      <c r="H145" s="6">
        <v>0.54166666666666663</v>
      </c>
      <c r="I145" s="1678">
        <v>0</v>
      </c>
      <c r="J145" s="5" t="s">
        <v>6821</v>
      </c>
      <c r="K145" s="5" t="s">
        <v>15</v>
      </c>
      <c r="L145" s="5" t="s">
        <v>17</v>
      </c>
      <c r="M145" s="807" t="s">
        <v>6034</v>
      </c>
    </row>
    <row r="146" spans="1:13" ht="203" x14ac:dyDescent="0.35">
      <c r="A146" s="1994">
        <v>43895</v>
      </c>
      <c r="B146" s="7" t="s">
        <v>7195</v>
      </c>
      <c r="C146" s="5" t="s">
        <v>6822</v>
      </c>
      <c r="D146" s="2486">
        <v>43925</v>
      </c>
      <c r="E146" s="824" t="s">
        <v>5367</v>
      </c>
      <c r="F146" s="6">
        <v>0.58333333333333337</v>
      </c>
      <c r="G146" s="6">
        <v>0.58333333333333337</v>
      </c>
      <c r="H146" s="6">
        <v>0.58333333333333337</v>
      </c>
      <c r="I146" s="1678">
        <v>0</v>
      </c>
      <c r="J146" s="5" t="s">
        <v>6821</v>
      </c>
      <c r="K146" s="5" t="s">
        <v>15</v>
      </c>
      <c r="L146" s="5" t="s">
        <v>17</v>
      </c>
      <c r="M146" s="807" t="s">
        <v>6034</v>
      </c>
    </row>
    <row r="147" spans="1:13" ht="203" x14ac:dyDescent="0.35">
      <c r="A147" s="1994">
        <v>43896</v>
      </c>
      <c r="B147" s="7" t="s">
        <v>7228</v>
      </c>
      <c r="C147" s="5" t="s">
        <v>6822</v>
      </c>
      <c r="D147" s="2486">
        <v>43931</v>
      </c>
      <c r="E147" s="824" t="s">
        <v>5367</v>
      </c>
      <c r="F147" s="6" t="s">
        <v>15</v>
      </c>
      <c r="G147" s="2607" t="s">
        <v>49</v>
      </c>
      <c r="H147" s="2607" t="s">
        <v>49</v>
      </c>
      <c r="I147" s="1678">
        <v>0</v>
      </c>
      <c r="J147" s="5" t="s">
        <v>7224</v>
      </c>
      <c r="K147" s="5" t="s">
        <v>15</v>
      </c>
      <c r="L147" s="5" t="s">
        <v>17</v>
      </c>
      <c r="M147" s="807" t="s">
        <v>6034</v>
      </c>
    </row>
    <row r="148" spans="1:13" ht="29" x14ac:dyDescent="0.35">
      <c r="A148" s="2149">
        <v>43916</v>
      </c>
      <c r="B148" s="817" t="s">
        <v>7438</v>
      </c>
      <c r="C148" s="817" t="s">
        <v>7439</v>
      </c>
      <c r="D148" s="1814">
        <v>43938</v>
      </c>
      <c r="E148" s="1149" t="s">
        <v>1279</v>
      </c>
      <c r="F148" s="2628" t="s">
        <v>15</v>
      </c>
      <c r="G148" s="2628" t="s">
        <v>3213</v>
      </c>
      <c r="H148" s="2628" t="s">
        <v>3213</v>
      </c>
      <c r="I148" s="1809">
        <v>100</v>
      </c>
      <c r="J148" s="817" t="s">
        <v>7440</v>
      </c>
      <c r="K148" s="817" t="s">
        <v>119</v>
      </c>
      <c r="L148" s="817" t="s">
        <v>17</v>
      </c>
      <c r="M148" s="839" t="s">
        <v>7451</v>
      </c>
    </row>
    <row r="149" spans="1:13" ht="72.5" x14ac:dyDescent="0.35">
      <c r="A149" s="2485">
        <v>43909</v>
      </c>
      <c r="B149" s="5" t="s">
        <v>7375</v>
      </c>
      <c r="C149" s="5" t="s">
        <v>7374</v>
      </c>
      <c r="D149" s="2486">
        <v>43938</v>
      </c>
      <c r="E149" s="824" t="s">
        <v>7248</v>
      </c>
      <c r="F149" s="6" t="s">
        <v>15</v>
      </c>
      <c r="G149" s="2628" t="s">
        <v>3115</v>
      </c>
      <c r="H149" s="2628" t="s">
        <v>3115</v>
      </c>
      <c r="I149" s="1809">
        <f>0.7*(65+75+75)</f>
        <v>150.5</v>
      </c>
      <c r="J149" s="2628" t="s">
        <v>1493</v>
      </c>
      <c r="K149" s="2628" t="s">
        <v>15</v>
      </c>
      <c r="L149" s="817" t="s">
        <v>17</v>
      </c>
      <c r="M149" s="839" t="s">
        <v>6053</v>
      </c>
    </row>
    <row r="150" spans="1:13" ht="43.5" x14ac:dyDescent="0.35">
      <c r="A150" s="2149">
        <v>43893</v>
      </c>
      <c r="B150" s="817" t="s">
        <v>20</v>
      </c>
      <c r="C150" s="817" t="s">
        <v>7142</v>
      </c>
      <c r="D150" s="1814">
        <v>43943</v>
      </c>
      <c r="E150" s="1149" t="s">
        <v>20</v>
      </c>
      <c r="F150" s="2628" t="s">
        <v>15</v>
      </c>
      <c r="G150" s="2628" t="s">
        <v>15</v>
      </c>
      <c r="H150" s="2628" t="s">
        <v>15</v>
      </c>
      <c r="I150" s="1809">
        <v>0</v>
      </c>
      <c r="J150" s="2628" t="s">
        <v>15</v>
      </c>
      <c r="K150" s="2628" t="s">
        <v>15</v>
      </c>
      <c r="L150" s="817" t="s">
        <v>17</v>
      </c>
      <c r="M150" s="839" t="s">
        <v>20</v>
      </c>
    </row>
    <row r="151" spans="1:13" ht="406" x14ac:dyDescent="0.35">
      <c r="A151" s="2152">
        <v>43893</v>
      </c>
      <c r="B151" s="1850" t="s">
        <v>7131</v>
      </c>
      <c r="C151" s="1850" t="s">
        <v>7134</v>
      </c>
      <c r="D151" s="1999">
        <v>43946</v>
      </c>
      <c r="E151" s="2435" t="s">
        <v>7133</v>
      </c>
      <c r="F151" s="2628" t="s">
        <v>15</v>
      </c>
      <c r="G151" s="2628">
        <v>0.64583333333333337</v>
      </c>
      <c r="H151" s="2628">
        <v>0.64583333333333337</v>
      </c>
      <c r="I151" s="1809">
        <f>1638+90*12</f>
        <v>2718</v>
      </c>
      <c r="J151" s="817" t="s">
        <v>7135</v>
      </c>
      <c r="K151" s="817" t="s">
        <v>15</v>
      </c>
      <c r="L151" s="817" t="s">
        <v>17</v>
      </c>
      <c r="M151" s="839" t="s">
        <v>6045</v>
      </c>
    </row>
    <row r="152" spans="1:13" ht="188.5" x14ac:dyDescent="0.35">
      <c r="A152" s="2149">
        <v>43881</v>
      </c>
      <c r="B152" s="817" t="s">
        <v>6879</v>
      </c>
      <c r="C152" s="817" t="s">
        <v>6882</v>
      </c>
      <c r="D152" s="1814">
        <v>43946</v>
      </c>
      <c r="E152" s="2533" t="s">
        <v>6880</v>
      </c>
      <c r="F152" s="2628" t="s">
        <v>15</v>
      </c>
      <c r="G152" s="2628">
        <v>0.77083333333333337</v>
      </c>
      <c r="H152" s="2628">
        <v>0.77083333333333337</v>
      </c>
      <c r="I152" s="1809">
        <v>1238</v>
      </c>
      <c r="J152" s="2064" t="s">
        <v>6881</v>
      </c>
      <c r="K152" s="817" t="s">
        <v>15</v>
      </c>
      <c r="L152" s="817" t="s">
        <v>17</v>
      </c>
      <c r="M152" s="839" t="s">
        <v>6450</v>
      </c>
    </row>
    <row r="153" spans="1:13" ht="409.5" x14ac:dyDescent="0.35">
      <c r="A153" s="2485">
        <v>43886</v>
      </c>
      <c r="B153" s="5" t="s">
        <v>6947</v>
      </c>
      <c r="C153" s="5" t="s">
        <v>7114</v>
      </c>
      <c r="D153" s="2486">
        <v>43947</v>
      </c>
      <c r="E153" s="2533" t="s">
        <v>290</v>
      </c>
      <c r="F153" s="6"/>
      <c r="G153" s="6" t="s">
        <v>3071</v>
      </c>
      <c r="H153" s="6" t="s">
        <v>49</v>
      </c>
      <c r="I153" s="1678">
        <v>1600</v>
      </c>
      <c r="J153" s="817" t="s">
        <v>7115</v>
      </c>
      <c r="K153" s="817"/>
      <c r="L153" s="817" t="s">
        <v>974</v>
      </c>
      <c r="M153" s="839" t="s">
        <v>7116</v>
      </c>
    </row>
    <row r="154" spans="1:13" ht="348" x14ac:dyDescent="0.35">
      <c r="A154" s="1830">
        <v>43869</v>
      </c>
      <c r="B154" s="10" t="s">
        <v>6561</v>
      </c>
      <c r="C154" s="10" t="s">
        <v>6568</v>
      </c>
      <c r="D154" s="1808">
        <v>43953</v>
      </c>
      <c r="E154" s="1571" t="s">
        <v>6563</v>
      </c>
      <c r="F154" s="2628" t="s">
        <v>15</v>
      </c>
      <c r="G154" s="2628">
        <v>0.68055555555555547</v>
      </c>
      <c r="H154" s="2628">
        <v>0.68055555555555547</v>
      </c>
      <c r="I154" s="1809">
        <f>800+450+1000</f>
        <v>2250</v>
      </c>
      <c r="J154" s="817" t="s">
        <v>6564</v>
      </c>
      <c r="K154" s="817" t="s">
        <v>15</v>
      </c>
      <c r="L154" s="817" t="s">
        <v>17</v>
      </c>
      <c r="M154" s="839" t="s">
        <v>5367</v>
      </c>
    </row>
    <row r="155" spans="1:13" ht="217.5" x14ac:dyDescent="0.35">
      <c r="A155" s="2485">
        <v>43875</v>
      </c>
      <c r="B155" s="5" t="s">
        <v>6761</v>
      </c>
      <c r="C155" s="1090" t="s">
        <v>6762</v>
      </c>
      <c r="D155" s="2486">
        <v>43960</v>
      </c>
      <c r="E155" s="1571" t="s">
        <v>6763</v>
      </c>
      <c r="F155" s="6" t="s">
        <v>15</v>
      </c>
      <c r="G155" s="6">
        <v>0.76388888888888884</v>
      </c>
      <c r="H155" s="6">
        <v>0.76388888888888884</v>
      </c>
      <c r="I155" s="1630">
        <v>950</v>
      </c>
      <c r="J155" s="5" t="s">
        <v>6764</v>
      </c>
      <c r="K155" s="5" t="s">
        <v>15</v>
      </c>
      <c r="L155" s="5" t="s">
        <v>17</v>
      </c>
      <c r="M155" s="807" t="s">
        <v>6450</v>
      </c>
    </row>
    <row r="156" spans="1:13" ht="29" x14ac:dyDescent="0.35">
      <c r="A156" s="2485">
        <v>43895</v>
      </c>
      <c r="B156" s="5" t="s">
        <v>20</v>
      </c>
      <c r="C156" s="5" t="s">
        <v>7187</v>
      </c>
      <c r="D156" s="2486">
        <v>43965</v>
      </c>
      <c r="E156" s="824" t="s">
        <v>20</v>
      </c>
      <c r="F156" s="6" t="s">
        <v>15</v>
      </c>
      <c r="G156" s="6" t="s">
        <v>15</v>
      </c>
      <c r="H156" s="6" t="s">
        <v>15</v>
      </c>
      <c r="I156" s="1809">
        <v>0</v>
      </c>
      <c r="J156" s="6" t="s">
        <v>15</v>
      </c>
      <c r="K156" s="6" t="s">
        <v>15</v>
      </c>
      <c r="L156" s="817" t="s">
        <v>17</v>
      </c>
      <c r="M156" s="839" t="s">
        <v>20</v>
      </c>
    </row>
    <row r="157" spans="1:13" ht="174" x14ac:dyDescent="0.35">
      <c r="A157" s="2149">
        <v>43879</v>
      </c>
      <c r="B157" s="817" t="s">
        <v>6834</v>
      </c>
      <c r="C157" s="817" t="s">
        <v>6835</v>
      </c>
      <c r="D157" s="1814">
        <v>43967</v>
      </c>
      <c r="E157" s="1571" t="s">
        <v>6836</v>
      </c>
      <c r="F157" s="2628" t="s">
        <v>15</v>
      </c>
      <c r="G157" s="2628">
        <v>0.76388888888888884</v>
      </c>
      <c r="H157" s="2628">
        <v>0.76388888888888884</v>
      </c>
      <c r="I157" s="1809">
        <v>1672</v>
      </c>
      <c r="J157" s="817" t="s">
        <v>6837</v>
      </c>
      <c r="K157" s="817" t="s">
        <v>15</v>
      </c>
      <c r="L157" s="817" t="s">
        <v>17</v>
      </c>
      <c r="M157" s="839" t="s">
        <v>6450</v>
      </c>
    </row>
    <row r="158" spans="1:13" ht="174" x14ac:dyDescent="0.35">
      <c r="A158" s="2485">
        <v>43868</v>
      </c>
      <c r="B158" s="5" t="s">
        <v>6545</v>
      </c>
      <c r="C158" s="5" t="s">
        <v>6546</v>
      </c>
      <c r="D158" s="2486">
        <v>43967</v>
      </c>
      <c r="E158" s="824" t="s">
        <v>290</v>
      </c>
      <c r="F158" s="6"/>
      <c r="G158" s="6" t="s">
        <v>3071</v>
      </c>
      <c r="H158" s="6" t="s">
        <v>3071</v>
      </c>
      <c r="I158" s="1678">
        <v>1140</v>
      </c>
      <c r="J158" s="2628" t="s">
        <v>6548</v>
      </c>
      <c r="K158" s="2628"/>
      <c r="L158" s="817" t="s">
        <v>22</v>
      </c>
      <c r="M158" s="839" t="s">
        <v>6547</v>
      </c>
    </row>
    <row r="159" spans="1:13" ht="348" x14ac:dyDescent="0.35">
      <c r="A159" s="1830">
        <v>43895</v>
      </c>
      <c r="B159" s="10" t="s">
        <v>7062</v>
      </c>
      <c r="C159" s="1090" t="s">
        <v>7196</v>
      </c>
      <c r="D159" s="1808">
        <v>43967</v>
      </c>
      <c r="E159" s="1571" t="s">
        <v>7185</v>
      </c>
      <c r="F159" s="6" t="s">
        <v>15</v>
      </c>
      <c r="G159" s="2628">
        <v>0.78472222222222221</v>
      </c>
      <c r="H159" s="2628">
        <v>0.78472222222222221</v>
      </c>
      <c r="I159" s="1809">
        <f>5283+300</f>
        <v>5583</v>
      </c>
      <c r="J159" s="817" t="s">
        <v>7186</v>
      </c>
      <c r="K159" s="817" t="s">
        <v>15</v>
      </c>
      <c r="L159" s="817" t="s">
        <v>17</v>
      </c>
      <c r="M159" s="839" t="s">
        <v>6450</v>
      </c>
    </row>
    <row r="160" spans="1:13" ht="333.5" x14ac:dyDescent="0.35">
      <c r="A160" s="2149">
        <v>43889</v>
      </c>
      <c r="B160" s="817" t="s">
        <v>7051</v>
      </c>
      <c r="C160" s="817" t="s">
        <v>7053</v>
      </c>
      <c r="D160" s="1814">
        <v>43974</v>
      </c>
      <c r="E160" s="1571" t="s">
        <v>7052</v>
      </c>
      <c r="F160" s="2628" t="s">
        <v>15</v>
      </c>
      <c r="G160" s="2628">
        <v>0.68055555555555547</v>
      </c>
      <c r="H160" s="2628">
        <v>0.68055555555555547</v>
      </c>
      <c r="I160" s="1809">
        <f>3*50*4.8+3.5*150*4.8+20*65+400/1.09</f>
        <v>4906.9724770642206</v>
      </c>
      <c r="J160" s="817" t="s">
        <v>7050</v>
      </c>
      <c r="K160" s="817" t="s">
        <v>15</v>
      </c>
      <c r="L160" s="817" t="s">
        <v>17</v>
      </c>
      <c r="M160" s="839" t="s">
        <v>262</v>
      </c>
    </row>
    <row r="161" spans="1:13" ht="145" x14ac:dyDescent="0.35">
      <c r="A161" s="2485">
        <v>43881</v>
      </c>
      <c r="B161" s="5" t="s">
        <v>6875</v>
      </c>
      <c r="C161" s="5" t="s">
        <v>6876</v>
      </c>
      <c r="D161" s="2486">
        <v>43974</v>
      </c>
      <c r="E161" s="1571" t="s">
        <v>6877</v>
      </c>
      <c r="F161" s="6" t="s">
        <v>15</v>
      </c>
      <c r="G161" s="6">
        <v>0.72222222222222221</v>
      </c>
      <c r="H161" s="6">
        <v>0.72222222222222221</v>
      </c>
      <c r="I161" s="1678">
        <v>3200</v>
      </c>
      <c r="J161" s="2532" t="s">
        <v>6878</v>
      </c>
      <c r="K161" s="817" t="s">
        <v>15</v>
      </c>
      <c r="L161" s="817" t="s">
        <v>17</v>
      </c>
      <c r="M161" s="839" t="s">
        <v>6450</v>
      </c>
    </row>
    <row r="162" spans="1:13" ht="304.5" x14ac:dyDescent="0.35">
      <c r="A162" s="2152">
        <v>43851</v>
      </c>
      <c r="B162" s="1850" t="s">
        <v>6273</v>
      </c>
      <c r="C162" s="1090" t="s">
        <v>6476</v>
      </c>
      <c r="D162" s="2146">
        <v>43974</v>
      </c>
      <c r="E162" s="2428" t="s">
        <v>6275</v>
      </c>
      <c r="F162" s="2628" t="s">
        <v>15</v>
      </c>
      <c r="G162" s="1927" t="s">
        <v>49</v>
      </c>
      <c r="H162" s="1927" t="s">
        <v>49</v>
      </c>
      <c r="I162" s="1809">
        <f>36*75+400+300+150*3.5*4.76</f>
        <v>5899</v>
      </c>
      <c r="J162" s="817"/>
      <c r="K162" s="817"/>
      <c r="L162" s="817" t="s">
        <v>17</v>
      </c>
      <c r="M162" s="839" t="s">
        <v>6053</v>
      </c>
    </row>
    <row r="163" spans="1:13" ht="290" x14ac:dyDescent="0.35">
      <c r="A163" s="2101">
        <v>43899</v>
      </c>
      <c r="B163" s="1412" t="s">
        <v>6883</v>
      </c>
      <c r="C163" s="1412" t="s">
        <v>7262</v>
      </c>
      <c r="D163" s="1957">
        <v>43981</v>
      </c>
      <c r="E163" s="2435" t="s">
        <v>7260</v>
      </c>
      <c r="F163" s="2628">
        <v>0.75</v>
      </c>
      <c r="G163" s="2628">
        <v>0.75</v>
      </c>
      <c r="H163" s="2628">
        <v>0.75</v>
      </c>
      <c r="I163" s="1809">
        <v>1094</v>
      </c>
      <c r="J163" s="817" t="s">
        <v>7261</v>
      </c>
      <c r="K163" s="817" t="s">
        <v>15</v>
      </c>
      <c r="L163" s="817" t="s">
        <v>17</v>
      </c>
      <c r="M163" s="839" t="s">
        <v>6450</v>
      </c>
    </row>
    <row r="164" spans="1:13" s="1592" customFormat="1" ht="130.5" x14ac:dyDescent="0.35">
      <c r="A164" s="2101">
        <v>43854</v>
      </c>
      <c r="B164" s="1412" t="s">
        <v>6326</v>
      </c>
      <c r="C164" s="10" t="s">
        <v>6567</v>
      </c>
      <c r="D164" s="1808">
        <v>43981</v>
      </c>
      <c r="E164" s="823" t="s">
        <v>6327</v>
      </c>
      <c r="F164" s="10" t="s">
        <v>15</v>
      </c>
      <c r="G164" s="12">
        <v>0.83333333333333337</v>
      </c>
      <c r="H164" s="12">
        <v>0.83333333333333337</v>
      </c>
      <c r="I164" s="1678">
        <f>300+10*85</f>
        <v>1150</v>
      </c>
      <c r="J164" s="5" t="s">
        <v>6565</v>
      </c>
      <c r="K164" s="5" t="s">
        <v>15</v>
      </c>
      <c r="L164" s="5" t="s">
        <v>17</v>
      </c>
      <c r="M164" s="807" t="s">
        <v>5367</v>
      </c>
    </row>
    <row r="165" spans="1:13" s="1592" customFormat="1" ht="29" x14ac:dyDescent="0.35">
      <c r="A165" s="2149">
        <v>43875</v>
      </c>
      <c r="B165" s="817" t="s">
        <v>20</v>
      </c>
      <c r="C165" s="817" t="s">
        <v>6925</v>
      </c>
      <c r="D165" s="1814">
        <v>43992</v>
      </c>
      <c r="E165" s="1149" t="s">
        <v>20</v>
      </c>
      <c r="F165" s="817" t="s">
        <v>15</v>
      </c>
      <c r="G165" s="2628" t="s">
        <v>15</v>
      </c>
      <c r="H165" s="2628" t="s">
        <v>15</v>
      </c>
      <c r="I165" s="1809">
        <v>0</v>
      </c>
      <c r="J165" s="817" t="s">
        <v>20</v>
      </c>
      <c r="K165" s="817" t="s">
        <v>15</v>
      </c>
      <c r="L165" s="817" t="s">
        <v>17</v>
      </c>
      <c r="M165" s="839" t="s">
        <v>20</v>
      </c>
    </row>
    <row r="166" spans="1:13" s="1592" customFormat="1" ht="174" x14ac:dyDescent="0.35">
      <c r="A166" s="1994">
        <v>43888</v>
      </c>
      <c r="B166" s="7" t="s">
        <v>7023</v>
      </c>
      <c r="C166" s="10" t="s">
        <v>7172</v>
      </c>
      <c r="D166" s="1899">
        <v>43996</v>
      </c>
      <c r="E166" s="2533" t="s">
        <v>7025</v>
      </c>
      <c r="F166" s="6" t="s">
        <v>15</v>
      </c>
      <c r="G166" s="6">
        <v>0.73611111111111116</v>
      </c>
      <c r="H166" s="6">
        <v>0.73611111111111116</v>
      </c>
      <c r="I166" s="1678">
        <v>2394</v>
      </c>
      <c r="J166" s="817" t="s">
        <v>7173</v>
      </c>
      <c r="K166" s="817" t="s">
        <v>15</v>
      </c>
      <c r="L166" s="817" t="s">
        <v>17</v>
      </c>
      <c r="M166" s="839" t="s">
        <v>2084</v>
      </c>
    </row>
    <row r="167" spans="1:13" s="1592" customFormat="1" ht="290" x14ac:dyDescent="0.35">
      <c r="A167" s="1830">
        <v>43875</v>
      </c>
      <c r="B167" s="10" t="s">
        <v>6739</v>
      </c>
      <c r="C167" s="10" t="s">
        <v>6923</v>
      </c>
      <c r="D167" s="1808">
        <v>43996</v>
      </c>
      <c r="E167" s="1571" t="s">
        <v>6924</v>
      </c>
      <c r="F167" s="2628" t="s">
        <v>15</v>
      </c>
      <c r="G167" s="2628">
        <v>0.74305555555555547</v>
      </c>
      <c r="H167" s="2628">
        <v>0.74305555555555547</v>
      </c>
      <c r="I167" s="1809">
        <v>5151</v>
      </c>
      <c r="J167" s="817" t="s">
        <v>6760</v>
      </c>
      <c r="K167" s="817" t="s">
        <v>15</v>
      </c>
      <c r="L167" s="817" t="s">
        <v>17</v>
      </c>
      <c r="M167" s="839" t="s">
        <v>6450</v>
      </c>
    </row>
    <row r="168" spans="1:13" s="1592" customFormat="1" ht="29" x14ac:dyDescent="0.35">
      <c r="A168" s="2485">
        <v>43869</v>
      </c>
      <c r="B168" s="5" t="s">
        <v>20</v>
      </c>
      <c r="C168" s="5" t="s">
        <v>6577</v>
      </c>
      <c r="D168" s="2486">
        <v>44015</v>
      </c>
      <c r="E168" s="824" t="s">
        <v>20</v>
      </c>
      <c r="F168" s="6" t="s">
        <v>15</v>
      </c>
      <c r="G168" s="6" t="s">
        <v>15</v>
      </c>
      <c r="H168" s="6" t="s">
        <v>15</v>
      </c>
      <c r="I168" s="1678">
        <v>0</v>
      </c>
      <c r="J168" s="5" t="s">
        <v>20</v>
      </c>
      <c r="K168" s="5" t="s">
        <v>15</v>
      </c>
      <c r="L168" s="5" t="s">
        <v>17</v>
      </c>
      <c r="M168" s="839" t="s">
        <v>20</v>
      </c>
    </row>
    <row r="169" spans="1:13" s="1592" customFormat="1" ht="333.5" x14ac:dyDescent="0.35">
      <c r="A169" s="1830">
        <v>43900</v>
      </c>
      <c r="B169" s="10" t="s">
        <v>7288</v>
      </c>
      <c r="C169" s="10" t="s">
        <v>7290</v>
      </c>
      <c r="D169" s="1808">
        <v>44016</v>
      </c>
      <c r="E169" s="2612" t="s">
        <v>7298</v>
      </c>
      <c r="F169" s="836" t="s">
        <v>15</v>
      </c>
      <c r="G169" s="836">
        <v>0.77083333333333337</v>
      </c>
      <c r="H169" s="836">
        <v>0.77083333333333337</v>
      </c>
      <c r="I169" s="1100">
        <f>3553+300+170</f>
        <v>4023</v>
      </c>
      <c r="J169" s="7" t="s">
        <v>7289</v>
      </c>
      <c r="K169" s="7" t="s">
        <v>15</v>
      </c>
      <c r="L169" s="7" t="s">
        <v>17</v>
      </c>
      <c r="M169" s="809" t="s">
        <v>6450</v>
      </c>
    </row>
    <row r="170" spans="1:13" s="1592" customFormat="1" ht="290" x14ac:dyDescent="0.35">
      <c r="A170" s="2485">
        <v>43896</v>
      </c>
      <c r="B170" s="5" t="s">
        <v>7215</v>
      </c>
      <c r="C170" s="1090" t="s">
        <v>7219</v>
      </c>
      <c r="D170" s="2486">
        <v>44017</v>
      </c>
      <c r="E170" s="1571" t="s">
        <v>7217</v>
      </c>
      <c r="F170" s="6"/>
      <c r="G170" s="2628">
        <v>0.75</v>
      </c>
      <c r="H170" s="2628">
        <v>0.75</v>
      </c>
      <c r="I170" s="1809">
        <v>4041</v>
      </c>
      <c r="J170" s="817" t="s">
        <v>7218</v>
      </c>
      <c r="K170" s="817"/>
      <c r="L170" s="817" t="s">
        <v>974</v>
      </c>
      <c r="M170" s="839" t="s">
        <v>7216</v>
      </c>
    </row>
    <row r="171" spans="1:13" s="1592" customFormat="1" ht="261" x14ac:dyDescent="0.35">
      <c r="A171" s="2101">
        <v>43869</v>
      </c>
      <c r="B171" s="1412" t="s">
        <v>6512</v>
      </c>
      <c r="C171" s="10" t="s">
        <v>6575</v>
      </c>
      <c r="D171" s="1808">
        <v>44017</v>
      </c>
      <c r="E171" s="1571" t="s">
        <v>6576</v>
      </c>
      <c r="F171" s="12" t="s">
        <v>15</v>
      </c>
      <c r="G171" s="12">
        <v>0.72916666666666663</v>
      </c>
      <c r="H171" s="12">
        <v>0.72916666666666663</v>
      </c>
      <c r="I171" s="1809">
        <f>3500*0.85</f>
        <v>2975</v>
      </c>
      <c r="J171" s="817" t="s">
        <v>6643</v>
      </c>
      <c r="K171" s="817" t="s">
        <v>15</v>
      </c>
      <c r="L171" s="817" t="s">
        <v>17</v>
      </c>
      <c r="M171" s="839" t="s">
        <v>6053</v>
      </c>
    </row>
    <row r="172" spans="1:13" s="1592" customFormat="1" ht="377" x14ac:dyDescent="0.35">
      <c r="A172" s="1830">
        <v>43869</v>
      </c>
      <c r="B172" s="10" t="s">
        <v>6558</v>
      </c>
      <c r="C172" s="10" t="s">
        <v>6566</v>
      </c>
      <c r="D172" s="1808">
        <v>44029</v>
      </c>
      <c r="E172" s="1571" t="s">
        <v>6560</v>
      </c>
      <c r="F172" s="6" t="s">
        <v>15</v>
      </c>
      <c r="G172" s="6">
        <v>0.76388888888888884</v>
      </c>
      <c r="H172" s="6">
        <v>0.76388888888888884</v>
      </c>
      <c r="I172" s="1678">
        <f>80*12+50+1000</f>
        <v>2010</v>
      </c>
      <c r="J172" s="817" t="s">
        <v>6559</v>
      </c>
      <c r="K172" s="817" t="s">
        <v>15</v>
      </c>
      <c r="L172" s="817" t="s">
        <v>17</v>
      </c>
      <c r="M172" s="839" t="s">
        <v>5367</v>
      </c>
    </row>
    <row r="173" spans="1:13" ht="203" x14ac:dyDescent="0.35">
      <c r="A173" s="2149">
        <v>43872</v>
      </c>
      <c r="B173" s="817" t="s">
        <v>6638</v>
      </c>
      <c r="C173" s="817" t="s">
        <v>6639</v>
      </c>
      <c r="D173" s="1814">
        <v>44037</v>
      </c>
      <c r="E173" s="1571" t="s">
        <v>6640</v>
      </c>
      <c r="F173" s="2628" t="s">
        <v>15</v>
      </c>
      <c r="G173" s="2628">
        <v>0.77083333333333337</v>
      </c>
      <c r="H173" s="2628">
        <v>0.77083333333333337</v>
      </c>
      <c r="I173" s="1809">
        <v>950</v>
      </c>
      <c r="J173" s="817" t="s">
        <v>6641</v>
      </c>
      <c r="K173" s="817" t="s">
        <v>15</v>
      </c>
      <c r="L173" s="817" t="s">
        <v>17</v>
      </c>
      <c r="M173" s="839" t="s">
        <v>6450</v>
      </c>
    </row>
    <row r="174" spans="1:13" ht="159.5" x14ac:dyDescent="0.35">
      <c r="A174" s="1830">
        <v>43872</v>
      </c>
      <c r="B174" s="10" t="s">
        <v>6652</v>
      </c>
      <c r="C174" s="10" t="s">
        <v>6653</v>
      </c>
      <c r="D174" s="1808">
        <v>44038</v>
      </c>
      <c r="E174" s="1571" t="s">
        <v>6654</v>
      </c>
      <c r="F174" s="6" t="s">
        <v>15</v>
      </c>
      <c r="G174" s="6" t="s">
        <v>15</v>
      </c>
      <c r="H174" s="6" t="s">
        <v>15</v>
      </c>
      <c r="I174" s="1678">
        <v>2682</v>
      </c>
      <c r="J174" s="2434" t="s">
        <v>6655</v>
      </c>
      <c r="K174" s="817" t="s">
        <v>15</v>
      </c>
      <c r="L174" s="817" t="s">
        <v>17</v>
      </c>
      <c r="M174" s="839" t="s">
        <v>6450</v>
      </c>
    </row>
    <row r="175" spans="1:13" ht="188.5" x14ac:dyDescent="0.35">
      <c r="A175" s="2101">
        <v>43872</v>
      </c>
      <c r="B175" s="1412" t="s">
        <v>6630</v>
      </c>
      <c r="C175" s="10" t="s">
        <v>6631</v>
      </c>
      <c r="D175" s="1808">
        <v>44038</v>
      </c>
      <c r="E175" s="2428" t="s">
        <v>6632</v>
      </c>
      <c r="F175" s="12" t="s">
        <v>15</v>
      </c>
      <c r="G175" s="2057">
        <v>0.75</v>
      </c>
      <c r="H175" s="2057">
        <v>0.79166666666666663</v>
      </c>
      <c r="I175" s="2138">
        <v>2398</v>
      </c>
      <c r="J175" s="2628" t="s">
        <v>6633</v>
      </c>
      <c r="K175" s="2628" t="s">
        <v>15</v>
      </c>
      <c r="L175" s="817" t="s">
        <v>17</v>
      </c>
      <c r="M175" s="839" t="s">
        <v>6450</v>
      </c>
    </row>
    <row r="176" spans="1:13" ht="319" x14ac:dyDescent="0.35">
      <c r="A176" s="2101">
        <v>43865</v>
      </c>
      <c r="B176" s="1412" t="s">
        <v>6347</v>
      </c>
      <c r="C176" s="2434" t="s">
        <v>6494</v>
      </c>
      <c r="D176" s="1957">
        <v>44059</v>
      </c>
      <c r="E176" s="2435" t="s">
        <v>6492</v>
      </c>
      <c r="F176" s="2628" t="s">
        <v>15</v>
      </c>
      <c r="G176" s="2628">
        <v>0.71875</v>
      </c>
      <c r="H176" s="2628">
        <v>0.71875</v>
      </c>
      <c r="I176" s="1809">
        <f>1000+400+38*120/1000*70</f>
        <v>1719.2</v>
      </c>
      <c r="J176" s="817" t="s">
        <v>6493</v>
      </c>
      <c r="K176" s="817" t="s">
        <v>15</v>
      </c>
      <c r="L176" s="817" t="s">
        <v>17</v>
      </c>
      <c r="M176" s="839" t="s">
        <v>6045</v>
      </c>
    </row>
    <row r="177" spans="1:13" ht="29" x14ac:dyDescent="0.35">
      <c r="A177" s="2149">
        <v>43869</v>
      </c>
      <c r="B177" s="817" t="s">
        <v>20</v>
      </c>
      <c r="C177" s="817" t="s">
        <v>6571</v>
      </c>
      <c r="D177" s="1814">
        <v>44062</v>
      </c>
      <c r="E177" s="1149" t="s">
        <v>20</v>
      </c>
      <c r="F177" s="2628" t="s">
        <v>15</v>
      </c>
      <c r="G177" s="2628" t="s">
        <v>15</v>
      </c>
      <c r="H177" s="2628" t="s">
        <v>15</v>
      </c>
      <c r="I177" s="1809">
        <v>0</v>
      </c>
      <c r="J177" s="817" t="s">
        <v>20</v>
      </c>
      <c r="K177" s="817" t="s">
        <v>15</v>
      </c>
      <c r="L177" s="817" t="s">
        <v>17</v>
      </c>
      <c r="M177" s="839" t="s">
        <v>20</v>
      </c>
    </row>
    <row r="178" spans="1:13" ht="304.5" x14ac:dyDescent="0.35">
      <c r="A178" s="1830">
        <v>43869</v>
      </c>
      <c r="B178" s="10" t="s">
        <v>6569</v>
      </c>
      <c r="C178" s="10" t="s">
        <v>6589</v>
      </c>
      <c r="D178" s="1808">
        <v>44065</v>
      </c>
      <c r="E178" s="2428" t="s">
        <v>6570</v>
      </c>
      <c r="F178" s="6" t="s">
        <v>15</v>
      </c>
      <c r="G178" s="6">
        <v>0.74305555555555547</v>
      </c>
      <c r="H178" s="6">
        <v>0.74305555555555547</v>
      </c>
      <c r="I178" s="1678">
        <v>2506</v>
      </c>
      <c r="J178" s="2434" t="s">
        <v>6590</v>
      </c>
      <c r="K178" s="817" t="s">
        <v>15</v>
      </c>
      <c r="L178" s="817" t="s">
        <v>6046</v>
      </c>
      <c r="M178" s="839" t="s">
        <v>6450</v>
      </c>
    </row>
    <row r="179" spans="1:13" ht="116" x14ac:dyDescent="0.35">
      <c r="A179" s="1830">
        <v>43872</v>
      </c>
      <c r="B179" s="10" t="s">
        <v>6644</v>
      </c>
      <c r="C179" s="10" t="s">
        <v>6645</v>
      </c>
      <c r="D179" s="1808">
        <v>44066</v>
      </c>
      <c r="E179" s="823" t="s">
        <v>5489</v>
      </c>
      <c r="F179" s="6" t="s">
        <v>15</v>
      </c>
      <c r="G179" s="6" t="s">
        <v>15</v>
      </c>
      <c r="H179" s="6" t="s">
        <v>15</v>
      </c>
      <c r="I179" s="1678">
        <f>90*9</f>
        <v>810</v>
      </c>
      <c r="J179" s="2064" t="s">
        <v>6646</v>
      </c>
      <c r="K179" s="817" t="s">
        <v>15</v>
      </c>
      <c r="L179" s="817" t="s">
        <v>17</v>
      </c>
      <c r="M179" s="839" t="s">
        <v>5489</v>
      </c>
    </row>
    <row r="180" spans="1:13" ht="203" x14ac:dyDescent="0.35">
      <c r="A180" s="2149">
        <v>43872</v>
      </c>
      <c r="B180" s="817" t="s">
        <v>6656</v>
      </c>
      <c r="C180" s="2457" t="s">
        <v>6657</v>
      </c>
      <c r="D180" s="1814">
        <v>44066</v>
      </c>
      <c r="E180" s="2435" t="s">
        <v>6658</v>
      </c>
      <c r="F180" s="2628" t="s">
        <v>15</v>
      </c>
      <c r="G180" s="2628">
        <v>0.6875</v>
      </c>
      <c r="H180" s="2628">
        <v>0.6875</v>
      </c>
      <c r="I180" s="1809">
        <v>1528</v>
      </c>
      <c r="J180" s="1149" t="s">
        <v>6659</v>
      </c>
      <c r="K180" s="1149" t="s">
        <v>15</v>
      </c>
      <c r="L180" s="817" t="s">
        <v>17</v>
      </c>
      <c r="M180" s="839" t="s">
        <v>15</v>
      </c>
    </row>
    <row r="181" spans="1:13" ht="145" x14ac:dyDescent="0.35">
      <c r="A181" s="2149">
        <v>43908</v>
      </c>
      <c r="B181" s="817" t="s">
        <v>20</v>
      </c>
      <c r="C181" s="817" t="s">
        <v>7360</v>
      </c>
      <c r="D181" s="1814">
        <v>44076</v>
      </c>
      <c r="E181" s="1149" t="s">
        <v>15</v>
      </c>
      <c r="F181" s="1149" t="s">
        <v>15</v>
      </c>
      <c r="G181" s="1149" t="s">
        <v>15</v>
      </c>
      <c r="H181" s="1149" t="s">
        <v>15</v>
      </c>
      <c r="I181" s="1809">
        <v>0</v>
      </c>
      <c r="J181" s="1149" t="s">
        <v>15</v>
      </c>
      <c r="K181" s="1149" t="s">
        <v>15</v>
      </c>
      <c r="L181" s="817" t="s">
        <v>17</v>
      </c>
      <c r="M181" s="839" t="s">
        <v>20</v>
      </c>
    </row>
    <row r="182" spans="1:13" ht="391.5" x14ac:dyDescent="0.35">
      <c r="A182" s="2101">
        <v>43857</v>
      </c>
      <c r="B182" s="1412" t="s">
        <v>6642</v>
      </c>
      <c r="C182" s="10" t="s">
        <v>6477</v>
      </c>
      <c r="D182" s="1808">
        <v>44079</v>
      </c>
      <c r="E182" s="823" t="s">
        <v>6351</v>
      </c>
      <c r="F182" s="12" t="s">
        <v>15</v>
      </c>
      <c r="G182" s="2628">
        <v>0.77083333333333337</v>
      </c>
      <c r="H182" s="2628">
        <v>0.77083333333333337</v>
      </c>
      <c r="I182" s="1809">
        <v>3800</v>
      </c>
      <c r="J182" s="817" t="s">
        <v>6352</v>
      </c>
      <c r="K182" s="817" t="s">
        <v>15</v>
      </c>
      <c r="L182" s="817" t="s">
        <v>17</v>
      </c>
      <c r="M182" s="839" t="s">
        <v>6045</v>
      </c>
    </row>
    <row r="183" spans="1:13" ht="409.5" x14ac:dyDescent="0.35">
      <c r="A183" s="1830">
        <v>43904</v>
      </c>
      <c r="B183" s="10" t="s">
        <v>7326</v>
      </c>
      <c r="C183" s="10" t="s">
        <v>7359</v>
      </c>
      <c r="D183" s="1808">
        <v>44079</v>
      </c>
      <c r="E183" s="1571" t="s">
        <v>7327</v>
      </c>
      <c r="F183" s="836" t="s">
        <v>15</v>
      </c>
      <c r="G183" s="836">
        <v>0.74305555555555547</v>
      </c>
      <c r="H183" s="836">
        <v>0.74305555555555547</v>
      </c>
      <c r="I183" s="1100">
        <v>5124</v>
      </c>
      <c r="J183" s="836" t="s">
        <v>7328</v>
      </c>
      <c r="K183" s="836" t="s">
        <v>15</v>
      </c>
      <c r="L183" s="7" t="s">
        <v>17</v>
      </c>
      <c r="M183" s="809" t="s">
        <v>6450</v>
      </c>
    </row>
    <row r="184" spans="1:13" ht="29" x14ac:dyDescent="0.35">
      <c r="A184" s="2149">
        <v>43869</v>
      </c>
      <c r="B184" s="817" t="s">
        <v>20</v>
      </c>
      <c r="C184" s="817" t="s">
        <v>6573</v>
      </c>
      <c r="D184" s="1814">
        <v>44083</v>
      </c>
      <c r="E184" s="1149" t="s">
        <v>20</v>
      </c>
      <c r="F184" s="2628" t="s">
        <v>15</v>
      </c>
      <c r="G184" s="2628" t="s">
        <v>15</v>
      </c>
      <c r="H184" s="2628" t="s">
        <v>15</v>
      </c>
      <c r="I184" s="1809">
        <v>0</v>
      </c>
      <c r="J184" s="817" t="s">
        <v>6034</v>
      </c>
      <c r="K184" s="817" t="s">
        <v>15</v>
      </c>
      <c r="L184" s="817" t="s">
        <v>17</v>
      </c>
      <c r="M184" s="839" t="s">
        <v>20</v>
      </c>
    </row>
    <row r="185" spans="1:13" ht="246.5" x14ac:dyDescent="0.35">
      <c r="A185" s="1723">
        <v>43892</v>
      </c>
      <c r="B185" s="874" t="s">
        <v>7100</v>
      </c>
      <c r="C185" s="874" t="s">
        <v>7101</v>
      </c>
      <c r="D185" s="1738">
        <v>44086</v>
      </c>
      <c r="E185" s="1493" t="s">
        <v>7102</v>
      </c>
      <c r="F185" s="2628" t="s">
        <v>15</v>
      </c>
      <c r="G185" s="2628">
        <v>0.75</v>
      </c>
      <c r="H185" s="2628">
        <v>0.75</v>
      </c>
      <c r="I185" s="1809">
        <v>1672</v>
      </c>
      <c r="J185" s="817" t="s">
        <v>7103</v>
      </c>
      <c r="K185" s="817" t="s">
        <v>15</v>
      </c>
      <c r="L185" s="817" t="s">
        <v>17</v>
      </c>
      <c r="M185" s="839" t="s">
        <v>6450</v>
      </c>
    </row>
    <row r="186" spans="1:13" ht="377" x14ac:dyDescent="0.35">
      <c r="A186" s="2623">
        <v>43874</v>
      </c>
      <c r="B186" s="976" t="s">
        <v>6727</v>
      </c>
      <c r="C186" s="2456" t="s">
        <v>7340</v>
      </c>
      <c r="D186" s="2624">
        <v>44086</v>
      </c>
      <c r="E186" s="2625" t="s">
        <v>6728</v>
      </c>
      <c r="F186" s="2628" t="s">
        <v>15</v>
      </c>
      <c r="G186" s="2628">
        <v>0.76041666666666663</v>
      </c>
      <c r="H186" s="2628">
        <v>0.76041666666666663</v>
      </c>
      <c r="I186" s="1809">
        <v>2372</v>
      </c>
      <c r="J186" s="817" t="s">
        <v>6729</v>
      </c>
      <c r="K186" s="817" t="s">
        <v>15</v>
      </c>
      <c r="L186" s="817" t="s">
        <v>17</v>
      </c>
      <c r="M186" s="839" t="s">
        <v>6450</v>
      </c>
    </row>
    <row r="187" spans="1:13" ht="246.5" x14ac:dyDescent="0.35">
      <c r="A187" s="2623">
        <v>43869</v>
      </c>
      <c r="B187" s="976" t="s">
        <v>6504</v>
      </c>
      <c r="C187" s="918" t="s">
        <v>6574</v>
      </c>
      <c r="D187" s="2616">
        <v>44086</v>
      </c>
      <c r="E187" s="867" t="s">
        <v>6572</v>
      </c>
      <c r="F187" s="12" t="s">
        <v>15</v>
      </c>
      <c r="G187" s="12">
        <v>0.77083333333333337</v>
      </c>
      <c r="H187" s="12">
        <v>0.77083333333333337</v>
      </c>
      <c r="I187" s="1809">
        <v>4824.1499999999996</v>
      </c>
      <c r="J187" s="2434" t="s">
        <v>6629</v>
      </c>
      <c r="K187" s="817" t="s">
        <v>15</v>
      </c>
      <c r="L187" s="817" t="s">
        <v>17</v>
      </c>
      <c r="M187" s="839" t="s">
        <v>6450</v>
      </c>
    </row>
    <row r="188" spans="1:13" ht="174" x14ac:dyDescent="0.35">
      <c r="A188" s="2621">
        <v>43872</v>
      </c>
      <c r="B188" s="826" t="s">
        <v>6634</v>
      </c>
      <c r="C188" s="826" t="s">
        <v>7105</v>
      </c>
      <c r="D188" s="2622">
        <v>44086</v>
      </c>
      <c r="E188" s="1493" t="s">
        <v>6635</v>
      </c>
      <c r="F188" s="865" t="s">
        <v>15</v>
      </c>
      <c r="G188" s="865">
        <v>0.76041666666666663</v>
      </c>
      <c r="H188" s="865">
        <v>0.76041666666666663</v>
      </c>
      <c r="I188" s="1678">
        <v>1672</v>
      </c>
      <c r="J188" s="2456" t="s">
        <v>6637</v>
      </c>
      <c r="K188" s="874" t="s">
        <v>15</v>
      </c>
      <c r="L188" s="817" t="s">
        <v>17</v>
      </c>
      <c r="M188" s="839" t="s">
        <v>6450</v>
      </c>
    </row>
    <row r="189" spans="1:13" ht="290" x14ac:dyDescent="0.35">
      <c r="A189" s="1723">
        <v>43898</v>
      </c>
      <c r="B189" s="874" t="s">
        <v>7194</v>
      </c>
      <c r="C189" s="2456" t="s">
        <v>7257</v>
      </c>
      <c r="D189" s="1738">
        <v>44093</v>
      </c>
      <c r="E189" s="1015" t="s">
        <v>7255</v>
      </c>
      <c r="F189" s="1016" t="s">
        <v>15</v>
      </c>
      <c r="G189" s="2628">
        <v>0.70833333333333337</v>
      </c>
      <c r="H189" s="2628">
        <v>0.70833333333333337</v>
      </c>
      <c r="I189" s="1809">
        <f>(120*19*0.8+150*100/1000*(100-10.51))*0.95</f>
        <v>3008.0324999999998</v>
      </c>
      <c r="J189" s="817" t="s">
        <v>7256</v>
      </c>
      <c r="K189" s="817" t="s">
        <v>15</v>
      </c>
      <c r="L189" s="817" t="s">
        <v>17</v>
      </c>
      <c r="M189" s="839" t="s">
        <v>6450</v>
      </c>
    </row>
    <row r="190" spans="1:13" ht="159.5" x14ac:dyDescent="0.35">
      <c r="A190" s="1723">
        <v>43877</v>
      </c>
      <c r="B190" s="874" t="s">
        <v>6584</v>
      </c>
      <c r="C190" s="874" t="s">
        <v>6794</v>
      </c>
      <c r="D190" s="1738">
        <v>44101</v>
      </c>
      <c r="E190" s="1493" t="s">
        <v>6795</v>
      </c>
      <c r="F190" s="1016" t="s">
        <v>15</v>
      </c>
      <c r="G190" s="2628">
        <v>0.68055555555555547</v>
      </c>
      <c r="H190" s="2628">
        <v>0.68055555555555547</v>
      </c>
      <c r="I190" s="1809">
        <v>1960</v>
      </c>
      <c r="J190" s="817" t="s">
        <v>6793</v>
      </c>
      <c r="K190" s="817" t="s">
        <v>15</v>
      </c>
      <c r="L190" s="817" t="s">
        <v>17</v>
      </c>
      <c r="M190" s="839" t="s">
        <v>6450</v>
      </c>
    </row>
    <row r="191" spans="1:13" s="1592" customFormat="1" ht="174" x14ac:dyDescent="0.35">
      <c r="A191" s="1723">
        <v>43896</v>
      </c>
      <c r="B191" s="2456" t="s">
        <v>7220</v>
      </c>
      <c r="C191" s="2456" t="s">
        <v>7221</v>
      </c>
      <c r="D191" s="1738">
        <v>44115</v>
      </c>
      <c r="E191" s="1493" t="s">
        <v>290</v>
      </c>
      <c r="F191" s="1016"/>
      <c r="G191" s="2628"/>
      <c r="H191" s="2628"/>
      <c r="I191" s="1809">
        <v>1384</v>
      </c>
      <c r="J191" s="2575" t="s">
        <v>7222</v>
      </c>
      <c r="K191" s="817"/>
      <c r="L191" s="817" t="s">
        <v>974</v>
      </c>
      <c r="M191" s="839" t="s">
        <v>7223</v>
      </c>
    </row>
    <row r="192" spans="1:13" s="1592" customFormat="1" ht="362.5" x14ac:dyDescent="0.35">
      <c r="A192" s="2623">
        <v>43876</v>
      </c>
      <c r="B192" s="976" t="s">
        <v>6608</v>
      </c>
      <c r="C192" s="2456" t="s">
        <v>6782</v>
      </c>
      <c r="D192" s="2624">
        <v>44128</v>
      </c>
      <c r="E192" s="2625" t="s">
        <v>6781</v>
      </c>
      <c r="F192" s="1016" t="s">
        <v>15</v>
      </c>
      <c r="G192" s="2628">
        <v>0.72916666666666663</v>
      </c>
      <c r="H192" s="2628">
        <v>0.72916666666666663</v>
      </c>
      <c r="I192" s="1809">
        <v>3514</v>
      </c>
      <c r="J192" s="817" t="s">
        <v>6780</v>
      </c>
      <c r="K192" s="817" t="s">
        <v>15</v>
      </c>
      <c r="L192" s="817" t="s">
        <v>17</v>
      </c>
      <c r="M192" s="839" t="s">
        <v>6450</v>
      </c>
    </row>
    <row r="193" spans="1:13" s="1592" customFormat="1" ht="290" x14ac:dyDescent="0.35">
      <c r="A193" s="2618">
        <v>43873</v>
      </c>
      <c r="B193" s="2470" t="s">
        <v>6674</v>
      </c>
      <c r="C193" s="2456" t="s">
        <v>7106</v>
      </c>
      <c r="D193" s="2619">
        <v>44364</v>
      </c>
      <c r="E193" s="2472" t="s">
        <v>6676</v>
      </c>
      <c r="F193" s="2620" t="s">
        <v>15</v>
      </c>
      <c r="G193" s="2628">
        <v>0.77083333333333337</v>
      </c>
      <c r="H193" s="2628">
        <v>0.77083333333333337</v>
      </c>
      <c r="I193" s="1809">
        <v>6500</v>
      </c>
      <c r="J193" s="817" t="s">
        <v>6677</v>
      </c>
      <c r="K193" s="817" t="s">
        <v>15</v>
      </c>
      <c r="L193" s="817" t="s">
        <v>17</v>
      </c>
      <c r="M193" s="839" t="s">
        <v>6450</v>
      </c>
    </row>
    <row r="194" spans="1:13" s="1592" customFormat="1" ht="145" x14ac:dyDescent="0.35">
      <c r="A194" s="1723">
        <v>43873</v>
      </c>
      <c r="B194" s="874" t="s">
        <v>6684</v>
      </c>
      <c r="C194" s="874" t="s">
        <v>6683</v>
      </c>
      <c r="D194" s="1738" t="s">
        <v>15</v>
      </c>
      <c r="E194" s="1015" t="s">
        <v>49</v>
      </c>
      <c r="F194" s="1016" t="s">
        <v>49</v>
      </c>
      <c r="G194" s="2628" t="s">
        <v>49</v>
      </c>
      <c r="H194" s="2628" t="s">
        <v>49</v>
      </c>
      <c r="I194" s="1809">
        <v>0</v>
      </c>
      <c r="J194" s="817" t="s">
        <v>361</v>
      </c>
      <c r="K194" s="817" t="s">
        <v>15</v>
      </c>
      <c r="L194" s="817" t="s">
        <v>17</v>
      </c>
      <c r="M194" s="839" t="s">
        <v>17</v>
      </c>
    </row>
    <row r="195" spans="1:13" s="1592" customFormat="1" ht="29" x14ac:dyDescent="0.35">
      <c r="A195" s="2621">
        <v>43900</v>
      </c>
      <c r="B195" s="826" t="s">
        <v>20</v>
      </c>
      <c r="C195" s="826" t="s">
        <v>7287</v>
      </c>
      <c r="D195" s="2622" t="s">
        <v>15</v>
      </c>
      <c r="E195" s="872" t="s">
        <v>20</v>
      </c>
      <c r="F195" s="865" t="s">
        <v>15</v>
      </c>
      <c r="G195" s="6" t="s">
        <v>15</v>
      </c>
      <c r="H195" s="6" t="s">
        <v>15</v>
      </c>
      <c r="I195" s="1809">
        <v>0</v>
      </c>
      <c r="J195" s="6" t="s">
        <v>15</v>
      </c>
      <c r="K195" s="6" t="s">
        <v>15</v>
      </c>
      <c r="L195" s="817" t="s">
        <v>17</v>
      </c>
      <c r="M195" s="839" t="s">
        <v>20</v>
      </c>
    </row>
    <row r="196" spans="1:13" ht="101.5" x14ac:dyDescent="0.35">
      <c r="A196" s="2615">
        <v>43900</v>
      </c>
      <c r="B196" s="819" t="s">
        <v>7284</v>
      </c>
      <c r="C196" s="819" t="s">
        <v>7286</v>
      </c>
      <c r="D196" s="2616" t="s">
        <v>15</v>
      </c>
      <c r="E196" s="867" t="s">
        <v>2960</v>
      </c>
      <c r="F196" s="865" t="s">
        <v>15</v>
      </c>
      <c r="G196" s="1016">
        <v>0.72916666666666663</v>
      </c>
      <c r="H196" s="1016">
        <v>0.72916666666666663</v>
      </c>
      <c r="I196" s="1643">
        <v>360</v>
      </c>
      <c r="J196" s="874" t="s">
        <v>7285</v>
      </c>
      <c r="K196" s="874" t="s">
        <v>15</v>
      </c>
      <c r="L196" s="874" t="s">
        <v>17</v>
      </c>
      <c r="M196" s="875" t="s">
        <v>2960</v>
      </c>
    </row>
    <row r="204" spans="1:13" x14ac:dyDescent="0.35">
      <c r="M204" s="1">
        <f>15*4</f>
        <v>60</v>
      </c>
    </row>
    <row r="205" spans="1:13" ht="15" thickBot="1" x14ac:dyDescent="0.4">
      <c r="B205" s="2477" t="s">
        <v>2108</v>
      </c>
      <c r="C205" s="2478" t="s">
        <v>6699</v>
      </c>
      <c r="D205" s="2429"/>
      <c r="E205" s="2438" t="s">
        <v>6698</v>
      </c>
      <c r="F205" s="2581">
        <f ca="1">SUM(C206:C236)</f>
        <v>10100.740104166671</v>
      </c>
      <c r="M205" s="1">
        <f>4*15*2.6</f>
        <v>156</v>
      </c>
    </row>
    <row r="206" spans="1:13" x14ac:dyDescent="0.35">
      <c r="B206" s="2577">
        <v>43891</v>
      </c>
      <c r="C206" s="2578">
        <f t="shared" ref="C206:C236" ca="1" si="0">IF(B206&lt;=TODAY(),SUMIF($A$2:$A$415,B206,$I$2:$I$415)/4.8,"")</f>
        <v>149.79166666666669</v>
      </c>
      <c r="D206" s="2429"/>
      <c r="E206" s="2438"/>
      <c r="F206" s="2438"/>
    </row>
    <row r="207" spans="1:13" x14ac:dyDescent="0.35">
      <c r="B207" s="2579">
        <v>43892</v>
      </c>
      <c r="C207" s="2578">
        <f t="shared" ca="1" si="0"/>
        <v>974.04583333333335</v>
      </c>
      <c r="D207" s="2429"/>
      <c r="E207" s="2438" t="s">
        <v>6700</v>
      </c>
      <c r="F207" s="2581">
        <f ca="1">F205/(DATEDIF(B206,TODAY(),"d")+1)</f>
        <v>22.749414649024033</v>
      </c>
    </row>
    <row r="208" spans="1:13" x14ac:dyDescent="0.35">
      <c r="B208" s="2580">
        <v>43893</v>
      </c>
      <c r="C208" s="2578">
        <f t="shared" ca="1" si="0"/>
        <v>993.125</v>
      </c>
      <c r="D208" s="2438"/>
      <c r="E208" s="2438"/>
    </row>
    <row r="209" spans="2:9" x14ac:dyDescent="0.35">
      <c r="B209" s="2580">
        <v>43894</v>
      </c>
      <c r="C209" s="2578">
        <f t="shared" ca="1" si="0"/>
        <v>273.75</v>
      </c>
      <c r="D209" s="2438"/>
      <c r="E209" s="2438"/>
    </row>
    <row r="210" spans="2:9" x14ac:dyDescent="0.35">
      <c r="B210" s="2580">
        <v>43895</v>
      </c>
      <c r="C210" s="2578">
        <f t="shared" ca="1" si="0"/>
        <v>1613.9583333333335</v>
      </c>
      <c r="D210" s="2438"/>
      <c r="E210" s="2438"/>
    </row>
    <row r="211" spans="2:9" x14ac:dyDescent="0.35">
      <c r="B211" s="2580">
        <v>43896</v>
      </c>
      <c r="C211" s="2578">
        <f t="shared" ca="1" si="0"/>
        <v>1258.9583333333335</v>
      </c>
    </row>
    <row r="212" spans="2:9" x14ac:dyDescent="0.35">
      <c r="B212" s="2580">
        <v>43897</v>
      </c>
      <c r="C212" s="2578">
        <f t="shared" ca="1" si="0"/>
        <v>50.625</v>
      </c>
    </row>
    <row r="213" spans="2:9" x14ac:dyDescent="0.35">
      <c r="B213" s="2580">
        <v>43898</v>
      </c>
      <c r="C213" s="2578">
        <f t="shared" ca="1" si="0"/>
        <v>651.67343749999998</v>
      </c>
    </row>
    <row r="214" spans="2:9" x14ac:dyDescent="0.35">
      <c r="B214" s="2580">
        <v>43899</v>
      </c>
      <c r="C214" s="2578">
        <f t="shared" ca="1" si="0"/>
        <v>545.52083333333337</v>
      </c>
      <c r="D214" s="2440"/>
      <c r="E214" s="2440"/>
    </row>
    <row r="215" spans="2:9" x14ac:dyDescent="0.35">
      <c r="B215" s="2580">
        <v>43900</v>
      </c>
      <c r="C215" s="2578">
        <f t="shared" ca="1" si="0"/>
        <v>1160.625</v>
      </c>
      <c r="D215" s="2440"/>
      <c r="E215" s="2440"/>
    </row>
    <row r="216" spans="2:9" x14ac:dyDescent="0.35">
      <c r="B216" s="2580">
        <v>43901</v>
      </c>
      <c r="C216" s="2578">
        <f t="shared" ca="1" si="0"/>
        <v>58.333333333333336</v>
      </c>
      <c r="D216" s="2440"/>
      <c r="E216" s="2440"/>
    </row>
    <row r="217" spans="2:9" x14ac:dyDescent="0.35">
      <c r="B217" s="2580">
        <v>43902</v>
      </c>
      <c r="C217" s="2578">
        <f t="shared" ca="1" si="0"/>
        <v>50</v>
      </c>
      <c r="D217" s="2440"/>
      <c r="E217" s="2440"/>
    </row>
    <row r="218" spans="2:9" x14ac:dyDescent="0.35">
      <c r="B218" s="2580">
        <v>43903</v>
      </c>
      <c r="C218" s="2578">
        <f t="shared" ca="1" si="0"/>
        <v>50</v>
      </c>
      <c r="D218" s="2440"/>
      <c r="E218" s="2440"/>
    </row>
    <row r="219" spans="2:9" x14ac:dyDescent="0.35">
      <c r="B219" s="2580">
        <v>43904</v>
      </c>
      <c r="C219" s="2578">
        <f t="shared" ca="1" si="0"/>
        <v>1162.8333333333335</v>
      </c>
      <c r="D219" s="2440"/>
      <c r="E219" s="2440"/>
      <c r="I219" s="1809">
        <v>160</v>
      </c>
    </row>
    <row r="220" spans="2:9" x14ac:dyDescent="0.35">
      <c r="B220" s="2580">
        <v>43905</v>
      </c>
      <c r="C220" s="2578">
        <f t="shared" ca="1" si="0"/>
        <v>0</v>
      </c>
      <c r="D220" s="2501"/>
      <c r="E220" s="2440"/>
      <c r="I220" s="1809">
        <v>240</v>
      </c>
    </row>
    <row r="221" spans="2:9" x14ac:dyDescent="0.35">
      <c r="B221" s="2580">
        <v>43906</v>
      </c>
      <c r="C221" s="2578">
        <f t="shared" ca="1" si="0"/>
        <v>55.208333333333336</v>
      </c>
      <c r="D221" s="2501"/>
      <c r="E221" s="2440"/>
      <c r="I221" s="1809">
        <v>240</v>
      </c>
    </row>
    <row r="222" spans="2:9" x14ac:dyDescent="0.35">
      <c r="B222" s="2580">
        <v>43907</v>
      </c>
      <c r="C222" s="2578">
        <f t="shared" ca="1" si="0"/>
        <v>216.14583333333334</v>
      </c>
      <c r="D222" s="2501"/>
      <c r="E222" s="2440"/>
      <c r="I222" s="1809">
        <v>120</v>
      </c>
    </row>
    <row r="223" spans="2:9" x14ac:dyDescent="0.35">
      <c r="B223" s="2580">
        <v>43908</v>
      </c>
      <c r="C223" s="2578">
        <f t="shared" ca="1" si="0"/>
        <v>78.125</v>
      </c>
      <c r="D223" s="2501"/>
      <c r="E223" s="2440"/>
      <c r="I223" s="1956">
        <v>180</v>
      </c>
    </row>
    <row r="224" spans="2:9" x14ac:dyDescent="0.35">
      <c r="B224" s="2580">
        <v>43909</v>
      </c>
      <c r="C224" s="2578">
        <f t="shared" ca="1" si="0"/>
        <v>93.854166666666671</v>
      </c>
      <c r="D224" s="2501"/>
      <c r="E224" s="2440"/>
      <c r="I224" s="1809">
        <v>0</v>
      </c>
    </row>
    <row r="225" spans="2:9" x14ac:dyDescent="0.35">
      <c r="B225" s="2580">
        <v>43910</v>
      </c>
      <c r="C225" s="2578">
        <f t="shared" ca="1" si="0"/>
        <v>80.625</v>
      </c>
      <c r="D225" s="2501"/>
      <c r="E225" s="2440"/>
      <c r="I225" s="1809">
        <v>0</v>
      </c>
    </row>
    <row r="226" spans="2:9" x14ac:dyDescent="0.35">
      <c r="B226" s="2580">
        <v>43911</v>
      </c>
      <c r="C226" s="2578">
        <f t="shared" ca="1" si="0"/>
        <v>0</v>
      </c>
      <c r="D226" s="2501"/>
      <c r="E226" s="2440"/>
      <c r="I226" s="1809">
        <v>420</v>
      </c>
    </row>
    <row r="227" spans="2:9" x14ac:dyDescent="0.35">
      <c r="B227" s="2580">
        <v>43912</v>
      </c>
      <c r="C227" s="2578">
        <f t="shared" ca="1" si="0"/>
        <v>115.20833333333334</v>
      </c>
      <c r="D227" s="2501"/>
      <c r="E227" s="2440"/>
    </row>
    <row r="228" spans="2:9" x14ac:dyDescent="0.35">
      <c r="B228" s="2580">
        <v>43913</v>
      </c>
      <c r="C228" s="2578">
        <f t="shared" ca="1" si="0"/>
        <v>80.208333333333343</v>
      </c>
      <c r="D228" s="2440"/>
      <c r="E228" s="2440"/>
    </row>
    <row r="229" spans="2:9" x14ac:dyDescent="0.35">
      <c r="B229" s="2580">
        <v>43914</v>
      </c>
      <c r="C229" s="2578">
        <f t="shared" ca="1" si="0"/>
        <v>125.83333333333334</v>
      </c>
      <c r="D229" s="2440"/>
      <c r="E229" s="2440"/>
    </row>
    <row r="230" spans="2:9" x14ac:dyDescent="0.35">
      <c r="B230" s="2580">
        <v>43915</v>
      </c>
      <c r="C230" s="2578">
        <f t="shared" ca="1" si="0"/>
        <v>160.83333333333334</v>
      </c>
      <c r="D230" s="2440"/>
      <c r="E230" s="2438"/>
    </row>
    <row r="231" spans="2:9" x14ac:dyDescent="0.35">
      <c r="B231" s="2580">
        <v>43916</v>
      </c>
      <c r="C231" s="2578">
        <f t="shared" ca="1" si="0"/>
        <v>101.45833333333334</v>
      </c>
      <c r="D231" s="2501"/>
      <c r="E231" s="2438"/>
    </row>
    <row r="232" spans="2:9" hidden="1" x14ac:dyDescent="0.35">
      <c r="B232" s="2580">
        <v>43917</v>
      </c>
      <c r="C232" s="2578">
        <f t="shared" ca="1" si="0"/>
        <v>0</v>
      </c>
      <c r="D232" s="2501"/>
      <c r="E232" s="2438"/>
    </row>
    <row r="233" spans="2:9" hidden="1" x14ac:dyDescent="0.35">
      <c r="B233" s="2580">
        <v>43918</v>
      </c>
      <c r="C233" s="2578">
        <f t="shared" ca="1" si="0"/>
        <v>0</v>
      </c>
      <c r="D233" s="2501"/>
      <c r="E233" s="2440"/>
    </row>
    <row r="234" spans="2:9" hidden="1" x14ac:dyDescent="0.35">
      <c r="B234" s="2580">
        <v>43919</v>
      </c>
      <c r="C234" s="2466">
        <f t="shared" ca="1" si="0"/>
        <v>0</v>
      </c>
      <c r="D234" s="2442"/>
      <c r="E234" s="2441"/>
    </row>
    <row r="235" spans="2:9" hidden="1" x14ac:dyDescent="0.35">
      <c r="B235" s="2603">
        <v>43920</v>
      </c>
      <c r="C235" s="2604">
        <f t="shared" ca="1" si="0"/>
        <v>0</v>
      </c>
    </row>
    <row r="236" spans="2:9" hidden="1" x14ac:dyDescent="0.35">
      <c r="B236" s="2464">
        <v>43921</v>
      </c>
      <c r="C236" s="2605">
        <f t="shared" ca="1" si="0"/>
        <v>0</v>
      </c>
    </row>
    <row r="237" spans="2:9" x14ac:dyDescent="0.35">
      <c r="I237" s="1843">
        <f>SUM(I219:I224)-180</f>
        <v>760</v>
      </c>
    </row>
  </sheetData>
  <printOptions horizontalCentered="1" verticalCentered="1"/>
  <pageMargins left="0" right="0" top="0" bottom="0" header="0" footer="0"/>
  <pageSetup paperSize="9" scale="10" orientation="landscape"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pageSetUpPr fitToPage="1"/>
  </sheetPr>
  <dimension ref="A1:Q294"/>
  <sheetViews>
    <sheetView zoomScale="50" zoomScaleNormal="50" workbookViewId="0">
      <selection activeCell="I213" sqref="I213"/>
    </sheetView>
  </sheetViews>
  <sheetFormatPr defaultRowHeight="14.5" x14ac:dyDescent="0.35"/>
  <cols>
    <col min="1" max="1" width="14.453125" customWidth="1"/>
    <col min="2" max="2" width="24.453125" customWidth="1"/>
    <col min="3" max="3" width="82.54296875" customWidth="1"/>
    <col min="4" max="4" width="13.453125" customWidth="1"/>
    <col min="5" max="5" width="25.453125" customWidth="1"/>
    <col min="6" max="6" width="8.453125" customWidth="1"/>
    <col min="7" max="7" width="11.08984375" customWidth="1"/>
    <col min="8" max="8" width="7.54296875" customWidth="1"/>
    <col min="9" max="9" width="15.54296875" customWidth="1"/>
    <col min="10" max="10" width="37.90625" customWidth="1"/>
    <col min="11" max="11" width="11.08984375" customWidth="1"/>
    <col min="12" max="12" width="17.453125" customWidth="1"/>
    <col min="14" max="15" width="8.453125" customWidth="1"/>
  </cols>
  <sheetData>
    <row r="1" spans="1:15" x14ac:dyDescent="0.35">
      <c r="A1" s="810" t="s">
        <v>0</v>
      </c>
      <c r="B1" s="812" t="s">
        <v>1</v>
      </c>
      <c r="C1" s="812" t="s">
        <v>2</v>
      </c>
      <c r="D1" s="813" t="s">
        <v>3</v>
      </c>
      <c r="E1" s="814" t="s">
        <v>110</v>
      </c>
      <c r="F1" s="814" t="s">
        <v>5</v>
      </c>
      <c r="G1" s="812" t="s">
        <v>6</v>
      </c>
      <c r="H1" s="812" t="s">
        <v>7</v>
      </c>
      <c r="I1" s="812" t="s">
        <v>8</v>
      </c>
      <c r="J1" s="812" t="s">
        <v>9</v>
      </c>
      <c r="K1" s="812" t="s">
        <v>10</v>
      </c>
      <c r="L1" s="815" t="s">
        <v>11</v>
      </c>
    </row>
    <row r="2" spans="1:15" ht="43.5" hidden="1" x14ac:dyDescent="0.35">
      <c r="A2" s="1994">
        <v>43796</v>
      </c>
      <c r="B2" s="7" t="s">
        <v>5309</v>
      </c>
      <c r="C2" s="7" t="s">
        <v>5311</v>
      </c>
      <c r="D2" s="1899">
        <v>43800</v>
      </c>
      <c r="E2" s="881" t="s">
        <v>5312</v>
      </c>
      <c r="F2" s="836">
        <v>0.47916666666666669</v>
      </c>
      <c r="G2" s="836">
        <v>0.5</v>
      </c>
      <c r="H2" s="836">
        <v>0.52083333333333337</v>
      </c>
      <c r="I2" s="1100">
        <v>0</v>
      </c>
      <c r="J2" s="7" t="s">
        <v>5314</v>
      </c>
      <c r="K2" s="7" t="s">
        <v>140</v>
      </c>
      <c r="L2" s="809" t="s">
        <v>17</v>
      </c>
      <c r="O2">
        <f>(SUM(I:I)+19713)/4.76</f>
        <v>28612.171218487394</v>
      </c>
    </row>
    <row r="3" spans="1:15" ht="87" hidden="1" x14ac:dyDescent="0.35">
      <c r="A3" s="1994">
        <v>43796</v>
      </c>
      <c r="B3" s="7" t="s">
        <v>5295</v>
      </c>
      <c r="C3" s="7" t="s">
        <v>5300</v>
      </c>
      <c r="D3" s="1899">
        <v>43800</v>
      </c>
      <c r="E3" s="881" t="s">
        <v>5301</v>
      </c>
      <c r="F3" s="7" t="s">
        <v>15</v>
      </c>
      <c r="G3" s="836">
        <v>0.58333333333333337</v>
      </c>
      <c r="H3" s="836">
        <v>0.58333333333333337</v>
      </c>
      <c r="I3" s="1100">
        <f>3.5*120</f>
        <v>420</v>
      </c>
      <c r="J3" s="7" t="s">
        <v>5366</v>
      </c>
      <c r="K3" s="7" t="s">
        <v>140</v>
      </c>
      <c r="L3" s="809" t="s">
        <v>17</v>
      </c>
    </row>
    <row r="4" spans="1:15" ht="43.5" hidden="1" x14ac:dyDescent="0.35">
      <c r="A4" s="2124">
        <v>43800</v>
      </c>
      <c r="B4" s="2115" t="s">
        <v>697</v>
      </c>
      <c r="C4" s="7" t="s">
        <v>5377</v>
      </c>
      <c r="D4" s="1899">
        <v>43801</v>
      </c>
      <c r="E4" s="881" t="s">
        <v>126</v>
      </c>
      <c r="F4" s="836">
        <v>0.70833333333333337</v>
      </c>
      <c r="G4" s="836">
        <v>0.75</v>
      </c>
      <c r="H4" s="836">
        <v>0.75</v>
      </c>
      <c r="I4" s="1100">
        <v>0</v>
      </c>
      <c r="J4" s="7" t="s">
        <v>289</v>
      </c>
      <c r="K4" s="7" t="s">
        <v>119</v>
      </c>
      <c r="L4" s="809" t="s">
        <v>17</v>
      </c>
    </row>
    <row r="5" spans="1:15" ht="145" hidden="1" x14ac:dyDescent="0.35">
      <c r="A5" s="2149">
        <v>43800</v>
      </c>
      <c r="B5" s="817" t="s">
        <v>5372</v>
      </c>
      <c r="C5" s="7" t="s">
        <v>5373</v>
      </c>
      <c r="D5" s="1899">
        <v>43801</v>
      </c>
      <c r="E5" s="881" t="s">
        <v>5374</v>
      </c>
      <c r="F5" s="836">
        <v>0.5</v>
      </c>
      <c r="G5" s="836">
        <v>0.54166666666666663</v>
      </c>
      <c r="H5" s="836">
        <v>0.54166666666666663</v>
      </c>
      <c r="I5" s="1100">
        <v>261</v>
      </c>
      <c r="J5" s="7" t="s">
        <v>5379</v>
      </c>
      <c r="K5" s="7" t="s">
        <v>119</v>
      </c>
      <c r="L5" s="809" t="s">
        <v>17</v>
      </c>
    </row>
    <row r="6" spans="1:15" ht="43.5" hidden="1" x14ac:dyDescent="0.35">
      <c r="A6" s="1994">
        <v>43797</v>
      </c>
      <c r="B6" s="7" t="s">
        <v>5340</v>
      </c>
      <c r="C6" s="7" t="s">
        <v>5341</v>
      </c>
      <c r="D6" s="1899">
        <v>43801</v>
      </c>
      <c r="E6" s="881" t="s">
        <v>5342</v>
      </c>
      <c r="F6" s="836">
        <v>0.5</v>
      </c>
      <c r="G6" s="836">
        <v>0.61458333333333337</v>
      </c>
      <c r="H6" s="836">
        <v>0.61458333333333337</v>
      </c>
      <c r="I6" s="2121">
        <v>298</v>
      </c>
      <c r="J6" s="2085" t="s">
        <v>648</v>
      </c>
      <c r="K6" s="7" t="s">
        <v>119</v>
      </c>
      <c r="L6" s="2110" t="s">
        <v>22</v>
      </c>
    </row>
    <row r="7" spans="1:15" hidden="1" x14ac:dyDescent="0.35">
      <c r="A7" s="2122">
        <v>43801</v>
      </c>
      <c r="B7" s="2123" t="s">
        <v>20</v>
      </c>
      <c r="C7" s="7" t="s">
        <v>5415</v>
      </c>
      <c r="D7" s="1899">
        <v>43802</v>
      </c>
      <c r="E7" s="881" t="s">
        <v>20</v>
      </c>
      <c r="F7" s="836" t="s">
        <v>15</v>
      </c>
      <c r="G7" s="836" t="s">
        <v>15</v>
      </c>
      <c r="H7" s="836" t="s">
        <v>15</v>
      </c>
      <c r="I7" s="1100">
        <v>0</v>
      </c>
      <c r="J7" s="7" t="s">
        <v>15</v>
      </c>
      <c r="K7" s="7" t="s">
        <v>15</v>
      </c>
      <c r="L7" s="809" t="s">
        <v>17</v>
      </c>
    </row>
    <row r="8" spans="1:15" ht="29" hidden="1" x14ac:dyDescent="0.35">
      <c r="A8" s="2124">
        <v>43801</v>
      </c>
      <c r="B8" s="2115" t="s">
        <v>20</v>
      </c>
      <c r="C8" s="2115" t="s">
        <v>5394</v>
      </c>
      <c r="D8" s="1899">
        <v>43802</v>
      </c>
      <c r="E8" s="7" t="s">
        <v>15</v>
      </c>
      <c r="F8" s="7" t="s">
        <v>15</v>
      </c>
      <c r="G8" s="7" t="s">
        <v>15</v>
      </c>
      <c r="H8" s="7" t="s">
        <v>15</v>
      </c>
      <c r="I8" s="1100">
        <v>0</v>
      </c>
      <c r="J8" s="7" t="s">
        <v>15</v>
      </c>
      <c r="K8" s="7" t="s">
        <v>15</v>
      </c>
      <c r="L8" s="809" t="s">
        <v>17</v>
      </c>
    </row>
    <row r="9" spans="1:15" ht="72.5" hidden="1" x14ac:dyDescent="0.35">
      <c r="A9" s="1994">
        <v>43797</v>
      </c>
      <c r="B9" s="7" t="s">
        <v>5378</v>
      </c>
      <c r="C9" s="7" t="s">
        <v>5428</v>
      </c>
      <c r="D9" s="1899">
        <v>43802</v>
      </c>
      <c r="E9" s="881" t="s">
        <v>5335</v>
      </c>
      <c r="F9" s="836">
        <v>0.4375</v>
      </c>
      <c r="G9" s="836">
        <v>0.51041666666666663</v>
      </c>
      <c r="H9" s="836">
        <v>0.51041666666666663</v>
      </c>
      <c r="I9" s="1100">
        <v>0</v>
      </c>
      <c r="J9" s="7" t="s">
        <v>289</v>
      </c>
      <c r="K9" s="7" t="s">
        <v>140</v>
      </c>
      <c r="L9" s="809" t="s">
        <v>17</v>
      </c>
    </row>
    <row r="10" spans="1:15" ht="58" hidden="1" x14ac:dyDescent="0.35">
      <c r="A10" s="2124">
        <v>43801</v>
      </c>
      <c r="B10" s="2115" t="s">
        <v>5383</v>
      </c>
      <c r="C10" s="7" t="s">
        <v>5380</v>
      </c>
      <c r="D10" s="1899">
        <v>43802</v>
      </c>
      <c r="E10" s="881" t="s">
        <v>5381</v>
      </c>
      <c r="F10" s="836">
        <v>0.4375</v>
      </c>
      <c r="G10" s="836">
        <v>0.54166666666666663</v>
      </c>
      <c r="H10" s="836">
        <v>0.54166666666666663</v>
      </c>
      <c r="I10" s="1100">
        <f>0.7*(5*10+6*15)</f>
        <v>98</v>
      </c>
      <c r="J10" s="7" t="s">
        <v>5382</v>
      </c>
      <c r="K10" s="7" t="s">
        <v>15</v>
      </c>
      <c r="L10" s="809" t="s">
        <v>17</v>
      </c>
    </row>
    <row r="11" spans="1:15" ht="43.5" hidden="1" x14ac:dyDescent="0.35">
      <c r="A11" s="1994">
        <v>43796</v>
      </c>
      <c r="B11" s="7" t="s">
        <v>5284</v>
      </c>
      <c r="C11" s="7" t="s">
        <v>5286</v>
      </c>
      <c r="D11" s="1899">
        <v>43802</v>
      </c>
      <c r="E11" s="881" t="s">
        <v>5285</v>
      </c>
      <c r="F11" s="836">
        <v>0.4375</v>
      </c>
      <c r="G11" s="836">
        <v>0.47916666666666669</v>
      </c>
      <c r="H11" s="836">
        <v>0.47916666666666669</v>
      </c>
      <c r="I11" s="1100">
        <v>150</v>
      </c>
      <c r="J11" s="7" t="s">
        <v>3721</v>
      </c>
      <c r="K11" s="7" t="s">
        <v>15</v>
      </c>
      <c r="L11" s="809" t="s">
        <v>17</v>
      </c>
    </row>
    <row r="12" spans="1:15" ht="43.5" hidden="1" x14ac:dyDescent="0.35">
      <c r="A12" s="2124">
        <v>43801</v>
      </c>
      <c r="B12" s="2115" t="s">
        <v>5406</v>
      </c>
      <c r="C12" s="7" t="s">
        <v>5373</v>
      </c>
      <c r="D12" s="1899">
        <v>43802</v>
      </c>
      <c r="E12" s="881" t="s">
        <v>5407</v>
      </c>
      <c r="F12" s="836">
        <v>0.35416666666666669</v>
      </c>
      <c r="G12" s="836">
        <v>0.39583333333333331</v>
      </c>
      <c r="H12" s="836">
        <v>0.39583333333333331</v>
      </c>
      <c r="I12" s="1100">
        <v>199</v>
      </c>
      <c r="J12" s="7" t="s">
        <v>392</v>
      </c>
      <c r="K12" s="7" t="s">
        <v>140</v>
      </c>
      <c r="L12" s="809" t="s">
        <v>1508</v>
      </c>
    </row>
    <row r="13" spans="1:15" ht="58" hidden="1" x14ac:dyDescent="0.35">
      <c r="A13" s="1994">
        <v>43791</v>
      </c>
      <c r="B13" s="7" t="s">
        <v>5234</v>
      </c>
      <c r="C13" s="7" t="s">
        <v>5235</v>
      </c>
      <c r="D13" s="1899">
        <v>43802</v>
      </c>
      <c r="E13" s="881" t="s">
        <v>262</v>
      </c>
      <c r="F13" s="836">
        <v>0.61805555555555558</v>
      </c>
      <c r="G13" s="836">
        <v>0.64583333333333337</v>
      </c>
      <c r="H13" s="836">
        <v>0.64583333333333337</v>
      </c>
      <c r="I13" s="1100">
        <f>8*65</f>
        <v>520</v>
      </c>
      <c r="J13" s="7" t="s">
        <v>5236</v>
      </c>
      <c r="K13" s="7" t="s">
        <v>15</v>
      </c>
      <c r="L13" s="809" t="s">
        <v>17</v>
      </c>
    </row>
    <row r="14" spans="1:15" ht="87" hidden="1" x14ac:dyDescent="0.35">
      <c r="A14" s="2124">
        <v>43796</v>
      </c>
      <c r="B14" s="817" t="s">
        <v>5439</v>
      </c>
      <c r="C14" s="7" t="s">
        <v>5440</v>
      </c>
      <c r="D14" s="1899">
        <v>43803</v>
      </c>
      <c r="E14" s="881" t="s">
        <v>5444</v>
      </c>
      <c r="F14" s="836">
        <v>0.41666666666666669</v>
      </c>
      <c r="G14" s="836">
        <v>0.54166666666666663</v>
      </c>
      <c r="H14" s="836">
        <v>0.54166666666666663</v>
      </c>
      <c r="I14" s="1100">
        <v>0</v>
      </c>
      <c r="J14" s="7" t="s">
        <v>5445</v>
      </c>
      <c r="K14" s="7" t="s">
        <v>15</v>
      </c>
      <c r="L14" s="809" t="s">
        <v>17</v>
      </c>
    </row>
    <row r="15" spans="1:15" hidden="1" x14ac:dyDescent="0.35">
      <c r="A15" s="1994">
        <v>43793</v>
      </c>
      <c r="B15" s="7" t="s">
        <v>20</v>
      </c>
      <c r="C15" s="7" t="s">
        <v>5252</v>
      </c>
      <c r="D15" s="1899">
        <v>43803</v>
      </c>
      <c r="E15" s="881" t="s">
        <v>20</v>
      </c>
      <c r="F15" s="836" t="s">
        <v>15</v>
      </c>
      <c r="G15" s="836" t="s">
        <v>15</v>
      </c>
      <c r="H15" s="836" t="s">
        <v>15</v>
      </c>
      <c r="I15" s="1100">
        <v>0</v>
      </c>
      <c r="J15" s="836" t="s">
        <v>15</v>
      </c>
      <c r="K15" s="836" t="s">
        <v>15</v>
      </c>
      <c r="L15" s="809" t="s">
        <v>17</v>
      </c>
    </row>
    <row r="16" spans="1:15" hidden="1" x14ac:dyDescent="0.35">
      <c r="A16" s="2124">
        <v>43802</v>
      </c>
      <c r="B16" s="2115" t="s">
        <v>5436</v>
      </c>
      <c r="C16" s="7" t="s">
        <v>5437</v>
      </c>
      <c r="D16" s="1899">
        <v>43803</v>
      </c>
      <c r="E16" s="881" t="s">
        <v>5494</v>
      </c>
      <c r="F16" s="836">
        <v>0.36458333333333331</v>
      </c>
      <c r="G16" s="836">
        <v>0.36458333333333331</v>
      </c>
      <c r="H16" s="836">
        <v>0.36458333333333331</v>
      </c>
      <c r="I16" s="1100">
        <f>6*15*0.7</f>
        <v>62.999999999999993</v>
      </c>
      <c r="J16" s="7" t="s">
        <v>257</v>
      </c>
      <c r="K16" s="7" t="s">
        <v>15</v>
      </c>
      <c r="L16" s="809" t="s">
        <v>17</v>
      </c>
    </row>
    <row r="17" spans="1:12" ht="29" hidden="1" x14ac:dyDescent="0.35">
      <c r="A17" s="2124">
        <v>43802</v>
      </c>
      <c r="B17" s="2115" t="s">
        <v>5431</v>
      </c>
      <c r="C17" s="7" t="s">
        <v>5432</v>
      </c>
      <c r="D17" s="1899">
        <v>43803</v>
      </c>
      <c r="E17" s="836" t="s">
        <v>5441</v>
      </c>
      <c r="F17" s="836">
        <v>0.625</v>
      </c>
      <c r="G17" s="836">
        <v>0.66666666666666663</v>
      </c>
      <c r="H17" s="836">
        <v>0.66666666666666663</v>
      </c>
      <c r="I17" s="1100">
        <f>2*120*0.7</f>
        <v>168</v>
      </c>
      <c r="J17" s="836" t="s">
        <v>5433</v>
      </c>
      <c r="K17" s="836" t="s">
        <v>15</v>
      </c>
      <c r="L17" s="809" t="s">
        <v>17</v>
      </c>
    </row>
    <row r="18" spans="1:12" ht="72.5" hidden="1" x14ac:dyDescent="0.35">
      <c r="A18" s="2129">
        <v>43801</v>
      </c>
      <c r="B18" s="2127" t="s">
        <v>5391</v>
      </c>
      <c r="C18" s="10" t="s">
        <v>5392</v>
      </c>
      <c r="D18" s="1808">
        <v>43803</v>
      </c>
      <c r="E18" s="10" t="s">
        <v>5251</v>
      </c>
      <c r="F18" s="12">
        <v>0.625</v>
      </c>
      <c r="G18" s="12">
        <v>0.70833333333333337</v>
      </c>
      <c r="H18" s="12">
        <v>0.70833333333333337</v>
      </c>
      <c r="I18" s="1100">
        <v>300</v>
      </c>
      <c r="J18" s="7" t="s">
        <v>5393</v>
      </c>
      <c r="K18" s="7" t="s">
        <v>15</v>
      </c>
      <c r="L18" s="809" t="s">
        <v>17</v>
      </c>
    </row>
    <row r="19" spans="1:12" ht="87" hidden="1" x14ac:dyDescent="0.35">
      <c r="A19" s="2124">
        <v>43800</v>
      </c>
      <c r="B19" s="2202" t="s">
        <v>131</v>
      </c>
      <c r="C19" s="7" t="s">
        <v>5435</v>
      </c>
      <c r="D19" s="1899">
        <v>43803</v>
      </c>
      <c r="E19" s="881" t="s">
        <v>1731</v>
      </c>
      <c r="F19" s="836">
        <v>0.41666666666666669</v>
      </c>
      <c r="G19" s="836">
        <v>0.45833333333333331</v>
      </c>
      <c r="H19" s="836">
        <v>0.45833333333333331</v>
      </c>
      <c r="I19" s="1100">
        <f>1.5*4.76*100</f>
        <v>714</v>
      </c>
      <c r="J19" s="7" t="s">
        <v>5376</v>
      </c>
      <c r="K19" s="7" t="s">
        <v>15</v>
      </c>
      <c r="L19" s="809" t="s">
        <v>17</v>
      </c>
    </row>
    <row r="20" spans="1:12" ht="130.5" hidden="1" x14ac:dyDescent="0.35">
      <c r="A20" s="2149">
        <v>43796</v>
      </c>
      <c r="B20" s="817" t="s">
        <v>5439</v>
      </c>
      <c r="C20" s="7" t="s">
        <v>5442</v>
      </c>
      <c r="D20" s="1899">
        <v>43803</v>
      </c>
      <c r="E20" s="881" t="s">
        <v>5443</v>
      </c>
      <c r="F20" s="836">
        <v>0.41666666666666669</v>
      </c>
      <c r="G20" s="836">
        <v>0.5</v>
      </c>
      <c r="H20" s="836">
        <v>0.5</v>
      </c>
      <c r="I20" s="1100">
        <f>20*150</f>
        <v>3000</v>
      </c>
      <c r="J20" s="7" t="s">
        <v>5291</v>
      </c>
      <c r="K20" s="7" t="s">
        <v>15</v>
      </c>
      <c r="L20" s="839" t="s">
        <v>17</v>
      </c>
    </row>
    <row r="21" spans="1:12" hidden="1" x14ac:dyDescent="0.35">
      <c r="A21" s="2124">
        <v>43801</v>
      </c>
      <c r="B21" s="2115" t="s">
        <v>20</v>
      </c>
      <c r="C21" s="7" t="s">
        <v>5387</v>
      </c>
      <c r="D21" s="1899">
        <v>43803</v>
      </c>
      <c r="E21" s="836" t="s">
        <v>15</v>
      </c>
      <c r="F21" s="836" t="s">
        <v>15</v>
      </c>
      <c r="G21" s="836" t="s">
        <v>15</v>
      </c>
      <c r="H21" s="836" t="s">
        <v>15</v>
      </c>
      <c r="I21" s="1100" t="s">
        <v>15</v>
      </c>
      <c r="J21" s="836" t="s">
        <v>15</v>
      </c>
      <c r="K21" s="836" t="s">
        <v>15</v>
      </c>
      <c r="L21" s="809" t="s">
        <v>17</v>
      </c>
    </row>
    <row r="22" spans="1:12" ht="101.5" hidden="1" x14ac:dyDescent="0.35">
      <c r="A22" s="2124">
        <v>43801</v>
      </c>
      <c r="B22" s="817" t="s">
        <v>5491</v>
      </c>
      <c r="C22" s="7" t="s">
        <v>5405</v>
      </c>
      <c r="D22" s="1899">
        <v>43804</v>
      </c>
      <c r="E22" s="881" t="s">
        <v>126</v>
      </c>
      <c r="F22" s="836">
        <v>0.5</v>
      </c>
      <c r="G22" s="836">
        <v>0.54166666666666663</v>
      </c>
      <c r="H22" s="836">
        <v>0.54166666666666663</v>
      </c>
      <c r="I22" s="1100">
        <f>0.7*(198+12*15)</f>
        <v>264.59999999999997</v>
      </c>
      <c r="J22" s="7" t="s">
        <v>2043</v>
      </c>
      <c r="K22" s="7" t="s">
        <v>119</v>
      </c>
      <c r="L22" s="809" t="s">
        <v>17</v>
      </c>
    </row>
    <row r="23" spans="1:12" ht="43.5" hidden="1" x14ac:dyDescent="0.35">
      <c r="A23" s="2122">
        <v>43801</v>
      </c>
      <c r="B23" s="2123" t="s">
        <v>4820</v>
      </c>
      <c r="C23" s="7" t="s">
        <v>5417</v>
      </c>
      <c r="D23" s="1899">
        <v>43804</v>
      </c>
      <c r="E23" s="881" t="s">
        <v>5416</v>
      </c>
      <c r="F23" s="836">
        <v>0.625</v>
      </c>
      <c r="G23" s="836">
        <v>0.66666666666666663</v>
      </c>
      <c r="H23" s="836">
        <v>0.66666666666666663</v>
      </c>
      <c r="I23" s="1100">
        <v>265</v>
      </c>
      <c r="J23" s="7" t="s">
        <v>5418</v>
      </c>
      <c r="K23" s="7" t="s">
        <v>119</v>
      </c>
      <c r="L23" s="809" t="s">
        <v>17</v>
      </c>
    </row>
    <row r="24" spans="1:12" ht="29" hidden="1" x14ac:dyDescent="0.35">
      <c r="A24" s="2149">
        <v>43803</v>
      </c>
      <c r="B24" s="817" t="s">
        <v>5477</v>
      </c>
      <c r="C24" s="7" t="s">
        <v>5478</v>
      </c>
      <c r="D24" s="1899">
        <v>43804</v>
      </c>
      <c r="E24" s="881" t="s">
        <v>5494</v>
      </c>
      <c r="F24" s="836">
        <v>0.70833333333333337</v>
      </c>
      <c r="G24" s="836">
        <v>0.70833333333333337</v>
      </c>
      <c r="H24" s="836">
        <v>0.70833333333333337</v>
      </c>
      <c r="I24" s="1100">
        <f>2*120*0.7</f>
        <v>168</v>
      </c>
      <c r="J24" s="881" t="s">
        <v>5479</v>
      </c>
      <c r="K24" s="7" t="s">
        <v>15</v>
      </c>
      <c r="L24" s="809" t="s">
        <v>17</v>
      </c>
    </row>
    <row r="25" spans="1:12" ht="87" hidden="1" x14ac:dyDescent="0.35">
      <c r="A25" s="2124">
        <v>43801</v>
      </c>
      <c r="B25" s="817" t="s">
        <v>5419</v>
      </c>
      <c r="C25" s="7" t="s">
        <v>5421</v>
      </c>
      <c r="D25" s="1899">
        <v>43804</v>
      </c>
      <c r="E25" s="881" t="s">
        <v>5420</v>
      </c>
      <c r="F25" s="836">
        <v>0.75</v>
      </c>
      <c r="G25" s="836">
        <v>0.79166666666666663</v>
      </c>
      <c r="H25" s="836">
        <v>0.79166666666666663</v>
      </c>
      <c r="I25" s="1100">
        <f>0.7*(3.2*120+20*10)</f>
        <v>408.79999999999995</v>
      </c>
      <c r="J25" s="850" t="s">
        <v>5422</v>
      </c>
      <c r="K25" s="7" t="s">
        <v>119</v>
      </c>
      <c r="L25" s="809" t="s">
        <v>17</v>
      </c>
    </row>
    <row r="26" spans="1:12" ht="29" hidden="1" x14ac:dyDescent="0.35">
      <c r="A26" s="2129">
        <v>43801</v>
      </c>
      <c r="B26" s="2127" t="s">
        <v>5412</v>
      </c>
      <c r="C26" s="10" t="s">
        <v>5413</v>
      </c>
      <c r="D26" s="1808">
        <v>43804</v>
      </c>
      <c r="E26" s="823" t="s">
        <v>5414</v>
      </c>
      <c r="F26" s="836">
        <v>0.75</v>
      </c>
      <c r="G26" s="836">
        <v>0.83333333333333337</v>
      </c>
      <c r="H26" s="836">
        <v>0.83333333333333337</v>
      </c>
      <c r="I26" s="1100">
        <v>520</v>
      </c>
      <c r="J26" s="7" t="s">
        <v>5386</v>
      </c>
      <c r="K26" s="7" t="s">
        <v>119</v>
      </c>
      <c r="L26" s="809" t="s">
        <v>17</v>
      </c>
    </row>
    <row r="27" spans="1:12" ht="29" hidden="1" x14ac:dyDescent="0.35">
      <c r="A27" s="2124">
        <v>43801</v>
      </c>
      <c r="B27" s="2115" t="s">
        <v>20</v>
      </c>
      <c r="C27" s="7" t="s">
        <v>5404</v>
      </c>
      <c r="D27" s="1899">
        <v>43804</v>
      </c>
      <c r="E27" s="881" t="s">
        <v>20</v>
      </c>
      <c r="F27" s="881" t="s">
        <v>20</v>
      </c>
      <c r="G27" s="881" t="s">
        <v>20</v>
      </c>
      <c r="H27" s="881" t="s">
        <v>20</v>
      </c>
      <c r="I27" s="1100">
        <v>0</v>
      </c>
      <c r="J27" s="881" t="s">
        <v>20</v>
      </c>
      <c r="K27" s="7" t="s">
        <v>15</v>
      </c>
      <c r="L27" s="809" t="s">
        <v>17</v>
      </c>
    </row>
    <row r="28" spans="1:12" hidden="1" x14ac:dyDescent="0.35">
      <c r="A28" s="2149">
        <v>43802</v>
      </c>
      <c r="B28" s="7" t="s">
        <v>20</v>
      </c>
      <c r="C28" s="7" t="s">
        <v>5446</v>
      </c>
      <c r="D28" s="1899">
        <v>43804</v>
      </c>
      <c r="E28" s="881" t="s">
        <v>20</v>
      </c>
      <c r="F28" s="836" t="s">
        <v>15</v>
      </c>
      <c r="G28" s="836" t="s">
        <v>15</v>
      </c>
      <c r="H28" s="836" t="s">
        <v>15</v>
      </c>
      <c r="I28" s="1100">
        <v>0</v>
      </c>
      <c r="J28" s="836" t="s">
        <v>15</v>
      </c>
      <c r="K28" s="836" t="s">
        <v>15</v>
      </c>
      <c r="L28" s="809" t="s">
        <v>22</v>
      </c>
    </row>
    <row r="29" spans="1:12" hidden="1" x14ac:dyDescent="0.35">
      <c r="A29" s="2124">
        <v>43801</v>
      </c>
      <c r="B29" s="2115" t="s">
        <v>20</v>
      </c>
      <c r="C29" s="2115" t="s">
        <v>5399</v>
      </c>
      <c r="D29" s="1899">
        <v>43804</v>
      </c>
      <c r="E29" s="881" t="s">
        <v>20</v>
      </c>
      <c r="F29" s="7" t="s">
        <v>15</v>
      </c>
      <c r="G29" s="7" t="s">
        <v>15</v>
      </c>
      <c r="H29" s="7" t="s">
        <v>15</v>
      </c>
      <c r="I29" s="1100">
        <v>0</v>
      </c>
      <c r="J29" s="7" t="s">
        <v>15</v>
      </c>
      <c r="K29" s="7" t="s">
        <v>15</v>
      </c>
      <c r="L29" s="809" t="s">
        <v>17</v>
      </c>
    </row>
    <row r="30" spans="1:12" hidden="1" x14ac:dyDescent="0.35">
      <c r="A30" s="2149">
        <v>43803</v>
      </c>
      <c r="B30" s="817" t="s">
        <v>20</v>
      </c>
      <c r="C30" s="7" t="s">
        <v>5469</v>
      </c>
      <c r="D30" s="1899">
        <v>43804</v>
      </c>
      <c r="E30" s="881" t="s">
        <v>20</v>
      </c>
      <c r="F30" s="881" t="s">
        <v>15</v>
      </c>
      <c r="G30" s="881" t="s">
        <v>15</v>
      </c>
      <c r="H30" s="881" t="s">
        <v>15</v>
      </c>
      <c r="I30" s="1100">
        <v>0</v>
      </c>
      <c r="J30" s="7" t="s">
        <v>15</v>
      </c>
      <c r="K30" s="7" t="s">
        <v>15</v>
      </c>
      <c r="L30" s="809" t="s">
        <v>17</v>
      </c>
    </row>
    <row r="31" spans="1:12" hidden="1" x14ac:dyDescent="0.35">
      <c r="A31" s="2149">
        <v>43803</v>
      </c>
      <c r="B31" s="7" t="s">
        <v>20</v>
      </c>
      <c r="C31" s="7" t="s">
        <v>5492</v>
      </c>
      <c r="D31" s="1899">
        <v>43804</v>
      </c>
      <c r="E31" s="881" t="s">
        <v>20</v>
      </c>
      <c r="F31" s="881" t="s">
        <v>15</v>
      </c>
      <c r="G31" s="881" t="s">
        <v>15</v>
      </c>
      <c r="H31" s="881" t="s">
        <v>15</v>
      </c>
      <c r="I31" s="1100">
        <v>0</v>
      </c>
      <c r="J31" s="7" t="s">
        <v>15</v>
      </c>
      <c r="K31" s="7" t="s">
        <v>15</v>
      </c>
      <c r="L31" s="809" t="s">
        <v>17</v>
      </c>
    </row>
    <row r="32" spans="1:12" ht="130.5" hidden="1" x14ac:dyDescent="0.35">
      <c r="A32" s="1994">
        <v>43797</v>
      </c>
      <c r="B32" s="7" t="s">
        <v>5330</v>
      </c>
      <c r="C32" s="7" t="s">
        <v>5503</v>
      </c>
      <c r="D32" s="1899">
        <v>43805</v>
      </c>
      <c r="E32" s="881" t="s">
        <v>5332</v>
      </c>
      <c r="F32" s="836">
        <v>0.375</v>
      </c>
      <c r="G32" s="836">
        <v>0.39583333333333331</v>
      </c>
      <c r="H32" s="836">
        <v>0.39583333333333331</v>
      </c>
      <c r="I32" s="1100">
        <f>0.7*(90+4*15+99)</f>
        <v>174.29999999999998</v>
      </c>
      <c r="J32" s="836" t="s">
        <v>2043</v>
      </c>
      <c r="K32" s="836" t="s">
        <v>119</v>
      </c>
      <c r="L32" s="2112" t="s">
        <v>17</v>
      </c>
    </row>
    <row r="33" spans="1:12" ht="87" hidden="1" x14ac:dyDescent="0.35">
      <c r="A33" s="2129">
        <v>43802</v>
      </c>
      <c r="B33" s="2127" t="s">
        <v>3647</v>
      </c>
      <c r="C33" s="10" t="s">
        <v>5447</v>
      </c>
      <c r="D33" s="1808">
        <v>43805</v>
      </c>
      <c r="E33" s="823" t="s">
        <v>875</v>
      </c>
      <c r="F33" s="836">
        <v>0.375</v>
      </c>
      <c r="G33" s="836">
        <v>0.42708333333333331</v>
      </c>
      <c r="H33" s="836">
        <v>0.42708333333333331</v>
      </c>
      <c r="I33" s="1100">
        <v>552</v>
      </c>
      <c r="J33" s="836" t="s">
        <v>5448</v>
      </c>
      <c r="K33" s="836" t="s">
        <v>119</v>
      </c>
      <c r="L33" s="2112" t="s">
        <v>22</v>
      </c>
    </row>
    <row r="34" spans="1:12" ht="43.5" hidden="1" x14ac:dyDescent="0.35">
      <c r="A34" s="2133">
        <v>43803</v>
      </c>
      <c r="B34" s="817" t="s">
        <v>5470</v>
      </c>
      <c r="C34" s="7" t="s">
        <v>5471</v>
      </c>
      <c r="D34" s="1899">
        <v>43805</v>
      </c>
      <c r="E34" s="881" t="s">
        <v>5472</v>
      </c>
      <c r="F34" s="836">
        <v>0.375</v>
      </c>
      <c r="G34" s="836">
        <v>0.47916666666666669</v>
      </c>
      <c r="H34" s="836">
        <v>0.47916666666666669</v>
      </c>
      <c r="I34" s="2130">
        <f>0.7*(3*99+3.2*120)</f>
        <v>476.7</v>
      </c>
      <c r="J34" s="836" t="s">
        <v>5507</v>
      </c>
      <c r="K34" s="836" t="s">
        <v>119</v>
      </c>
      <c r="L34" s="2112" t="s">
        <v>22</v>
      </c>
    </row>
    <row r="35" spans="1:12" ht="101.5" hidden="1" x14ac:dyDescent="0.35">
      <c r="A35" s="2101">
        <v>43803</v>
      </c>
      <c r="B35" s="1412" t="s">
        <v>5473</v>
      </c>
      <c r="C35" s="10" t="s">
        <v>5474</v>
      </c>
      <c r="D35" s="1808">
        <v>43805</v>
      </c>
      <c r="E35" s="823" t="s">
        <v>5475</v>
      </c>
      <c r="F35" s="836">
        <v>0.375</v>
      </c>
      <c r="G35" s="836">
        <v>0.5</v>
      </c>
      <c r="H35" s="836">
        <v>0.5</v>
      </c>
      <c r="I35" s="1100">
        <f>3*120</f>
        <v>360</v>
      </c>
      <c r="J35" s="1090" t="s">
        <v>5508</v>
      </c>
      <c r="K35" s="836" t="s">
        <v>119</v>
      </c>
      <c r="L35" s="809" t="s">
        <v>17</v>
      </c>
    </row>
    <row r="36" spans="1:12" ht="29" hidden="1" x14ac:dyDescent="0.35">
      <c r="A36" s="2149">
        <v>43804</v>
      </c>
      <c r="B36" s="817" t="s">
        <v>5500</v>
      </c>
      <c r="C36" s="7" t="s">
        <v>5501</v>
      </c>
      <c r="D36" s="1899">
        <v>43805</v>
      </c>
      <c r="E36" s="881" t="s">
        <v>5494</v>
      </c>
      <c r="F36" s="836">
        <v>0.5</v>
      </c>
      <c r="G36" s="836">
        <v>0.5</v>
      </c>
      <c r="H36" s="836">
        <v>0.5</v>
      </c>
      <c r="I36" s="1100">
        <f>120*1.6</f>
        <v>192</v>
      </c>
      <c r="J36" s="7" t="s">
        <v>257</v>
      </c>
      <c r="K36" s="836" t="s">
        <v>119</v>
      </c>
      <c r="L36" s="809" t="s">
        <v>17</v>
      </c>
    </row>
    <row r="37" spans="1:12" ht="72.5" hidden="1" x14ac:dyDescent="0.35">
      <c r="A37" s="2129">
        <v>43803</v>
      </c>
      <c r="B37" s="2127" t="s">
        <v>5455</v>
      </c>
      <c r="C37" s="10" t="s">
        <v>5456</v>
      </c>
      <c r="D37" s="1808">
        <v>43805</v>
      </c>
      <c r="E37" s="823" t="s">
        <v>5457</v>
      </c>
      <c r="F37" s="836">
        <v>0.58333333333333337</v>
      </c>
      <c r="G37" s="836">
        <v>0.59375</v>
      </c>
      <c r="H37" s="836">
        <v>0.59375</v>
      </c>
      <c r="I37" s="1100">
        <f>480*0.7</f>
        <v>336</v>
      </c>
      <c r="J37" s="7" t="s">
        <v>5458</v>
      </c>
      <c r="K37" s="836" t="s">
        <v>119</v>
      </c>
      <c r="L37" s="809" t="s">
        <v>17</v>
      </c>
    </row>
    <row r="38" spans="1:12" ht="87" hidden="1" x14ac:dyDescent="0.35">
      <c r="A38" s="2124">
        <v>43800</v>
      </c>
      <c r="B38" s="2115" t="s">
        <v>131</v>
      </c>
      <c r="C38" s="7" t="s">
        <v>5434</v>
      </c>
      <c r="D38" s="1899">
        <v>43805</v>
      </c>
      <c r="E38" s="881" t="s">
        <v>1731</v>
      </c>
      <c r="F38" s="836">
        <v>0.58333333333333337</v>
      </c>
      <c r="G38" s="836">
        <v>0.625</v>
      </c>
      <c r="H38" s="836">
        <v>0.625</v>
      </c>
      <c r="I38" s="1100">
        <f>1.5*4.76*130</f>
        <v>928.19999999999993</v>
      </c>
      <c r="J38" s="850" t="s">
        <v>5376</v>
      </c>
      <c r="K38" s="836" t="s">
        <v>119</v>
      </c>
      <c r="L38" s="809" t="s">
        <v>17</v>
      </c>
    </row>
    <row r="39" spans="1:12" ht="29" hidden="1" x14ac:dyDescent="0.35">
      <c r="A39" s="2131">
        <v>43804</v>
      </c>
      <c r="B39" s="817" t="s">
        <v>5497</v>
      </c>
      <c r="C39" s="7" t="s">
        <v>5498</v>
      </c>
      <c r="D39" s="1899">
        <v>43805</v>
      </c>
      <c r="E39" s="881" t="s">
        <v>5499</v>
      </c>
      <c r="F39" s="836">
        <v>0.58333333333333337</v>
      </c>
      <c r="G39" s="836">
        <v>0.66666666666666663</v>
      </c>
      <c r="H39" s="836">
        <v>0.66666666666666663</v>
      </c>
      <c r="I39" s="1100">
        <v>150</v>
      </c>
      <c r="J39" s="7" t="s">
        <v>257</v>
      </c>
      <c r="K39" s="836" t="s">
        <v>119</v>
      </c>
      <c r="L39" s="809" t="s">
        <v>17</v>
      </c>
    </row>
    <row r="40" spans="1:12" hidden="1" x14ac:dyDescent="0.35">
      <c r="A40" s="2131">
        <v>43804</v>
      </c>
      <c r="B40" s="2132" t="s">
        <v>5436</v>
      </c>
      <c r="C40" s="7" t="s">
        <v>5493</v>
      </c>
      <c r="D40" s="1899">
        <v>43805</v>
      </c>
      <c r="E40" s="881" t="s">
        <v>5494</v>
      </c>
      <c r="F40" s="836">
        <v>0.70833333333333337</v>
      </c>
      <c r="G40" s="836">
        <v>0.70833333333333337</v>
      </c>
      <c r="H40" s="836">
        <v>0.70833333333333337</v>
      </c>
      <c r="I40" s="1630">
        <f>1.6*120*0.7</f>
        <v>134.39999999999998</v>
      </c>
      <c r="J40" s="7" t="s">
        <v>5531</v>
      </c>
      <c r="K40" s="7" t="s">
        <v>15</v>
      </c>
      <c r="L40" s="809" t="s">
        <v>17</v>
      </c>
    </row>
    <row r="41" spans="1:12" ht="72.5" hidden="1" x14ac:dyDescent="0.35">
      <c r="A41" s="2124">
        <v>43801</v>
      </c>
      <c r="B41" s="2115" t="s">
        <v>1471</v>
      </c>
      <c r="C41" s="7" t="s">
        <v>5423</v>
      </c>
      <c r="D41" s="1899">
        <v>43805</v>
      </c>
      <c r="E41" s="881" t="s">
        <v>1043</v>
      </c>
      <c r="F41" s="836">
        <v>0.75</v>
      </c>
      <c r="G41" s="836">
        <v>0.79166666666666663</v>
      </c>
      <c r="H41" s="836">
        <v>0.79166666666666663</v>
      </c>
      <c r="I41" s="1100">
        <f>0.7*(3.2*120+9*10)</f>
        <v>331.79999999999995</v>
      </c>
      <c r="J41" s="850" t="s">
        <v>5422</v>
      </c>
      <c r="K41" s="836" t="s">
        <v>119</v>
      </c>
      <c r="L41" s="809" t="s">
        <v>17</v>
      </c>
    </row>
    <row r="42" spans="1:12" hidden="1" x14ac:dyDescent="0.35">
      <c r="A42" s="2149">
        <v>43804</v>
      </c>
      <c r="B42" s="817" t="s">
        <v>697</v>
      </c>
      <c r="C42" s="7" t="s">
        <v>5509</v>
      </c>
      <c r="D42" s="1899">
        <v>43805</v>
      </c>
      <c r="E42" s="881" t="s">
        <v>49</v>
      </c>
      <c r="F42" s="881" t="s">
        <v>49</v>
      </c>
      <c r="G42" s="881" t="s">
        <v>49</v>
      </c>
      <c r="H42" s="881" t="s">
        <v>49</v>
      </c>
      <c r="I42" s="1100" t="s">
        <v>49</v>
      </c>
      <c r="J42" s="7" t="s">
        <v>49</v>
      </c>
      <c r="K42" s="7" t="s">
        <v>15</v>
      </c>
      <c r="L42" s="809" t="s">
        <v>17</v>
      </c>
    </row>
    <row r="43" spans="1:12" hidden="1" x14ac:dyDescent="0.35">
      <c r="A43" s="2149">
        <v>43803</v>
      </c>
      <c r="B43" s="817" t="s">
        <v>20</v>
      </c>
      <c r="C43" s="7" t="s">
        <v>5476</v>
      </c>
      <c r="D43" s="1899">
        <v>43805</v>
      </c>
      <c r="E43" s="881" t="s">
        <v>20</v>
      </c>
      <c r="F43" s="881" t="s">
        <v>20</v>
      </c>
      <c r="G43" s="881" t="s">
        <v>20</v>
      </c>
      <c r="H43" s="881" t="s">
        <v>20</v>
      </c>
      <c r="I43" s="1100">
        <v>0</v>
      </c>
      <c r="J43" s="881" t="s">
        <v>20</v>
      </c>
      <c r="K43" s="7" t="s">
        <v>15</v>
      </c>
      <c r="L43" s="809" t="s">
        <v>17</v>
      </c>
    </row>
    <row r="44" spans="1:12" ht="58" hidden="1" x14ac:dyDescent="0.35">
      <c r="A44" s="2158">
        <v>43806</v>
      </c>
      <c r="B44" s="2143" t="s">
        <v>5521</v>
      </c>
      <c r="C44" s="7" t="s">
        <v>5522</v>
      </c>
      <c r="D44" s="1899">
        <v>43806</v>
      </c>
      <c r="E44" s="881" t="s">
        <v>5002</v>
      </c>
      <c r="F44" s="836" t="s">
        <v>15</v>
      </c>
      <c r="G44" s="836" t="s">
        <v>15</v>
      </c>
      <c r="H44" s="836" t="s">
        <v>15</v>
      </c>
      <c r="I44" s="1100">
        <f>16*9</f>
        <v>144</v>
      </c>
      <c r="J44" s="7" t="s">
        <v>5523</v>
      </c>
      <c r="K44" s="7" t="s">
        <v>119</v>
      </c>
      <c r="L44" s="809" t="s">
        <v>17</v>
      </c>
    </row>
    <row r="45" spans="1:12" ht="58" hidden="1" x14ac:dyDescent="0.35">
      <c r="A45" s="2122">
        <v>43801</v>
      </c>
      <c r="B45" s="2123" t="s">
        <v>5409</v>
      </c>
      <c r="C45" s="7" t="s">
        <v>5511</v>
      </c>
      <c r="D45" s="1899">
        <v>43806</v>
      </c>
      <c r="E45" s="881" t="s">
        <v>5408</v>
      </c>
      <c r="F45" s="836">
        <v>0.36458333333333331</v>
      </c>
      <c r="G45" s="836">
        <v>0.39583333333333331</v>
      </c>
      <c r="H45" s="836">
        <v>0.39583333333333331</v>
      </c>
      <c r="I45" s="1100">
        <v>614</v>
      </c>
      <c r="J45" s="7" t="s">
        <v>5510</v>
      </c>
      <c r="K45" s="7" t="s">
        <v>119</v>
      </c>
      <c r="L45" s="809" t="s">
        <v>17</v>
      </c>
    </row>
    <row r="46" spans="1:12" ht="87" hidden="1" x14ac:dyDescent="0.35">
      <c r="A46" s="1994">
        <v>43803</v>
      </c>
      <c r="B46" s="7" t="s">
        <v>5487</v>
      </c>
      <c r="C46" s="7" t="s">
        <v>5488</v>
      </c>
      <c r="D46" s="1899">
        <v>43806</v>
      </c>
      <c r="E46" s="881" t="s">
        <v>5489</v>
      </c>
      <c r="F46" s="836">
        <v>0.36458333333333331</v>
      </c>
      <c r="G46" s="836">
        <v>0.41666666666666669</v>
      </c>
      <c r="H46" s="836">
        <v>0.41666666666666669</v>
      </c>
      <c r="I46" s="1100">
        <v>250</v>
      </c>
      <c r="J46" s="7" t="s">
        <v>5490</v>
      </c>
      <c r="K46" s="7" t="s">
        <v>119</v>
      </c>
      <c r="L46" s="809" t="s">
        <v>17</v>
      </c>
    </row>
    <row r="47" spans="1:12" ht="101.5" hidden="1" x14ac:dyDescent="0.35">
      <c r="A47" s="1994">
        <v>43803</v>
      </c>
      <c r="B47" s="7" t="s">
        <v>5480</v>
      </c>
      <c r="C47" s="7" t="s">
        <v>5481</v>
      </c>
      <c r="D47" s="1899">
        <v>43806</v>
      </c>
      <c r="E47" s="881" t="s">
        <v>5482</v>
      </c>
      <c r="F47" s="836">
        <v>0.36458333333333331</v>
      </c>
      <c r="G47" s="836">
        <v>0.4375</v>
      </c>
      <c r="H47" s="836">
        <v>0.4375</v>
      </c>
      <c r="I47" s="1100">
        <f>0.7*(140+95)</f>
        <v>164.5</v>
      </c>
      <c r="J47" s="7" t="s">
        <v>5483</v>
      </c>
      <c r="K47" s="7" t="s">
        <v>119</v>
      </c>
      <c r="L47" s="809" t="s">
        <v>17</v>
      </c>
    </row>
    <row r="48" spans="1:12" ht="29" hidden="1" x14ac:dyDescent="0.35">
      <c r="A48" s="2122">
        <v>43803</v>
      </c>
      <c r="B48" s="2123" t="s">
        <v>5460</v>
      </c>
      <c r="C48" s="7" t="s">
        <v>5512</v>
      </c>
      <c r="D48" s="1899">
        <v>43806</v>
      </c>
      <c r="E48" s="881" t="s">
        <v>5459</v>
      </c>
      <c r="F48" s="836">
        <v>0.5</v>
      </c>
      <c r="G48" s="836">
        <v>0.51388888888888895</v>
      </c>
      <c r="H48" s="836">
        <v>0.51388888888888895</v>
      </c>
      <c r="I48" s="1100">
        <f>480*0.7</f>
        <v>336</v>
      </c>
      <c r="J48" s="7" t="s">
        <v>5458</v>
      </c>
      <c r="K48" s="7" t="s">
        <v>119</v>
      </c>
      <c r="L48" s="809" t="s">
        <v>17</v>
      </c>
    </row>
    <row r="49" spans="1:12" ht="72.5" hidden="1" x14ac:dyDescent="0.35">
      <c r="A49" s="2122">
        <v>43802</v>
      </c>
      <c r="B49" s="2123" t="s">
        <v>5295</v>
      </c>
      <c r="C49" s="7" t="s">
        <v>5438</v>
      </c>
      <c r="D49" s="1899">
        <v>43806</v>
      </c>
      <c r="E49" s="881" t="s">
        <v>5296</v>
      </c>
      <c r="F49" s="836">
        <v>0.5</v>
      </c>
      <c r="G49" s="836">
        <v>0.54166666666666663</v>
      </c>
      <c r="H49" s="836">
        <v>0.54166666666666663</v>
      </c>
      <c r="I49" s="1100">
        <v>0</v>
      </c>
      <c r="J49" s="7" t="s">
        <v>16</v>
      </c>
      <c r="K49" s="7" t="s">
        <v>119</v>
      </c>
      <c r="L49" s="809" t="s">
        <v>17</v>
      </c>
    </row>
    <row r="50" spans="1:12" ht="145" hidden="1" x14ac:dyDescent="0.35">
      <c r="A50" s="2149">
        <v>43803</v>
      </c>
      <c r="B50" s="817" t="s">
        <v>262</v>
      </c>
      <c r="C50" s="7" t="s">
        <v>5464</v>
      </c>
      <c r="D50" s="1899">
        <v>43806</v>
      </c>
      <c r="E50" s="881" t="s">
        <v>262</v>
      </c>
      <c r="F50" s="836">
        <v>0.5</v>
      </c>
      <c r="G50" s="836">
        <v>0.58333333333333337</v>
      </c>
      <c r="H50" s="836">
        <v>0.58333333333333337</v>
      </c>
      <c r="I50" s="1100">
        <v>3581</v>
      </c>
      <c r="J50" s="7" t="s">
        <v>5465</v>
      </c>
      <c r="K50" s="7" t="s">
        <v>119</v>
      </c>
      <c r="L50" s="809" t="s">
        <v>17</v>
      </c>
    </row>
    <row r="51" spans="1:12" ht="159.5" hidden="1" x14ac:dyDescent="0.35">
      <c r="A51" s="2125">
        <v>43801</v>
      </c>
      <c r="B51" s="2126" t="s">
        <v>5383</v>
      </c>
      <c r="C51" s="10" t="s">
        <v>5385</v>
      </c>
      <c r="D51" s="1808">
        <v>43806</v>
      </c>
      <c r="E51" s="823" t="s">
        <v>5384</v>
      </c>
      <c r="F51" s="836">
        <v>0.66666666666666663</v>
      </c>
      <c r="G51" s="836">
        <v>0.6875</v>
      </c>
      <c r="H51" s="836">
        <v>0.6875</v>
      </c>
      <c r="I51" s="1630">
        <f>0.7*(3*120+4*36)</f>
        <v>352.79999999999995</v>
      </c>
      <c r="J51" s="7" t="s">
        <v>5386</v>
      </c>
      <c r="K51" s="7" t="s">
        <v>119</v>
      </c>
      <c r="L51" s="809" t="s">
        <v>17</v>
      </c>
    </row>
    <row r="52" spans="1:12" ht="87" hidden="1" x14ac:dyDescent="0.35">
      <c r="A52" s="2149">
        <v>43803</v>
      </c>
      <c r="B52" s="817" t="s">
        <v>5484</v>
      </c>
      <c r="C52" s="7" t="s">
        <v>5485</v>
      </c>
      <c r="D52" s="1899">
        <v>43806</v>
      </c>
      <c r="E52" s="881" t="s">
        <v>5486</v>
      </c>
      <c r="F52" s="836">
        <v>0.66666666666666663</v>
      </c>
      <c r="G52" s="836">
        <v>0.70833333333333337</v>
      </c>
      <c r="H52" s="836">
        <v>0.70833333333333337</v>
      </c>
      <c r="I52" s="1100">
        <v>100</v>
      </c>
      <c r="J52" s="7" t="s">
        <v>257</v>
      </c>
      <c r="K52" s="7" t="s">
        <v>119</v>
      </c>
      <c r="L52" s="839" t="s">
        <v>17</v>
      </c>
    </row>
    <row r="53" spans="1:12" ht="43.5" hidden="1" x14ac:dyDescent="0.35">
      <c r="A53" s="2101">
        <v>43793</v>
      </c>
      <c r="B53" s="1412" t="s">
        <v>5249</v>
      </c>
      <c r="C53" s="10" t="s">
        <v>5453</v>
      </c>
      <c r="D53" s="1957">
        <v>43806</v>
      </c>
      <c r="E53" s="1958" t="s">
        <v>5251</v>
      </c>
      <c r="F53" s="836">
        <v>0.66666666666666663</v>
      </c>
      <c r="G53" s="836">
        <v>0.72916666666666663</v>
      </c>
      <c r="H53" s="836">
        <v>0.72916666666666663</v>
      </c>
      <c r="I53" s="1630">
        <f>5*130</f>
        <v>650</v>
      </c>
      <c r="J53" s="7" t="s">
        <v>257</v>
      </c>
      <c r="K53" s="7" t="s">
        <v>119</v>
      </c>
      <c r="L53" s="809" t="s">
        <v>17</v>
      </c>
    </row>
    <row r="54" spans="1:12" ht="58" hidden="1" x14ac:dyDescent="0.35">
      <c r="A54" s="2158">
        <v>43805</v>
      </c>
      <c r="B54" s="2143" t="s">
        <v>5514</v>
      </c>
      <c r="C54" s="7" t="s">
        <v>5515</v>
      </c>
      <c r="D54" s="1899">
        <v>43806</v>
      </c>
      <c r="E54" s="881" t="s">
        <v>5516</v>
      </c>
      <c r="F54" s="836">
        <v>0.66666666666666663</v>
      </c>
      <c r="G54" s="836">
        <v>0.75</v>
      </c>
      <c r="H54" s="836">
        <v>0.75</v>
      </c>
      <c r="I54" s="1100">
        <v>120</v>
      </c>
      <c r="J54" s="7" t="s">
        <v>5517</v>
      </c>
      <c r="K54" s="7" t="s">
        <v>119</v>
      </c>
      <c r="L54" s="809" t="s">
        <v>17</v>
      </c>
    </row>
    <row r="55" spans="1:12" ht="29" hidden="1" x14ac:dyDescent="0.35">
      <c r="A55" s="2149">
        <v>43803</v>
      </c>
      <c r="B55" s="817" t="s">
        <v>5466</v>
      </c>
      <c r="C55" s="7" t="s">
        <v>5467</v>
      </c>
      <c r="D55" s="1899">
        <v>43806</v>
      </c>
      <c r="E55" s="881" t="s">
        <v>5494</v>
      </c>
      <c r="F55" s="836" t="s">
        <v>15</v>
      </c>
      <c r="G55" s="836">
        <v>0.58333333333333337</v>
      </c>
      <c r="H55" s="836">
        <v>0.58333333333333337</v>
      </c>
      <c r="I55" s="1630">
        <f>192*0.7</f>
        <v>134.39999999999998</v>
      </c>
      <c r="J55" s="7" t="s">
        <v>5468</v>
      </c>
      <c r="K55" s="7" t="s">
        <v>15</v>
      </c>
      <c r="L55" s="839" t="s">
        <v>17</v>
      </c>
    </row>
    <row r="56" spans="1:12" ht="43.5" hidden="1" x14ac:dyDescent="0.35">
      <c r="A56" s="2140">
        <v>43805</v>
      </c>
      <c r="B56" s="2134" t="s">
        <v>5284</v>
      </c>
      <c r="C56" s="7" t="s">
        <v>5513</v>
      </c>
      <c r="D56" s="1899">
        <v>43807</v>
      </c>
      <c r="E56" s="881" t="s">
        <v>5285</v>
      </c>
      <c r="F56" s="836">
        <v>0.47916666666666669</v>
      </c>
      <c r="G56" s="836">
        <v>0.58333333333333337</v>
      </c>
      <c r="H56" s="836">
        <v>0.58333333333333337</v>
      </c>
      <c r="I56" s="1630">
        <v>250</v>
      </c>
      <c r="J56" s="7" t="s">
        <v>392</v>
      </c>
      <c r="K56" s="7" t="s">
        <v>119</v>
      </c>
      <c r="L56" s="809" t="s">
        <v>17</v>
      </c>
    </row>
    <row r="57" spans="1:12" ht="29" hidden="1" x14ac:dyDescent="0.35">
      <c r="A57" s="2149">
        <v>43803</v>
      </c>
      <c r="B57" s="817" t="s">
        <v>5362</v>
      </c>
      <c r="C57" s="7" t="s">
        <v>5461</v>
      </c>
      <c r="D57" s="1899">
        <v>43807</v>
      </c>
      <c r="E57" s="881" t="s">
        <v>5462</v>
      </c>
      <c r="F57" s="836">
        <v>0.47916666666666669</v>
      </c>
      <c r="G57" s="836">
        <v>0.54166666666666663</v>
      </c>
      <c r="H57" s="836">
        <v>0.54166666666666663</v>
      </c>
      <c r="I57" s="1630">
        <v>406</v>
      </c>
      <c r="J57" s="7" t="s">
        <v>5463</v>
      </c>
      <c r="K57" s="7" t="s">
        <v>119</v>
      </c>
      <c r="L57" s="809" t="s">
        <v>17</v>
      </c>
    </row>
    <row r="58" spans="1:12" ht="58" hidden="1" x14ac:dyDescent="0.35">
      <c r="A58" s="2129">
        <v>43801</v>
      </c>
      <c r="B58" s="2127" t="s">
        <v>5395</v>
      </c>
      <c r="C58" s="2127" t="s">
        <v>5396</v>
      </c>
      <c r="D58" s="1808">
        <v>43807</v>
      </c>
      <c r="E58" s="10" t="s">
        <v>5397</v>
      </c>
      <c r="F58" s="836">
        <v>0.67708333333333337</v>
      </c>
      <c r="G58" s="836">
        <v>0.70833333333333337</v>
      </c>
      <c r="H58" s="836">
        <v>0.70833333333333337</v>
      </c>
      <c r="I58" s="1100">
        <v>520</v>
      </c>
      <c r="J58" s="7" t="s">
        <v>5398</v>
      </c>
      <c r="K58" s="7" t="s">
        <v>119</v>
      </c>
      <c r="L58" s="809" t="s">
        <v>17</v>
      </c>
    </row>
    <row r="59" spans="1:12" ht="72.5" hidden="1" x14ac:dyDescent="0.35">
      <c r="A59" s="2129">
        <v>43801</v>
      </c>
      <c r="B59" s="2127" t="s">
        <v>5402</v>
      </c>
      <c r="C59" s="10" t="s">
        <v>5403</v>
      </c>
      <c r="D59" s="1808">
        <v>43807</v>
      </c>
      <c r="E59" s="823" t="s">
        <v>5401</v>
      </c>
      <c r="F59" s="836">
        <v>0.67708333333333337</v>
      </c>
      <c r="G59" s="836">
        <v>0.75</v>
      </c>
      <c r="H59" s="836">
        <v>0.75</v>
      </c>
      <c r="I59" s="1630">
        <f>4*110</f>
        <v>440</v>
      </c>
      <c r="J59" s="7" t="s">
        <v>369</v>
      </c>
      <c r="K59" s="7" t="s">
        <v>119</v>
      </c>
      <c r="L59" s="809" t="s">
        <v>17</v>
      </c>
    </row>
    <row r="60" spans="1:12" ht="72.5" hidden="1" x14ac:dyDescent="0.35">
      <c r="A60" s="2124">
        <v>43801</v>
      </c>
      <c r="B60" s="817" t="s">
        <v>5535</v>
      </c>
      <c r="C60" s="7" t="s">
        <v>5536</v>
      </c>
      <c r="D60" s="1899">
        <v>43808</v>
      </c>
      <c r="E60" s="881" t="s">
        <v>5426</v>
      </c>
      <c r="F60" s="836" t="s">
        <v>15</v>
      </c>
      <c r="G60" s="836">
        <v>0.66666666666666663</v>
      </c>
      <c r="H60" s="836">
        <v>0.72916666666666663</v>
      </c>
      <c r="I60" s="1100">
        <v>0</v>
      </c>
      <c r="J60" s="836" t="s">
        <v>5427</v>
      </c>
      <c r="K60" s="836" t="s">
        <v>15</v>
      </c>
      <c r="L60" s="809" t="s">
        <v>17</v>
      </c>
    </row>
    <row r="61" spans="1:12" ht="58" hidden="1" x14ac:dyDescent="0.35">
      <c r="A61" s="2149">
        <v>43804</v>
      </c>
      <c r="B61" s="817" t="s">
        <v>5504</v>
      </c>
      <c r="C61" s="7" t="s">
        <v>5550</v>
      </c>
      <c r="D61" s="1899">
        <v>43808</v>
      </c>
      <c r="E61" s="881" t="s">
        <v>5505</v>
      </c>
      <c r="F61" s="836" t="s">
        <v>15</v>
      </c>
      <c r="G61" s="836">
        <v>0.75</v>
      </c>
      <c r="H61" s="836">
        <v>0.75</v>
      </c>
      <c r="I61" s="1100">
        <f>0.5*(2*90+30*5+30*5)</f>
        <v>240</v>
      </c>
      <c r="J61" s="7" t="s">
        <v>5506</v>
      </c>
      <c r="K61" s="7" t="s">
        <v>15</v>
      </c>
      <c r="L61" s="2110" t="s">
        <v>17</v>
      </c>
    </row>
    <row r="62" spans="1:12" hidden="1" x14ac:dyDescent="0.35">
      <c r="A62" s="2124">
        <v>43801</v>
      </c>
      <c r="B62" s="2115" t="s">
        <v>20</v>
      </c>
      <c r="C62" s="7" t="s">
        <v>5411</v>
      </c>
      <c r="D62" s="1899">
        <v>43808</v>
      </c>
      <c r="E62" s="881" t="s">
        <v>15</v>
      </c>
      <c r="F62" s="881" t="s">
        <v>15</v>
      </c>
      <c r="G62" s="881" t="s">
        <v>15</v>
      </c>
      <c r="H62" s="881" t="s">
        <v>15</v>
      </c>
      <c r="I62" s="1100">
        <v>0</v>
      </c>
      <c r="J62" s="881" t="s">
        <v>15</v>
      </c>
      <c r="K62" s="881" t="s">
        <v>15</v>
      </c>
      <c r="L62" s="809" t="s">
        <v>17</v>
      </c>
    </row>
    <row r="63" spans="1:12" ht="43.5" hidden="1" x14ac:dyDescent="0.35">
      <c r="A63" s="2140">
        <v>43805</v>
      </c>
      <c r="B63" s="817" t="s">
        <v>4547</v>
      </c>
      <c r="C63" s="7" t="s">
        <v>5518</v>
      </c>
      <c r="D63" s="1899">
        <v>43808</v>
      </c>
      <c r="E63" s="881" t="s">
        <v>5519</v>
      </c>
      <c r="F63" s="836"/>
      <c r="G63" s="836">
        <v>0.41666666666666669</v>
      </c>
      <c r="H63" s="836">
        <v>0.45833333333333331</v>
      </c>
      <c r="I63" s="1630">
        <v>252</v>
      </c>
      <c r="J63" s="7" t="s">
        <v>5520</v>
      </c>
      <c r="K63" s="817"/>
      <c r="L63" s="839" t="s">
        <v>22</v>
      </c>
    </row>
    <row r="64" spans="1:12" ht="362.5" hidden="1" x14ac:dyDescent="0.35">
      <c r="A64" s="2148">
        <v>43808</v>
      </c>
      <c r="B64" s="2141" t="s">
        <v>5367</v>
      </c>
      <c r="C64" s="2142" t="s">
        <v>5561</v>
      </c>
      <c r="D64" s="1899">
        <v>43809</v>
      </c>
      <c r="E64" s="881" t="s">
        <v>5494</v>
      </c>
      <c r="F64" s="836">
        <v>0.39583333333333331</v>
      </c>
      <c r="G64" s="836">
        <v>0.39583333333333331</v>
      </c>
      <c r="H64" s="836">
        <v>0.39583333333333331</v>
      </c>
      <c r="I64" s="1100">
        <v>0</v>
      </c>
      <c r="J64" s="7" t="s">
        <v>5560</v>
      </c>
      <c r="K64" s="817" t="s">
        <v>15</v>
      </c>
      <c r="L64" s="839" t="s">
        <v>17</v>
      </c>
    </row>
    <row r="65" spans="1:17" ht="101.5" hidden="1" x14ac:dyDescent="0.35">
      <c r="A65" s="2135">
        <v>43806</v>
      </c>
      <c r="B65" s="2060" t="s">
        <v>5559</v>
      </c>
      <c r="C65" s="2054" t="s">
        <v>5526</v>
      </c>
      <c r="D65" s="2136">
        <v>43809</v>
      </c>
      <c r="E65" s="881" t="s">
        <v>115</v>
      </c>
      <c r="F65" s="2057">
        <v>0.41666666666666669</v>
      </c>
      <c r="G65" s="2057">
        <v>0.41666666666666669</v>
      </c>
      <c r="H65" s="2057">
        <v>0.41666666666666669</v>
      </c>
      <c r="I65" s="2138">
        <f>21*135</f>
        <v>2835</v>
      </c>
      <c r="J65" s="2054" t="s">
        <v>5527</v>
      </c>
      <c r="K65" s="2054" t="s">
        <v>15</v>
      </c>
      <c r="L65" s="2139" t="s">
        <v>17</v>
      </c>
    </row>
    <row r="66" spans="1:17" ht="29" hidden="1" x14ac:dyDescent="0.35">
      <c r="A66" s="2140">
        <v>43805</v>
      </c>
      <c r="B66" s="817" t="s">
        <v>4547</v>
      </c>
      <c r="C66" s="7" t="s">
        <v>5558</v>
      </c>
      <c r="D66" s="1899">
        <v>43809</v>
      </c>
      <c r="E66" s="881" t="s">
        <v>5519</v>
      </c>
      <c r="F66" s="836">
        <v>0.45833333333333331</v>
      </c>
      <c r="G66" s="836">
        <v>0.47916666666666669</v>
      </c>
      <c r="H66" s="836">
        <v>0.47916666666666669</v>
      </c>
      <c r="I66" s="1100">
        <v>0</v>
      </c>
      <c r="J66" s="7" t="s">
        <v>5554</v>
      </c>
      <c r="K66" s="2054" t="s">
        <v>136</v>
      </c>
      <c r="L66" s="839" t="s">
        <v>22</v>
      </c>
    </row>
    <row r="67" spans="1:17" ht="43.5" hidden="1" x14ac:dyDescent="0.35">
      <c r="A67" s="1453">
        <v>43808</v>
      </c>
      <c r="B67" s="5" t="s">
        <v>4864</v>
      </c>
      <c r="C67" s="5" t="s">
        <v>5555</v>
      </c>
      <c r="D67" s="908">
        <v>43809</v>
      </c>
      <c r="E67" s="824" t="s">
        <v>4863</v>
      </c>
      <c r="F67" s="2057">
        <v>0.45833333333333331</v>
      </c>
      <c r="G67" s="2057">
        <v>0.5</v>
      </c>
      <c r="H67" s="2057">
        <v>0.5</v>
      </c>
      <c r="I67" s="2138">
        <v>270</v>
      </c>
      <c r="J67" s="2054" t="s">
        <v>5556</v>
      </c>
      <c r="K67" s="2054" t="s">
        <v>136</v>
      </c>
      <c r="L67" s="2139" t="s">
        <v>974</v>
      </c>
    </row>
    <row r="68" spans="1:17" ht="43.5" hidden="1" x14ac:dyDescent="0.35">
      <c r="A68" s="2140">
        <v>43806</v>
      </c>
      <c r="B68" s="2134" t="s">
        <v>5487</v>
      </c>
      <c r="C68" s="2054" t="s">
        <v>5537</v>
      </c>
      <c r="D68" s="2136">
        <v>43809</v>
      </c>
      <c r="E68" s="2137" t="s">
        <v>5489</v>
      </c>
      <c r="F68" s="2057">
        <v>0.45833333333333331</v>
      </c>
      <c r="G68" s="2057">
        <v>0.54166666666666663</v>
      </c>
      <c r="H68" s="2057">
        <v>0.54166666666666663</v>
      </c>
      <c r="I68" s="2138">
        <f>100*2.7</f>
        <v>270</v>
      </c>
      <c r="J68" s="2054" t="s">
        <v>5539</v>
      </c>
      <c r="K68" s="2054" t="s">
        <v>136</v>
      </c>
      <c r="L68" s="2139" t="s">
        <v>17</v>
      </c>
    </row>
    <row r="69" spans="1:17" ht="108.65" hidden="1" customHeight="1" x14ac:dyDescent="0.35">
      <c r="A69" s="2140">
        <v>43808</v>
      </c>
      <c r="B69" s="2134" t="s">
        <v>5542</v>
      </c>
      <c r="C69" s="7" t="s">
        <v>5544</v>
      </c>
      <c r="D69" s="1899">
        <v>43809</v>
      </c>
      <c r="E69" s="881" t="s">
        <v>5543</v>
      </c>
      <c r="F69" s="836">
        <v>0.45833333333333331</v>
      </c>
      <c r="G69" s="836">
        <v>0.58333333333333337</v>
      </c>
      <c r="H69" s="836">
        <v>0.58333333333333337</v>
      </c>
      <c r="I69" s="1630">
        <v>175</v>
      </c>
      <c r="J69" s="7" t="s">
        <v>257</v>
      </c>
      <c r="K69" s="2054" t="s">
        <v>136</v>
      </c>
      <c r="L69" s="809" t="s">
        <v>17</v>
      </c>
    </row>
    <row r="70" spans="1:17" ht="108.65" hidden="1" customHeight="1" x14ac:dyDescent="0.35">
      <c r="A70" s="2149">
        <v>43808</v>
      </c>
      <c r="B70" s="817" t="s">
        <v>20</v>
      </c>
      <c r="C70" s="7" t="s">
        <v>5552</v>
      </c>
      <c r="D70" s="1899">
        <v>43809</v>
      </c>
      <c r="E70" s="881" t="s">
        <v>20</v>
      </c>
      <c r="F70" s="836" t="s">
        <v>15</v>
      </c>
      <c r="G70" s="836" t="s">
        <v>15</v>
      </c>
      <c r="H70" s="836" t="s">
        <v>15</v>
      </c>
      <c r="I70" s="1100">
        <v>0</v>
      </c>
      <c r="J70" s="836" t="s">
        <v>15</v>
      </c>
      <c r="K70" s="836" t="s">
        <v>15</v>
      </c>
      <c r="L70" s="809" t="s">
        <v>17</v>
      </c>
    </row>
    <row r="71" spans="1:17" ht="101.5" hidden="1" x14ac:dyDescent="0.35">
      <c r="A71" s="2135">
        <v>43806</v>
      </c>
      <c r="B71" s="2060" t="s">
        <v>5559</v>
      </c>
      <c r="C71" s="2054" t="s">
        <v>5528</v>
      </c>
      <c r="D71" s="2136">
        <v>43810</v>
      </c>
      <c r="E71" s="881" t="s">
        <v>5494</v>
      </c>
      <c r="F71" s="2057">
        <v>0.41666666666666669</v>
      </c>
      <c r="G71" s="2057">
        <v>0.41666666666666669</v>
      </c>
      <c r="H71" s="2057">
        <v>0.41666666666666669</v>
      </c>
      <c r="I71" s="2138">
        <v>0</v>
      </c>
      <c r="J71" s="2054" t="s">
        <v>5529</v>
      </c>
      <c r="K71" s="2054" t="s">
        <v>15</v>
      </c>
      <c r="L71" s="2139" t="s">
        <v>17</v>
      </c>
    </row>
    <row r="72" spans="1:17" ht="29" hidden="1" x14ac:dyDescent="0.35">
      <c r="A72" s="2148">
        <v>43808</v>
      </c>
      <c r="B72" s="2143" t="s">
        <v>5525</v>
      </c>
      <c r="C72" s="7" t="s">
        <v>5562</v>
      </c>
      <c r="D72" s="1899">
        <v>43810</v>
      </c>
      <c r="E72" s="881" t="s">
        <v>5494</v>
      </c>
      <c r="F72" s="836">
        <v>0.75</v>
      </c>
      <c r="G72" s="836">
        <v>0.75</v>
      </c>
      <c r="H72" s="836">
        <v>0.75</v>
      </c>
      <c r="I72" s="1100">
        <f>180*0.7</f>
        <v>125.99999999999999</v>
      </c>
      <c r="J72" s="2054" t="s">
        <v>5545</v>
      </c>
      <c r="K72" s="2054" t="s">
        <v>15</v>
      </c>
      <c r="L72" s="2139" t="s">
        <v>17</v>
      </c>
    </row>
    <row r="73" spans="1:17" ht="29" hidden="1" x14ac:dyDescent="0.35">
      <c r="A73" s="2124">
        <v>43801</v>
      </c>
      <c r="B73" s="2115" t="s">
        <v>20</v>
      </c>
      <c r="C73" s="7" t="s">
        <v>5429</v>
      </c>
      <c r="D73" s="1899">
        <v>43810</v>
      </c>
      <c r="E73" s="881" t="s">
        <v>20</v>
      </c>
      <c r="F73" s="836" t="s">
        <v>15</v>
      </c>
      <c r="G73" s="836" t="s">
        <v>15</v>
      </c>
      <c r="H73" s="836" t="s">
        <v>15</v>
      </c>
      <c r="I73" s="1100">
        <v>0</v>
      </c>
      <c r="J73" s="836" t="s">
        <v>15</v>
      </c>
      <c r="K73" s="2054" t="s">
        <v>15</v>
      </c>
      <c r="L73" s="809" t="s">
        <v>17</v>
      </c>
    </row>
    <row r="74" spans="1:17" ht="43.5" hidden="1" x14ac:dyDescent="0.35">
      <c r="A74" s="2148">
        <v>43808</v>
      </c>
      <c r="B74" s="2141" t="s">
        <v>131</v>
      </c>
      <c r="C74" s="7" t="s">
        <v>5582</v>
      </c>
      <c r="D74" s="1899">
        <v>43810</v>
      </c>
      <c r="E74" s="881" t="s">
        <v>1731</v>
      </c>
      <c r="F74" s="836">
        <v>0.58333333333333337</v>
      </c>
      <c r="G74" s="836">
        <v>0.625</v>
      </c>
      <c r="H74" s="836">
        <v>0.625</v>
      </c>
      <c r="I74" s="1100">
        <f>110*120*65/1000</f>
        <v>858</v>
      </c>
      <c r="J74" s="7" t="s">
        <v>5557</v>
      </c>
      <c r="K74" s="2054" t="s">
        <v>140</v>
      </c>
      <c r="L74" s="809" t="s">
        <v>17</v>
      </c>
    </row>
    <row r="75" spans="1:17" ht="29" hidden="1" x14ac:dyDescent="0.35">
      <c r="A75" s="2129">
        <v>43801</v>
      </c>
      <c r="B75" s="2127" t="s">
        <v>5409</v>
      </c>
      <c r="C75" s="10" t="s">
        <v>5410</v>
      </c>
      <c r="D75" s="1808">
        <v>43811</v>
      </c>
      <c r="E75" s="823" t="s">
        <v>5408</v>
      </c>
      <c r="F75" s="836">
        <v>0.35416666666666669</v>
      </c>
      <c r="G75" s="836">
        <v>0.375</v>
      </c>
      <c r="H75" s="836">
        <v>0.375</v>
      </c>
      <c r="I75" s="1630">
        <v>252</v>
      </c>
      <c r="J75" s="7" t="s">
        <v>5534</v>
      </c>
      <c r="K75" s="7" t="s">
        <v>119</v>
      </c>
      <c r="L75" s="809" t="s">
        <v>17</v>
      </c>
    </row>
    <row r="76" spans="1:17" ht="101.5" hidden="1" x14ac:dyDescent="0.35">
      <c r="A76" s="2135">
        <v>43806</v>
      </c>
      <c r="B76" s="2060" t="s">
        <v>5559</v>
      </c>
      <c r="C76" s="2054" t="s">
        <v>5528</v>
      </c>
      <c r="D76" s="2136">
        <v>43811</v>
      </c>
      <c r="E76" s="881" t="s">
        <v>5494</v>
      </c>
      <c r="F76" s="2057">
        <v>0.41666666666666669</v>
      </c>
      <c r="G76" s="2057">
        <v>0.41666666666666669</v>
      </c>
      <c r="H76" s="2057">
        <v>0.41666666666666669</v>
      </c>
      <c r="I76" s="2138">
        <v>0</v>
      </c>
      <c r="J76" s="2054" t="s">
        <v>5529</v>
      </c>
      <c r="K76" s="2054" t="s">
        <v>15</v>
      </c>
      <c r="L76" s="2139" t="s">
        <v>17</v>
      </c>
      <c r="O76">
        <f>614*0.3</f>
        <v>184.2</v>
      </c>
    </row>
    <row r="77" spans="1:17" ht="101.5" hidden="1" x14ac:dyDescent="0.35">
      <c r="A77" s="2156">
        <v>43801</v>
      </c>
      <c r="B77" s="2157" t="s">
        <v>4468</v>
      </c>
      <c r="C77" s="7" t="s">
        <v>5614</v>
      </c>
      <c r="D77" s="1899">
        <v>43811</v>
      </c>
      <c r="E77" s="881" t="s">
        <v>5002</v>
      </c>
      <c r="F77" s="836">
        <v>0.41666666666666669</v>
      </c>
      <c r="G77" s="836">
        <v>0.44791666666666669</v>
      </c>
      <c r="H77" s="836">
        <v>0.44791666666666669</v>
      </c>
      <c r="I77" s="1100">
        <f>5*3*9</f>
        <v>135</v>
      </c>
      <c r="J77" s="7" t="s">
        <v>5615</v>
      </c>
      <c r="K77" s="7" t="s">
        <v>119</v>
      </c>
      <c r="L77" s="809" t="s">
        <v>17</v>
      </c>
    </row>
    <row r="78" spans="1:17" ht="58" hidden="1" x14ac:dyDescent="0.35">
      <c r="A78" s="2156">
        <v>43801</v>
      </c>
      <c r="B78" s="2157" t="s">
        <v>5617</v>
      </c>
      <c r="C78" s="7" t="s">
        <v>5616</v>
      </c>
      <c r="D78" s="1899">
        <v>43811</v>
      </c>
      <c r="E78" s="881" t="s">
        <v>5618</v>
      </c>
      <c r="F78" s="836">
        <v>0.41666666666666669</v>
      </c>
      <c r="G78" s="836">
        <v>0.47916666666666669</v>
      </c>
      <c r="H78" s="836">
        <v>0.47916666666666669</v>
      </c>
      <c r="I78" s="1100">
        <v>0</v>
      </c>
      <c r="J78" s="7" t="s">
        <v>5619</v>
      </c>
      <c r="K78" s="7" t="s">
        <v>119</v>
      </c>
      <c r="L78" s="809" t="s">
        <v>17</v>
      </c>
      <c r="Q78" t="s">
        <v>5454</v>
      </c>
    </row>
    <row r="79" spans="1:17" ht="72.5" hidden="1" x14ac:dyDescent="0.35">
      <c r="A79" s="2140">
        <v>43806</v>
      </c>
      <c r="B79" s="817" t="s">
        <v>5621</v>
      </c>
      <c r="C79" s="2054" t="s">
        <v>5538</v>
      </c>
      <c r="D79" s="2136">
        <v>43811</v>
      </c>
      <c r="E79" s="2137" t="s">
        <v>5489</v>
      </c>
      <c r="F79" s="2057">
        <v>0.53125</v>
      </c>
      <c r="G79" s="2057">
        <v>0.58333333333333337</v>
      </c>
      <c r="H79" s="2057">
        <v>0.58333333333333337</v>
      </c>
      <c r="I79" s="2138">
        <f>2.7*(60+30+40+30+40)</f>
        <v>540</v>
      </c>
      <c r="J79" s="2054" t="s">
        <v>5620</v>
      </c>
      <c r="K79" s="2054" t="s">
        <v>119</v>
      </c>
      <c r="L79" s="2139" t="s">
        <v>17</v>
      </c>
    </row>
    <row r="80" spans="1:17" ht="87" hidden="1" x14ac:dyDescent="0.35">
      <c r="A80" s="2101">
        <v>43808</v>
      </c>
      <c r="B80" s="1412" t="s">
        <v>5613</v>
      </c>
      <c r="C80" s="10" t="s">
        <v>5553</v>
      </c>
      <c r="D80" s="1808">
        <v>43811</v>
      </c>
      <c r="E80" s="823" t="s">
        <v>5551</v>
      </c>
      <c r="F80" s="836">
        <v>0.53125</v>
      </c>
      <c r="G80" s="836">
        <v>0.625</v>
      </c>
      <c r="H80" s="836">
        <v>0.625</v>
      </c>
      <c r="I80" s="1630">
        <f>240</f>
        <v>240</v>
      </c>
      <c r="J80" s="7" t="s">
        <v>257</v>
      </c>
      <c r="K80" s="7" t="s">
        <v>15</v>
      </c>
      <c r="L80" s="809" t="s">
        <v>17</v>
      </c>
    </row>
    <row r="81" spans="1:12" ht="116" hidden="1" x14ac:dyDescent="0.35">
      <c r="A81" s="2159">
        <v>43809</v>
      </c>
      <c r="B81" s="2182" t="s">
        <v>5572</v>
      </c>
      <c r="C81" s="7" t="s">
        <v>5571</v>
      </c>
      <c r="D81" s="1899">
        <v>43811</v>
      </c>
      <c r="E81" s="7" t="s">
        <v>5569</v>
      </c>
      <c r="F81" s="836">
        <v>0.53125</v>
      </c>
      <c r="G81" s="836">
        <v>0.66666666666666663</v>
      </c>
      <c r="H81" s="836">
        <v>0.66666666666666663</v>
      </c>
      <c r="I81" s="1100">
        <v>1626.25</v>
      </c>
      <c r="J81" s="7" t="s">
        <v>5568</v>
      </c>
      <c r="K81" s="7" t="s">
        <v>15</v>
      </c>
      <c r="L81" s="809" t="s">
        <v>17</v>
      </c>
    </row>
    <row r="82" spans="1:12" hidden="1" x14ac:dyDescent="0.35">
      <c r="A82" s="2149">
        <v>43810</v>
      </c>
      <c r="B82" s="817" t="s">
        <v>20</v>
      </c>
      <c r="C82" s="7" t="s">
        <v>5592</v>
      </c>
      <c r="D82" s="1899">
        <v>43811</v>
      </c>
      <c r="E82" s="7" t="s">
        <v>20</v>
      </c>
      <c r="F82" s="7" t="s">
        <v>15</v>
      </c>
      <c r="G82" s="7" t="s">
        <v>15</v>
      </c>
      <c r="H82" s="7" t="s">
        <v>15</v>
      </c>
      <c r="I82" s="1100">
        <v>0</v>
      </c>
      <c r="J82" s="7" t="s">
        <v>15</v>
      </c>
      <c r="K82" s="7" t="s">
        <v>15</v>
      </c>
      <c r="L82" s="809" t="s">
        <v>17</v>
      </c>
    </row>
    <row r="83" spans="1:12" hidden="1" x14ac:dyDescent="0.35">
      <c r="A83" s="2124">
        <v>43803</v>
      </c>
      <c r="B83" s="2115" t="s">
        <v>20</v>
      </c>
      <c r="C83" s="7" t="s">
        <v>5452</v>
      </c>
      <c r="D83" s="1899">
        <v>43811</v>
      </c>
      <c r="E83" s="881" t="s">
        <v>15</v>
      </c>
      <c r="F83" s="881" t="s">
        <v>15</v>
      </c>
      <c r="G83" s="881" t="s">
        <v>15</v>
      </c>
      <c r="H83" s="881" t="s">
        <v>15</v>
      </c>
      <c r="I83" s="1100">
        <v>0</v>
      </c>
      <c r="J83" s="7" t="s">
        <v>15</v>
      </c>
      <c r="K83" s="7" t="s">
        <v>15</v>
      </c>
      <c r="L83" s="809" t="s">
        <v>17</v>
      </c>
    </row>
    <row r="84" spans="1:12" ht="87" hidden="1" x14ac:dyDescent="0.35">
      <c r="A84" s="2148">
        <v>43810</v>
      </c>
      <c r="B84" s="817" t="s">
        <v>5782</v>
      </c>
      <c r="C84" s="7" t="s">
        <v>5595</v>
      </c>
      <c r="D84" s="1899">
        <v>43812</v>
      </c>
      <c r="E84" s="2153" t="s">
        <v>506</v>
      </c>
      <c r="F84" s="836">
        <v>0.39583333333333331</v>
      </c>
      <c r="G84" s="836">
        <v>0.4375</v>
      </c>
      <c r="H84" s="836">
        <v>0.4375</v>
      </c>
      <c r="I84" s="1100">
        <v>221</v>
      </c>
      <c r="J84" s="7" t="s">
        <v>5596</v>
      </c>
      <c r="K84" s="7" t="s">
        <v>140</v>
      </c>
      <c r="L84" s="809" t="s">
        <v>22</v>
      </c>
    </row>
    <row r="85" spans="1:12" ht="29" hidden="1" x14ac:dyDescent="0.35">
      <c r="A85" s="2159">
        <v>43811</v>
      </c>
      <c r="B85" s="817" t="s">
        <v>5623</v>
      </c>
      <c r="C85" s="7" t="s">
        <v>5624</v>
      </c>
      <c r="D85" s="1899">
        <v>43812</v>
      </c>
      <c r="E85" s="2153" t="s">
        <v>5625</v>
      </c>
      <c r="F85" s="836">
        <v>0.39583333333333331</v>
      </c>
      <c r="G85" s="836">
        <v>0.44791666666666669</v>
      </c>
      <c r="H85" s="836">
        <v>0.45833333333333331</v>
      </c>
      <c r="I85" s="1100">
        <v>0</v>
      </c>
      <c r="J85" s="7" t="s">
        <v>16</v>
      </c>
      <c r="K85" s="7" t="s">
        <v>140</v>
      </c>
      <c r="L85" s="809" t="s">
        <v>22</v>
      </c>
    </row>
    <row r="86" spans="1:12" ht="101.5" hidden="1" x14ac:dyDescent="0.35">
      <c r="A86" s="2135">
        <v>43806</v>
      </c>
      <c r="B86" s="2191" t="s">
        <v>5525</v>
      </c>
      <c r="C86" s="2054" t="s">
        <v>5528</v>
      </c>
      <c r="D86" s="2136">
        <v>43812</v>
      </c>
      <c r="E86" s="881" t="s">
        <v>5494</v>
      </c>
      <c r="F86" s="2057">
        <v>0.41666666666666669</v>
      </c>
      <c r="G86" s="2057">
        <v>0.41666666666666669</v>
      </c>
      <c r="H86" s="2057">
        <v>0.41666666666666669</v>
      </c>
      <c r="I86" s="2138">
        <v>0</v>
      </c>
      <c r="J86" s="2054" t="s">
        <v>5529</v>
      </c>
      <c r="K86" s="2054" t="s">
        <v>15</v>
      </c>
      <c r="L86" s="2139" t="s">
        <v>17</v>
      </c>
    </row>
    <row r="87" spans="1:12" hidden="1" x14ac:dyDescent="0.35">
      <c r="A87" s="2149">
        <v>43811</v>
      </c>
      <c r="B87" s="817" t="s">
        <v>5489</v>
      </c>
      <c r="C87" s="2054" t="s">
        <v>5626</v>
      </c>
      <c r="D87" s="2136">
        <v>43812</v>
      </c>
      <c r="E87" s="2137" t="s">
        <v>5489</v>
      </c>
      <c r="F87" s="2057">
        <v>0.5625</v>
      </c>
      <c r="G87" s="2057">
        <v>0.59375</v>
      </c>
      <c r="H87" s="2057">
        <v>0.59375</v>
      </c>
      <c r="I87" s="2138">
        <f>40*2.7</f>
        <v>108</v>
      </c>
      <c r="J87" s="2054" t="s">
        <v>5539</v>
      </c>
      <c r="K87" s="2054" t="s">
        <v>15</v>
      </c>
      <c r="L87" s="2139" t="s">
        <v>17</v>
      </c>
    </row>
    <row r="88" spans="1:12" ht="58" hidden="1" x14ac:dyDescent="0.35">
      <c r="A88" s="2124">
        <v>43808</v>
      </c>
      <c r="B88" s="2115" t="s">
        <v>131</v>
      </c>
      <c r="C88" s="7" t="s">
        <v>5563</v>
      </c>
      <c r="D88" s="1899">
        <v>43812</v>
      </c>
      <c r="E88" s="881" t="s">
        <v>1731</v>
      </c>
      <c r="F88" s="836">
        <v>0.5625</v>
      </c>
      <c r="G88" s="836">
        <v>0.625</v>
      </c>
      <c r="H88" s="836">
        <v>0.625</v>
      </c>
      <c r="I88" s="1100">
        <f>1.5*4.76*270</f>
        <v>1927.8</v>
      </c>
      <c r="J88" s="7" t="s">
        <v>5376</v>
      </c>
      <c r="K88" s="7" t="s">
        <v>140</v>
      </c>
      <c r="L88" s="809" t="s">
        <v>17</v>
      </c>
    </row>
    <row r="89" spans="1:12" ht="43.5" hidden="1" x14ac:dyDescent="0.35">
      <c r="A89" s="2148">
        <v>43809</v>
      </c>
      <c r="B89" s="2141" t="s">
        <v>5579</v>
      </c>
      <c r="C89" s="7" t="s">
        <v>5578</v>
      </c>
      <c r="D89" s="1899">
        <v>43812</v>
      </c>
      <c r="E89" s="881" t="s">
        <v>5581</v>
      </c>
      <c r="F89" s="836">
        <v>0.6875</v>
      </c>
      <c r="G89" s="836">
        <v>0.75</v>
      </c>
      <c r="H89" s="836">
        <v>0.75</v>
      </c>
      <c r="I89" s="1630">
        <v>250</v>
      </c>
      <c r="J89" s="7" t="s">
        <v>5580</v>
      </c>
      <c r="K89" s="7" t="s">
        <v>140</v>
      </c>
      <c r="L89" s="809" t="s">
        <v>17</v>
      </c>
    </row>
    <row r="90" spans="1:12" ht="78.650000000000006" hidden="1" customHeight="1" x14ac:dyDescent="0.35">
      <c r="A90" s="2199">
        <v>43812</v>
      </c>
      <c r="B90" s="817" t="s">
        <v>5975</v>
      </c>
      <c r="C90" s="7" t="s">
        <v>5976</v>
      </c>
      <c r="D90" s="1899">
        <v>43812</v>
      </c>
      <c r="E90" s="881" t="s">
        <v>5796</v>
      </c>
      <c r="F90" s="836"/>
      <c r="G90" s="836">
        <v>0.66666666666666663</v>
      </c>
      <c r="H90" s="836">
        <v>0.75</v>
      </c>
      <c r="I90" s="1630">
        <v>410</v>
      </c>
      <c r="J90" s="7" t="s">
        <v>5977</v>
      </c>
      <c r="K90" s="7" t="s">
        <v>898</v>
      </c>
      <c r="L90" s="809" t="s">
        <v>22</v>
      </c>
    </row>
    <row r="91" spans="1:12" ht="380.15" hidden="1" customHeight="1" x14ac:dyDescent="0.35">
      <c r="A91" s="2140">
        <v>43806</v>
      </c>
      <c r="B91" s="2134" t="s">
        <v>5532</v>
      </c>
      <c r="C91" s="7" t="s">
        <v>1824</v>
      </c>
      <c r="D91" s="1899">
        <v>43812</v>
      </c>
      <c r="E91" s="881" t="s">
        <v>5533</v>
      </c>
      <c r="F91" s="836">
        <v>0.79166666666666663</v>
      </c>
      <c r="G91" s="836">
        <v>0.82291666666666663</v>
      </c>
      <c r="H91" s="836">
        <v>0.82291666666666663</v>
      </c>
      <c r="I91" s="1630">
        <v>464</v>
      </c>
      <c r="J91" s="7" t="s">
        <v>5570</v>
      </c>
      <c r="K91" s="7" t="s">
        <v>140</v>
      </c>
      <c r="L91" s="809" t="s">
        <v>17</v>
      </c>
    </row>
    <row r="92" spans="1:12" ht="380.15" hidden="1" customHeight="1" x14ac:dyDescent="0.35">
      <c r="A92" s="2149">
        <v>43810</v>
      </c>
      <c r="B92" s="817" t="s">
        <v>5628</v>
      </c>
      <c r="C92" s="7" t="s">
        <v>5629</v>
      </c>
      <c r="D92" s="1899">
        <v>43813</v>
      </c>
      <c r="E92" s="881" t="s">
        <v>5627</v>
      </c>
      <c r="F92" s="836">
        <v>0.4375</v>
      </c>
      <c r="G92" s="836">
        <v>0.46875</v>
      </c>
      <c r="H92" s="836">
        <v>0.46875</v>
      </c>
      <c r="I92" s="1630">
        <v>331.5</v>
      </c>
      <c r="J92" s="7" t="s">
        <v>5636</v>
      </c>
      <c r="K92" s="7" t="s">
        <v>140</v>
      </c>
      <c r="L92" s="809" t="s">
        <v>974</v>
      </c>
    </row>
    <row r="93" spans="1:12" ht="72.5" hidden="1" x14ac:dyDescent="0.35">
      <c r="A93" s="2161">
        <v>43813</v>
      </c>
      <c r="B93" s="2160" t="s">
        <v>4468</v>
      </c>
      <c r="C93" s="7" t="s">
        <v>5642</v>
      </c>
      <c r="D93" s="1899">
        <v>43813</v>
      </c>
      <c r="E93" s="881" t="s">
        <v>5002</v>
      </c>
      <c r="F93" s="836">
        <v>0.4375</v>
      </c>
      <c r="G93" s="836">
        <v>0.48958333333333331</v>
      </c>
      <c r="H93" s="836">
        <v>0.48958333333333331</v>
      </c>
      <c r="I93" s="1100">
        <f>15*9</f>
        <v>135</v>
      </c>
      <c r="J93" s="7" t="s">
        <v>3588</v>
      </c>
      <c r="K93" s="7" t="s">
        <v>140</v>
      </c>
      <c r="L93" s="809" t="s">
        <v>17</v>
      </c>
    </row>
    <row r="94" spans="1:12" ht="43.5" hidden="1" x14ac:dyDescent="0.35">
      <c r="A94" s="2148">
        <v>43809</v>
      </c>
      <c r="B94" s="2141" t="s">
        <v>131</v>
      </c>
      <c r="C94" s="2054" t="s">
        <v>5573</v>
      </c>
      <c r="D94" s="2136">
        <v>43813</v>
      </c>
      <c r="E94" s="2137" t="s">
        <v>1731</v>
      </c>
      <c r="F94" s="2057">
        <v>0.4375</v>
      </c>
      <c r="G94" s="2057">
        <v>0.5</v>
      </c>
      <c r="H94" s="2057">
        <v>0.5</v>
      </c>
      <c r="I94" s="2138">
        <f>140*120/1000*65+17*120/1000*65+9*90*0.85</f>
        <v>1913.1</v>
      </c>
      <c r="J94" s="2054" t="s">
        <v>5557</v>
      </c>
      <c r="K94" s="7" t="s">
        <v>140</v>
      </c>
      <c r="L94" s="2139" t="s">
        <v>17</v>
      </c>
    </row>
    <row r="95" spans="1:12" ht="70.400000000000006" hidden="1" customHeight="1" x14ac:dyDescent="0.35">
      <c r="A95" s="2161">
        <v>43812</v>
      </c>
      <c r="B95" s="2160" t="s">
        <v>5638</v>
      </c>
      <c r="C95" s="2054" t="s">
        <v>5640</v>
      </c>
      <c r="D95" s="2136">
        <v>43813</v>
      </c>
      <c r="E95" s="2137" t="s">
        <v>5639</v>
      </c>
      <c r="F95" s="2057">
        <v>0.54166666666666663</v>
      </c>
      <c r="G95" s="2057">
        <v>0.58333333333333337</v>
      </c>
      <c r="H95" s="2057">
        <v>0.58333333333333337</v>
      </c>
      <c r="I95" s="1630">
        <f>0.85*(1.6*120+199)</f>
        <v>332.34999999999997</v>
      </c>
      <c r="J95" s="2054" t="s">
        <v>392</v>
      </c>
      <c r="K95" s="7" t="s">
        <v>140</v>
      </c>
      <c r="L95" s="2139" t="s">
        <v>17</v>
      </c>
    </row>
    <row r="96" spans="1:12" ht="70.400000000000006" hidden="1" customHeight="1" x14ac:dyDescent="0.35">
      <c r="A96" s="2200">
        <v>43813</v>
      </c>
      <c r="B96" s="828" t="s">
        <v>5280</v>
      </c>
      <c r="C96" s="828" t="s">
        <v>5643</v>
      </c>
      <c r="D96" s="2204">
        <v>43813</v>
      </c>
      <c r="E96" s="919" t="s">
        <v>5356</v>
      </c>
      <c r="F96" s="2057">
        <v>0.54166666666666663</v>
      </c>
      <c r="G96" s="2057">
        <v>0.5625</v>
      </c>
      <c r="H96" s="2057">
        <v>0.59375</v>
      </c>
      <c r="I96" s="1630">
        <v>192</v>
      </c>
      <c r="J96" s="2054" t="s">
        <v>257</v>
      </c>
      <c r="K96" s="7" t="s">
        <v>140</v>
      </c>
      <c r="L96" s="2139" t="s">
        <v>22</v>
      </c>
    </row>
    <row r="97" spans="1:12" ht="58" hidden="1" x14ac:dyDescent="0.35">
      <c r="A97" s="2145">
        <v>43810</v>
      </c>
      <c r="B97" s="1733" t="s">
        <v>5588</v>
      </c>
      <c r="C97" s="1733" t="s">
        <v>5590</v>
      </c>
      <c r="D97" s="2146">
        <v>43813</v>
      </c>
      <c r="E97" s="1733" t="s">
        <v>5589</v>
      </c>
      <c r="F97" s="836">
        <v>0.54166666666666663</v>
      </c>
      <c r="G97" s="836">
        <v>0.61458333333333337</v>
      </c>
      <c r="H97" s="836">
        <v>0.61458333333333337</v>
      </c>
      <c r="I97" s="1630">
        <f>3.5*130*0.7*0.91</f>
        <v>289.83500000000004</v>
      </c>
      <c r="J97" s="7" t="s">
        <v>5591</v>
      </c>
      <c r="K97" s="7" t="s">
        <v>140</v>
      </c>
      <c r="L97" s="809" t="s">
        <v>17</v>
      </c>
    </row>
    <row r="98" spans="1:12" ht="58" hidden="1" x14ac:dyDescent="0.35">
      <c r="A98" s="2129">
        <v>43801</v>
      </c>
      <c r="B98" s="2127" t="s">
        <v>5425</v>
      </c>
      <c r="C98" s="10" t="s">
        <v>5430</v>
      </c>
      <c r="D98" s="1808">
        <v>43813</v>
      </c>
      <c r="E98" s="823" t="s">
        <v>5424</v>
      </c>
      <c r="F98" s="836">
        <v>0.54166666666666663</v>
      </c>
      <c r="G98" s="836">
        <v>0.64583333333333337</v>
      </c>
      <c r="H98" s="836">
        <v>0.64583333333333337</v>
      </c>
      <c r="I98" s="1630">
        <v>360</v>
      </c>
      <c r="J98" s="7" t="s">
        <v>369</v>
      </c>
      <c r="K98" s="7" t="s">
        <v>140</v>
      </c>
      <c r="L98" s="809" t="s">
        <v>17</v>
      </c>
    </row>
    <row r="99" spans="1:12" ht="174" hidden="1" x14ac:dyDescent="0.35">
      <c r="A99" s="1994">
        <v>43797</v>
      </c>
      <c r="B99" s="7" t="s">
        <v>5641</v>
      </c>
      <c r="C99" s="7" t="s">
        <v>5622</v>
      </c>
      <c r="D99" s="1899">
        <v>43813</v>
      </c>
      <c r="E99" s="881" t="s">
        <v>5344</v>
      </c>
      <c r="F99" s="836">
        <v>0.54166666666666663</v>
      </c>
      <c r="G99" s="836">
        <v>0.66666666666666663</v>
      </c>
      <c r="H99" s="836">
        <v>0.66666666666666663</v>
      </c>
      <c r="I99" s="1956">
        <v>704.7</v>
      </c>
      <c r="J99" s="1390" t="s">
        <v>5593</v>
      </c>
      <c r="K99" s="7" t="s">
        <v>140</v>
      </c>
      <c r="L99" s="809" t="s">
        <v>17</v>
      </c>
    </row>
    <row r="100" spans="1:12" ht="304.5" hidden="1" x14ac:dyDescent="0.35">
      <c r="A100" s="2154">
        <v>43808</v>
      </c>
      <c r="B100" s="2155" t="s">
        <v>262</v>
      </c>
      <c r="C100" s="1733" t="s">
        <v>5611</v>
      </c>
      <c r="D100" s="2146">
        <v>43813</v>
      </c>
      <c r="E100" s="2150" t="s">
        <v>5637</v>
      </c>
      <c r="F100" s="836">
        <v>0.70833333333333337</v>
      </c>
      <c r="G100" s="836">
        <v>0.75</v>
      </c>
      <c r="H100" s="836">
        <v>0.79166666666666663</v>
      </c>
      <c r="I100" s="1100">
        <f>8265+400</f>
        <v>8665</v>
      </c>
      <c r="J100" s="2054" t="s">
        <v>5612</v>
      </c>
      <c r="K100" s="7" t="s">
        <v>140</v>
      </c>
      <c r="L100" s="2139" t="s">
        <v>17</v>
      </c>
    </row>
    <row r="101" spans="1:12" ht="29" hidden="1" x14ac:dyDescent="0.35">
      <c r="A101" s="2161">
        <v>43813</v>
      </c>
      <c r="B101" s="2160" t="s">
        <v>5652</v>
      </c>
      <c r="C101" s="7" t="s">
        <v>5653</v>
      </c>
      <c r="D101" s="1899">
        <v>43814</v>
      </c>
      <c r="E101" s="881" t="s">
        <v>5494</v>
      </c>
      <c r="F101" s="836">
        <v>0.70833333333333337</v>
      </c>
      <c r="G101" s="836">
        <v>0.70833333333333337</v>
      </c>
      <c r="H101" s="836">
        <v>0.70833333333333337</v>
      </c>
      <c r="I101" s="1100">
        <f>0.7*0.85*120</f>
        <v>71.399999999999991</v>
      </c>
      <c r="J101" s="7" t="s">
        <v>257</v>
      </c>
      <c r="K101" s="7" t="s">
        <v>15</v>
      </c>
      <c r="L101" s="809" t="s">
        <v>17</v>
      </c>
    </row>
    <row r="102" spans="1:12" ht="87" hidden="1" x14ac:dyDescent="0.35">
      <c r="A102" s="2129">
        <v>43803</v>
      </c>
      <c r="B102" s="2127" t="s">
        <v>5449</v>
      </c>
      <c r="C102" s="10" t="s">
        <v>5451</v>
      </c>
      <c r="D102" s="1808">
        <v>43814</v>
      </c>
      <c r="E102" s="823" t="s">
        <v>5450</v>
      </c>
      <c r="F102" s="836" t="s">
        <v>15</v>
      </c>
      <c r="G102" s="836">
        <v>0.5</v>
      </c>
      <c r="H102" s="836">
        <v>0.5</v>
      </c>
      <c r="I102" s="1630">
        <v>390</v>
      </c>
      <c r="J102" s="870" t="s">
        <v>2900</v>
      </c>
      <c r="K102" s="7" t="s">
        <v>15</v>
      </c>
      <c r="L102" s="809" t="s">
        <v>17</v>
      </c>
    </row>
    <row r="103" spans="1:12" ht="29" hidden="1" x14ac:dyDescent="0.35">
      <c r="A103" s="2161">
        <v>43813</v>
      </c>
      <c r="B103" s="2160" t="s">
        <v>5644</v>
      </c>
      <c r="C103" s="2054" t="s">
        <v>5645</v>
      </c>
      <c r="D103" s="2136">
        <v>43815</v>
      </c>
      <c r="E103" s="2137" t="s">
        <v>5646</v>
      </c>
      <c r="F103" s="2057" t="s">
        <v>15</v>
      </c>
      <c r="G103" s="2057">
        <v>0.72916666666666663</v>
      </c>
      <c r="H103" s="2057">
        <v>0.77083333333333337</v>
      </c>
      <c r="I103" s="2138">
        <v>100</v>
      </c>
      <c r="J103" s="2054" t="s">
        <v>257</v>
      </c>
      <c r="K103" s="7" t="s">
        <v>119</v>
      </c>
      <c r="L103" s="2139" t="s">
        <v>17</v>
      </c>
    </row>
    <row r="104" spans="1:12" ht="29" hidden="1" x14ac:dyDescent="0.35">
      <c r="A104" s="2147">
        <v>43810</v>
      </c>
      <c r="B104" s="2144" t="s">
        <v>5583</v>
      </c>
      <c r="C104" s="7" t="s">
        <v>5584</v>
      </c>
      <c r="D104" s="1899">
        <v>43815</v>
      </c>
      <c r="E104" s="7" t="s">
        <v>5585</v>
      </c>
      <c r="F104" s="7" t="s">
        <v>15</v>
      </c>
      <c r="G104" s="836">
        <v>0.375</v>
      </c>
      <c r="H104" s="836">
        <v>0.70833333333333337</v>
      </c>
      <c r="I104" s="1630">
        <v>180</v>
      </c>
      <c r="J104" s="7" t="s">
        <v>5586</v>
      </c>
      <c r="K104" s="7" t="s">
        <v>15</v>
      </c>
      <c r="L104" s="809" t="s">
        <v>17</v>
      </c>
    </row>
    <row r="105" spans="1:12" ht="145" hidden="1" x14ac:dyDescent="0.35">
      <c r="A105" s="2161">
        <v>43812</v>
      </c>
      <c r="B105" s="2160" t="s">
        <v>5630</v>
      </c>
      <c r="C105" s="7" t="s">
        <v>5666</v>
      </c>
      <c r="D105" s="1899">
        <v>43816</v>
      </c>
      <c r="E105" s="881" t="s">
        <v>115</v>
      </c>
      <c r="F105" s="836">
        <v>0.375</v>
      </c>
      <c r="G105" s="836">
        <v>0.375</v>
      </c>
      <c r="H105" s="836">
        <v>0.375</v>
      </c>
      <c r="I105" s="2128">
        <v>6205</v>
      </c>
      <c r="J105" s="1090" t="s">
        <v>5632</v>
      </c>
      <c r="K105" s="1090" t="s">
        <v>15</v>
      </c>
      <c r="L105" s="2111" t="s">
        <v>17</v>
      </c>
    </row>
    <row r="106" spans="1:12" ht="29" hidden="1" x14ac:dyDescent="0.35">
      <c r="A106" s="2172">
        <v>43815</v>
      </c>
      <c r="B106" s="7" t="s">
        <v>5696</v>
      </c>
      <c r="C106" s="7" t="s">
        <v>5698</v>
      </c>
      <c r="D106" s="1899">
        <v>43816</v>
      </c>
      <c r="E106" s="881" t="s">
        <v>5697</v>
      </c>
      <c r="F106" s="836"/>
      <c r="G106" s="836">
        <v>0.45833333333333331</v>
      </c>
      <c r="H106" s="836">
        <v>0.5</v>
      </c>
      <c r="I106" s="1100">
        <v>1530</v>
      </c>
      <c r="J106" s="7" t="s">
        <v>5699</v>
      </c>
      <c r="K106" s="7"/>
      <c r="L106" s="809" t="s">
        <v>22</v>
      </c>
    </row>
    <row r="107" spans="1:12" ht="29" hidden="1" x14ac:dyDescent="0.35">
      <c r="A107" s="2140">
        <v>43806</v>
      </c>
      <c r="B107" s="2134" t="s">
        <v>5487</v>
      </c>
      <c r="C107" s="2054" t="s">
        <v>5540</v>
      </c>
      <c r="D107" s="2136">
        <v>43816</v>
      </c>
      <c r="E107" s="2137" t="s">
        <v>5489</v>
      </c>
      <c r="F107" s="2057">
        <v>0.45833333333333331</v>
      </c>
      <c r="G107" s="2057">
        <v>0.5</v>
      </c>
      <c r="H107" s="2057">
        <v>0.5</v>
      </c>
      <c r="I107" s="2138">
        <f>2.7*(60)</f>
        <v>162</v>
      </c>
      <c r="J107" s="850" t="s">
        <v>5539</v>
      </c>
      <c r="K107" s="7" t="s">
        <v>140</v>
      </c>
      <c r="L107" s="2139" t="s">
        <v>17</v>
      </c>
    </row>
    <row r="108" spans="1:12" ht="203" hidden="1" x14ac:dyDescent="0.35">
      <c r="A108" s="2163">
        <v>43813</v>
      </c>
      <c r="B108" s="2164" t="s">
        <v>5655</v>
      </c>
      <c r="C108" s="1733" t="s">
        <v>5674</v>
      </c>
      <c r="D108" s="2146">
        <v>43816</v>
      </c>
      <c r="E108" s="2150" t="s">
        <v>5664</v>
      </c>
      <c r="F108" s="836">
        <v>0.45833333333333331</v>
      </c>
      <c r="G108" s="836">
        <v>0.54166666666666663</v>
      </c>
      <c r="H108" s="836">
        <v>0.54166666666666663</v>
      </c>
      <c r="I108" s="1100">
        <v>860</v>
      </c>
      <c r="J108" s="850" t="s">
        <v>5665</v>
      </c>
      <c r="K108" s="7" t="s">
        <v>140</v>
      </c>
      <c r="L108" s="809" t="s">
        <v>17</v>
      </c>
    </row>
    <row r="109" spans="1:12" ht="43.5" hidden="1" x14ac:dyDescent="0.35">
      <c r="A109" s="2149">
        <v>43808</v>
      </c>
      <c r="B109" s="817" t="s">
        <v>5460</v>
      </c>
      <c r="C109" s="7" t="s">
        <v>5546</v>
      </c>
      <c r="D109" s="1899">
        <v>43816</v>
      </c>
      <c r="E109" s="881" t="s">
        <v>5547</v>
      </c>
      <c r="F109" s="836">
        <v>0.45833333333333331</v>
      </c>
      <c r="G109" s="836">
        <v>0.58333333333333337</v>
      </c>
      <c r="H109" s="836">
        <v>0.58333333333333337</v>
      </c>
      <c r="I109" s="1100">
        <v>240</v>
      </c>
      <c r="J109" s="7" t="s">
        <v>257</v>
      </c>
      <c r="K109" s="7" t="s">
        <v>140</v>
      </c>
      <c r="L109" s="809" t="s">
        <v>17</v>
      </c>
    </row>
    <row r="110" spans="1:12" hidden="1" x14ac:dyDescent="0.35">
      <c r="A110" s="2149">
        <v>43808</v>
      </c>
      <c r="B110" s="817" t="s">
        <v>5436</v>
      </c>
      <c r="C110" s="7" t="s">
        <v>1443</v>
      </c>
      <c r="D110" s="1899">
        <v>43816</v>
      </c>
      <c r="E110" s="881" t="s">
        <v>5494</v>
      </c>
      <c r="F110" s="836">
        <v>0.54166666666666663</v>
      </c>
      <c r="G110" s="836">
        <v>0.54166666666666663</v>
      </c>
      <c r="H110" s="836">
        <v>0.54166666666666663</v>
      </c>
      <c r="I110" s="1100">
        <v>126</v>
      </c>
      <c r="J110" s="7" t="s">
        <v>5545</v>
      </c>
      <c r="K110" s="7" t="s">
        <v>15</v>
      </c>
      <c r="L110" s="809" t="s">
        <v>1508</v>
      </c>
    </row>
    <row r="111" spans="1:12" ht="87" hidden="1" x14ac:dyDescent="0.35">
      <c r="A111" s="2101">
        <v>43815</v>
      </c>
      <c r="B111" s="1412" t="s">
        <v>5670</v>
      </c>
      <c r="C111" s="10" t="s">
        <v>5669</v>
      </c>
      <c r="D111" s="1808">
        <v>43816</v>
      </c>
      <c r="E111" s="823" t="s">
        <v>5450</v>
      </c>
      <c r="F111" s="836">
        <v>0.625</v>
      </c>
      <c r="G111" s="836">
        <v>0.66666666666666663</v>
      </c>
      <c r="H111" s="836">
        <v>0.66666666666666663</v>
      </c>
      <c r="I111" s="1100">
        <f>2.5*120</f>
        <v>300</v>
      </c>
      <c r="J111" s="7" t="s">
        <v>5671</v>
      </c>
      <c r="K111" s="7" t="s">
        <v>140</v>
      </c>
      <c r="L111" s="809" t="s">
        <v>17</v>
      </c>
    </row>
    <row r="112" spans="1:12" ht="43.5" hidden="1" x14ac:dyDescent="0.35">
      <c r="A112" s="1994">
        <v>43815</v>
      </c>
      <c r="B112" s="7" t="s">
        <v>5672</v>
      </c>
      <c r="C112" s="7" t="s">
        <v>5693</v>
      </c>
      <c r="D112" s="1899">
        <v>43816</v>
      </c>
      <c r="E112" s="881" t="s">
        <v>1638</v>
      </c>
      <c r="F112" s="836">
        <v>0.625</v>
      </c>
      <c r="G112" s="836">
        <v>0.70833333333333337</v>
      </c>
      <c r="H112" s="836">
        <v>0.70833333333333337</v>
      </c>
      <c r="I112" s="1100">
        <f>0.85*(2*90+2*85)</f>
        <v>297.5</v>
      </c>
      <c r="J112" s="850" t="s">
        <v>5673</v>
      </c>
      <c r="K112" s="7" t="s">
        <v>140</v>
      </c>
      <c r="L112" s="809" t="s">
        <v>17</v>
      </c>
    </row>
    <row r="113" spans="1:12" ht="58" hidden="1" x14ac:dyDescent="0.35">
      <c r="A113" s="2163">
        <v>43813</v>
      </c>
      <c r="B113" s="2164" t="s">
        <v>5436</v>
      </c>
      <c r="C113" s="1733" t="s">
        <v>5647</v>
      </c>
      <c r="D113" s="2146">
        <v>43816</v>
      </c>
      <c r="E113" s="881" t="s">
        <v>5494</v>
      </c>
      <c r="F113" s="836">
        <v>0.75</v>
      </c>
      <c r="G113" s="836">
        <v>0.75</v>
      </c>
      <c r="H113" s="836">
        <v>0.75</v>
      </c>
      <c r="I113" s="1100">
        <f>130*0.7</f>
        <v>91</v>
      </c>
      <c r="J113" s="7" t="s">
        <v>257</v>
      </c>
      <c r="K113" s="7" t="s">
        <v>140</v>
      </c>
      <c r="L113" s="809" t="s">
        <v>17</v>
      </c>
    </row>
    <row r="114" spans="1:12" ht="29" hidden="1" x14ac:dyDescent="0.35">
      <c r="A114" s="2147">
        <v>43810</v>
      </c>
      <c r="B114" s="2144" t="s">
        <v>5542</v>
      </c>
      <c r="C114" s="7" t="s">
        <v>5689</v>
      </c>
      <c r="D114" s="1899">
        <v>43816</v>
      </c>
      <c r="E114" s="7" t="s">
        <v>5587</v>
      </c>
      <c r="F114" s="836">
        <v>0.79166666666666663</v>
      </c>
      <c r="G114" s="836">
        <v>0.82291666666666663</v>
      </c>
      <c r="H114" s="836">
        <v>0.82291666666666663</v>
      </c>
      <c r="I114" s="1100">
        <f>5*90*0.85</f>
        <v>382.5</v>
      </c>
      <c r="J114" s="7" t="s">
        <v>257</v>
      </c>
      <c r="K114" s="7" t="s">
        <v>140</v>
      </c>
      <c r="L114" s="809" t="s">
        <v>17</v>
      </c>
    </row>
    <row r="115" spans="1:12" hidden="1" x14ac:dyDescent="0.35">
      <c r="A115" s="1994">
        <v>43815</v>
      </c>
      <c r="B115" s="7" t="s">
        <v>20</v>
      </c>
      <c r="C115" s="7" t="s">
        <v>5677</v>
      </c>
      <c r="D115" s="1899">
        <v>43816</v>
      </c>
      <c r="E115" s="881" t="s">
        <v>20</v>
      </c>
      <c r="F115" s="836" t="s">
        <v>15</v>
      </c>
      <c r="G115" s="836" t="s">
        <v>15</v>
      </c>
      <c r="H115" s="836" t="s">
        <v>15</v>
      </c>
      <c r="I115" s="1100">
        <v>0</v>
      </c>
      <c r="J115" s="836" t="s">
        <v>15</v>
      </c>
      <c r="K115" s="836" t="s">
        <v>15</v>
      </c>
      <c r="L115" s="809" t="s">
        <v>17</v>
      </c>
    </row>
    <row r="116" spans="1:12" hidden="1" x14ac:dyDescent="0.35">
      <c r="A116" s="2149">
        <v>43800</v>
      </c>
      <c r="B116" s="817" t="s">
        <v>20</v>
      </c>
      <c r="C116" s="7" t="s">
        <v>5375</v>
      </c>
      <c r="D116" s="1899">
        <v>43816</v>
      </c>
      <c r="E116" s="881" t="s">
        <v>20</v>
      </c>
      <c r="F116" s="836" t="s">
        <v>15</v>
      </c>
      <c r="G116" s="836" t="s">
        <v>15</v>
      </c>
      <c r="H116" s="836" t="s">
        <v>15</v>
      </c>
      <c r="I116" s="1100">
        <v>0</v>
      </c>
      <c r="J116" s="836" t="s">
        <v>15</v>
      </c>
      <c r="K116" s="836" t="s">
        <v>15</v>
      </c>
      <c r="L116" s="809" t="s">
        <v>17</v>
      </c>
    </row>
    <row r="117" spans="1:12" ht="145" hidden="1" x14ac:dyDescent="0.35">
      <c r="A117" s="2161">
        <v>43812</v>
      </c>
      <c r="B117" s="2160" t="s">
        <v>5630</v>
      </c>
      <c r="C117" s="7" t="s">
        <v>5666</v>
      </c>
      <c r="D117" s="1899">
        <v>43817</v>
      </c>
      <c r="E117" s="881" t="s">
        <v>5494</v>
      </c>
      <c r="F117" s="836">
        <v>0.375</v>
      </c>
      <c r="G117" s="836">
        <v>0.375</v>
      </c>
      <c r="H117" s="836">
        <v>0.375</v>
      </c>
      <c r="I117" s="1100">
        <v>0</v>
      </c>
      <c r="J117" s="7" t="s">
        <v>5631</v>
      </c>
      <c r="K117" s="7" t="s">
        <v>15</v>
      </c>
      <c r="L117" s="809" t="s">
        <v>17</v>
      </c>
    </row>
    <row r="118" spans="1:12" ht="29" hidden="1" x14ac:dyDescent="0.35">
      <c r="A118" s="2172">
        <v>43815</v>
      </c>
      <c r="B118" s="7" t="s">
        <v>5696</v>
      </c>
      <c r="C118" s="7" t="s">
        <v>5848</v>
      </c>
      <c r="D118" s="1899">
        <v>43817</v>
      </c>
      <c r="E118" s="881" t="s">
        <v>5697</v>
      </c>
      <c r="F118" s="836"/>
      <c r="G118" s="836">
        <v>0.45833333333333331</v>
      </c>
      <c r="H118" s="836">
        <v>0.5</v>
      </c>
      <c r="I118" s="1100">
        <v>0</v>
      </c>
      <c r="J118" s="7"/>
      <c r="K118" s="7"/>
      <c r="L118" s="809" t="s">
        <v>22</v>
      </c>
    </row>
    <row r="119" spans="1:12" ht="58" hidden="1" x14ac:dyDescent="0.35">
      <c r="A119" s="2171">
        <v>43817</v>
      </c>
      <c r="B119" s="2168" t="s">
        <v>5736</v>
      </c>
      <c r="C119" s="7" t="s">
        <v>5737</v>
      </c>
      <c r="D119" s="1899">
        <v>43817</v>
      </c>
      <c r="E119" s="881" t="s">
        <v>5738</v>
      </c>
      <c r="F119" s="836">
        <v>0.5</v>
      </c>
      <c r="G119" s="836">
        <v>0.54166666666666663</v>
      </c>
      <c r="H119" s="836">
        <v>0.54166666666666663</v>
      </c>
      <c r="I119" s="1100">
        <v>0</v>
      </c>
      <c r="J119" s="836" t="s">
        <v>16</v>
      </c>
      <c r="K119" s="836" t="s">
        <v>136</v>
      </c>
      <c r="L119" s="809" t="s">
        <v>17</v>
      </c>
    </row>
    <row r="120" spans="1:12" ht="43.5" hidden="1" x14ac:dyDescent="0.35">
      <c r="A120" s="2152">
        <v>43815</v>
      </c>
      <c r="B120" s="1850" t="s">
        <v>5675</v>
      </c>
      <c r="C120" s="1733" t="s">
        <v>5676</v>
      </c>
      <c r="D120" s="2146">
        <v>43817</v>
      </c>
      <c r="E120" s="2150" t="s">
        <v>5739</v>
      </c>
      <c r="F120" s="836">
        <v>0.5</v>
      </c>
      <c r="G120" s="836">
        <v>0.55555555555555558</v>
      </c>
      <c r="H120" s="836">
        <v>0.55555555555555558</v>
      </c>
      <c r="I120" s="1100">
        <f>4*120</f>
        <v>480</v>
      </c>
      <c r="J120" s="850" t="s">
        <v>5678</v>
      </c>
      <c r="K120" s="7" t="s">
        <v>136</v>
      </c>
      <c r="L120" s="809" t="s">
        <v>17</v>
      </c>
    </row>
    <row r="121" spans="1:12" ht="29" hidden="1" x14ac:dyDescent="0.35">
      <c r="A121" s="2162">
        <v>43815</v>
      </c>
      <c r="B121" s="2167" t="s">
        <v>1122</v>
      </c>
      <c r="C121" s="7" t="s">
        <v>3321</v>
      </c>
      <c r="D121" s="1899">
        <v>43817</v>
      </c>
      <c r="E121" s="881" t="s">
        <v>4109</v>
      </c>
      <c r="F121" s="836">
        <v>0.5</v>
      </c>
      <c r="G121" s="836">
        <v>0.59722222222222221</v>
      </c>
      <c r="H121" s="836">
        <v>0.59722222222222221</v>
      </c>
      <c r="I121" s="1630">
        <f>2*90*0.85</f>
        <v>153</v>
      </c>
      <c r="J121" s="7" t="s">
        <v>257</v>
      </c>
      <c r="K121" s="7" t="s">
        <v>136</v>
      </c>
      <c r="L121" s="809" t="s">
        <v>17</v>
      </c>
    </row>
    <row r="122" spans="1:12" ht="29" hidden="1" x14ac:dyDescent="0.35">
      <c r="A122" s="2171">
        <v>43816</v>
      </c>
      <c r="B122" s="2168" t="s">
        <v>5710</v>
      </c>
      <c r="C122" s="7" t="s">
        <v>5709</v>
      </c>
      <c r="D122" s="1899">
        <v>43817</v>
      </c>
      <c r="E122" s="881" t="s">
        <v>2514</v>
      </c>
      <c r="F122" s="836">
        <v>0.5</v>
      </c>
      <c r="G122" s="836">
        <v>0.625</v>
      </c>
      <c r="H122" s="836">
        <v>0.625</v>
      </c>
      <c r="I122" s="1100">
        <f>0.7*(4*99+2*90*0.85)</f>
        <v>384.29999999999995</v>
      </c>
      <c r="J122" s="7" t="s">
        <v>5711</v>
      </c>
      <c r="K122" s="7" t="s">
        <v>136</v>
      </c>
      <c r="L122" s="809" t="s">
        <v>17</v>
      </c>
    </row>
    <row r="123" spans="1:12" hidden="1" x14ac:dyDescent="0.35">
      <c r="A123" s="2149">
        <v>43808</v>
      </c>
      <c r="B123" s="817" t="s">
        <v>5436</v>
      </c>
      <c r="C123" s="7" t="s">
        <v>5708</v>
      </c>
      <c r="D123" s="1899">
        <v>43817</v>
      </c>
      <c r="E123" s="881" t="s">
        <v>5494</v>
      </c>
      <c r="F123" s="836">
        <v>0.54166666666666663</v>
      </c>
      <c r="G123" s="836">
        <v>0.54166666666666663</v>
      </c>
      <c r="H123" s="836">
        <v>0.54166666666666663</v>
      </c>
      <c r="I123" s="1100">
        <f>126*2</f>
        <v>252</v>
      </c>
      <c r="J123" s="7" t="s">
        <v>5545</v>
      </c>
      <c r="K123" s="7" t="s">
        <v>136</v>
      </c>
      <c r="L123" s="809" t="s">
        <v>1508</v>
      </c>
    </row>
    <row r="124" spans="1:12" hidden="1" x14ac:dyDescent="0.35">
      <c r="A124" s="2171">
        <v>43816</v>
      </c>
      <c r="B124" s="2168" t="s">
        <v>20</v>
      </c>
      <c r="C124" s="7" t="s">
        <v>5728</v>
      </c>
      <c r="D124" s="1899">
        <v>43817</v>
      </c>
      <c r="E124" s="881" t="s">
        <v>20</v>
      </c>
      <c r="F124" s="836" t="s">
        <v>15</v>
      </c>
      <c r="G124" s="836" t="s">
        <v>15</v>
      </c>
      <c r="H124" s="836" t="s">
        <v>15</v>
      </c>
      <c r="I124" s="1100">
        <v>0</v>
      </c>
      <c r="J124" s="7" t="s">
        <v>16</v>
      </c>
      <c r="K124" s="7" t="s">
        <v>542</v>
      </c>
      <c r="L124" s="809" t="s">
        <v>17</v>
      </c>
    </row>
    <row r="125" spans="1:12" hidden="1" x14ac:dyDescent="0.35">
      <c r="A125" s="2149">
        <v>43810</v>
      </c>
      <c r="B125" s="7" t="s">
        <v>20</v>
      </c>
      <c r="C125" s="7" t="s">
        <v>5610</v>
      </c>
      <c r="D125" s="1899">
        <v>43817</v>
      </c>
      <c r="E125" s="881" t="s">
        <v>20</v>
      </c>
      <c r="F125" s="836" t="s">
        <v>15</v>
      </c>
      <c r="G125" s="836" t="s">
        <v>15</v>
      </c>
      <c r="H125" s="836" t="s">
        <v>15</v>
      </c>
      <c r="I125" s="1100">
        <v>0</v>
      </c>
      <c r="J125" s="7" t="s">
        <v>15</v>
      </c>
      <c r="K125" s="7" t="s">
        <v>15</v>
      </c>
      <c r="L125" s="809" t="s">
        <v>17</v>
      </c>
    </row>
    <row r="126" spans="1:12" hidden="1" x14ac:dyDescent="0.35">
      <c r="A126" s="2149">
        <v>43810</v>
      </c>
      <c r="B126" s="817" t="s">
        <v>20</v>
      </c>
      <c r="C126" s="7" t="s">
        <v>5609</v>
      </c>
      <c r="D126" s="1899">
        <v>43817</v>
      </c>
      <c r="E126" s="881" t="s">
        <v>20</v>
      </c>
      <c r="F126" s="836" t="s">
        <v>15</v>
      </c>
      <c r="G126" s="836" t="s">
        <v>15</v>
      </c>
      <c r="H126" s="836" t="s">
        <v>15</v>
      </c>
      <c r="I126" s="1100">
        <v>0</v>
      </c>
      <c r="J126" s="7" t="s">
        <v>15</v>
      </c>
      <c r="K126" s="7" t="s">
        <v>15</v>
      </c>
      <c r="L126" s="809" t="s">
        <v>17</v>
      </c>
    </row>
    <row r="127" spans="1:12" ht="29" hidden="1" x14ac:dyDescent="0.35">
      <c r="A127" s="2172">
        <v>43815</v>
      </c>
      <c r="B127" s="7" t="s">
        <v>5696</v>
      </c>
      <c r="C127" s="7" t="s">
        <v>5849</v>
      </c>
      <c r="D127" s="1899">
        <v>43818</v>
      </c>
      <c r="E127" s="881" t="s">
        <v>5697</v>
      </c>
      <c r="F127" s="836"/>
      <c r="G127" s="836">
        <v>0.45833333333333331</v>
      </c>
      <c r="H127" s="836">
        <v>0.5</v>
      </c>
      <c r="I127" s="1100">
        <v>382.5</v>
      </c>
      <c r="J127" s="7" t="s">
        <v>5850</v>
      </c>
      <c r="K127" s="7"/>
      <c r="L127" s="809" t="s">
        <v>22</v>
      </c>
    </row>
    <row r="128" spans="1:12" ht="58" hidden="1" x14ac:dyDescent="0.35">
      <c r="A128" s="2171">
        <v>43816</v>
      </c>
      <c r="B128" s="1149" t="s">
        <v>5702</v>
      </c>
      <c r="C128" s="7" t="s">
        <v>5705</v>
      </c>
      <c r="D128" s="1899">
        <v>43818</v>
      </c>
      <c r="E128" s="881" t="s">
        <v>5706</v>
      </c>
      <c r="F128" s="836">
        <v>0.33333333333333331</v>
      </c>
      <c r="G128" s="836">
        <v>0.35416666666666669</v>
      </c>
      <c r="H128" s="836">
        <v>0.35416666666666669</v>
      </c>
      <c r="I128" s="1100">
        <v>6150</v>
      </c>
      <c r="J128" s="7" t="s">
        <v>5704</v>
      </c>
      <c r="K128" s="7" t="s">
        <v>22</v>
      </c>
      <c r="L128" s="809" t="s">
        <v>22</v>
      </c>
    </row>
    <row r="129" spans="1:12" ht="43.5" hidden="1" x14ac:dyDescent="0.35">
      <c r="A129" s="1453">
        <v>43816</v>
      </c>
      <c r="B129" s="5" t="s">
        <v>5733</v>
      </c>
      <c r="C129" s="5" t="s">
        <v>5734</v>
      </c>
      <c r="D129" s="908">
        <v>43818</v>
      </c>
      <c r="E129" s="824" t="s">
        <v>4863</v>
      </c>
      <c r="F129" s="2057">
        <v>0.33333333333333331</v>
      </c>
      <c r="G129" s="2057">
        <v>0.375</v>
      </c>
      <c r="H129" s="2057">
        <v>0.375</v>
      </c>
      <c r="I129" s="2138">
        <v>905.25</v>
      </c>
      <c r="J129" s="2054" t="s">
        <v>5735</v>
      </c>
      <c r="K129" s="2054" t="s">
        <v>22</v>
      </c>
      <c r="L129" s="2139" t="s">
        <v>974</v>
      </c>
    </row>
    <row r="130" spans="1:12" ht="29" hidden="1" x14ac:dyDescent="0.35">
      <c r="A130" s="2172">
        <v>43815</v>
      </c>
      <c r="B130" s="881" t="s">
        <v>5594</v>
      </c>
      <c r="C130" s="7" t="s">
        <v>5695</v>
      </c>
      <c r="D130" s="1899">
        <v>43818</v>
      </c>
      <c r="E130" s="881" t="s">
        <v>506</v>
      </c>
      <c r="F130" s="836">
        <v>0.33333333333333331</v>
      </c>
      <c r="G130" s="836">
        <v>0.41666666666666669</v>
      </c>
      <c r="H130" s="836">
        <v>0.41666666666666669</v>
      </c>
      <c r="I130" s="1100">
        <v>229.5</v>
      </c>
      <c r="J130" s="7" t="s">
        <v>257</v>
      </c>
      <c r="K130" s="7" t="s">
        <v>22</v>
      </c>
      <c r="L130" s="809" t="s">
        <v>22</v>
      </c>
    </row>
    <row r="131" spans="1:12" ht="174" hidden="1" x14ac:dyDescent="0.35">
      <c r="A131" s="2161">
        <v>43813</v>
      </c>
      <c r="B131" s="2160" t="s">
        <v>5656</v>
      </c>
      <c r="C131" s="7" t="s">
        <v>5794</v>
      </c>
      <c r="D131" s="1899">
        <v>43818</v>
      </c>
      <c r="E131" s="881" t="s">
        <v>5657</v>
      </c>
      <c r="F131" s="836">
        <v>0.36458333333333331</v>
      </c>
      <c r="G131" s="836">
        <v>0.39583333333333331</v>
      </c>
      <c r="H131" s="836">
        <v>0.39583333333333331</v>
      </c>
      <c r="I131" s="1100">
        <f>100*4*4.76</f>
        <v>1904</v>
      </c>
      <c r="J131" s="7" t="s">
        <v>5658</v>
      </c>
      <c r="K131" s="7" t="s">
        <v>140</v>
      </c>
      <c r="L131" s="809" t="s">
        <v>17</v>
      </c>
    </row>
    <row r="132" spans="1:12" ht="101.5" hidden="1" x14ac:dyDescent="0.35">
      <c r="A132" s="2161">
        <v>43812</v>
      </c>
      <c r="B132" s="2160" t="s">
        <v>5630</v>
      </c>
      <c r="C132" s="7" t="s">
        <v>5791</v>
      </c>
      <c r="D132" s="1899">
        <v>43818</v>
      </c>
      <c r="E132" s="881" t="s">
        <v>5494</v>
      </c>
      <c r="F132" s="836">
        <v>0.375</v>
      </c>
      <c r="G132" s="836">
        <v>0.375</v>
      </c>
      <c r="H132" s="836">
        <v>0.375</v>
      </c>
      <c r="I132" s="1100">
        <v>0</v>
      </c>
      <c r="J132" s="7" t="s">
        <v>5631</v>
      </c>
      <c r="K132" s="7" t="s">
        <v>15</v>
      </c>
      <c r="L132" s="809" t="s">
        <v>17</v>
      </c>
    </row>
    <row r="133" spans="1:12" ht="188.5" hidden="1" x14ac:dyDescent="0.35">
      <c r="A133" s="2171">
        <v>43816</v>
      </c>
      <c r="B133" s="2168" t="s">
        <v>697</v>
      </c>
      <c r="C133" s="7" t="s">
        <v>5712</v>
      </c>
      <c r="D133" s="1899">
        <v>43818</v>
      </c>
      <c r="E133" s="881" t="s">
        <v>2514</v>
      </c>
      <c r="F133" s="836">
        <v>0.45833333333333331</v>
      </c>
      <c r="G133" s="836">
        <v>0.5</v>
      </c>
      <c r="H133" s="836">
        <v>0.5</v>
      </c>
      <c r="I133" s="1100">
        <f>5*135</f>
        <v>675</v>
      </c>
      <c r="J133" s="7" t="s">
        <v>5713</v>
      </c>
      <c r="K133" s="7" t="s">
        <v>140</v>
      </c>
      <c r="L133" s="809" t="s">
        <v>17</v>
      </c>
    </row>
    <row r="134" spans="1:12" ht="29" hidden="1" x14ac:dyDescent="0.35">
      <c r="A134" s="2161">
        <v>43812</v>
      </c>
      <c r="B134" s="2160" t="s">
        <v>5330</v>
      </c>
      <c r="C134" s="7" t="s">
        <v>5633</v>
      </c>
      <c r="D134" s="1899">
        <v>43818</v>
      </c>
      <c r="E134" s="881" t="s">
        <v>126</v>
      </c>
      <c r="F134" s="836">
        <v>0.45833333333333331</v>
      </c>
      <c r="G134" s="836">
        <v>0.5</v>
      </c>
      <c r="H134" s="836">
        <v>0.5</v>
      </c>
      <c r="I134" s="1100">
        <f>1.75*120*0.7</f>
        <v>147</v>
      </c>
      <c r="J134" s="7" t="s">
        <v>1921</v>
      </c>
      <c r="K134" s="7" t="s">
        <v>140</v>
      </c>
      <c r="L134" s="809" t="s">
        <v>17</v>
      </c>
    </row>
    <row r="135" spans="1:12" ht="43.5" hidden="1" x14ac:dyDescent="0.35">
      <c r="A135" s="2140">
        <v>43806</v>
      </c>
      <c r="B135" s="2134" t="s">
        <v>5487</v>
      </c>
      <c r="C135" s="2054" t="s">
        <v>5541</v>
      </c>
      <c r="D135" s="2136">
        <v>43818</v>
      </c>
      <c r="E135" s="2137" t="s">
        <v>5489</v>
      </c>
      <c r="F135" s="2057">
        <v>0.45833333333333331</v>
      </c>
      <c r="G135" s="2057">
        <v>0.54166666666666663</v>
      </c>
      <c r="H135" s="2057">
        <v>0.54166666666666663</v>
      </c>
      <c r="I135" s="2138">
        <f>2.7*(40+20+15)</f>
        <v>202.5</v>
      </c>
      <c r="J135" s="2054" t="s">
        <v>5539</v>
      </c>
      <c r="K135" s="7" t="s">
        <v>140</v>
      </c>
      <c r="L135" s="2139" t="s">
        <v>17</v>
      </c>
    </row>
    <row r="136" spans="1:12" ht="159.5" hidden="1" x14ac:dyDescent="0.35">
      <c r="A136" s="2148">
        <v>43809</v>
      </c>
      <c r="B136" s="2141" t="s">
        <v>5564</v>
      </c>
      <c r="C136" s="2054" t="s">
        <v>5565</v>
      </c>
      <c r="D136" s="2136">
        <v>43818</v>
      </c>
      <c r="E136" s="2137" t="s">
        <v>5566</v>
      </c>
      <c r="F136" s="2057">
        <v>0.45833333333333331</v>
      </c>
      <c r="G136" s="2057">
        <v>0.58333333333333337</v>
      </c>
      <c r="H136" s="2057">
        <v>0.58333333333333337</v>
      </c>
      <c r="I136" s="2138">
        <f>12*90*0.85</f>
        <v>918</v>
      </c>
      <c r="J136" s="2054" t="s">
        <v>5567</v>
      </c>
      <c r="K136" s="7" t="s">
        <v>140</v>
      </c>
      <c r="L136" s="2139" t="s">
        <v>17</v>
      </c>
    </row>
    <row r="137" spans="1:12" ht="203" hidden="1" x14ac:dyDescent="0.35">
      <c r="A137" s="2165">
        <v>43813</v>
      </c>
      <c r="B137" s="2169" t="s">
        <v>5654</v>
      </c>
      <c r="C137" s="10" t="s">
        <v>5793</v>
      </c>
      <c r="D137" s="1808">
        <v>43818</v>
      </c>
      <c r="E137" s="823" t="s">
        <v>5792</v>
      </c>
      <c r="F137" s="836">
        <v>0.625</v>
      </c>
      <c r="G137" s="836">
        <v>0.66666666666666663</v>
      </c>
      <c r="H137" s="836">
        <v>0.66666666666666663</v>
      </c>
      <c r="I137" s="2170">
        <f>(80*5*4.75+300)*0.5</f>
        <v>1100</v>
      </c>
      <c r="J137" s="7" t="s">
        <v>5688</v>
      </c>
      <c r="K137" s="7" t="s">
        <v>140</v>
      </c>
      <c r="L137" s="809" t="s">
        <v>17</v>
      </c>
    </row>
    <row r="138" spans="1:12" ht="101.5" hidden="1" x14ac:dyDescent="0.35">
      <c r="A138" s="2149">
        <v>43817</v>
      </c>
      <c r="B138" s="1149" t="s">
        <v>5383</v>
      </c>
      <c r="C138" s="7" t="s">
        <v>5740</v>
      </c>
      <c r="D138" s="1899">
        <v>43818</v>
      </c>
      <c r="E138" s="881" t="s">
        <v>5741</v>
      </c>
      <c r="F138" s="836">
        <v>0.625</v>
      </c>
      <c r="G138" s="836">
        <v>0.75</v>
      </c>
      <c r="H138" s="836">
        <v>0.75</v>
      </c>
      <c r="I138" s="1100">
        <v>100</v>
      </c>
      <c r="J138" s="7" t="s">
        <v>5742</v>
      </c>
      <c r="K138" s="7" t="s">
        <v>140</v>
      </c>
      <c r="L138" s="809" t="s">
        <v>17</v>
      </c>
    </row>
    <row r="139" spans="1:12" hidden="1" x14ac:dyDescent="0.35">
      <c r="A139" s="2149">
        <v>43817</v>
      </c>
      <c r="B139" s="817" t="s">
        <v>20</v>
      </c>
      <c r="C139" s="7" t="s">
        <v>5784</v>
      </c>
      <c r="D139" s="1899">
        <v>43818</v>
      </c>
      <c r="E139" s="881" t="s">
        <v>20</v>
      </c>
      <c r="F139" s="836" t="s">
        <v>15</v>
      </c>
      <c r="G139" s="836" t="s">
        <v>15</v>
      </c>
      <c r="H139" s="836" t="s">
        <v>15</v>
      </c>
      <c r="I139" s="1100">
        <v>0</v>
      </c>
      <c r="J139" s="836" t="s">
        <v>15</v>
      </c>
      <c r="K139" s="7" t="s">
        <v>15</v>
      </c>
      <c r="L139" s="809" t="s">
        <v>17</v>
      </c>
    </row>
    <row r="140" spans="1:12" ht="232" hidden="1" x14ac:dyDescent="0.35">
      <c r="A140" s="2101">
        <v>43808</v>
      </c>
      <c r="B140" s="1412" t="s">
        <v>5548</v>
      </c>
      <c r="C140" s="10" t="s">
        <v>5818</v>
      </c>
      <c r="D140" s="1808">
        <v>43819</v>
      </c>
      <c r="E140" s="823" t="s">
        <v>5747</v>
      </c>
      <c r="F140" s="836">
        <v>0.34722222222222227</v>
      </c>
      <c r="G140" s="836">
        <v>0.375</v>
      </c>
      <c r="H140" s="836">
        <v>0.375</v>
      </c>
      <c r="I140" s="1100">
        <v>10033</v>
      </c>
      <c r="J140" s="7" t="s">
        <v>5549</v>
      </c>
      <c r="K140" s="7" t="s">
        <v>140</v>
      </c>
      <c r="L140" s="809" t="s">
        <v>17</v>
      </c>
    </row>
    <row r="141" spans="1:12" ht="116" hidden="1" x14ac:dyDescent="0.35">
      <c r="A141" s="2173">
        <v>43816</v>
      </c>
      <c r="B141" s="2192" t="s">
        <v>5729</v>
      </c>
      <c r="C141" s="10" t="s">
        <v>5730</v>
      </c>
      <c r="D141" s="1808">
        <v>43819</v>
      </c>
      <c r="E141" s="823" t="s">
        <v>5731</v>
      </c>
      <c r="F141" s="836">
        <v>0.34722222222222227</v>
      </c>
      <c r="G141" s="836">
        <v>0.4375</v>
      </c>
      <c r="H141" s="836">
        <v>0.4375</v>
      </c>
      <c r="I141" s="1630">
        <f>288+250</f>
        <v>538</v>
      </c>
      <c r="J141" s="7" t="s">
        <v>5732</v>
      </c>
      <c r="K141" s="7" t="s">
        <v>140</v>
      </c>
      <c r="L141" s="809" t="s">
        <v>17</v>
      </c>
    </row>
    <row r="142" spans="1:12" ht="58" hidden="1" x14ac:dyDescent="0.35">
      <c r="A142" s="2171">
        <v>43815</v>
      </c>
      <c r="B142" s="817" t="s">
        <v>4573</v>
      </c>
      <c r="C142" s="2054" t="s">
        <v>5682</v>
      </c>
      <c r="D142" s="2136">
        <v>43819</v>
      </c>
      <c r="E142" s="2137" t="s">
        <v>5683</v>
      </c>
      <c r="F142" s="2057">
        <v>0.34722222222222227</v>
      </c>
      <c r="G142" s="2057">
        <v>0.47916666666666669</v>
      </c>
      <c r="H142" s="2057">
        <v>0.47916666666666669</v>
      </c>
      <c r="I142" s="2138">
        <v>752.25</v>
      </c>
      <c r="J142" s="2054" t="s">
        <v>5686</v>
      </c>
      <c r="K142" s="7" t="s">
        <v>140</v>
      </c>
      <c r="L142" s="2139" t="s">
        <v>22</v>
      </c>
    </row>
    <row r="143" spans="1:12" ht="58" hidden="1" x14ac:dyDescent="0.35">
      <c r="A143" s="2171">
        <v>43816</v>
      </c>
      <c r="B143" s="2168" t="s">
        <v>5726</v>
      </c>
      <c r="C143" s="7" t="s">
        <v>5727</v>
      </c>
      <c r="D143" s="1899">
        <v>43819</v>
      </c>
      <c r="E143" s="881" t="s">
        <v>5494</v>
      </c>
      <c r="F143" s="836">
        <v>0.375</v>
      </c>
      <c r="G143" s="836">
        <v>0.375</v>
      </c>
      <c r="H143" s="836">
        <v>0.375</v>
      </c>
      <c r="I143" s="1630">
        <v>240</v>
      </c>
      <c r="J143" s="7" t="s">
        <v>5171</v>
      </c>
      <c r="K143" s="7" t="s">
        <v>15</v>
      </c>
      <c r="L143" s="809" t="s">
        <v>17</v>
      </c>
    </row>
    <row r="144" spans="1:12" ht="58" hidden="1" x14ac:dyDescent="0.35">
      <c r="A144" s="2149">
        <v>43810</v>
      </c>
      <c r="B144" s="817" t="s">
        <v>5601</v>
      </c>
      <c r="C144" s="2054" t="s">
        <v>5602</v>
      </c>
      <c r="D144" s="2136">
        <v>43819</v>
      </c>
      <c r="E144" s="2137" t="s">
        <v>5604</v>
      </c>
      <c r="F144" s="2057">
        <v>0.45833333333333331</v>
      </c>
      <c r="G144" s="2057">
        <v>0.5</v>
      </c>
      <c r="H144" s="2057">
        <v>0.5</v>
      </c>
      <c r="I144" s="1630">
        <v>374</v>
      </c>
      <c r="J144" s="2054" t="s">
        <v>5603</v>
      </c>
      <c r="K144" s="2054" t="s">
        <v>119</v>
      </c>
      <c r="L144" s="2139" t="s">
        <v>974</v>
      </c>
    </row>
    <row r="145" spans="1:12" ht="43.5" hidden="1" x14ac:dyDescent="0.35">
      <c r="A145" s="2161">
        <v>43812</v>
      </c>
      <c r="B145" s="2160" t="s">
        <v>5412</v>
      </c>
      <c r="C145" s="7" t="s">
        <v>5634</v>
      </c>
      <c r="D145" s="1899">
        <v>43819</v>
      </c>
      <c r="E145" s="881" t="s">
        <v>5635</v>
      </c>
      <c r="F145" s="836">
        <v>0.52083333333333337</v>
      </c>
      <c r="G145" s="836">
        <v>0.5625</v>
      </c>
      <c r="H145" s="836">
        <v>0.5625</v>
      </c>
      <c r="I145" s="1630">
        <f>170*0.85</f>
        <v>144.5</v>
      </c>
      <c r="J145" s="7" t="s">
        <v>257</v>
      </c>
      <c r="K145" s="7" t="s">
        <v>140</v>
      </c>
      <c r="L145" s="809" t="s">
        <v>17</v>
      </c>
    </row>
    <row r="146" spans="1:12" ht="43.5" hidden="1" x14ac:dyDescent="0.35">
      <c r="A146" s="2140">
        <v>43806</v>
      </c>
      <c r="B146" s="2134" t="s">
        <v>5487</v>
      </c>
      <c r="C146" s="2054" t="s">
        <v>5814</v>
      </c>
      <c r="D146" s="2136">
        <v>43819</v>
      </c>
      <c r="E146" s="2137" t="s">
        <v>5489</v>
      </c>
      <c r="F146" s="2057">
        <v>0.52083333333333337</v>
      </c>
      <c r="G146" s="2057">
        <v>0.60416666666666663</v>
      </c>
      <c r="H146" s="2057">
        <v>0.60416666666666663</v>
      </c>
      <c r="I146" s="2138">
        <f>2.7*(40+20+15)</f>
        <v>202.5</v>
      </c>
      <c r="J146" s="2175" t="s">
        <v>5539</v>
      </c>
      <c r="K146" s="2054" t="s">
        <v>140</v>
      </c>
      <c r="L146" s="2139" t="s">
        <v>17</v>
      </c>
    </row>
    <row r="147" spans="1:12" ht="43.5" hidden="1" x14ac:dyDescent="0.35">
      <c r="A147" s="2199">
        <v>43818</v>
      </c>
      <c r="B147" s="817" t="s">
        <v>911</v>
      </c>
      <c r="C147" s="2054" t="s">
        <v>5819</v>
      </c>
      <c r="D147" s="2136">
        <v>43819</v>
      </c>
      <c r="E147" s="2137" t="s">
        <v>5820</v>
      </c>
      <c r="F147" s="2057">
        <v>0.52083333333333337</v>
      </c>
      <c r="G147" s="2057">
        <v>0.625</v>
      </c>
      <c r="H147" s="2057">
        <v>0.625</v>
      </c>
      <c r="I147" s="2138">
        <v>0</v>
      </c>
      <c r="J147" s="2175" t="s">
        <v>5821</v>
      </c>
      <c r="K147" s="2054" t="s">
        <v>140</v>
      </c>
      <c r="L147" s="2139" t="s">
        <v>17</v>
      </c>
    </row>
    <row r="148" spans="1:12" ht="58" hidden="1" x14ac:dyDescent="0.35">
      <c r="A148" s="2161">
        <v>43815</v>
      </c>
      <c r="B148" s="2160" t="s">
        <v>1122</v>
      </c>
      <c r="C148" s="2054" t="s">
        <v>5663</v>
      </c>
      <c r="D148" s="2136">
        <v>43819</v>
      </c>
      <c r="E148" s="2137" t="s">
        <v>4109</v>
      </c>
      <c r="F148" s="2057">
        <v>0.52083333333333337</v>
      </c>
      <c r="G148" s="2057">
        <v>0.64583333333333337</v>
      </c>
      <c r="H148" s="2057">
        <v>0.64583333333333337</v>
      </c>
      <c r="I148" s="1630">
        <f>0.85*(2*90+2*85+1*140+85/2*3)</f>
        <v>524.875</v>
      </c>
      <c r="J148" s="2054" t="s">
        <v>5662</v>
      </c>
      <c r="K148" s="2054" t="s">
        <v>140</v>
      </c>
      <c r="L148" s="2139" t="s">
        <v>17</v>
      </c>
    </row>
    <row r="149" spans="1:12" ht="29" hidden="1" x14ac:dyDescent="0.35">
      <c r="A149" s="2171">
        <v>43816</v>
      </c>
      <c r="B149" s="2168" t="s">
        <v>5715</v>
      </c>
      <c r="C149" s="7" t="s">
        <v>5714</v>
      </c>
      <c r="D149" s="1899">
        <v>43819</v>
      </c>
      <c r="E149" s="881" t="s">
        <v>5494</v>
      </c>
      <c r="F149" s="836">
        <v>0.54166666666666663</v>
      </c>
      <c r="G149" s="836">
        <v>0.54166666666666663</v>
      </c>
      <c r="H149" s="836">
        <v>0.54166666666666663</v>
      </c>
      <c r="I149" s="1100">
        <v>0</v>
      </c>
      <c r="J149" s="7" t="s">
        <v>5716</v>
      </c>
      <c r="K149" s="7" t="s">
        <v>15</v>
      </c>
      <c r="L149" s="809" t="s">
        <v>17</v>
      </c>
    </row>
    <row r="150" spans="1:12" ht="29" hidden="1" x14ac:dyDescent="0.35">
      <c r="A150" s="2171">
        <v>43815</v>
      </c>
      <c r="B150" s="874" t="s">
        <v>4573</v>
      </c>
      <c r="C150" s="2176" t="s">
        <v>5684</v>
      </c>
      <c r="D150" s="2177">
        <v>43819</v>
      </c>
      <c r="E150" s="2178" t="s">
        <v>5685</v>
      </c>
      <c r="F150" s="1056">
        <v>0.58333333333333337</v>
      </c>
      <c r="G150" s="1056">
        <v>0.625</v>
      </c>
      <c r="H150" s="1056">
        <v>0.625</v>
      </c>
      <c r="I150" s="1641">
        <v>126</v>
      </c>
      <c r="J150" s="2176" t="s">
        <v>5687</v>
      </c>
      <c r="K150" s="2054" t="s">
        <v>119</v>
      </c>
      <c r="L150" s="2206" t="s">
        <v>22</v>
      </c>
    </row>
    <row r="151" spans="1:12" ht="29" hidden="1" x14ac:dyDescent="0.35">
      <c r="A151" s="1994">
        <v>43817</v>
      </c>
      <c r="B151" s="881" t="s">
        <v>5750</v>
      </c>
      <c r="C151" s="7" t="s">
        <v>5751</v>
      </c>
      <c r="D151" s="1899">
        <v>43819</v>
      </c>
      <c r="E151" s="881" t="s">
        <v>5752</v>
      </c>
      <c r="F151" s="836">
        <v>0.58333333333333337</v>
      </c>
      <c r="G151" s="836">
        <v>0.66666666666666663</v>
      </c>
      <c r="H151" s="836">
        <v>0.66666666666666663</v>
      </c>
      <c r="I151" s="1630">
        <v>99</v>
      </c>
      <c r="J151" s="7" t="s">
        <v>257</v>
      </c>
      <c r="K151" s="2054" t="s">
        <v>119</v>
      </c>
      <c r="L151" s="809" t="s">
        <v>5753</v>
      </c>
    </row>
    <row r="152" spans="1:12" ht="87" hidden="1" x14ac:dyDescent="0.35">
      <c r="A152" s="2149">
        <v>43817</v>
      </c>
      <c r="B152" s="817" t="s">
        <v>5760</v>
      </c>
      <c r="C152" s="7" t="s">
        <v>5761</v>
      </c>
      <c r="D152" s="1899">
        <v>43819</v>
      </c>
      <c r="E152" s="881" t="s">
        <v>5817</v>
      </c>
      <c r="F152" s="836">
        <v>0.58333333333333337</v>
      </c>
      <c r="G152" s="836">
        <v>0.70833333333333337</v>
      </c>
      <c r="H152" s="836">
        <v>0.70833333333333337</v>
      </c>
      <c r="I152" s="1630">
        <f>0.85*(4*85+140)+2*12*4+1*60</f>
        <v>564</v>
      </c>
      <c r="J152" s="7" t="s">
        <v>257</v>
      </c>
      <c r="K152" s="2054" t="s">
        <v>119</v>
      </c>
      <c r="L152" s="809" t="s">
        <v>17</v>
      </c>
    </row>
    <row r="153" spans="1:12" ht="29" hidden="1" x14ac:dyDescent="0.35">
      <c r="A153" s="2148">
        <v>43809</v>
      </c>
      <c r="B153" s="2141" t="s">
        <v>177</v>
      </c>
      <c r="C153" s="2054" t="s">
        <v>5577</v>
      </c>
      <c r="D153" s="2136">
        <v>43819</v>
      </c>
      <c r="E153" s="2137" t="s">
        <v>5816</v>
      </c>
      <c r="F153" s="2057">
        <v>0.58333333333333337</v>
      </c>
      <c r="G153" s="2057">
        <v>0.77083333333333337</v>
      </c>
      <c r="H153" s="2057">
        <v>0.77083333333333337</v>
      </c>
      <c r="I153" s="1630">
        <f>4*90*0.85</f>
        <v>306</v>
      </c>
      <c r="J153" s="2054" t="s">
        <v>257</v>
      </c>
      <c r="K153" s="2054" t="s">
        <v>119</v>
      </c>
      <c r="L153" s="2139" t="s">
        <v>17</v>
      </c>
    </row>
    <row r="154" spans="1:12" hidden="1" x14ac:dyDescent="0.35">
      <c r="A154" s="2179">
        <v>43818</v>
      </c>
      <c r="B154" s="7" t="s">
        <v>20</v>
      </c>
      <c r="C154" s="7" t="s">
        <v>5799</v>
      </c>
      <c r="D154" s="1899">
        <v>43819</v>
      </c>
      <c r="E154" s="881" t="s">
        <v>15</v>
      </c>
      <c r="F154" s="836">
        <v>0.625</v>
      </c>
      <c r="G154" s="836">
        <v>0.625</v>
      </c>
      <c r="H154" s="836">
        <v>0.625</v>
      </c>
      <c r="I154" s="1100">
        <v>0</v>
      </c>
      <c r="J154" s="7" t="s">
        <v>15</v>
      </c>
      <c r="K154" s="7" t="s">
        <v>15</v>
      </c>
      <c r="L154" s="809" t="s">
        <v>17</v>
      </c>
    </row>
    <row r="155" spans="1:12" ht="29" hidden="1" x14ac:dyDescent="0.35">
      <c r="A155" s="2199">
        <v>43818</v>
      </c>
      <c r="B155" s="817" t="s">
        <v>5823</v>
      </c>
      <c r="C155" s="7" t="s">
        <v>5822</v>
      </c>
      <c r="D155" s="1899">
        <v>43819</v>
      </c>
      <c r="E155" s="881" t="s">
        <v>5494</v>
      </c>
      <c r="F155" s="836">
        <v>0.66666666666666663</v>
      </c>
      <c r="G155" s="836">
        <v>0.66666666666666663</v>
      </c>
      <c r="H155" s="836">
        <v>0.66666666666666663</v>
      </c>
      <c r="I155" s="1630">
        <f>(120+12*4)*0.7</f>
        <v>117.6</v>
      </c>
      <c r="J155" s="7" t="s">
        <v>5885</v>
      </c>
      <c r="K155" s="7" t="s">
        <v>15</v>
      </c>
      <c r="L155" s="809" t="s">
        <v>17</v>
      </c>
    </row>
    <row r="156" spans="1:12" ht="145" hidden="1" x14ac:dyDescent="0.35">
      <c r="A156" s="2149">
        <v>43815</v>
      </c>
      <c r="B156" s="817" t="s">
        <v>5667</v>
      </c>
      <c r="C156" s="7" t="s">
        <v>5668</v>
      </c>
      <c r="D156" s="1899">
        <v>43819</v>
      </c>
      <c r="E156" s="881" t="s">
        <v>5494</v>
      </c>
      <c r="F156" s="836">
        <v>0.66666666666666663</v>
      </c>
      <c r="G156" s="836">
        <v>0.66666666666666663</v>
      </c>
      <c r="H156" s="836">
        <v>0.66666666666666663</v>
      </c>
      <c r="I156" s="1630">
        <v>230</v>
      </c>
      <c r="J156" s="7" t="s">
        <v>5885</v>
      </c>
      <c r="K156" s="2054" t="s">
        <v>15</v>
      </c>
      <c r="L156" s="809" t="s">
        <v>17</v>
      </c>
    </row>
    <row r="157" spans="1:12" ht="203" hidden="1" x14ac:dyDescent="0.35">
      <c r="A157" s="2101">
        <v>43808</v>
      </c>
      <c r="B157" s="1412" t="s">
        <v>5548</v>
      </c>
      <c r="C157" s="10" t="s">
        <v>5844</v>
      </c>
      <c r="D157" s="1808">
        <v>43820</v>
      </c>
      <c r="E157" s="823" t="s">
        <v>5749</v>
      </c>
      <c r="F157" s="2057">
        <v>0.35416666666666669</v>
      </c>
      <c r="G157" s="2057">
        <v>0.375</v>
      </c>
      <c r="H157" s="2057">
        <v>0.375</v>
      </c>
      <c r="I157" s="2138">
        <v>0</v>
      </c>
      <c r="J157" s="2054" t="s">
        <v>5748</v>
      </c>
      <c r="K157" s="2054" t="s">
        <v>119</v>
      </c>
      <c r="L157" s="2139" t="s">
        <v>5845</v>
      </c>
    </row>
    <row r="158" spans="1:12" ht="29" hidden="1" x14ac:dyDescent="0.35">
      <c r="A158" s="2149">
        <v>43817</v>
      </c>
      <c r="B158" s="817" t="s">
        <v>5759</v>
      </c>
      <c r="C158" s="7" t="s">
        <v>5757</v>
      </c>
      <c r="D158" s="1899">
        <v>43820</v>
      </c>
      <c r="E158" s="881" t="s">
        <v>1279</v>
      </c>
      <c r="F158" s="836">
        <v>0.35416666666666669</v>
      </c>
      <c r="G158" s="836">
        <v>0.41666666666666669</v>
      </c>
      <c r="H158" s="836">
        <v>0.41666666666666669</v>
      </c>
      <c r="I158" s="1100">
        <v>0</v>
      </c>
      <c r="J158" s="7" t="s">
        <v>5758</v>
      </c>
      <c r="K158" s="2054" t="s">
        <v>119</v>
      </c>
      <c r="L158" s="809" t="s">
        <v>17</v>
      </c>
    </row>
    <row r="159" spans="1:12" ht="58" hidden="1" x14ac:dyDescent="0.35">
      <c r="A159" s="2145">
        <v>43810</v>
      </c>
      <c r="B159" s="1733" t="s">
        <v>5605</v>
      </c>
      <c r="C159" s="1733" t="s">
        <v>5606</v>
      </c>
      <c r="D159" s="2146">
        <v>43820</v>
      </c>
      <c r="E159" s="2150" t="s">
        <v>5607</v>
      </c>
      <c r="F159" s="836">
        <v>0.35416666666666669</v>
      </c>
      <c r="G159" s="836">
        <v>0.45833333333333331</v>
      </c>
      <c r="H159" s="836">
        <v>0.45833333333333331</v>
      </c>
      <c r="I159" s="1630">
        <v>480</v>
      </c>
      <c r="J159" s="7" t="s">
        <v>369</v>
      </c>
      <c r="K159" s="2054" t="s">
        <v>119</v>
      </c>
      <c r="L159" s="809" t="s">
        <v>17</v>
      </c>
    </row>
    <row r="160" spans="1:12" ht="43.5" hidden="1" x14ac:dyDescent="0.35">
      <c r="A160" s="2140">
        <v>43806</v>
      </c>
      <c r="B160" s="2134" t="s">
        <v>131</v>
      </c>
      <c r="C160" s="7" t="s">
        <v>5524</v>
      </c>
      <c r="D160" s="1899">
        <v>43820</v>
      </c>
      <c r="E160" s="881" t="s">
        <v>1731</v>
      </c>
      <c r="F160" s="836">
        <v>0.53125</v>
      </c>
      <c r="G160" s="836">
        <v>0.5625</v>
      </c>
      <c r="H160" s="836">
        <v>0.5625</v>
      </c>
      <c r="I160" s="1100">
        <v>0</v>
      </c>
      <c r="J160" s="7" t="s">
        <v>16</v>
      </c>
      <c r="K160" s="2054" t="s">
        <v>119</v>
      </c>
      <c r="L160" s="809" t="s">
        <v>17</v>
      </c>
    </row>
    <row r="161" spans="1:12" ht="87" hidden="1" x14ac:dyDescent="0.35">
      <c r="A161" s="2152">
        <v>43810</v>
      </c>
      <c r="B161" s="1850" t="s">
        <v>5460</v>
      </c>
      <c r="C161" s="1733" t="s">
        <v>5608</v>
      </c>
      <c r="D161" s="2146">
        <v>43820</v>
      </c>
      <c r="E161" s="2150" t="s">
        <v>5450</v>
      </c>
      <c r="F161" s="836">
        <v>0.53125</v>
      </c>
      <c r="G161" s="836">
        <v>0.60416666666666663</v>
      </c>
      <c r="H161" s="836">
        <v>0.60416666666666663</v>
      </c>
      <c r="I161" s="1630">
        <v>500</v>
      </c>
      <c r="J161" s="7" t="s">
        <v>369</v>
      </c>
      <c r="K161" s="2054" t="s">
        <v>119</v>
      </c>
      <c r="L161" s="809" t="s">
        <v>17</v>
      </c>
    </row>
    <row r="162" spans="1:12" ht="72.5" hidden="1" x14ac:dyDescent="0.35">
      <c r="A162" s="2179">
        <v>43819</v>
      </c>
      <c r="B162" s="7" t="s">
        <v>4468</v>
      </c>
      <c r="C162" s="7" t="s">
        <v>5851</v>
      </c>
      <c r="D162" s="1899">
        <v>43820</v>
      </c>
      <c r="E162" s="881" t="s">
        <v>5002</v>
      </c>
      <c r="F162" s="836">
        <v>0.625</v>
      </c>
      <c r="G162" s="836">
        <v>0.65625</v>
      </c>
      <c r="H162" s="836">
        <v>0.65625</v>
      </c>
      <c r="I162" s="1100">
        <f>3*5*9</f>
        <v>135</v>
      </c>
      <c r="J162" s="1390" t="s">
        <v>5852</v>
      </c>
      <c r="K162" s="7" t="s">
        <v>119</v>
      </c>
      <c r="L162" s="809" t="s">
        <v>17</v>
      </c>
    </row>
    <row r="163" spans="1:12" ht="101.5" hidden="1" x14ac:dyDescent="0.35">
      <c r="A163" s="2101">
        <v>43800</v>
      </c>
      <c r="B163" s="1412" t="s">
        <v>5679</v>
      </c>
      <c r="C163" s="10" t="s">
        <v>5690</v>
      </c>
      <c r="D163" s="1808">
        <v>43820</v>
      </c>
      <c r="E163" s="823" t="s">
        <v>5681</v>
      </c>
      <c r="F163" s="836">
        <v>0.625</v>
      </c>
      <c r="G163" s="836">
        <v>0.6875</v>
      </c>
      <c r="H163" s="836">
        <v>0.6875</v>
      </c>
      <c r="I163" s="1630">
        <f>12*110</f>
        <v>1320</v>
      </c>
      <c r="J163" s="7" t="s">
        <v>5680</v>
      </c>
      <c r="K163" s="2054" t="s">
        <v>119</v>
      </c>
      <c r="L163" s="809" t="s">
        <v>17</v>
      </c>
    </row>
    <row r="164" spans="1:12" ht="43.5" hidden="1" x14ac:dyDescent="0.35">
      <c r="A164" s="2148">
        <v>43809</v>
      </c>
      <c r="B164" s="2141" t="s">
        <v>5574</v>
      </c>
      <c r="C164" s="2054" t="s">
        <v>5575</v>
      </c>
      <c r="D164" s="2136">
        <v>43820</v>
      </c>
      <c r="E164" s="2137" t="s">
        <v>5576</v>
      </c>
      <c r="F164" s="2057">
        <v>0.625</v>
      </c>
      <c r="G164" s="2057">
        <v>0.72916666666666663</v>
      </c>
      <c r="H164" s="2057">
        <v>0.72916666666666663</v>
      </c>
      <c r="I164" s="1630">
        <f>6*90*0.85</f>
        <v>459</v>
      </c>
      <c r="J164" s="2054" t="s">
        <v>257</v>
      </c>
      <c r="K164" s="2054" t="s">
        <v>119</v>
      </c>
      <c r="L164" s="2139" t="s">
        <v>17</v>
      </c>
    </row>
    <row r="165" spans="1:12" ht="29" hidden="1" x14ac:dyDescent="0.35">
      <c r="A165" s="2149">
        <v>43817</v>
      </c>
      <c r="B165" s="817" t="s">
        <v>5466</v>
      </c>
      <c r="C165" s="7" t="s">
        <v>5775</v>
      </c>
      <c r="D165" s="1899">
        <v>43820</v>
      </c>
      <c r="E165" s="881" t="s">
        <v>5494</v>
      </c>
      <c r="F165" s="836">
        <v>0.66666666666666663</v>
      </c>
      <c r="G165" s="836">
        <v>0.66666666666666663</v>
      </c>
      <c r="H165" s="836">
        <v>0.66666666666666663</v>
      </c>
      <c r="I165" s="1630">
        <f>1.6*120*0.85</f>
        <v>163.19999999999999</v>
      </c>
      <c r="J165" s="7" t="s">
        <v>5885</v>
      </c>
      <c r="K165" s="7" t="s">
        <v>15</v>
      </c>
      <c r="L165" s="809" t="s">
        <v>17</v>
      </c>
    </row>
    <row r="166" spans="1:12" ht="58" hidden="1" x14ac:dyDescent="0.35">
      <c r="A166" s="2149">
        <v>43817</v>
      </c>
      <c r="B166" s="1149" t="s">
        <v>5743</v>
      </c>
      <c r="C166" s="7" t="s">
        <v>5744</v>
      </c>
      <c r="D166" s="1899">
        <v>43820</v>
      </c>
      <c r="E166" s="881" t="s">
        <v>5494</v>
      </c>
      <c r="F166" s="836" t="s">
        <v>15</v>
      </c>
      <c r="G166" s="836">
        <v>0.60416666666666663</v>
      </c>
      <c r="H166" s="836">
        <v>0.60416666666666663</v>
      </c>
      <c r="I166" s="1630">
        <f>4*85*0.7</f>
        <v>237.99999999999997</v>
      </c>
      <c r="J166" s="7" t="s">
        <v>5885</v>
      </c>
      <c r="K166" s="7" t="s">
        <v>15</v>
      </c>
      <c r="L166" s="809" t="s">
        <v>17</v>
      </c>
    </row>
    <row r="167" spans="1:12" ht="58" hidden="1" x14ac:dyDescent="0.35">
      <c r="A167" s="2171">
        <v>43816</v>
      </c>
      <c r="B167" s="2168" t="s">
        <v>5724</v>
      </c>
      <c r="C167" s="7" t="s">
        <v>5725</v>
      </c>
      <c r="D167" s="1899">
        <v>43820</v>
      </c>
      <c r="E167" s="881" t="s">
        <v>5494</v>
      </c>
      <c r="F167" s="836" t="s">
        <v>15</v>
      </c>
      <c r="G167" s="836">
        <v>0.70833333333333337</v>
      </c>
      <c r="H167" s="836">
        <v>0.70833333333333337</v>
      </c>
      <c r="I167" s="1100">
        <v>0</v>
      </c>
      <c r="J167" s="7" t="s">
        <v>16</v>
      </c>
      <c r="K167" s="7" t="s">
        <v>15</v>
      </c>
      <c r="L167" s="809" t="s">
        <v>17</v>
      </c>
    </row>
    <row r="168" spans="1:12" ht="145" hidden="1" x14ac:dyDescent="0.35">
      <c r="A168" s="2199">
        <v>43819</v>
      </c>
      <c r="B168" s="817" t="s">
        <v>5841</v>
      </c>
      <c r="C168" s="7" t="s">
        <v>5843</v>
      </c>
      <c r="D168" s="1899">
        <v>43821</v>
      </c>
      <c r="E168" s="881" t="s">
        <v>5842</v>
      </c>
      <c r="F168" s="836">
        <v>0.51041666666666663</v>
      </c>
      <c r="G168" s="836">
        <v>0.54166666666666663</v>
      </c>
      <c r="H168" s="836">
        <v>0.54166666666666663</v>
      </c>
      <c r="I168" s="1100">
        <f>72*3.5+90</f>
        <v>342</v>
      </c>
      <c r="J168" s="7" t="s">
        <v>5886</v>
      </c>
      <c r="K168" s="7" t="s">
        <v>119</v>
      </c>
      <c r="L168" s="809" t="s">
        <v>17</v>
      </c>
    </row>
    <row r="169" spans="1:12" ht="58" hidden="1" x14ac:dyDescent="0.35">
      <c r="A169" s="2161">
        <v>43815</v>
      </c>
      <c r="B169" s="2160" t="s">
        <v>5659</v>
      </c>
      <c r="C169" s="2054" t="s">
        <v>5661</v>
      </c>
      <c r="D169" s="2136">
        <v>43821</v>
      </c>
      <c r="E169" s="2137" t="s">
        <v>5660</v>
      </c>
      <c r="F169" s="2057">
        <v>0.51041666666666663</v>
      </c>
      <c r="G169" s="2057">
        <v>0.58333333333333337</v>
      </c>
      <c r="H169" s="2057">
        <v>0.58333333333333337</v>
      </c>
      <c r="I169" s="1630">
        <v>300</v>
      </c>
      <c r="J169" s="2054" t="s">
        <v>257</v>
      </c>
      <c r="K169" s="7" t="s">
        <v>119</v>
      </c>
      <c r="L169" s="2139" t="s">
        <v>17</v>
      </c>
    </row>
    <row r="170" spans="1:12" ht="130.5" hidden="1" x14ac:dyDescent="0.35">
      <c r="A170" s="2101">
        <v>43817</v>
      </c>
      <c r="B170" s="1412" t="s">
        <v>5487</v>
      </c>
      <c r="C170" s="10" t="s">
        <v>5785</v>
      </c>
      <c r="D170" s="1808">
        <v>43821</v>
      </c>
      <c r="E170" s="823" t="s">
        <v>5489</v>
      </c>
      <c r="F170" s="12">
        <v>0.51041666666666663</v>
      </c>
      <c r="G170" s="12">
        <v>0.625</v>
      </c>
      <c r="H170" s="12">
        <v>0.625</v>
      </c>
      <c r="I170" s="1630">
        <f>4*100*0.7</f>
        <v>280</v>
      </c>
      <c r="J170" s="7" t="s">
        <v>5887</v>
      </c>
      <c r="K170" s="7" t="s">
        <v>119</v>
      </c>
      <c r="L170" s="809" t="s">
        <v>17</v>
      </c>
    </row>
    <row r="171" spans="1:12" ht="43.5" hidden="1" x14ac:dyDescent="0.35">
      <c r="A171" s="2199">
        <v>43820</v>
      </c>
      <c r="B171" s="817" t="s">
        <v>5872</v>
      </c>
      <c r="C171" s="7" t="s">
        <v>5870</v>
      </c>
      <c r="D171" s="1899">
        <v>43821</v>
      </c>
      <c r="E171" s="881" t="s">
        <v>5871</v>
      </c>
      <c r="F171" s="836">
        <v>0.51041666666666663</v>
      </c>
      <c r="G171" s="836">
        <v>0.66666666666666663</v>
      </c>
      <c r="H171" s="836">
        <v>0.66666666666666663</v>
      </c>
      <c r="I171" s="1630">
        <f>85*0.85</f>
        <v>72.25</v>
      </c>
      <c r="J171" s="836" t="s">
        <v>257</v>
      </c>
      <c r="K171" s="7" t="s">
        <v>119</v>
      </c>
      <c r="L171" s="809" t="s">
        <v>17</v>
      </c>
    </row>
    <row r="172" spans="1:12" ht="58" hidden="1" x14ac:dyDescent="0.35">
      <c r="A172" s="2201">
        <v>43818</v>
      </c>
      <c r="B172" s="874" t="s">
        <v>5797</v>
      </c>
      <c r="C172" s="1733" t="s">
        <v>5798</v>
      </c>
      <c r="D172" s="2146">
        <v>43821</v>
      </c>
      <c r="E172" s="881" t="s">
        <v>5494</v>
      </c>
      <c r="F172" s="836">
        <v>0.54166666666666663</v>
      </c>
      <c r="G172" s="836">
        <v>0.54166666666666663</v>
      </c>
      <c r="H172" s="836">
        <v>0.54166666666666663</v>
      </c>
      <c r="I172" s="1630">
        <v>100</v>
      </c>
      <c r="J172" s="7" t="s">
        <v>5888</v>
      </c>
      <c r="K172" s="7" t="s">
        <v>15</v>
      </c>
      <c r="L172" s="809" t="s">
        <v>17</v>
      </c>
    </row>
    <row r="173" spans="1:12" ht="29" hidden="1" x14ac:dyDescent="0.35">
      <c r="A173" s="2171">
        <v>43815</v>
      </c>
      <c r="B173" s="2168" t="s">
        <v>5691</v>
      </c>
      <c r="C173" s="2054" t="s">
        <v>5692</v>
      </c>
      <c r="D173" s="2136">
        <v>43821</v>
      </c>
      <c r="E173" s="881" t="s">
        <v>5494</v>
      </c>
      <c r="F173" s="2057">
        <v>0.58333333333333337</v>
      </c>
      <c r="G173" s="2057">
        <v>0.58333333333333337</v>
      </c>
      <c r="H173" s="2057">
        <v>0.58333333333333337</v>
      </c>
      <c r="I173" s="1630">
        <f>90*3*0.85</f>
        <v>229.5</v>
      </c>
      <c r="J173" s="2054" t="s">
        <v>5889</v>
      </c>
      <c r="K173" s="7" t="s">
        <v>15</v>
      </c>
      <c r="L173" s="2139" t="s">
        <v>17</v>
      </c>
    </row>
    <row r="174" spans="1:12" ht="58" hidden="1" x14ac:dyDescent="0.35">
      <c r="A174" s="2199">
        <v>43820</v>
      </c>
      <c r="B174" s="817" t="s">
        <v>5863</v>
      </c>
      <c r="C174" s="7" t="s">
        <v>5862</v>
      </c>
      <c r="D174" s="1899">
        <v>43821</v>
      </c>
      <c r="E174" s="881" t="s">
        <v>5494</v>
      </c>
      <c r="F174" s="836">
        <v>0.625</v>
      </c>
      <c r="G174" s="836">
        <v>0.625</v>
      </c>
      <c r="H174" s="836">
        <v>0.625</v>
      </c>
      <c r="I174" s="1630">
        <v>100</v>
      </c>
      <c r="J174" s="7" t="s">
        <v>5890</v>
      </c>
      <c r="K174" s="7" t="s">
        <v>15</v>
      </c>
      <c r="L174" s="809" t="s">
        <v>17</v>
      </c>
    </row>
    <row r="175" spans="1:12" hidden="1" x14ac:dyDescent="0.35">
      <c r="A175" s="2149">
        <v>43817</v>
      </c>
      <c r="B175" s="817" t="s">
        <v>20</v>
      </c>
      <c r="C175" s="7" t="s">
        <v>5767</v>
      </c>
      <c r="D175" s="1899">
        <v>43821</v>
      </c>
      <c r="E175" s="881" t="s">
        <v>20</v>
      </c>
      <c r="F175" s="836" t="s">
        <v>15</v>
      </c>
      <c r="G175" s="836" t="s">
        <v>15</v>
      </c>
      <c r="H175" s="836" t="s">
        <v>15</v>
      </c>
      <c r="I175" s="1100">
        <v>0</v>
      </c>
      <c r="J175" s="836" t="s">
        <v>15</v>
      </c>
      <c r="K175" s="836" t="s">
        <v>15</v>
      </c>
      <c r="L175" s="809" t="s">
        <v>17</v>
      </c>
    </row>
    <row r="176" spans="1:12" ht="87" hidden="1" x14ac:dyDescent="0.35">
      <c r="A176" s="2171">
        <v>43816</v>
      </c>
      <c r="B176" s="1149" t="s">
        <v>5702</v>
      </c>
      <c r="C176" s="7" t="s">
        <v>5707</v>
      </c>
      <c r="D176" s="1899">
        <v>43822</v>
      </c>
      <c r="E176" s="881" t="s">
        <v>5701</v>
      </c>
      <c r="F176" s="836">
        <v>0.35416666666666669</v>
      </c>
      <c r="G176" s="836">
        <v>0.375</v>
      </c>
      <c r="H176" s="836">
        <v>0.375</v>
      </c>
      <c r="I176" s="1100">
        <v>0</v>
      </c>
      <c r="J176" s="7" t="s">
        <v>5703</v>
      </c>
      <c r="K176" s="7" t="s">
        <v>140</v>
      </c>
      <c r="L176" s="809" t="s">
        <v>22</v>
      </c>
    </row>
    <row r="177" spans="1:12" ht="29" hidden="1" x14ac:dyDescent="0.35">
      <c r="A177" s="2179">
        <v>43818</v>
      </c>
      <c r="B177" s="7" t="s">
        <v>5805</v>
      </c>
      <c r="C177" s="7" t="s">
        <v>5806</v>
      </c>
      <c r="D177" s="1899">
        <v>43822</v>
      </c>
      <c r="E177" s="881" t="s">
        <v>5807</v>
      </c>
      <c r="F177" s="836">
        <v>0.35416666666666669</v>
      </c>
      <c r="G177" s="836">
        <v>0.40277777777777773</v>
      </c>
      <c r="H177" s="836">
        <v>0.40277777777777773</v>
      </c>
      <c r="I177" s="1630">
        <v>50</v>
      </c>
      <c r="J177" s="7" t="s">
        <v>257</v>
      </c>
      <c r="K177" s="7" t="s">
        <v>140</v>
      </c>
      <c r="L177" s="809" t="s">
        <v>17</v>
      </c>
    </row>
    <row r="178" spans="1:12" ht="29" hidden="1" x14ac:dyDescent="0.35">
      <c r="A178" s="1994">
        <v>43817</v>
      </c>
      <c r="B178" s="7" t="s">
        <v>5788</v>
      </c>
      <c r="C178" s="7" t="s">
        <v>5789</v>
      </c>
      <c r="D178" s="1899">
        <v>43822</v>
      </c>
      <c r="E178" s="881" t="s">
        <v>5787</v>
      </c>
      <c r="F178" s="836">
        <v>0.35416666666666669</v>
      </c>
      <c r="G178" s="836">
        <v>0.43055555555555558</v>
      </c>
      <c r="H178" s="836">
        <v>0.43055555555555558</v>
      </c>
      <c r="I178" s="1630">
        <f>2*90*0.85</f>
        <v>153</v>
      </c>
      <c r="J178" s="7" t="s">
        <v>5790</v>
      </c>
      <c r="K178" s="7" t="s">
        <v>140</v>
      </c>
      <c r="L178" s="809" t="s">
        <v>17</v>
      </c>
    </row>
    <row r="179" spans="1:12" ht="29" hidden="1" x14ac:dyDescent="0.35">
      <c r="A179" s="2124">
        <v>43801</v>
      </c>
      <c r="B179" s="2115" t="s">
        <v>5388</v>
      </c>
      <c r="C179" s="7" t="s">
        <v>5389</v>
      </c>
      <c r="D179" s="1899">
        <v>43822</v>
      </c>
      <c r="E179" s="836" t="s">
        <v>5390</v>
      </c>
      <c r="F179" s="836">
        <v>0.35416666666666669</v>
      </c>
      <c r="G179" s="836">
        <v>0.47222222222222227</v>
      </c>
      <c r="H179" s="836">
        <v>0.47222222222222227</v>
      </c>
      <c r="I179" s="1630">
        <v>260</v>
      </c>
      <c r="J179" s="836" t="s">
        <v>369</v>
      </c>
      <c r="K179" s="7" t="s">
        <v>140</v>
      </c>
      <c r="L179" s="809" t="s">
        <v>17</v>
      </c>
    </row>
    <row r="180" spans="1:12" ht="87" hidden="1" x14ac:dyDescent="0.35">
      <c r="A180" s="2199">
        <v>43820</v>
      </c>
      <c r="B180" s="817" t="s">
        <v>5866</v>
      </c>
      <c r="C180" s="7" t="s">
        <v>5867</v>
      </c>
      <c r="D180" s="1899">
        <v>43822</v>
      </c>
      <c r="E180" s="881" t="s">
        <v>5868</v>
      </c>
      <c r="F180" s="836">
        <v>0.35416666666666669</v>
      </c>
      <c r="G180" s="836">
        <v>0.5</v>
      </c>
      <c r="H180" s="836">
        <v>0.5</v>
      </c>
      <c r="I180" s="1630">
        <v>180</v>
      </c>
      <c r="J180" s="7" t="s">
        <v>257</v>
      </c>
      <c r="K180" s="7" t="s">
        <v>140</v>
      </c>
      <c r="L180" s="809" t="s">
        <v>17</v>
      </c>
    </row>
    <row r="181" spans="1:12" ht="29" hidden="1" x14ac:dyDescent="0.35">
      <c r="A181" s="2179">
        <v>43818</v>
      </c>
      <c r="B181" s="7" t="s">
        <v>5696</v>
      </c>
      <c r="C181" s="7" t="s">
        <v>5815</v>
      </c>
      <c r="D181" s="1899">
        <v>43822</v>
      </c>
      <c r="E181" s="881" t="s">
        <v>5494</v>
      </c>
      <c r="F181" s="836">
        <v>0.375</v>
      </c>
      <c r="G181" s="836">
        <v>0.375</v>
      </c>
      <c r="H181" s="836">
        <v>0.375</v>
      </c>
      <c r="I181" s="1100">
        <v>0</v>
      </c>
      <c r="J181" s="7" t="s">
        <v>16</v>
      </c>
      <c r="K181" s="7" t="s">
        <v>15</v>
      </c>
      <c r="L181" s="809" t="s">
        <v>17</v>
      </c>
    </row>
    <row r="182" spans="1:12" ht="87" hidden="1" x14ac:dyDescent="0.35">
      <c r="A182" s="2199">
        <v>43819</v>
      </c>
      <c r="B182" s="2183" t="s">
        <v>5854</v>
      </c>
      <c r="C182" s="7" t="s">
        <v>5873</v>
      </c>
      <c r="D182" s="1899">
        <v>43822</v>
      </c>
      <c r="E182" s="881" t="s">
        <v>5494</v>
      </c>
      <c r="F182" s="836">
        <v>0.375</v>
      </c>
      <c r="G182" s="836">
        <v>0.375</v>
      </c>
      <c r="H182" s="836">
        <v>0.375</v>
      </c>
      <c r="I182" s="1630">
        <v>170</v>
      </c>
      <c r="J182" s="7" t="s">
        <v>5853</v>
      </c>
      <c r="K182" s="7" t="s">
        <v>15</v>
      </c>
      <c r="L182" s="809" t="s">
        <v>22</v>
      </c>
    </row>
    <row r="183" spans="1:12" ht="90.65" hidden="1" customHeight="1" x14ac:dyDescent="0.35">
      <c r="A183" s="2199">
        <v>43820</v>
      </c>
      <c r="B183" s="817" t="s">
        <v>5367</v>
      </c>
      <c r="C183" s="2142" t="s">
        <v>5869</v>
      </c>
      <c r="D183" s="1899">
        <v>43822</v>
      </c>
      <c r="E183" s="881" t="s">
        <v>5494</v>
      </c>
      <c r="F183" s="836">
        <v>0.4375</v>
      </c>
      <c r="G183" s="836">
        <v>0.4375</v>
      </c>
      <c r="H183" s="836">
        <v>0.4375</v>
      </c>
      <c r="I183" s="1100">
        <v>0</v>
      </c>
      <c r="J183" s="7" t="s">
        <v>15</v>
      </c>
      <c r="K183" s="7" t="s">
        <v>15</v>
      </c>
      <c r="L183" s="809" t="s">
        <v>17</v>
      </c>
    </row>
    <row r="184" spans="1:12" ht="72.5" hidden="1" x14ac:dyDescent="0.35">
      <c r="A184" s="2184">
        <v>43820</v>
      </c>
      <c r="B184" s="817" t="s">
        <v>1122</v>
      </c>
      <c r="C184" s="7" t="s">
        <v>5864</v>
      </c>
      <c r="D184" s="1899">
        <v>43822</v>
      </c>
      <c r="E184" s="881" t="s">
        <v>5494</v>
      </c>
      <c r="F184" s="836">
        <v>0.5</v>
      </c>
      <c r="G184" s="836">
        <v>0.5</v>
      </c>
      <c r="H184" s="836">
        <v>0.5</v>
      </c>
      <c r="I184" s="1100">
        <v>0</v>
      </c>
      <c r="J184" s="7" t="s">
        <v>5865</v>
      </c>
      <c r="K184" s="7" t="s">
        <v>15</v>
      </c>
      <c r="L184" s="809" t="s">
        <v>17</v>
      </c>
    </row>
    <row r="185" spans="1:12" ht="29" hidden="1" x14ac:dyDescent="0.35">
      <c r="A185" s="2193">
        <v>43819</v>
      </c>
      <c r="B185" s="817" t="s">
        <v>5828</v>
      </c>
      <c r="C185" s="7" t="s">
        <v>5829</v>
      </c>
      <c r="D185" s="1899">
        <v>43822</v>
      </c>
      <c r="E185" s="881" t="s">
        <v>5494</v>
      </c>
      <c r="F185" s="836">
        <v>0.54166666666666663</v>
      </c>
      <c r="G185" s="836">
        <v>0.54166666666666663</v>
      </c>
      <c r="H185" s="836">
        <v>0.54166666666666663</v>
      </c>
      <c r="I185" s="1100">
        <v>0</v>
      </c>
      <c r="J185" s="7" t="s">
        <v>5716</v>
      </c>
      <c r="K185" s="7" t="s">
        <v>15</v>
      </c>
      <c r="L185" s="809" t="s">
        <v>1508</v>
      </c>
    </row>
    <row r="186" spans="1:12" ht="72.5" hidden="1" x14ac:dyDescent="0.35">
      <c r="A186" s="2184">
        <v>43818</v>
      </c>
      <c r="B186" s="817" t="s">
        <v>5795</v>
      </c>
      <c r="C186" s="7" t="s">
        <v>5846</v>
      </c>
      <c r="D186" s="1899">
        <v>43822</v>
      </c>
      <c r="E186" s="7" t="s">
        <v>5796</v>
      </c>
      <c r="F186" s="836">
        <v>0.54166666666666663</v>
      </c>
      <c r="G186" s="836">
        <v>0.625</v>
      </c>
      <c r="H186" s="836">
        <v>0.625</v>
      </c>
      <c r="I186" s="1630">
        <v>674.8</v>
      </c>
      <c r="J186" s="1390" t="s">
        <v>5847</v>
      </c>
      <c r="K186" s="7" t="s">
        <v>140</v>
      </c>
      <c r="L186" s="809" t="s">
        <v>22</v>
      </c>
    </row>
    <row r="187" spans="1:12" ht="43.5" hidden="1" x14ac:dyDescent="0.35">
      <c r="A187" s="2149">
        <v>43817</v>
      </c>
      <c r="B187" s="817" t="s">
        <v>5780</v>
      </c>
      <c r="C187" s="7" t="s">
        <v>5778</v>
      </c>
      <c r="D187" s="1899">
        <v>43822</v>
      </c>
      <c r="E187" s="881" t="s">
        <v>5779</v>
      </c>
      <c r="F187" s="836">
        <v>0.54166666666666663</v>
      </c>
      <c r="G187" s="836">
        <v>0.65625</v>
      </c>
      <c r="H187" s="836">
        <v>0.65625</v>
      </c>
      <c r="I187" s="1100">
        <v>780.5</v>
      </c>
      <c r="J187" s="7" t="s">
        <v>5781</v>
      </c>
      <c r="K187" s="7" t="s">
        <v>140</v>
      </c>
      <c r="L187" s="809" t="s">
        <v>17</v>
      </c>
    </row>
    <row r="188" spans="1:12" ht="58" hidden="1" x14ac:dyDescent="0.35">
      <c r="A188" s="2199">
        <v>43818</v>
      </c>
      <c r="B188" s="817" t="s">
        <v>5801</v>
      </c>
      <c r="C188" s="7" t="s">
        <v>5800</v>
      </c>
      <c r="D188" s="1899">
        <v>43822</v>
      </c>
      <c r="E188" s="881" t="s">
        <v>5802</v>
      </c>
      <c r="F188" s="836">
        <v>0.54166666666666663</v>
      </c>
      <c r="G188" s="836">
        <v>0.67708333333333337</v>
      </c>
      <c r="H188" s="836">
        <v>0.67708333333333337</v>
      </c>
      <c r="I188" s="1100">
        <v>1286</v>
      </c>
      <c r="J188" s="7" t="s">
        <v>5803</v>
      </c>
      <c r="K188" s="7" t="s">
        <v>140</v>
      </c>
      <c r="L188" s="809" t="s">
        <v>17</v>
      </c>
    </row>
    <row r="189" spans="1:12" ht="72.5" hidden="1" x14ac:dyDescent="0.35">
      <c r="A189" s="2199">
        <v>43819</v>
      </c>
      <c r="B189" s="817" t="s">
        <v>5419</v>
      </c>
      <c r="C189" s="7" t="s">
        <v>5839</v>
      </c>
      <c r="D189" s="1899">
        <v>43822</v>
      </c>
      <c r="E189" s="881" t="s">
        <v>5420</v>
      </c>
      <c r="F189" s="836">
        <v>0.54166666666666663</v>
      </c>
      <c r="G189" s="836">
        <v>0.72916666666666663</v>
      </c>
      <c r="H189" s="836">
        <v>0.72916666666666663</v>
      </c>
      <c r="I189" s="1100">
        <f>0.85*(3*90+2*85+3*99)</f>
        <v>626.44999999999993</v>
      </c>
      <c r="J189" s="7" t="s">
        <v>5840</v>
      </c>
      <c r="K189" s="7" t="s">
        <v>140</v>
      </c>
      <c r="L189" s="809" t="s">
        <v>17</v>
      </c>
    </row>
    <row r="190" spans="1:12" ht="138" hidden="1" customHeight="1" x14ac:dyDescent="0.35">
      <c r="A190" s="2122">
        <v>43800</v>
      </c>
      <c r="B190" s="2123" t="s">
        <v>5369</v>
      </c>
      <c r="C190" s="7" t="s">
        <v>5371</v>
      </c>
      <c r="D190" s="1899">
        <v>43822</v>
      </c>
      <c r="E190" s="881" t="s">
        <v>5370</v>
      </c>
      <c r="F190" s="836">
        <v>0.54166666666666663</v>
      </c>
      <c r="G190" s="836">
        <v>0.75</v>
      </c>
      <c r="H190" s="836">
        <v>0.75</v>
      </c>
      <c r="I190" s="1630">
        <f>2*90+200</f>
        <v>380</v>
      </c>
      <c r="J190" s="7" t="s">
        <v>257</v>
      </c>
      <c r="K190" s="7" t="s">
        <v>140</v>
      </c>
      <c r="L190" s="809" t="s">
        <v>17</v>
      </c>
    </row>
    <row r="191" spans="1:12" hidden="1" x14ac:dyDescent="0.35">
      <c r="A191" s="2171">
        <v>43816</v>
      </c>
      <c r="B191" s="2168" t="s">
        <v>5717</v>
      </c>
      <c r="C191" s="7" t="s">
        <v>1443</v>
      </c>
      <c r="D191" s="1899">
        <v>43822</v>
      </c>
      <c r="E191" s="881" t="s">
        <v>5494</v>
      </c>
      <c r="F191" s="836">
        <v>0.625</v>
      </c>
      <c r="G191" s="836">
        <v>0.625</v>
      </c>
      <c r="H191" s="836">
        <v>0.66666666666666663</v>
      </c>
      <c r="I191" s="1630">
        <f>2*90*0.7</f>
        <v>125.99999999999999</v>
      </c>
      <c r="J191" s="7" t="s">
        <v>257</v>
      </c>
      <c r="K191" s="7" t="s">
        <v>15</v>
      </c>
      <c r="L191" s="809" t="s">
        <v>17</v>
      </c>
    </row>
    <row r="192" spans="1:12" ht="29" hidden="1" x14ac:dyDescent="0.35">
      <c r="A192" s="2199">
        <v>43818</v>
      </c>
      <c r="B192" s="817" t="s">
        <v>5743</v>
      </c>
      <c r="C192" s="2142" t="s">
        <v>5813</v>
      </c>
      <c r="D192" s="1899">
        <v>43822</v>
      </c>
      <c r="E192" s="881" t="s">
        <v>5494</v>
      </c>
      <c r="F192" s="836">
        <v>0.66666666666666663</v>
      </c>
      <c r="G192" s="836">
        <v>0.66666666666666663</v>
      </c>
      <c r="H192" s="836">
        <v>0.66666666666666663</v>
      </c>
      <c r="I192" s="1630">
        <f>(3*90+85)*0.7</f>
        <v>248.49999999999997</v>
      </c>
      <c r="J192" s="7" t="s">
        <v>257</v>
      </c>
      <c r="K192" s="7" t="s">
        <v>15</v>
      </c>
      <c r="L192" s="809" t="s">
        <v>17</v>
      </c>
    </row>
    <row r="193" spans="1:12" ht="87" hidden="1" x14ac:dyDescent="0.35">
      <c r="A193" s="2199">
        <v>43819</v>
      </c>
      <c r="B193" s="817" t="s">
        <v>5836</v>
      </c>
      <c r="C193" s="7" t="s">
        <v>5837</v>
      </c>
      <c r="D193" s="1899">
        <v>43822</v>
      </c>
      <c r="E193" s="881" t="s">
        <v>5838</v>
      </c>
      <c r="F193" s="836">
        <v>0.75</v>
      </c>
      <c r="G193" s="836">
        <v>0.75</v>
      </c>
      <c r="H193" s="836">
        <v>0.75</v>
      </c>
      <c r="I193" s="1100">
        <f>0.7*(90+85+85+192+140+140)</f>
        <v>512.4</v>
      </c>
      <c r="J193" s="7" t="s">
        <v>5840</v>
      </c>
      <c r="K193" s="7" t="s">
        <v>15</v>
      </c>
      <c r="L193" s="809" t="s">
        <v>17</v>
      </c>
    </row>
    <row r="194" spans="1:12" ht="29" hidden="1" x14ac:dyDescent="0.35">
      <c r="A194" s="2131">
        <v>43804</v>
      </c>
      <c r="B194" s="2132" t="s">
        <v>5495</v>
      </c>
      <c r="C194" s="7" t="s">
        <v>5496</v>
      </c>
      <c r="D194" s="1899">
        <v>43822</v>
      </c>
      <c r="E194" s="881" t="s">
        <v>5494</v>
      </c>
      <c r="F194" s="836">
        <v>0.79166666666666663</v>
      </c>
      <c r="G194" s="836">
        <v>0.79166666666666663</v>
      </c>
      <c r="H194" s="836">
        <v>0.83333333333333337</v>
      </c>
      <c r="I194" s="1100">
        <v>175</v>
      </c>
      <c r="J194" s="7" t="s">
        <v>257</v>
      </c>
      <c r="K194" s="7" t="s">
        <v>15</v>
      </c>
      <c r="L194" s="809" t="s">
        <v>17</v>
      </c>
    </row>
    <row r="195" spans="1:12" ht="43.5" x14ac:dyDescent="0.35">
      <c r="A195" s="2199">
        <v>43819</v>
      </c>
      <c r="B195" s="817" t="s">
        <v>5832</v>
      </c>
      <c r="C195" s="7" t="s">
        <v>5830</v>
      </c>
      <c r="D195" s="1899">
        <v>43823</v>
      </c>
      <c r="E195" s="881" t="s">
        <v>5831</v>
      </c>
      <c r="F195" s="836">
        <v>0.35416666666666669</v>
      </c>
      <c r="G195" s="836">
        <v>0.39583333333333331</v>
      </c>
      <c r="H195" s="836">
        <v>0.39583333333333331</v>
      </c>
      <c r="I195" s="1100">
        <f>0.85*(85+140)</f>
        <v>191.25</v>
      </c>
      <c r="J195" s="7" t="s">
        <v>5833</v>
      </c>
      <c r="K195" s="7" t="s">
        <v>136</v>
      </c>
      <c r="L195" s="809" t="s">
        <v>17</v>
      </c>
    </row>
    <row r="196" spans="1:12" ht="72.5" x14ac:dyDescent="0.35">
      <c r="A196" s="2199">
        <v>43819</v>
      </c>
      <c r="B196" s="817" t="s">
        <v>5825</v>
      </c>
      <c r="C196" s="7" t="s">
        <v>5824</v>
      </c>
      <c r="D196" s="1899">
        <v>43823</v>
      </c>
      <c r="E196" s="881" t="s">
        <v>5826</v>
      </c>
      <c r="F196" s="836">
        <v>0.35416666666666669</v>
      </c>
      <c r="G196" s="836">
        <v>0.45833333333333331</v>
      </c>
      <c r="H196" s="836">
        <v>0.45833333333333331</v>
      </c>
      <c r="I196" s="1630">
        <v>200</v>
      </c>
      <c r="J196" s="7" t="s">
        <v>5827</v>
      </c>
      <c r="K196" s="7" t="s">
        <v>136</v>
      </c>
      <c r="L196" s="809" t="s">
        <v>1960</v>
      </c>
    </row>
    <row r="197" spans="1:12" ht="43.5" x14ac:dyDescent="0.35">
      <c r="A197" s="2149">
        <v>43817</v>
      </c>
      <c r="B197" s="817" t="s">
        <v>5754</v>
      </c>
      <c r="C197" s="7" t="s">
        <v>5756</v>
      </c>
      <c r="D197" s="1899">
        <v>43823</v>
      </c>
      <c r="E197" s="919" t="s">
        <v>5755</v>
      </c>
      <c r="F197" s="836">
        <v>0.35416666666666669</v>
      </c>
      <c r="G197" s="836">
        <v>0.47916666666666669</v>
      </c>
      <c r="H197" s="836">
        <v>0.47916666666666669</v>
      </c>
      <c r="I197" s="1100">
        <f>0.85*(2*85+90)</f>
        <v>221</v>
      </c>
      <c r="J197" s="7" t="s">
        <v>257</v>
      </c>
      <c r="K197" s="7" t="s">
        <v>136</v>
      </c>
      <c r="L197" s="809" t="s">
        <v>17</v>
      </c>
    </row>
    <row r="198" spans="1:12" ht="43.5" x14ac:dyDescent="0.35">
      <c r="A198" s="2171">
        <v>43815</v>
      </c>
      <c r="B198" s="817" t="s">
        <v>667</v>
      </c>
      <c r="C198" s="7" t="s">
        <v>5694</v>
      </c>
      <c r="D198" s="1899">
        <v>43823</v>
      </c>
      <c r="E198" s="1529" t="s">
        <v>4384</v>
      </c>
      <c r="F198" s="836">
        <v>0.35416666666666669</v>
      </c>
      <c r="G198" s="836">
        <v>0.52083333333333337</v>
      </c>
      <c r="H198" s="836">
        <v>0.5</v>
      </c>
      <c r="I198" s="1630">
        <v>148.75</v>
      </c>
      <c r="J198" s="870" t="s">
        <v>5700</v>
      </c>
      <c r="K198" s="7" t="s">
        <v>136</v>
      </c>
      <c r="L198" s="809" t="s">
        <v>974</v>
      </c>
    </row>
    <row r="199" spans="1:12" ht="43.5" x14ac:dyDescent="0.35">
      <c r="A199" s="2179">
        <v>43822</v>
      </c>
      <c r="B199" s="7" t="s">
        <v>5894</v>
      </c>
      <c r="C199" s="7" t="s">
        <v>1048</v>
      </c>
      <c r="D199" s="1899">
        <v>43823</v>
      </c>
      <c r="E199" s="881" t="s">
        <v>5893</v>
      </c>
      <c r="F199" s="836">
        <v>0.375</v>
      </c>
      <c r="G199" s="836">
        <v>0.39583333333333331</v>
      </c>
      <c r="H199" s="836">
        <v>0.39583333333333331</v>
      </c>
      <c r="I199" s="1630">
        <f>99*2*0.85</f>
        <v>168.29999999999998</v>
      </c>
      <c r="J199" s="7" t="s">
        <v>5895</v>
      </c>
      <c r="K199" s="7" t="s">
        <v>119</v>
      </c>
      <c r="L199" s="809" t="s">
        <v>17</v>
      </c>
    </row>
    <row r="200" spans="1:12" ht="43.5" x14ac:dyDescent="0.35">
      <c r="A200" s="2162">
        <v>43813</v>
      </c>
      <c r="B200" s="7" t="s">
        <v>5915</v>
      </c>
      <c r="C200" s="7" t="s">
        <v>5649</v>
      </c>
      <c r="D200" s="1899">
        <v>43823</v>
      </c>
      <c r="E200" s="881" t="s">
        <v>5650</v>
      </c>
      <c r="F200" s="836">
        <v>0.375</v>
      </c>
      <c r="G200" s="836">
        <v>0.42708333333333331</v>
      </c>
      <c r="H200" s="836">
        <v>0.42708333333333331</v>
      </c>
      <c r="I200" s="1630">
        <v>250</v>
      </c>
      <c r="J200" s="2054" t="s">
        <v>5651</v>
      </c>
      <c r="K200" s="7" t="s">
        <v>119</v>
      </c>
      <c r="L200" s="2139" t="s">
        <v>17</v>
      </c>
    </row>
    <row r="201" spans="1:12" ht="58" x14ac:dyDescent="0.35">
      <c r="A201" s="2149">
        <v>43817</v>
      </c>
      <c r="B201" s="817" t="s">
        <v>5773</v>
      </c>
      <c r="C201" s="7" t="s">
        <v>5772</v>
      </c>
      <c r="D201" s="1899">
        <v>43823</v>
      </c>
      <c r="E201" s="881" t="s">
        <v>5774</v>
      </c>
      <c r="F201" s="836">
        <v>0.375</v>
      </c>
      <c r="G201" s="836">
        <v>0.44791666666666669</v>
      </c>
      <c r="H201" s="836">
        <v>0.44791666666666669</v>
      </c>
      <c r="I201" s="1630">
        <f>0.85*(2*90+1*85+1.6*120)</f>
        <v>388.45</v>
      </c>
      <c r="J201" s="7" t="s">
        <v>257</v>
      </c>
      <c r="K201" s="7" t="s">
        <v>119</v>
      </c>
      <c r="L201" s="809" t="s">
        <v>17</v>
      </c>
    </row>
    <row r="202" spans="1:12" ht="29" x14ac:dyDescent="0.35">
      <c r="A202" s="2199">
        <v>43820</v>
      </c>
      <c r="B202" s="817" t="s">
        <v>5861</v>
      </c>
      <c r="C202" s="7" t="s">
        <v>5900</v>
      </c>
      <c r="D202" s="1899">
        <v>43823</v>
      </c>
      <c r="E202" s="881" t="s">
        <v>5551</v>
      </c>
      <c r="F202" s="836">
        <v>0.375</v>
      </c>
      <c r="G202" s="836">
        <v>0.47916666666666669</v>
      </c>
      <c r="H202" s="836">
        <v>0.47916666666666669</v>
      </c>
      <c r="I202" s="1630">
        <f>0.85*4*90</f>
        <v>306</v>
      </c>
      <c r="J202" s="7" t="s">
        <v>257</v>
      </c>
      <c r="K202" s="7" t="s">
        <v>119</v>
      </c>
      <c r="L202" s="809" t="s">
        <v>17</v>
      </c>
    </row>
    <row r="203" spans="1:12" ht="130.5" x14ac:dyDescent="0.35">
      <c r="A203" s="1994">
        <v>43795</v>
      </c>
      <c r="B203" s="7" t="s">
        <v>3647</v>
      </c>
      <c r="C203" s="7" t="s">
        <v>5856</v>
      </c>
      <c r="D203" s="1899">
        <v>43823</v>
      </c>
      <c r="E203" s="881" t="s">
        <v>5911</v>
      </c>
      <c r="F203" s="836">
        <v>0.375</v>
      </c>
      <c r="G203" s="836">
        <v>0.52083333333333337</v>
      </c>
      <c r="H203" s="836">
        <v>0.52083333333333337</v>
      </c>
      <c r="I203" s="1630">
        <v>772</v>
      </c>
      <c r="J203" s="7" t="s">
        <v>257</v>
      </c>
      <c r="K203" s="7" t="s">
        <v>119</v>
      </c>
      <c r="L203" s="809" t="s">
        <v>22</v>
      </c>
    </row>
    <row r="204" spans="1:12" ht="101.5" x14ac:dyDescent="0.35">
      <c r="A204" s="2149">
        <v>43817</v>
      </c>
      <c r="B204" s="817" t="s">
        <v>5916</v>
      </c>
      <c r="C204" s="7" t="s">
        <v>5786</v>
      </c>
      <c r="D204" s="1899">
        <v>43823</v>
      </c>
      <c r="E204" s="881" t="s">
        <v>5762</v>
      </c>
      <c r="F204" s="836">
        <v>0.375</v>
      </c>
      <c r="G204" s="836">
        <v>0.58333333333333337</v>
      </c>
      <c r="H204" s="836">
        <v>0.58333333333333337</v>
      </c>
      <c r="I204" s="1100">
        <f>(2.5*120+4*90+60*3)*0.85</f>
        <v>714</v>
      </c>
      <c r="J204" s="2187" t="s">
        <v>5783</v>
      </c>
      <c r="K204" s="7" t="s">
        <v>119</v>
      </c>
      <c r="L204" s="809" t="s">
        <v>17</v>
      </c>
    </row>
    <row r="205" spans="1:12" ht="29" x14ac:dyDescent="0.35">
      <c r="A205" s="2149">
        <v>43810</v>
      </c>
      <c r="B205" s="817" t="s">
        <v>5874</v>
      </c>
      <c r="C205" s="7" t="s">
        <v>5857</v>
      </c>
      <c r="D205" s="1899">
        <v>43823</v>
      </c>
      <c r="E205" s="881" t="s">
        <v>5494</v>
      </c>
      <c r="F205" s="836">
        <v>0.375</v>
      </c>
      <c r="G205" s="836">
        <v>0.375</v>
      </c>
      <c r="H205" s="836">
        <v>0.375</v>
      </c>
      <c r="I205" s="1630">
        <v>148.75</v>
      </c>
      <c r="J205" s="7" t="s">
        <v>5597</v>
      </c>
      <c r="K205" s="7" t="s">
        <v>15</v>
      </c>
      <c r="L205" s="809" t="s">
        <v>22</v>
      </c>
    </row>
    <row r="206" spans="1:12" ht="72.5" x14ac:dyDescent="0.35">
      <c r="A206" s="2149">
        <v>43817</v>
      </c>
      <c r="B206" s="817" t="s">
        <v>5769</v>
      </c>
      <c r="C206" s="7" t="s">
        <v>5768</v>
      </c>
      <c r="D206" s="1899">
        <v>43823</v>
      </c>
      <c r="E206" s="881" t="s">
        <v>5494</v>
      </c>
      <c r="F206" s="836">
        <v>0.41666666666666669</v>
      </c>
      <c r="G206" s="836">
        <v>0.41666666666666669</v>
      </c>
      <c r="H206" s="836">
        <v>0.41666666666666669</v>
      </c>
      <c r="I206" s="1100">
        <v>200</v>
      </c>
      <c r="J206" s="7" t="s">
        <v>257</v>
      </c>
      <c r="K206" s="7" t="s">
        <v>15</v>
      </c>
      <c r="L206" s="809" t="s">
        <v>17</v>
      </c>
    </row>
    <row r="207" spans="1:12" ht="87" x14ac:dyDescent="0.35">
      <c r="A207" s="2101">
        <v>43817</v>
      </c>
      <c r="B207" s="1412" t="s">
        <v>5763</v>
      </c>
      <c r="C207" s="10" t="s">
        <v>5764</v>
      </c>
      <c r="D207" s="1808">
        <v>43823</v>
      </c>
      <c r="E207" s="881" t="s">
        <v>5494</v>
      </c>
      <c r="F207" s="12">
        <v>0.41666666666666669</v>
      </c>
      <c r="G207" s="12">
        <v>0.41666666666666669</v>
      </c>
      <c r="H207" s="12">
        <v>0.41666666666666669</v>
      </c>
      <c r="I207" s="2174">
        <f>(2.5*120+80+10)*0.7</f>
        <v>273</v>
      </c>
      <c r="J207" s="7" t="s">
        <v>5765</v>
      </c>
      <c r="K207" s="7" t="s">
        <v>15</v>
      </c>
      <c r="L207" s="809" t="s">
        <v>17</v>
      </c>
    </row>
    <row r="208" spans="1:12" ht="58" x14ac:dyDescent="0.35">
      <c r="A208" s="2147">
        <v>43810</v>
      </c>
      <c r="B208" s="7" t="s">
        <v>5280</v>
      </c>
      <c r="C208" s="7" t="s">
        <v>5912</v>
      </c>
      <c r="D208" s="2166">
        <v>43823</v>
      </c>
      <c r="E208" s="881" t="s">
        <v>5907</v>
      </c>
      <c r="F208" s="836">
        <v>0.4375</v>
      </c>
      <c r="G208" s="836">
        <v>0.45833333333333331</v>
      </c>
      <c r="H208" s="836">
        <v>0.5</v>
      </c>
      <c r="I208" s="1100">
        <v>153</v>
      </c>
      <c r="J208" s="2187" t="s">
        <v>5909</v>
      </c>
      <c r="K208" s="1390" t="s">
        <v>22</v>
      </c>
      <c r="L208" s="809" t="s">
        <v>974</v>
      </c>
    </row>
    <row r="209" spans="1:12" ht="275.5" x14ac:dyDescent="0.35">
      <c r="A209" s="2199">
        <v>43822</v>
      </c>
      <c r="B209" s="817" t="s">
        <v>5696</v>
      </c>
      <c r="C209" s="7" t="s">
        <v>5913</v>
      </c>
      <c r="D209" s="1899">
        <v>43823</v>
      </c>
      <c r="E209" s="881" t="s">
        <v>115</v>
      </c>
      <c r="F209" s="836">
        <v>0.5</v>
      </c>
      <c r="G209" s="836">
        <v>0.5</v>
      </c>
      <c r="H209" s="836">
        <v>0.5</v>
      </c>
      <c r="I209" s="1100">
        <f>0.7*(4*80+3*85+90+3*4*15)</f>
        <v>591.5</v>
      </c>
      <c r="J209" s="7" t="s">
        <v>5914</v>
      </c>
      <c r="K209" s="7" t="s">
        <v>15</v>
      </c>
      <c r="L209" s="809" t="s">
        <v>17</v>
      </c>
    </row>
    <row r="210" spans="1:12" ht="58" x14ac:dyDescent="0.35">
      <c r="A210" s="2199">
        <v>43820</v>
      </c>
      <c r="B210" s="817" t="s">
        <v>5859</v>
      </c>
      <c r="C210" s="7" t="s">
        <v>5860</v>
      </c>
      <c r="D210" s="1899">
        <v>43823</v>
      </c>
      <c r="E210" s="881" t="s">
        <v>5494</v>
      </c>
      <c r="F210" s="836">
        <v>0.5</v>
      </c>
      <c r="G210" s="836">
        <v>0.5</v>
      </c>
      <c r="H210" s="836">
        <v>0.5</v>
      </c>
      <c r="I210" s="1100">
        <f>27*3.5*0.85</f>
        <v>80.325000000000003</v>
      </c>
      <c r="J210" s="7" t="s">
        <v>257</v>
      </c>
      <c r="K210" s="7" t="s">
        <v>15</v>
      </c>
      <c r="L210" s="809" t="s">
        <v>17</v>
      </c>
    </row>
    <row r="211" spans="1:12" ht="72.5" x14ac:dyDescent="0.35">
      <c r="A211" s="2149">
        <v>43817</v>
      </c>
      <c r="B211" s="817" t="s">
        <v>5771</v>
      </c>
      <c r="C211" s="7" t="s">
        <v>5770</v>
      </c>
      <c r="D211" s="1899">
        <v>43823</v>
      </c>
      <c r="E211" s="881" t="s">
        <v>5494</v>
      </c>
      <c r="F211" s="836">
        <v>0.5</v>
      </c>
      <c r="G211" s="836">
        <v>0.5</v>
      </c>
      <c r="H211" s="836">
        <v>0.5</v>
      </c>
      <c r="I211" s="1100">
        <f>0.85*(90+85+3*140)</f>
        <v>505.75</v>
      </c>
      <c r="J211" s="7" t="s">
        <v>257</v>
      </c>
      <c r="K211" s="7" t="s">
        <v>15</v>
      </c>
      <c r="L211" s="809" t="s">
        <v>17</v>
      </c>
    </row>
    <row r="212" spans="1:12" ht="58" x14ac:dyDescent="0.35">
      <c r="A212" s="2149">
        <v>43810</v>
      </c>
      <c r="B212" s="817" t="s">
        <v>5598</v>
      </c>
      <c r="C212" s="7" t="s">
        <v>5599</v>
      </c>
      <c r="D212" s="1899">
        <v>43823</v>
      </c>
      <c r="E212" s="881" t="s">
        <v>5494</v>
      </c>
      <c r="F212" s="836">
        <v>0.5</v>
      </c>
      <c r="G212" s="836">
        <v>0.5</v>
      </c>
      <c r="H212" s="836">
        <v>0.5</v>
      </c>
      <c r="I212" s="1100">
        <v>392.7</v>
      </c>
      <c r="J212" s="7" t="s">
        <v>5600</v>
      </c>
      <c r="K212" s="7" t="s">
        <v>15</v>
      </c>
      <c r="L212" s="809" t="s">
        <v>974</v>
      </c>
    </row>
    <row r="213" spans="1:12" ht="58" x14ac:dyDescent="0.35">
      <c r="A213" s="2199">
        <v>43820</v>
      </c>
      <c r="B213" s="2183" t="s">
        <v>5875</v>
      </c>
      <c r="C213" s="2153" t="s">
        <v>5877</v>
      </c>
      <c r="D213" s="1899">
        <v>43823</v>
      </c>
      <c r="E213" s="881" t="s">
        <v>5494</v>
      </c>
      <c r="F213" s="836">
        <v>0.5</v>
      </c>
      <c r="G213" s="836">
        <v>0.5</v>
      </c>
      <c r="H213" s="836">
        <v>0.5</v>
      </c>
      <c r="I213" s="1100">
        <v>0</v>
      </c>
      <c r="J213" s="7" t="s">
        <v>5876</v>
      </c>
      <c r="K213" s="7" t="s">
        <v>15</v>
      </c>
      <c r="L213" s="809" t="s">
        <v>22</v>
      </c>
    </row>
    <row r="214" spans="1:12" ht="58" x14ac:dyDescent="0.35">
      <c r="A214" s="2149">
        <v>43821</v>
      </c>
      <c r="B214" s="817" t="s">
        <v>5882</v>
      </c>
      <c r="C214" s="7" t="s">
        <v>5883</v>
      </c>
      <c r="D214" s="1899">
        <v>43823</v>
      </c>
      <c r="E214" s="881" t="s">
        <v>5494</v>
      </c>
      <c r="F214" s="836">
        <v>0.54166666666666663</v>
      </c>
      <c r="G214" s="836">
        <v>0.54166666666666663</v>
      </c>
      <c r="H214" s="836">
        <v>0.54166666666666663</v>
      </c>
      <c r="I214" s="1100">
        <f>120+90</f>
        <v>210</v>
      </c>
      <c r="J214" s="7" t="s">
        <v>257</v>
      </c>
      <c r="K214" s="7" t="s">
        <v>15</v>
      </c>
      <c r="L214" s="809" t="s">
        <v>17</v>
      </c>
    </row>
    <row r="215" spans="1:12" ht="101.5" x14ac:dyDescent="0.35">
      <c r="A215" s="2199">
        <v>43815</v>
      </c>
      <c r="B215" s="817" t="s">
        <v>5881</v>
      </c>
      <c r="C215" s="2188" t="s">
        <v>5884</v>
      </c>
      <c r="D215" s="1899">
        <v>43823</v>
      </c>
      <c r="E215" s="881" t="s">
        <v>5494</v>
      </c>
      <c r="F215" s="836">
        <v>0.58333333333333337</v>
      </c>
      <c r="G215" s="836">
        <v>0.58333333333333337</v>
      </c>
      <c r="H215" s="836">
        <v>0.58333333333333337</v>
      </c>
      <c r="I215" s="1100">
        <v>192</v>
      </c>
      <c r="J215" s="7" t="s">
        <v>257</v>
      </c>
      <c r="K215" s="7" t="s">
        <v>15</v>
      </c>
      <c r="L215" s="809" t="s">
        <v>17</v>
      </c>
    </row>
    <row r="216" spans="1:12" ht="115.65" customHeight="1" x14ac:dyDescent="0.35">
      <c r="A216" s="2199">
        <v>43820</v>
      </c>
      <c r="B216" s="2183" t="s">
        <v>5855</v>
      </c>
      <c r="C216" s="7" t="s">
        <v>5858</v>
      </c>
      <c r="D216" s="1899">
        <v>43823</v>
      </c>
      <c r="E216" s="881" t="s">
        <v>5494</v>
      </c>
      <c r="F216" s="836">
        <v>0.625</v>
      </c>
      <c r="G216" s="836">
        <v>0.625</v>
      </c>
      <c r="H216" s="836">
        <v>0.625</v>
      </c>
      <c r="I216" s="1100">
        <v>466.65</v>
      </c>
      <c r="J216" s="7" t="s">
        <v>257</v>
      </c>
      <c r="K216" s="7" t="s">
        <v>15</v>
      </c>
      <c r="L216" s="809" t="s">
        <v>974</v>
      </c>
    </row>
    <row r="217" spans="1:12" ht="115.65" customHeight="1" x14ac:dyDescent="0.35">
      <c r="A217" s="2149">
        <v>43817</v>
      </c>
      <c r="B217" s="1149" t="s">
        <v>5745</v>
      </c>
      <c r="C217" s="7" t="s">
        <v>5968</v>
      </c>
      <c r="D217" s="1899">
        <v>43823</v>
      </c>
      <c r="E217" s="881" t="s">
        <v>5746</v>
      </c>
      <c r="F217" s="836">
        <v>0.64583333333333337</v>
      </c>
      <c r="G217" s="836">
        <v>0.66666666666666663</v>
      </c>
      <c r="H217" s="836">
        <v>0.66666666666666663</v>
      </c>
      <c r="I217" s="1630">
        <v>148.75</v>
      </c>
      <c r="J217" s="7" t="s">
        <v>257</v>
      </c>
      <c r="K217" s="7" t="s">
        <v>119</v>
      </c>
      <c r="L217" s="809" t="s">
        <v>17</v>
      </c>
    </row>
    <row r="218" spans="1:12" ht="87" x14ac:dyDescent="0.35">
      <c r="A218" s="2179">
        <v>43822</v>
      </c>
      <c r="B218" s="1090" t="s">
        <v>5905</v>
      </c>
      <c r="C218" s="7" t="s">
        <v>5901</v>
      </c>
      <c r="D218" s="1899">
        <v>43823</v>
      </c>
      <c r="E218" s="881" t="s">
        <v>5908</v>
      </c>
      <c r="F218" s="836">
        <v>0.64583333333333337</v>
      </c>
      <c r="G218" s="836">
        <v>0.6875</v>
      </c>
      <c r="H218" s="836">
        <v>0.6875</v>
      </c>
      <c r="I218" s="1630">
        <f>(6*90+2*70)*0.85</f>
        <v>578</v>
      </c>
      <c r="J218" s="7" t="s">
        <v>5906</v>
      </c>
      <c r="K218" s="7" t="s">
        <v>119</v>
      </c>
      <c r="L218" s="809" t="s">
        <v>17</v>
      </c>
    </row>
    <row r="219" spans="1:12" ht="58" x14ac:dyDescent="0.35">
      <c r="A219" s="2179">
        <v>43818</v>
      </c>
      <c r="B219" s="7" t="s">
        <v>5810</v>
      </c>
      <c r="C219" s="7" t="s">
        <v>5808</v>
      </c>
      <c r="D219" s="1899">
        <v>43823</v>
      </c>
      <c r="E219" s="881" t="s">
        <v>5809</v>
      </c>
      <c r="F219" s="836">
        <v>0.64583333333333337</v>
      </c>
      <c r="G219" s="836">
        <v>0.72916666666666663</v>
      </c>
      <c r="H219" s="836">
        <v>0.72916666666666663</v>
      </c>
      <c r="I219" s="1100">
        <f>0.85*(180+85)</f>
        <v>225.25</v>
      </c>
      <c r="J219" s="2187" t="s">
        <v>5811</v>
      </c>
      <c r="K219" s="7" t="s">
        <v>119</v>
      </c>
      <c r="L219" s="809" t="s">
        <v>17</v>
      </c>
    </row>
    <row r="220" spans="1:12" ht="43.5" x14ac:dyDescent="0.35">
      <c r="A220" s="2171">
        <v>43816</v>
      </c>
      <c r="B220" s="2168" t="s">
        <v>5718</v>
      </c>
      <c r="C220" s="7" t="s">
        <v>1048</v>
      </c>
      <c r="D220" s="1899">
        <v>43823</v>
      </c>
      <c r="E220" s="881" t="s">
        <v>5720</v>
      </c>
      <c r="F220" s="836">
        <v>0.64583333333333337</v>
      </c>
      <c r="G220" s="836">
        <v>0.76041666666666663</v>
      </c>
      <c r="H220" s="836">
        <v>0.76041666666666663</v>
      </c>
      <c r="I220" s="1630">
        <v>199</v>
      </c>
      <c r="J220" s="7" t="s">
        <v>5722</v>
      </c>
      <c r="K220" s="7" t="s">
        <v>119</v>
      </c>
      <c r="L220" s="809" t="s">
        <v>17</v>
      </c>
    </row>
    <row r="221" spans="1:12" x14ac:dyDescent="0.35">
      <c r="A221" s="2179">
        <v>43822</v>
      </c>
      <c r="B221" s="7" t="s">
        <v>5891</v>
      </c>
      <c r="C221" s="7" t="s">
        <v>5892</v>
      </c>
      <c r="D221" s="1899">
        <v>43823</v>
      </c>
      <c r="E221" s="881" t="s">
        <v>5494</v>
      </c>
      <c r="F221" s="836">
        <v>0.66666666666666663</v>
      </c>
      <c r="G221" s="836">
        <v>0.66666666666666663</v>
      </c>
      <c r="H221" s="836">
        <v>0.66666666666666663</v>
      </c>
      <c r="I221" s="1100">
        <f>1.5*100*0.7</f>
        <v>105</v>
      </c>
      <c r="J221" s="7" t="s">
        <v>257</v>
      </c>
      <c r="K221" s="7" t="s">
        <v>15</v>
      </c>
      <c r="L221" s="809" t="s">
        <v>17</v>
      </c>
    </row>
    <row r="222" spans="1:12" ht="72.5" x14ac:dyDescent="0.35">
      <c r="A222" s="2179">
        <v>43818</v>
      </c>
      <c r="B222" s="7" t="s">
        <v>5491</v>
      </c>
      <c r="C222" s="2142" t="s">
        <v>5812</v>
      </c>
      <c r="D222" s="1899">
        <v>43823</v>
      </c>
      <c r="E222" s="881" t="s">
        <v>5494</v>
      </c>
      <c r="F222" s="836">
        <v>0.66666666666666663</v>
      </c>
      <c r="G222" s="836">
        <v>0.66666666666666663</v>
      </c>
      <c r="H222" s="836">
        <v>0.66666666666666663</v>
      </c>
      <c r="I222" s="1100">
        <f>0.7*(4*90+3*140)</f>
        <v>546</v>
      </c>
      <c r="J222" s="7" t="s">
        <v>257</v>
      </c>
      <c r="K222" s="7" t="s">
        <v>15</v>
      </c>
      <c r="L222" s="809" t="s">
        <v>17</v>
      </c>
    </row>
    <row r="223" spans="1:12" ht="58" x14ac:dyDescent="0.35">
      <c r="A223" s="2185">
        <v>43821</v>
      </c>
      <c r="B223" s="1412" t="s">
        <v>5878</v>
      </c>
      <c r="C223" s="10" t="s">
        <v>5879</v>
      </c>
      <c r="D223" s="1808">
        <v>43823</v>
      </c>
      <c r="E223" s="881" t="s">
        <v>5494</v>
      </c>
      <c r="F223" s="12">
        <v>0.70833333333333337</v>
      </c>
      <c r="G223" s="12">
        <v>0.70833333333333337</v>
      </c>
      <c r="H223" s="12">
        <v>0.70833333333333337</v>
      </c>
      <c r="I223" s="1100">
        <v>200</v>
      </c>
      <c r="J223" s="7" t="s">
        <v>5880</v>
      </c>
      <c r="K223" s="7" t="s">
        <v>15</v>
      </c>
      <c r="L223" s="809" t="s">
        <v>17</v>
      </c>
    </row>
    <row r="224" spans="1:12" x14ac:dyDescent="0.35">
      <c r="A224" s="2199">
        <v>43822</v>
      </c>
      <c r="B224" s="817" t="s">
        <v>20</v>
      </c>
      <c r="C224" s="7" t="s">
        <v>5898</v>
      </c>
      <c r="D224" s="1899">
        <v>43823</v>
      </c>
      <c r="E224" s="881" t="s">
        <v>20</v>
      </c>
      <c r="F224" s="836" t="s">
        <v>15</v>
      </c>
      <c r="G224" s="836" t="s">
        <v>15</v>
      </c>
      <c r="H224" s="836" t="s">
        <v>15</v>
      </c>
      <c r="I224" s="1100">
        <v>0</v>
      </c>
      <c r="J224" s="836" t="s">
        <v>15</v>
      </c>
      <c r="K224" s="836" t="s">
        <v>15</v>
      </c>
      <c r="L224" s="809" t="s">
        <v>17</v>
      </c>
    </row>
    <row r="225" spans="1:14" ht="43.5" hidden="1" x14ac:dyDescent="0.35">
      <c r="A225" s="2171">
        <v>43826</v>
      </c>
      <c r="B225" s="1149" t="s">
        <v>5702</v>
      </c>
      <c r="C225" s="7" t="s">
        <v>5928</v>
      </c>
      <c r="D225" s="1899">
        <v>43826</v>
      </c>
      <c r="E225" s="881" t="s">
        <v>5931</v>
      </c>
      <c r="F225" s="836"/>
      <c r="G225" s="836">
        <v>0.5625</v>
      </c>
      <c r="H225" s="836">
        <v>0.58333333333333337</v>
      </c>
      <c r="I225" s="1100">
        <v>625</v>
      </c>
      <c r="J225" s="7" t="s">
        <v>5929</v>
      </c>
      <c r="K225" s="7" t="s">
        <v>5930</v>
      </c>
      <c r="L225" s="809" t="s">
        <v>22</v>
      </c>
    </row>
    <row r="226" spans="1:14" ht="101.5" hidden="1" x14ac:dyDescent="0.35">
      <c r="A226" s="2189">
        <v>43824</v>
      </c>
      <c r="B226" s="1850" t="s">
        <v>5489</v>
      </c>
      <c r="C226" s="1733" t="s">
        <v>5920</v>
      </c>
      <c r="D226" s="2146">
        <v>43826</v>
      </c>
      <c r="E226" s="2150" t="s">
        <v>5917</v>
      </c>
      <c r="F226" s="836">
        <v>0.64583333333333337</v>
      </c>
      <c r="G226" s="836">
        <v>0.66666666666666663</v>
      </c>
      <c r="H226" s="836">
        <v>0.66666666666666663</v>
      </c>
      <c r="I226" s="1100">
        <f>50*4.76+600</f>
        <v>838</v>
      </c>
      <c r="J226" s="2190" t="s">
        <v>5924</v>
      </c>
      <c r="K226" s="881" t="s">
        <v>119</v>
      </c>
      <c r="L226" s="809" t="s">
        <v>17</v>
      </c>
    </row>
    <row r="227" spans="1:14" ht="87" hidden="1" x14ac:dyDescent="0.35">
      <c r="A227" s="2189">
        <v>43825</v>
      </c>
      <c r="B227" s="1850" t="s">
        <v>4468</v>
      </c>
      <c r="C227" s="1733" t="s">
        <v>5926</v>
      </c>
      <c r="D227" s="2146">
        <v>43826</v>
      </c>
      <c r="E227" s="2150" t="s">
        <v>5927</v>
      </c>
      <c r="F227" s="836">
        <v>0.64583333333333337</v>
      </c>
      <c r="G227" s="836">
        <v>0.6875</v>
      </c>
      <c r="H227" s="836">
        <v>0.6875</v>
      </c>
      <c r="I227" s="1100">
        <f>4*5*9</f>
        <v>180</v>
      </c>
      <c r="J227" s="2190" t="s">
        <v>3588</v>
      </c>
      <c r="K227" s="881" t="s">
        <v>119</v>
      </c>
      <c r="L227" s="809" t="s">
        <v>17</v>
      </c>
    </row>
    <row r="228" spans="1:14" ht="43.5" hidden="1" x14ac:dyDescent="0.35">
      <c r="A228" s="2199">
        <v>43824</v>
      </c>
      <c r="B228" s="817" t="s">
        <v>5841</v>
      </c>
      <c r="C228" s="7" t="s">
        <v>5918</v>
      </c>
      <c r="D228" s="1899">
        <v>43826</v>
      </c>
      <c r="E228" s="881" t="s">
        <v>5919</v>
      </c>
      <c r="F228" s="836">
        <v>0.64583333333333337</v>
      </c>
      <c r="G228" s="836">
        <v>0.70833333333333337</v>
      </c>
      <c r="H228" s="836">
        <v>0.70833333333333337</v>
      </c>
      <c r="I228" s="1630">
        <v>186</v>
      </c>
      <c r="J228" s="7" t="s">
        <v>5895</v>
      </c>
      <c r="K228" s="881" t="s">
        <v>119</v>
      </c>
      <c r="L228" s="809" t="s">
        <v>17</v>
      </c>
    </row>
    <row r="229" spans="1:14" ht="29" hidden="1" x14ac:dyDescent="0.35">
      <c r="A229" s="2171">
        <v>43816</v>
      </c>
      <c r="B229" s="2168" t="s">
        <v>5718</v>
      </c>
      <c r="C229" s="7" t="s">
        <v>5723</v>
      </c>
      <c r="D229" s="1899">
        <v>43826</v>
      </c>
      <c r="E229" s="881" t="s">
        <v>5721</v>
      </c>
      <c r="F229" s="836">
        <v>0.64583333333333337</v>
      </c>
      <c r="G229" s="836">
        <v>0.72916666666666663</v>
      </c>
      <c r="H229" s="836">
        <v>0.72916666666666663</v>
      </c>
      <c r="I229" s="1630">
        <f>2*120</f>
        <v>240</v>
      </c>
      <c r="J229" s="7" t="s">
        <v>5722</v>
      </c>
      <c r="K229" s="881" t="s">
        <v>119</v>
      </c>
      <c r="L229" s="809" t="s">
        <v>17</v>
      </c>
    </row>
    <row r="230" spans="1:14" ht="58" hidden="1" x14ac:dyDescent="0.35">
      <c r="A230" s="2199">
        <v>43822</v>
      </c>
      <c r="B230" s="817" t="s">
        <v>5902</v>
      </c>
      <c r="C230" s="7" t="s">
        <v>5903</v>
      </c>
      <c r="D230" s="1899">
        <v>43826</v>
      </c>
      <c r="E230" s="881" t="s">
        <v>5494</v>
      </c>
      <c r="F230" s="836">
        <v>0.70833333333333337</v>
      </c>
      <c r="G230" s="836">
        <v>0.70833333333333337</v>
      </c>
      <c r="H230" s="836">
        <v>0.70833333333333337</v>
      </c>
      <c r="I230" s="1630">
        <v>598</v>
      </c>
      <c r="J230" s="7" t="s">
        <v>5904</v>
      </c>
      <c r="K230" s="881" t="s">
        <v>15</v>
      </c>
      <c r="L230" s="809" t="s">
        <v>17</v>
      </c>
    </row>
    <row r="231" spans="1:14" hidden="1" x14ac:dyDescent="0.35">
      <c r="A231" s="2199">
        <v>43824</v>
      </c>
      <c r="B231" s="817" t="s">
        <v>20</v>
      </c>
      <c r="C231" s="7" t="s">
        <v>5921</v>
      </c>
      <c r="D231" s="1899">
        <v>43826</v>
      </c>
      <c r="E231" s="881" t="s">
        <v>20</v>
      </c>
      <c r="F231" s="881" t="s">
        <v>15</v>
      </c>
      <c r="G231" s="881" t="s">
        <v>15</v>
      </c>
      <c r="H231" s="881" t="s">
        <v>15</v>
      </c>
      <c r="I231" s="1100">
        <v>0</v>
      </c>
      <c r="J231" s="881" t="s">
        <v>15</v>
      </c>
      <c r="K231" s="881" t="s">
        <v>15</v>
      </c>
      <c r="L231" s="809" t="s">
        <v>17</v>
      </c>
    </row>
    <row r="232" spans="1:14" ht="58" hidden="1" x14ac:dyDescent="0.35">
      <c r="A232" s="2184">
        <v>43825</v>
      </c>
      <c r="B232" s="817" t="s">
        <v>20</v>
      </c>
      <c r="C232" s="7" t="s">
        <v>5923</v>
      </c>
      <c r="D232" s="1899">
        <v>43826</v>
      </c>
      <c r="E232" s="881" t="s">
        <v>20</v>
      </c>
      <c r="F232" s="881" t="s">
        <v>15</v>
      </c>
      <c r="G232" s="881" t="s">
        <v>15</v>
      </c>
      <c r="H232" s="881" t="s">
        <v>15</v>
      </c>
      <c r="I232" s="1100">
        <v>0</v>
      </c>
      <c r="J232" s="881" t="s">
        <v>15</v>
      </c>
      <c r="K232" s="881" t="s">
        <v>15</v>
      </c>
      <c r="L232" s="809" t="s">
        <v>17</v>
      </c>
    </row>
    <row r="233" spans="1:14" ht="58" hidden="1" x14ac:dyDescent="0.35">
      <c r="A233" s="2189">
        <v>43825</v>
      </c>
      <c r="B233" s="1850" t="s">
        <v>5402</v>
      </c>
      <c r="C233" s="1733" t="s">
        <v>5922</v>
      </c>
      <c r="D233" s="2146">
        <v>43827</v>
      </c>
      <c r="E233" s="2150" t="s">
        <v>5925</v>
      </c>
      <c r="F233" s="836">
        <v>0.625</v>
      </c>
      <c r="G233" s="836">
        <v>0.64583333333333337</v>
      </c>
      <c r="H233" s="836">
        <v>0.64583333333333337</v>
      </c>
      <c r="I233" s="1100">
        <v>330</v>
      </c>
      <c r="J233" s="7" t="s">
        <v>257</v>
      </c>
      <c r="K233" s="7" t="s">
        <v>15</v>
      </c>
      <c r="L233" s="809" t="s">
        <v>17</v>
      </c>
    </row>
    <row r="234" spans="1:14" s="866" customFormat="1" ht="43.5" hidden="1" x14ac:dyDescent="0.35">
      <c r="A234" s="2186">
        <v>43822</v>
      </c>
      <c r="B234" s="2203" t="s">
        <v>5896</v>
      </c>
      <c r="C234" s="2203" t="s">
        <v>5899</v>
      </c>
      <c r="D234" s="2205">
        <v>43827</v>
      </c>
      <c r="E234" s="919" t="s">
        <v>5494</v>
      </c>
      <c r="F234" s="836">
        <v>0.66666666666666663</v>
      </c>
      <c r="G234" s="836">
        <v>0.66666666666666663</v>
      </c>
      <c r="H234" s="836">
        <v>0.66666666666666663</v>
      </c>
      <c r="I234" s="1100">
        <v>400</v>
      </c>
      <c r="J234" s="7" t="s">
        <v>5897</v>
      </c>
      <c r="K234" s="7" t="s">
        <v>15</v>
      </c>
      <c r="L234" s="809" t="s">
        <v>17</v>
      </c>
      <c r="N234"/>
    </row>
    <row r="235" spans="1:14" ht="72.5" hidden="1" x14ac:dyDescent="0.35">
      <c r="A235" s="2199">
        <v>43828</v>
      </c>
      <c r="B235" s="817" t="s">
        <v>4468</v>
      </c>
      <c r="C235" s="7" t="s">
        <v>5642</v>
      </c>
      <c r="D235" s="1899">
        <v>43828</v>
      </c>
      <c r="E235" s="881" t="s">
        <v>5002</v>
      </c>
      <c r="F235" s="836">
        <v>0.625</v>
      </c>
      <c r="G235" s="836">
        <v>0.65277777777777779</v>
      </c>
      <c r="H235" s="836">
        <v>0.65277777777777779</v>
      </c>
      <c r="I235" s="1100">
        <f>3*5*9</f>
        <v>135</v>
      </c>
      <c r="J235" s="7" t="s">
        <v>5970</v>
      </c>
      <c r="K235" s="7" t="s">
        <v>119</v>
      </c>
      <c r="L235" s="809" t="s">
        <v>17</v>
      </c>
    </row>
    <row r="236" spans="1:14" ht="58" hidden="1" x14ac:dyDescent="0.35">
      <c r="A236" s="2199">
        <v>43827</v>
      </c>
      <c r="B236" s="817" t="s">
        <v>5969</v>
      </c>
      <c r="C236" s="7" t="s">
        <v>5978</v>
      </c>
      <c r="D236" s="1899">
        <v>43828</v>
      </c>
      <c r="E236" s="881" t="s">
        <v>5962</v>
      </c>
      <c r="F236" s="836">
        <v>0.625</v>
      </c>
      <c r="G236" s="836">
        <v>0.72916666666666663</v>
      </c>
      <c r="H236" s="836">
        <v>0.72916666666666663</v>
      </c>
      <c r="I236" s="1630">
        <v>255</v>
      </c>
      <c r="J236" s="7" t="s">
        <v>5963</v>
      </c>
      <c r="K236" s="7" t="s">
        <v>119</v>
      </c>
      <c r="L236" s="809" t="s">
        <v>17</v>
      </c>
    </row>
    <row r="237" spans="1:14" ht="43.5" hidden="1" x14ac:dyDescent="0.35">
      <c r="A237" s="2149">
        <v>43799</v>
      </c>
      <c r="B237" s="817" t="s">
        <v>5946</v>
      </c>
      <c r="C237" s="7" t="s">
        <v>5947</v>
      </c>
      <c r="D237" s="1899">
        <v>43828</v>
      </c>
      <c r="E237" s="881" t="s">
        <v>5948</v>
      </c>
      <c r="F237" s="836">
        <v>0.57291666666666663</v>
      </c>
      <c r="G237" s="836">
        <v>0.59375</v>
      </c>
      <c r="H237" s="836">
        <v>0.59375</v>
      </c>
      <c r="I237" s="1100">
        <v>0</v>
      </c>
      <c r="J237" s="7" t="s">
        <v>16</v>
      </c>
      <c r="K237" s="7" t="s">
        <v>15</v>
      </c>
      <c r="L237" s="809" t="s">
        <v>17</v>
      </c>
    </row>
    <row r="238" spans="1:14" ht="58" hidden="1" x14ac:dyDescent="0.35">
      <c r="A238" s="2199">
        <v>43828</v>
      </c>
      <c r="B238" s="874" t="s">
        <v>5983</v>
      </c>
      <c r="C238" s="7" t="s">
        <v>5984</v>
      </c>
      <c r="D238" s="1899">
        <v>43829</v>
      </c>
      <c r="E238" s="881" t="s">
        <v>5985</v>
      </c>
      <c r="F238" s="836">
        <v>0.5</v>
      </c>
      <c r="G238" s="836">
        <v>0.54166666666666663</v>
      </c>
      <c r="H238" s="836">
        <v>0.54166666666666663</v>
      </c>
      <c r="I238" s="1100">
        <f>1.6*90</f>
        <v>144</v>
      </c>
      <c r="J238" s="7" t="s">
        <v>5986</v>
      </c>
      <c r="K238" s="7" t="s">
        <v>119</v>
      </c>
      <c r="L238" s="809" t="s">
        <v>17</v>
      </c>
    </row>
    <row r="239" spans="1:14" ht="58" hidden="1" x14ac:dyDescent="0.35">
      <c r="A239" s="2199">
        <v>43827</v>
      </c>
      <c r="B239" s="817" t="s">
        <v>5944</v>
      </c>
      <c r="C239" s="7" t="s">
        <v>5943</v>
      </c>
      <c r="D239" s="1899">
        <v>43829</v>
      </c>
      <c r="E239" s="881" t="s">
        <v>5942</v>
      </c>
      <c r="F239" s="836">
        <v>0.5</v>
      </c>
      <c r="G239" s="836">
        <v>0.5625</v>
      </c>
      <c r="H239" s="836">
        <v>0.5625</v>
      </c>
      <c r="I239" s="1100">
        <f>90*0.7</f>
        <v>62.999999999999993</v>
      </c>
      <c r="J239" s="7" t="s">
        <v>5945</v>
      </c>
      <c r="K239" s="7" t="s">
        <v>119</v>
      </c>
      <c r="L239" s="809" t="s">
        <v>17</v>
      </c>
    </row>
    <row r="240" spans="1:14" ht="72.5" hidden="1" x14ac:dyDescent="0.35">
      <c r="A240" s="2193">
        <v>43828</v>
      </c>
      <c r="B240" s="817" t="s">
        <v>5989</v>
      </c>
      <c r="C240" s="7" t="s">
        <v>5990</v>
      </c>
      <c r="D240" s="1899">
        <v>43829</v>
      </c>
      <c r="E240" s="881" t="s">
        <v>5991</v>
      </c>
      <c r="F240" s="836">
        <v>0.5</v>
      </c>
      <c r="G240" s="836">
        <v>0.60416666666666663</v>
      </c>
      <c r="H240" s="836">
        <v>0.60416666666666663</v>
      </c>
      <c r="I240" s="1100">
        <v>0</v>
      </c>
      <c r="J240" s="7" t="s">
        <v>5992</v>
      </c>
      <c r="K240" s="7" t="s">
        <v>119</v>
      </c>
      <c r="L240" s="809" t="s">
        <v>17</v>
      </c>
    </row>
    <row r="241" spans="1:12" ht="43.5" hidden="1" x14ac:dyDescent="0.35">
      <c r="A241" s="2184">
        <v>43828</v>
      </c>
      <c r="B241" s="817" t="s">
        <v>5971</v>
      </c>
      <c r="C241" s="1733" t="s">
        <v>5972</v>
      </c>
      <c r="D241" s="2146">
        <v>43829</v>
      </c>
      <c r="E241" s="2150" t="s">
        <v>5973</v>
      </c>
      <c r="F241" s="836">
        <v>0.5</v>
      </c>
      <c r="G241" s="836">
        <v>0.625</v>
      </c>
      <c r="H241" s="836">
        <v>0.625</v>
      </c>
      <c r="I241" s="1100">
        <v>135</v>
      </c>
      <c r="J241" s="7" t="s">
        <v>5974</v>
      </c>
      <c r="K241" s="7" t="s">
        <v>119</v>
      </c>
      <c r="L241" s="809" t="s">
        <v>17</v>
      </c>
    </row>
    <row r="242" spans="1:12" hidden="1" x14ac:dyDescent="0.35">
      <c r="A242" s="2199">
        <v>43828</v>
      </c>
      <c r="B242" s="817" t="s">
        <v>5436</v>
      </c>
      <c r="C242" s="1733" t="s">
        <v>5993</v>
      </c>
      <c r="D242" s="2146">
        <v>43829</v>
      </c>
      <c r="E242" s="2150" t="s">
        <v>126</v>
      </c>
      <c r="F242" s="836">
        <v>0.5</v>
      </c>
      <c r="G242" s="836">
        <v>0.64583333333333337</v>
      </c>
      <c r="H242" s="836">
        <v>0.64583333333333337</v>
      </c>
      <c r="I242" s="1100">
        <v>0</v>
      </c>
      <c r="J242" s="7" t="s">
        <v>5994</v>
      </c>
      <c r="K242" s="7" t="s">
        <v>119</v>
      </c>
      <c r="L242" s="809" t="s">
        <v>5995</v>
      </c>
    </row>
    <row r="243" spans="1:12" ht="96" hidden="1" customHeight="1" x14ac:dyDescent="0.35">
      <c r="A243" s="2193">
        <v>43827</v>
      </c>
      <c r="B243" s="817" t="s">
        <v>5954</v>
      </c>
      <c r="C243" s="7" t="s">
        <v>5955</v>
      </c>
      <c r="D243" s="1899">
        <v>43829</v>
      </c>
      <c r="E243" s="881" t="s">
        <v>5494</v>
      </c>
      <c r="F243" s="836">
        <v>0.54166666666666663</v>
      </c>
      <c r="G243" s="836">
        <v>0.41666666666666669</v>
      </c>
      <c r="H243" s="836">
        <v>0.41666666666666669</v>
      </c>
      <c r="I243" s="1630">
        <v>128</v>
      </c>
      <c r="J243" s="7" t="s">
        <v>5956</v>
      </c>
      <c r="K243" s="7" t="s">
        <v>15</v>
      </c>
      <c r="L243" s="809" t="s">
        <v>17</v>
      </c>
    </row>
    <row r="244" spans="1:12" ht="96" hidden="1" customHeight="1" x14ac:dyDescent="0.35">
      <c r="A244" s="2199">
        <v>43826</v>
      </c>
      <c r="B244" s="817" t="s">
        <v>5902</v>
      </c>
      <c r="C244" s="7" t="s">
        <v>5937</v>
      </c>
      <c r="D244" s="1899">
        <v>43829</v>
      </c>
      <c r="E244" s="881" t="s">
        <v>5494</v>
      </c>
      <c r="F244" s="836">
        <v>0.54166666666666663</v>
      </c>
      <c r="G244" s="836">
        <v>0.54166666666666663</v>
      </c>
      <c r="H244" s="836">
        <v>0.54166666666666663</v>
      </c>
      <c r="I244" s="1630">
        <v>320</v>
      </c>
      <c r="J244" s="7" t="s">
        <v>5941</v>
      </c>
      <c r="K244" s="7" t="s">
        <v>15</v>
      </c>
      <c r="L244" s="809" t="s">
        <v>17</v>
      </c>
    </row>
    <row r="245" spans="1:12" ht="58" hidden="1" x14ac:dyDescent="0.35">
      <c r="A245" s="2193">
        <v>43827</v>
      </c>
      <c r="B245" s="817" t="s">
        <v>5949</v>
      </c>
      <c r="C245" s="7" t="s">
        <v>5950</v>
      </c>
      <c r="D245" s="1899">
        <v>43829</v>
      </c>
      <c r="E245" s="881" t="s">
        <v>5494</v>
      </c>
      <c r="F245" s="836">
        <v>0.75</v>
      </c>
      <c r="G245" s="836">
        <v>0.75</v>
      </c>
      <c r="H245" s="836">
        <v>0.75</v>
      </c>
      <c r="I245" s="1100">
        <v>80</v>
      </c>
      <c r="J245" s="7" t="s">
        <v>5966</v>
      </c>
      <c r="K245" s="7" t="s">
        <v>15</v>
      </c>
      <c r="L245" s="809" t="s">
        <v>17</v>
      </c>
    </row>
    <row r="246" spans="1:12" ht="101.5" hidden="1" x14ac:dyDescent="0.35">
      <c r="A246" s="2193">
        <v>43828</v>
      </c>
      <c r="B246" s="817" t="s">
        <v>5455</v>
      </c>
      <c r="C246" s="7" t="s">
        <v>5998</v>
      </c>
      <c r="D246" s="1899">
        <v>43830</v>
      </c>
      <c r="E246" s="881" t="s">
        <v>5979</v>
      </c>
      <c r="F246" s="836">
        <v>0.39583333333333331</v>
      </c>
      <c r="G246" s="836">
        <v>0.40625</v>
      </c>
      <c r="H246" s="836">
        <v>0.40625</v>
      </c>
      <c r="I246" s="1100">
        <f>1.5*2*90</f>
        <v>270</v>
      </c>
      <c r="J246" s="7" t="s">
        <v>257</v>
      </c>
      <c r="K246" s="7" t="s">
        <v>140</v>
      </c>
      <c r="L246" s="809" t="s">
        <v>17</v>
      </c>
    </row>
    <row r="247" spans="1:12" ht="174" hidden="1" x14ac:dyDescent="0.35">
      <c r="A247" s="2151">
        <v>43810</v>
      </c>
      <c r="B247" s="1733" t="s">
        <v>5280</v>
      </c>
      <c r="C247" s="1733" t="s">
        <v>5997</v>
      </c>
      <c r="D247" s="2146">
        <v>43830</v>
      </c>
      <c r="E247" s="2150" t="s">
        <v>5356</v>
      </c>
      <c r="F247" s="836">
        <v>0.39583333333333331</v>
      </c>
      <c r="G247" s="836">
        <v>0.4375</v>
      </c>
      <c r="H247" s="836">
        <v>0.4375</v>
      </c>
      <c r="I247" s="1100">
        <v>195</v>
      </c>
      <c r="J247" s="7" t="s">
        <v>5910</v>
      </c>
      <c r="K247" s="7" t="s">
        <v>140</v>
      </c>
      <c r="L247" s="809" t="s">
        <v>22</v>
      </c>
    </row>
    <row r="248" spans="1:12" ht="333.5" hidden="1" x14ac:dyDescent="0.35">
      <c r="A248" s="2189">
        <v>43827</v>
      </c>
      <c r="B248" s="1850" t="s">
        <v>5964</v>
      </c>
      <c r="C248" s="1733" t="s">
        <v>6024</v>
      </c>
      <c r="D248" s="2146">
        <v>43830</v>
      </c>
      <c r="E248" s="2150" t="s">
        <v>5965</v>
      </c>
      <c r="F248" s="836">
        <v>0.39583333333333331</v>
      </c>
      <c r="G248" s="836">
        <v>0.47916666666666669</v>
      </c>
      <c r="H248" s="836">
        <v>0.47916666666666669</v>
      </c>
      <c r="I248" s="1100">
        <v>1724</v>
      </c>
      <c r="J248" s="7" t="s">
        <v>5999</v>
      </c>
      <c r="K248" s="7" t="s">
        <v>140</v>
      </c>
      <c r="L248" s="809" t="s">
        <v>17</v>
      </c>
    </row>
    <row r="249" spans="1:12" ht="43.5" hidden="1" x14ac:dyDescent="0.35">
      <c r="A249" s="2199">
        <v>43826</v>
      </c>
      <c r="B249" s="817" t="s">
        <v>5933</v>
      </c>
      <c r="C249" s="7" t="s">
        <v>5934</v>
      </c>
      <c r="D249" s="1899">
        <v>43830</v>
      </c>
      <c r="E249" s="881" t="s">
        <v>5935</v>
      </c>
      <c r="F249" s="836">
        <v>0.39583333333333331</v>
      </c>
      <c r="G249" s="836">
        <v>0.5</v>
      </c>
      <c r="H249" s="836">
        <v>0.5</v>
      </c>
      <c r="I249" s="1100">
        <f>1.5*90</f>
        <v>135</v>
      </c>
      <c r="J249" s="7" t="s">
        <v>257</v>
      </c>
      <c r="K249" s="7" t="s">
        <v>140</v>
      </c>
      <c r="L249" s="809" t="s">
        <v>17</v>
      </c>
    </row>
    <row r="250" spans="1:12" hidden="1" x14ac:dyDescent="0.35">
      <c r="A250" s="2199">
        <v>43827</v>
      </c>
      <c r="B250" s="817" t="s">
        <v>5960</v>
      </c>
      <c r="C250" s="7" t="s">
        <v>5961</v>
      </c>
      <c r="D250" s="1899">
        <v>43830</v>
      </c>
      <c r="E250" s="881" t="s">
        <v>5494</v>
      </c>
      <c r="F250" s="836">
        <v>0.5</v>
      </c>
      <c r="G250" s="836">
        <v>0.5</v>
      </c>
      <c r="H250" s="836">
        <v>0.5</v>
      </c>
      <c r="I250" s="1630">
        <v>28</v>
      </c>
      <c r="J250" s="7" t="s">
        <v>5967</v>
      </c>
      <c r="K250" s="7" t="s">
        <v>15</v>
      </c>
      <c r="L250" s="809" t="s">
        <v>17</v>
      </c>
    </row>
    <row r="251" spans="1:12" ht="29" hidden="1" x14ac:dyDescent="0.35">
      <c r="A251" s="2199">
        <v>43829</v>
      </c>
      <c r="B251" s="817" t="s">
        <v>6002</v>
      </c>
      <c r="C251" s="7" t="s">
        <v>6006</v>
      </c>
      <c r="D251" s="1899">
        <v>43830</v>
      </c>
      <c r="E251" s="881" t="s">
        <v>5494</v>
      </c>
      <c r="F251" s="836">
        <v>0.54166666666666663</v>
      </c>
      <c r="G251" s="836">
        <v>0.54166666666666663</v>
      </c>
      <c r="H251" s="836">
        <v>0.54166666666666663</v>
      </c>
      <c r="I251" s="1630">
        <v>128</v>
      </c>
      <c r="J251" s="7" t="s">
        <v>6003</v>
      </c>
      <c r="K251" s="7" t="s">
        <v>15</v>
      </c>
      <c r="L251" s="809" t="s">
        <v>17</v>
      </c>
    </row>
    <row r="252" spans="1:12" ht="29" hidden="1" x14ac:dyDescent="0.35">
      <c r="A252" s="2199">
        <v>43829</v>
      </c>
      <c r="B252" s="817" t="s">
        <v>6008</v>
      </c>
      <c r="C252" s="7" t="s">
        <v>5719</v>
      </c>
      <c r="D252" s="1899">
        <v>43830</v>
      </c>
      <c r="E252" s="881" t="s">
        <v>5494</v>
      </c>
      <c r="F252" s="836">
        <v>0.54166666666666663</v>
      </c>
      <c r="G252" s="836">
        <v>0.54166666666666663</v>
      </c>
      <c r="H252" s="836">
        <v>0.54166666666666663</v>
      </c>
      <c r="I252" s="1100">
        <v>99</v>
      </c>
      <c r="J252" s="7" t="s">
        <v>257</v>
      </c>
      <c r="K252" s="7" t="s">
        <v>15</v>
      </c>
      <c r="L252" s="809" t="s">
        <v>17</v>
      </c>
    </row>
    <row r="253" spans="1:12" ht="29" hidden="1" x14ac:dyDescent="0.35">
      <c r="A253" s="2199">
        <v>43829</v>
      </c>
      <c r="B253" s="817" t="s">
        <v>6015</v>
      </c>
      <c r="C253" s="7" t="s">
        <v>6016</v>
      </c>
      <c r="D253" s="1899">
        <v>43830</v>
      </c>
      <c r="E253" s="881" t="s">
        <v>5494</v>
      </c>
      <c r="F253" s="836">
        <v>0.54166666666666663</v>
      </c>
      <c r="G253" s="836">
        <v>0.54166666666666663</v>
      </c>
      <c r="H253" s="836">
        <v>0.54166666666666663</v>
      </c>
      <c r="I253" s="1100">
        <v>128</v>
      </c>
      <c r="J253" s="7" t="s">
        <v>257</v>
      </c>
      <c r="K253" s="7" t="s">
        <v>15</v>
      </c>
      <c r="L253" s="809" t="s">
        <v>17</v>
      </c>
    </row>
    <row r="254" spans="1:12" ht="29" hidden="1" x14ac:dyDescent="0.35">
      <c r="A254" s="2199">
        <v>43829</v>
      </c>
      <c r="B254" s="817" t="s">
        <v>6025</v>
      </c>
      <c r="C254" s="7" t="s">
        <v>5961</v>
      </c>
      <c r="D254" s="1899">
        <v>43830</v>
      </c>
      <c r="E254" s="881" t="s">
        <v>5494</v>
      </c>
      <c r="F254" s="836">
        <v>0.54166666666666663</v>
      </c>
      <c r="G254" s="836">
        <v>0.54166666666666663</v>
      </c>
      <c r="H254" s="836">
        <v>0.54166666666666663</v>
      </c>
      <c r="I254" s="1100">
        <v>128</v>
      </c>
      <c r="J254" s="7" t="s">
        <v>257</v>
      </c>
      <c r="K254" s="7" t="s">
        <v>15</v>
      </c>
      <c r="L254" s="809" t="s">
        <v>17</v>
      </c>
    </row>
    <row r="255" spans="1:12" ht="29" hidden="1" x14ac:dyDescent="0.35">
      <c r="A255" s="2149">
        <v>43817</v>
      </c>
      <c r="B255" s="817" t="s">
        <v>5466</v>
      </c>
      <c r="C255" s="7" t="s">
        <v>5777</v>
      </c>
      <c r="D255" s="1899">
        <v>43830</v>
      </c>
      <c r="E255" s="881" t="s">
        <v>5494</v>
      </c>
      <c r="F255" s="836">
        <v>0.54166666666666663</v>
      </c>
      <c r="G255" s="836">
        <v>0.54166666666666663</v>
      </c>
      <c r="H255" s="836">
        <v>0.54166666666666663</v>
      </c>
      <c r="I255" s="1100">
        <f>1.6*120*0.85</f>
        <v>163.19999999999999</v>
      </c>
      <c r="J255" s="7" t="s">
        <v>5776</v>
      </c>
      <c r="K255" s="7" t="s">
        <v>15</v>
      </c>
      <c r="L255" s="809" t="s">
        <v>17</v>
      </c>
    </row>
    <row r="256" spans="1:12" hidden="1" x14ac:dyDescent="0.35">
      <c r="A256" s="2199">
        <v>43818</v>
      </c>
      <c r="B256" s="817" t="s">
        <v>5436</v>
      </c>
      <c r="C256" s="7" t="s">
        <v>5804</v>
      </c>
      <c r="D256" s="1899">
        <v>43830</v>
      </c>
      <c r="E256" s="881" t="s">
        <v>5494</v>
      </c>
      <c r="F256" s="836">
        <v>0.54166666666666663</v>
      </c>
      <c r="G256" s="836">
        <v>0.54166666666666663</v>
      </c>
      <c r="H256" s="836">
        <v>0.54166666666666663</v>
      </c>
      <c r="I256" s="1100">
        <f>1.5*120*0.7</f>
        <v>125.99999999999999</v>
      </c>
      <c r="J256" s="7" t="s">
        <v>5648</v>
      </c>
      <c r="K256" s="7" t="s">
        <v>15</v>
      </c>
      <c r="L256" s="809" t="s">
        <v>17</v>
      </c>
    </row>
    <row r="257" spans="1:12" ht="43.5" hidden="1" x14ac:dyDescent="0.35">
      <c r="A257" s="2171">
        <v>43816</v>
      </c>
      <c r="B257" s="2168" t="s">
        <v>5718</v>
      </c>
      <c r="C257" s="7" t="s">
        <v>5719</v>
      </c>
      <c r="D257" s="1899">
        <v>43830</v>
      </c>
      <c r="E257" s="881" t="s">
        <v>5720</v>
      </c>
      <c r="F257" s="836">
        <v>0.54166666666666663</v>
      </c>
      <c r="G257" s="836">
        <v>0.5625</v>
      </c>
      <c r="H257" s="836">
        <v>0.5625</v>
      </c>
      <c r="I257" s="1100">
        <v>99</v>
      </c>
      <c r="J257" s="7" t="s">
        <v>5722</v>
      </c>
      <c r="K257" s="7" t="s">
        <v>140</v>
      </c>
      <c r="L257" s="809" t="s">
        <v>17</v>
      </c>
    </row>
    <row r="258" spans="1:12" ht="130.5" hidden="1" x14ac:dyDescent="0.35">
      <c r="A258" s="2199">
        <v>43828</v>
      </c>
      <c r="B258" s="817" t="s">
        <v>4054</v>
      </c>
      <c r="C258" s="7" t="s">
        <v>6021</v>
      </c>
      <c r="D258" s="1899">
        <v>43830</v>
      </c>
      <c r="E258" s="881" t="s">
        <v>4003</v>
      </c>
      <c r="F258" s="836">
        <v>0.54166666666666663</v>
      </c>
      <c r="G258" s="836">
        <v>0.59722222222222221</v>
      </c>
      <c r="H258" s="836">
        <v>0.59722222222222221</v>
      </c>
      <c r="I258" s="1100">
        <v>144</v>
      </c>
      <c r="J258" s="7" t="s">
        <v>5988</v>
      </c>
      <c r="K258" s="7" t="s">
        <v>140</v>
      </c>
      <c r="L258" s="809" t="s">
        <v>17</v>
      </c>
    </row>
    <row r="259" spans="1:12" ht="116" hidden="1" x14ac:dyDescent="0.35">
      <c r="A259" s="2199">
        <v>43826</v>
      </c>
      <c r="B259" s="817" t="s">
        <v>5917</v>
      </c>
      <c r="C259" s="7" t="s">
        <v>5932</v>
      </c>
      <c r="D259" s="1899">
        <v>43830</v>
      </c>
      <c r="E259" s="881" t="s">
        <v>5917</v>
      </c>
      <c r="F259" s="836">
        <v>0.54166666666666663</v>
      </c>
      <c r="G259" s="836">
        <v>0.64583333333333337</v>
      </c>
      <c r="H259" s="836">
        <v>0.64583333333333337</v>
      </c>
      <c r="I259" s="1100">
        <f>6*1.5*75+70*2.7</f>
        <v>864</v>
      </c>
      <c r="J259" s="7" t="s">
        <v>4022</v>
      </c>
      <c r="K259" s="7" t="s">
        <v>140</v>
      </c>
      <c r="L259" s="809" t="s">
        <v>17</v>
      </c>
    </row>
    <row r="260" spans="1:12" ht="409.5" hidden="1" x14ac:dyDescent="0.35">
      <c r="A260" s="2194">
        <v>43826</v>
      </c>
      <c r="B260" s="1390" t="s">
        <v>501</v>
      </c>
      <c r="C260" s="1390" t="s">
        <v>5996</v>
      </c>
      <c r="D260" s="2195">
        <v>43830</v>
      </c>
      <c r="E260" s="2196" t="s">
        <v>6000</v>
      </c>
      <c r="F260" s="836">
        <v>0.54166666666666663</v>
      </c>
      <c r="G260" s="2197">
        <v>0.75</v>
      </c>
      <c r="H260" s="2197">
        <v>0.75</v>
      </c>
      <c r="I260" s="2130">
        <v>3358</v>
      </c>
      <c r="J260" s="1390" t="s">
        <v>6001</v>
      </c>
      <c r="K260" s="7" t="s">
        <v>140</v>
      </c>
      <c r="L260" s="2198" t="s">
        <v>974</v>
      </c>
    </row>
    <row r="261" spans="1:12" ht="58" hidden="1" x14ac:dyDescent="0.35">
      <c r="A261" s="2199">
        <v>43826</v>
      </c>
      <c r="B261" s="817" t="s">
        <v>5834</v>
      </c>
      <c r="C261" s="7" t="s">
        <v>5936</v>
      </c>
      <c r="D261" s="1899">
        <v>43830</v>
      </c>
      <c r="E261" s="881" t="s">
        <v>6030</v>
      </c>
      <c r="F261" s="836">
        <v>0.54166666666666663</v>
      </c>
      <c r="G261" s="836">
        <v>0.8125</v>
      </c>
      <c r="H261" s="836">
        <v>0.8125</v>
      </c>
      <c r="I261" s="1100">
        <f>0.85*120</f>
        <v>102</v>
      </c>
      <c r="J261" s="7" t="s">
        <v>5835</v>
      </c>
      <c r="K261" s="7" t="s">
        <v>140</v>
      </c>
      <c r="L261" s="809" t="s">
        <v>17</v>
      </c>
    </row>
    <row r="262" spans="1:12" hidden="1" x14ac:dyDescent="0.35">
      <c r="A262" s="2199">
        <v>43829</v>
      </c>
      <c r="B262" s="817" t="s">
        <v>6027</v>
      </c>
      <c r="C262" s="7" t="s">
        <v>6028</v>
      </c>
      <c r="D262" s="1899">
        <v>43830</v>
      </c>
      <c r="E262" s="881" t="s">
        <v>5494</v>
      </c>
      <c r="F262" s="836">
        <v>0.58333333333333337</v>
      </c>
      <c r="G262" s="836">
        <v>0.58333333333333337</v>
      </c>
      <c r="H262" s="836">
        <v>0.58333333333333337</v>
      </c>
      <c r="I262" s="1100">
        <v>128</v>
      </c>
      <c r="J262" s="7" t="s">
        <v>6029</v>
      </c>
      <c r="K262" s="7" t="s">
        <v>15</v>
      </c>
      <c r="L262" s="809" t="s">
        <v>17</v>
      </c>
    </row>
    <row r="263" spans="1:12" ht="29" hidden="1" x14ac:dyDescent="0.35">
      <c r="A263" s="2199">
        <v>43829</v>
      </c>
      <c r="B263" s="817" t="s">
        <v>6017</v>
      </c>
      <c r="C263" s="7" t="s">
        <v>6018</v>
      </c>
      <c r="D263" s="1899">
        <v>43830</v>
      </c>
      <c r="E263" s="881" t="s">
        <v>5494</v>
      </c>
      <c r="F263" s="836">
        <v>0.58333333333333337</v>
      </c>
      <c r="G263" s="836">
        <v>0.58333333333333337</v>
      </c>
      <c r="H263" s="836">
        <v>0.58333333333333337</v>
      </c>
      <c r="I263" s="1100">
        <v>204.5</v>
      </c>
      <c r="J263" s="7" t="s">
        <v>1525</v>
      </c>
      <c r="K263" s="7" t="s">
        <v>15</v>
      </c>
      <c r="L263" s="809" t="s">
        <v>17</v>
      </c>
    </row>
    <row r="264" spans="1:12" ht="29" hidden="1" x14ac:dyDescent="0.35">
      <c r="A264" s="2199">
        <v>43829</v>
      </c>
      <c r="B264" s="817" t="s">
        <v>6012</v>
      </c>
      <c r="C264" s="7" t="s">
        <v>6013</v>
      </c>
      <c r="D264" s="1899">
        <v>43830</v>
      </c>
      <c r="E264" s="881" t="s">
        <v>5494</v>
      </c>
      <c r="F264" s="836">
        <v>0.58333333333333337</v>
      </c>
      <c r="G264" s="836">
        <v>0.58333333333333337</v>
      </c>
      <c r="H264" s="836">
        <v>0.58333333333333337</v>
      </c>
      <c r="I264" s="1630">
        <v>80</v>
      </c>
      <c r="J264" s="7" t="s">
        <v>6014</v>
      </c>
      <c r="K264" s="7" t="s">
        <v>15</v>
      </c>
      <c r="L264" s="809" t="s">
        <v>17</v>
      </c>
    </row>
    <row r="265" spans="1:12" ht="29" hidden="1" x14ac:dyDescent="0.35">
      <c r="A265" s="2199">
        <v>43797</v>
      </c>
      <c r="B265" s="817" t="s">
        <v>5951</v>
      </c>
      <c r="C265" s="7" t="s">
        <v>5952</v>
      </c>
      <c r="D265" s="1899">
        <v>43830</v>
      </c>
      <c r="E265" s="881" t="s">
        <v>5494</v>
      </c>
      <c r="F265" s="836">
        <v>0.58333333333333337</v>
      </c>
      <c r="G265" s="836">
        <v>0.58333333333333337</v>
      </c>
      <c r="H265" s="836">
        <v>0.58333333333333337</v>
      </c>
      <c r="I265" s="1100">
        <v>160</v>
      </c>
      <c r="J265" s="7" t="s">
        <v>257</v>
      </c>
      <c r="K265" s="7" t="s">
        <v>15</v>
      </c>
      <c r="L265" s="809" t="s">
        <v>17</v>
      </c>
    </row>
    <row r="266" spans="1:12" ht="29" hidden="1" x14ac:dyDescent="0.35">
      <c r="A266" s="2179">
        <v>43827</v>
      </c>
      <c r="B266" s="7" t="s">
        <v>5372</v>
      </c>
      <c r="C266" s="7" t="s">
        <v>5953</v>
      </c>
      <c r="D266" s="1899">
        <v>43830</v>
      </c>
      <c r="E266" s="881" t="s">
        <v>5494</v>
      </c>
      <c r="F266" s="836">
        <v>0.58333333333333337</v>
      </c>
      <c r="G266" s="836">
        <v>0.58333333333333337</v>
      </c>
      <c r="H266" s="836">
        <v>0.58333333333333337</v>
      </c>
      <c r="I266" s="1100">
        <v>160</v>
      </c>
      <c r="J266" s="7" t="s">
        <v>257</v>
      </c>
      <c r="K266" s="7" t="s">
        <v>15</v>
      </c>
      <c r="L266" s="809" t="s">
        <v>17</v>
      </c>
    </row>
    <row r="267" spans="1:12" ht="43.5" hidden="1" x14ac:dyDescent="0.35">
      <c r="A267" s="2199">
        <v>43827</v>
      </c>
      <c r="B267" s="817" t="s">
        <v>5957</v>
      </c>
      <c r="C267" s="7" t="s">
        <v>5958</v>
      </c>
      <c r="D267" s="1899">
        <v>43830</v>
      </c>
      <c r="E267" s="881" t="s">
        <v>5502</v>
      </c>
      <c r="F267" s="836">
        <v>0.58333333333333337</v>
      </c>
      <c r="G267" s="836">
        <v>0.58333333333333337</v>
      </c>
      <c r="H267" s="836">
        <v>0.58333333333333337</v>
      </c>
      <c r="I267" s="1100">
        <v>30</v>
      </c>
      <c r="J267" s="7" t="s">
        <v>5959</v>
      </c>
      <c r="K267" s="7" t="s">
        <v>15</v>
      </c>
      <c r="L267" s="809" t="s">
        <v>17</v>
      </c>
    </row>
    <row r="268" spans="1:12" ht="29" hidden="1" x14ac:dyDescent="0.35">
      <c r="A268" s="2199">
        <v>43828</v>
      </c>
      <c r="B268" s="817" t="s">
        <v>5980</v>
      </c>
      <c r="C268" s="7" t="s">
        <v>5981</v>
      </c>
      <c r="D268" s="1899">
        <v>43830</v>
      </c>
      <c r="E268" s="881" t="s">
        <v>5502</v>
      </c>
      <c r="F268" s="836">
        <v>0.58333333333333337</v>
      </c>
      <c r="G268" s="836">
        <v>0.58333333333333337</v>
      </c>
      <c r="H268" s="836">
        <v>0.58333333333333337</v>
      </c>
      <c r="I268" s="1630">
        <v>128</v>
      </c>
      <c r="J268" s="7" t="s">
        <v>5982</v>
      </c>
      <c r="K268" s="7" t="s">
        <v>15</v>
      </c>
      <c r="L268" s="809" t="s">
        <v>17</v>
      </c>
    </row>
    <row r="269" spans="1:12" ht="29" hidden="1" x14ac:dyDescent="0.35">
      <c r="A269" s="2199">
        <v>43829</v>
      </c>
      <c r="B269" s="817" t="s">
        <v>6004</v>
      </c>
      <c r="C269" s="7" t="s">
        <v>6005</v>
      </c>
      <c r="D269" s="1899">
        <v>43830</v>
      </c>
      <c r="E269" s="881" t="s">
        <v>5494</v>
      </c>
      <c r="F269" s="836">
        <v>0.625</v>
      </c>
      <c r="G269" s="836">
        <v>0.625</v>
      </c>
      <c r="H269" s="836">
        <v>0.625</v>
      </c>
      <c r="I269" s="1100">
        <v>160</v>
      </c>
      <c r="J269" s="7" t="s">
        <v>257</v>
      </c>
      <c r="K269" s="7" t="s">
        <v>15</v>
      </c>
      <c r="L269" s="809" t="s">
        <v>17</v>
      </c>
    </row>
    <row r="270" spans="1:12" hidden="1" x14ac:dyDescent="0.35">
      <c r="A270" s="2199">
        <v>43828</v>
      </c>
      <c r="B270" s="817" t="s">
        <v>647</v>
      </c>
      <c r="C270" s="7" t="s">
        <v>5987</v>
      </c>
      <c r="D270" s="1899">
        <v>43830</v>
      </c>
      <c r="E270" s="881" t="s">
        <v>5494</v>
      </c>
      <c r="F270" s="836">
        <v>0.625</v>
      </c>
      <c r="G270" s="836">
        <v>0.66666666666666663</v>
      </c>
      <c r="H270" s="836">
        <v>0.66666666666666663</v>
      </c>
      <c r="I270" s="1100">
        <v>144</v>
      </c>
      <c r="J270" s="7" t="s">
        <v>5988</v>
      </c>
      <c r="K270" s="7" t="s">
        <v>15</v>
      </c>
      <c r="L270" s="809" t="s">
        <v>17</v>
      </c>
    </row>
    <row r="271" spans="1:12" ht="29" hidden="1" x14ac:dyDescent="0.35">
      <c r="A271" s="2193">
        <v>43829</v>
      </c>
      <c r="B271" s="817" t="s">
        <v>6026</v>
      </c>
      <c r="C271" s="7" t="s">
        <v>6007</v>
      </c>
      <c r="D271" s="1899">
        <v>43830</v>
      </c>
      <c r="E271" s="881" t="s">
        <v>5494</v>
      </c>
      <c r="F271" s="836">
        <v>0.64583333333333337</v>
      </c>
      <c r="G271" s="836">
        <v>0.64583333333333337</v>
      </c>
      <c r="H271" s="836">
        <v>0.64583333333333337</v>
      </c>
      <c r="I271" s="1100">
        <v>160</v>
      </c>
      <c r="J271" s="7" t="s">
        <v>257</v>
      </c>
      <c r="K271" s="7" t="s">
        <v>15</v>
      </c>
      <c r="L271" s="809" t="s">
        <v>17</v>
      </c>
    </row>
    <row r="272" spans="1:12" ht="29" hidden="1" x14ac:dyDescent="0.35">
      <c r="A272" s="2199">
        <v>43829</v>
      </c>
      <c r="B272" s="817" t="s">
        <v>6009</v>
      </c>
      <c r="C272" s="7" t="s">
        <v>6010</v>
      </c>
      <c r="D272" s="1899">
        <v>43830</v>
      </c>
      <c r="E272" s="881" t="s">
        <v>5494</v>
      </c>
      <c r="F272" s="836">
        <v>0.66666666666666663</v>
      </c>
      <c r="G272" s="836">
        <v>0.66666666666666663</v>
      </c>
      <c r="H272" s="836">
        <v>0.66666666666666663</v>
      </c>
      <c r="I272" s="1100">
        <f>80*4</f>
        <v>320</v>
      </c>
      <c r="J272" s="7" t="s">
        <v>6011</v>
      </c>
      <c r="K272" s="7" t="s">
        <v>15</v>
      </c>
      <c r="L272" s="809" t="s">
        <v>17</v>
      </c>
    </row>
    <row r="273" spans="1:12" ht="29" hidden="1" x14ac:dyDescent="0.35">
      <c r="A273" s="2199">
        <v>43829</v>
      </c>
      <c r="B273" s="817" t="s">
        <v>6022</v>
      </c>
      <c r="C273" s="7" t="s">
        <v>6023</v>
      </c>
      <c r="D273" s="1899">
        <v>43830</v>
      </c>
      <c r="E273" s="881" t="s">
        <v>5494</v>
      </c>
      <c r="F273" s="836">
        <v>0.66666666666666663</v>
      </c>
      <c r="G273" s="836">
        <v>0.66666666666666663</v>
      </c>
      <c r="H273" s="836">
        <v>0.66666666666666663</v>
      </c>
      <c r="I273" s="1100">
        <v>128</v>
      </c>
      <c r="J273" s="7" t="s">
        <v>257</v>
      </c>
      <c r="K273" s="7" t="s">
        <v>15</v>
      </c>
      <c r="L273" s="809" t="s">
        <v>17</v>
      </c>
    </row>
    <row r="274" spans="1:12" ht="72.5" hidden="1" x14ac:dyDescent="0.35">
      <c r="A274" s="2199">
        <v>43829</v>
      </c>
      <c r="B274" s="817" t="s">
        <v>5491</v>
      </c>
      <c r="C274" s="7" t="s">
        <v>6019</v>
      </c>
      <c r="D274" s="1899">
        <v>43830</v>
      </c>
      <c r="E274" s="881" t="s">
        <v>5494</v>
      </c>
      <c r="F274" s="836">
        <v>0.66666666666666663</v>
      </c>
      <c r="G274" s="836">
        <v>0.66666666666666663</v>
      </c>
      <c r="H274" s="836">
        <v>0.66666666666666663</v>
      </c>
      <c r="I274" s="1100">
        <v>266</v>
      </c>
      <c r="J274" s="7" t="s">
        <v>6020</v>
      </c>
      <c r="K274" s="7" t="s">
        <v>15</v>
      </c>
      <c r="L274" s="809" t="s">
        <v>17</v>
      </c>
    </row>
    <row r="275" spans="1:12" ht="64.400000000000006" hidden="1" customHeight="1" x14ac:dyDescent="0.35">
      <c r="A275" s="2193">
        <v>43826</v>
      </c>
      <c r="B275" s="817" t="s">
        <v>5938</v>
      </c>
      <c r="C275" s="7" t="s">
        <v>5939</v>
      </c>
      <c r="D275" s="1899">
        <v>43830</v>
      </c>
      <c r="E275" s="881" t="s">
        <v>5494</v>
      </c>
      <c r="F275" s="836">
        <v>0.66666666666666663</v>
      </c>
      <c r="G275" s="836">
        <v>0.66666666666666663</v>
      </c>
      <c r="H275" s="836">
        <v>0.66666666666666663</v>
      </c>
      <c r="I275" s="1100">
        <v>128</v>
      </c>
      <c r="J275" s="7" t="s">
        <v>5940</v>
      </c>
      <c r="K275" s="7" t="s">
        <v>15</v>
      </c>
      <c r="L275" s="809" t="s">
        <v>974</v>
      </c>
    </row>
    <row r="276" spans="1:12" ht="145" hidden="1" x14ac:dyDescent="0.35">
      <c r="A276" s="1994">
        <v>43669</v>
      </c>
      <c r="B276" s="7" t="s">
        <v>52</v>
      </c>
      <c r="C276" s="7" t="s">
        <v>13</v>
      </c>
      <c r="D276" s="1899">
        <v>43833</v>
      </c>
      <c r="E276" s="881" t="s">
        <v>5494</v>
      </c>
      <c r="F276" s="7" t="s">
        <v>15</v>
      </c>
      <c r="G276" s="7" t="s">
        <v>49</v>
      </c>
      <c r="H276" s="7" t="s">
        <v>49</v>
      </c>
      <c r="I276" s="1100">
        <v>0</v>
      </c>
      <c r="J276" s="7" t="s">
        <v>16</v>
      </c>
      <c r="K276" s="7" t="s">
        <v>5766</v>
      </c>
      <c r="L276" s="809" t="s">
        <v>17</v>
      </c>
    </row>
    <row r="277" spans="1:12" ht="29" hidden="1" x14ac:dyDescent="0.35">
      <c r="A277" s="2207">
        <v>43835</v>
      </c>
      <c r="B277" s="2183" t="s">
        <v>5875</v>
      </c>
      <c r="C277" s="7" t="s">
        <v>6031</v>
      </c>
      <c r="D277" s="1899">
        <v>43838</v>
      </c>
      <c r="E277" s="881" t="s">
        <v>6032</v>
      </c>
      <c r="F277" s="7"/>
      <c r="G277" s="836">
        <v>0.75</v>
      </c>
      <c r="H277" s="836">
        <v>0.75</v>
      </c>
      <c r="I277" s="1100">
        <v>210</v>
      </c>
      <c r="J277" s="7" t="s">
        <v>6033</v>
      </c>
      <c r="K277" s="7"/>
      <c r="L277" s="809" t="s">
        <v>22</v>
      </c>
    </row>
    <row r="278" spans="1:12" ht="101.5" hidden="1" x14ac:dyDescent="0.35">
      <c r="A278" s="2180">
        <v>43804</v>
      </c>
      <c r="B278" s="2181" t="s">
        <v>131</v>
      </c>
      <c r="C278" s="7" t="s">
        <v>5530</v>
      </c>
      <c r="D278" s="1899">
        <v>43838</v>
      </c>
      <c r="E278" s="881" t="s">
        <v>1731</v>
      </c>
      <c r="F278" s="836" t="s">
        <v>15</v>
      </c>
      <c r="G278" s="836">
        <v>0.5</v>
      </c>
      <c r="H278" s="836">
        <v>0.54166666666666663</v>
      </c>
      <c r="I278" s="1100">
        <v>0</v>
      </c>
      <c r="J278" s="7" t="s">
        <v>16</v>
      </c>
      <c r="K278" s="7" t="s">
        <v>15</v>
      </c>
      <c r="L278" s="809" t="s">
        <v>17</v>
      </c>
    </row>
    <row r="294" spans="10:10" x14ac:dyDescent="0.35">
      <c r="J294">
        <v>278</v>
      </c>
    </row>
  </sheetData>
  <phoneticPr fontId="150" type="noConversion"/>
  <conditionalFormatting sqref="B1:L1">
    <cfRule type="cellIs" dxfId="1725" priority="1" operator="equal">
      <formula>TODAY()</formula>
    </cfRule>
    <cfRule type="cellIs" dxfId="1724" priority="2" operator="equal">
      <formula>TODAY()</formula>
    </cfRule>
  </conditionalFormatting>
  <printOptions horizontalCentered="1" verticalCentered="1"/>
  <pageMargins left="0" right="0" top="0" bottom="0" header="0" footer="0"/>
  <pageSetup paperSize="9" scale="25"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pageSetUpPr fitToPage="1"/>
  </sheetPr>
  <dimension ref="A1:P183"/>
  <sheetViews>
    <sheetView topLeftCell="A64" zoomScale="55" zoomScaleNormal="55" workbookViewId="0">
      <selection activeCell="A64" sqref="A1:XFD1048576"/>
    </sheetView>
  </sheetViews>
  <sheetFormatPr defaultColWidth="8.453125" defaultRowHeight="14.5" x14ac:dyDescent="0.35"/>
  <cols>
    <col min="1" max="1" width="10.453125" style="1" customWidth="1"/>
    <col min="2" max="2" width="16.453125" style="1" customWidth="1"/>
    <col min="3" max="3" width="97.54296875" style="1" customWidth="1"/>
    <col min="4" max="4" width="28.54296875" style="1" customWidth="1"/>
    <col min="5" max="5" width="22.453125" style="1" customWidth="1"/>
    <col min="6" max="6" width="8.453125" style="1" customWidth="1"/>
    <col min="7" max="7" width="9.453125" style="1" customWidth="1"/>
    <col min="8" max="8" width="8.453125" style="1" customWidth="1"/>
    <col min="9" max="9" width="15.453125" style="1" customWidth="1"/>
    <col min="10" max="10" width="17.453125" style="1" customWidth="1"/>
    <col min="11" max="12" width="12.54296875" style="1" customWidth="1"/>
    <col min="13" max="16384" width="8.453125" style="1"/>
  </cols>
  <sheetData>
    <row r="1" spans="1:14" ht="29" x14ac:dyDescent="0.35">
      <c r="A1" s="1894" t="s">
        <v>0</v>
      </c>
      <c r="B1" s="1895" t="s">
        <v>1</v>
      </c>
      <c r="C1" s="1895" t="s">
        <v>2</v>
      </c>
      <c r="D1" s="1896" t="s">
        <v>3</v>
      </c>
      <c r="E1" s="1897" t="s">
        <v>110</v>
      </c>
      <c r="F1" s="1897" t="s">
        <v>5</v>
      </c>
      <c r="G1" s="1895" t="s">
        <v>6</v>
      </c>
      <c r="H1" s="1895" t="s">
        <v>7</v>
      </c>
      <c r="I1" s="1895" t="s">
        <v>8</v>
      </c>
      <c r="J1" s="1895" t="s">
        <v>9</v>
      </c>
      <c r="K1" s="1895" t="s">
        <v>10</v>
      </c>
      <c r="L1" s="1894" t="s">
        <v>11</v>
      </c>
    </row>
    <row r="2" spans="1:14" ht="145" x14ac:dyDescent="0.35">
      <c r="A2" s="1885">
        <v>43766</v>
      </c>
      <c r="B2" s="1886" t="s">
        <v>4951</v>
      </c>
      <c r="C2" s="1886" t="s">
        <v>4994</v>
      </c>
      <c r="D2" s="1887">
        <v>43770</v>
      </c>
      <c r="E2" s="1888" t="s">
        <v>1631</v>
      </c>
      <c r="F2" s="1889">
        <v>0.45833333333333331</v>
      </c>
      <c r="G2" s="1889">
        <v>0.5</v>
      </c>
      <c r="H2" s="1889">
        <v>0.5</v>
      </c>
      <c r="I2" s="1890">
        <v>1078</v>
      </c>
      <c r="J2" s="1891" t="s">
        <v>4954</v>
      </c>
      <c r="K2" s="1892" t="s">
        <v>15</v>
      </c>
      <c r="L2" s="1893" t="s">
        <v>17</v>
      </c>
      <c r="N2" s="1843">
        <f>SUM(I2:I168)/4.76</f>
        <v>11351.21743697479</v>
      </c>
    </row>
    <row r="3" spans="1:14" ht="43.5" x14ac:dyDescent="0.35">
      <c r="A3" s="1831">
        <v>43769</v>
      </c>
      <c r="B3" s="1518" t="s">
        <v>4987</v>
      </c>
      <c r="C3" s="1518" t="s">
        <v>4988</v>
      </c>
      <c r="D3" s="1810">
        <v>43770</v>
      </c>
      <c r="E3" s="1811" t="s">
        <v>262</v>
      </c>
      <c r="F3" s="1812">
        <v>0.45833333333333331</v>
      </c>
      <c r="G3" s="1812">
        <v>0.54166666666666663</v>
      </c>
      <c r="H3" s="1812">
        <v>0.54166666666666663</v>
      </c>
      <c r="I3" s="1813">
        <v>0</v>
      </c>
      <c r="J3" s="1518" t="s">
        <v>289</v>
      </c>
      <c r="K3" s="1518" t="s">
        <v>15</v>
      </c>
      <c r="L3" s="1826" t="s">
        <v>17</v>
      </c>
    </row>
    <row r="4" spans="1:14" ht="87" x14ac:dyDescent="0.35">
      <c r="A4" s="1882">
        <v>43770</v>
      </c>
      <c r="B4" s="1820" t="s">
        <v>4991</v>
      </c>
      <c r="C4" s="1820" t="s">
        <v>4993</v>
      </c>
      <c r="D4" s="1825">
        <v>43770</v>
      </c>
      <c r="E4" s="2007" t="s">
        <v>4992</v>
      </c>
      <c r="F4" s="1827">
        <v>0.33333333333333331</v>
      </c>
      <c r="G4" s="1827">
        <v>0.35416666666666669</v>
      </c>
      <c r="H4" s="1827">
        <v>0.35416666666666669</v>
      </c>
      <c r="I4" s="1819">
        <v>0</v>
      </c>
      <c r="J4" s="1820" t="s">
        <v>16</v>
      </c>
      <c r="K4" s="1820" t="s">
        <v>15</v>
      </c>
      <c r="L4" s="1824" t="s">
        <v>17</v>
      </c>
      <c r="N4" s="1843">
        <f>SUM(I2:I34)/4.76</f>
        <v>2225.1418067226896</v>
      </c>
    </row>
    <row r="5" spans="1:14" ht="232" x14ac:dyDescent="0.35">
      <c r="A5" s="1833">
        <v>43739</v>
      </c>
      <c r="B5" s="1815" t="s">
        <v>4511</v>
      </c>
      <c r="C5" s="819" t="s">
        <v>4941</v>
      </c>
      <c r="D5" s="1816">
        <v>43771</v>
      </c>
      <c r="E5" s="1828" t="s">
        <v>4971</v>
      </c>
      <c r="F5" s="913">
        <v>0.70833333333333337</v>
      </c>
      <c r="G5" s="913">
        <v>0.75</v>
      </c>
      <c r="H5" s="913">
        <v>0.75</v>
      </c>
      <c r="I5" s="1813">
        <f>400+17.5*65+50*3.5*4.76</f>
        <v>2370.5</v>
      </c>
      <c r="J5" s="915" t="s">
        <v>4512</v>
      </c>
      <c r="K5" s="874" t="s">
        <v>140</v>
      </c>
      <c r="L5" s="829" t="s">
        <v>17</v>
      </c>
      <c r="N5" s="1843">
        <f>SUM(I35:I87)/4.76</f>
        <v>4433.3655462184879</v>
      </c>
    </row>
    <row r="6" spans="1:14" ht="72.5" x14ac:dyDescent="0.35">
      <c r="A6" s="1833">
        <v>43756</v>
      </c>
      <c r="B6" s="1815" t="s">
        <v>4785</v>
      </c>
      <c r="C6" s="819" t="s">
        <v>4788</v>
      </c>
      <c r="D6" s="1816">
        <v>43771</v>
      </c>
      <c r="E6" s="1817" t="s">
        <v>4786</v>
      </c>
      <c r="F6" s="913">
        <v>0.70833333333333337</v>
      </c>
      <c r="G6" s="913">
        <v>0.77083333333333337</v>
      </c>
      <c r="H6" s="913">
        <v>0.83333333333333337</v>
      </c>
      <c r="I6" s="1819">
        <v>784</v>
      </c>
      <c r="J6" s="874" t="s">
        <v>4787</v>
      </c>
      <c r="K6" s="874" t="s">
        <v>140</v>
      </c>
      <c r="L6" s="875" t="s">
        <v>22</v>
      </c>
      <c r="N6" s="1843">
        <f>SUM(I88:I114)/4.76</f>
        <v>951.05042016806726</v>
      </c>
    </row>
    <row r="7" spans="1:14" ht="72.5" x14ac:dyDescent="0.35">
      <c r="A7" s="1833">
        <v>43766</v>
      </c>
      <c r="B7" s="1815" t="s">
        <v>4919</v>
      </c>
      <c r="C7" s="819" t="s">
        <v>4923</v>
      </c>
      <c r="D7" s="1816">
        <v>43771</v>
      </c>
      <c r="E7" s="1815" t="s">
        <v>4996</v>
      </c>
      <c r="F7" s="913">
        <v>0.45833333333333331</v>
      </c>
      <c r="G7" s="913">
        <v>0.5</v>
      </c>
      <c r="H7" s="913">
        <v>0.5</v>
      </c>
      <c r="I7" s="1835">
        <v>300</v>
      </c>
      <c r="J7" s="1277" t="s">
        <v>4922</v>
      </c>
      <c r="K7" s="874" t="s">
        <v>140</v>
      </c>
      <c r="L7" s="875" t="s">
        <v>17</v>
      </c>
      <c r="N7" s="1843">
        <f>SUM(I115:I168)/4.76</f>
        <v>3741.659663865546</v>
      </c>
    </row>
    <row r="8" spans="1:14" ht="130.5" x14ac:dyDescent="0.35">
      <c r="A8" s="1833">
        <v>43766</v>
      </c>
      <c r="B8" s="1815" t="s">
        <v>4933</v>
      </c>
      <c r="C8" s="819" t="s">
        <v>4989</v>
      </c>
      <c r="D8" s="1816">
        <v>43771</v>
      </c>
      <c r="E8" s="1817" t="s">
        <v>4934</v>
      </c>
      <c r="F8" s="913">
        <v>0.45833333333333331</v>
      </c>
      <c r="G8" s="913">
        <v>0.54166666666666663</v>
      </c>
      <c r="H8" s="913">
        <v>0.54166666666666663</v>
      </c>
      <c r="I8" s="1991">
        <f>3*120</f>
        <v>360</v>
      </c>
      <c r="J8" s="915" t="s">
        <v>4984</v>
      </c>
      <c r="K8" s="874" t="s">
        <v>140</v>
      </c>
      <c r="L8" s="829" t="s">
        <v>17</v>
      </c>
    </row>
    <row r="9" spans="1:14" ht="203" x14ac:dyDescent="0.35">
      <c r="A9" s="1831">
        <v>43766</v>
      </c>
      <c r="B9" s="1518" t="s">
        <v>4548</v>
      </c>
      <c r="C9" s="826" t="s">
        <v>4949</v>
      </c>
      <c r="D9" s="1810">
        <v>43771</v>
      </c>
      <c r="E9" s="1828" t="s">
        <v>4950</v>
      </c>
      <c r="F9" s="865">
        <v>0.45833333333333331</v>
      </c>
      <c r="G9" s="865">
        <v>0.58333333333333337</v>
      </c>
      <c r="H9" s="865">
        <v>0.58333333333333337</v>
      </c>
      <c r="I9" s="1813">
        <f>70*3.5*4.76</f>
        <v>1166.2</v>
      </c>
      <c r="J9" s="915" t="s">
        <v>4551</v>
      </c>
      <c r="K9" s="874" t="s">
        <v>140</v>
      </c>
      <c r="L9" s="829" t="s">
        <v>17</v>
      </c>
    </row>
    <row r="10" spans="1:14" ht="58" x14ac:dyDescent="0.35">
      <c r="A10" s="1847">
        <v>43770</v>
      </c>
      <c r="B10" s="1836" t="s">
        <v>4468</v>
      </c>
      <c r="C10" s="826" t="s">
        <v>5001</v>
      </c>
      <c r="D10" s="1848">
        <v>43771</v>
      </c>
      <c r="E10" s="1849" t="s">
        <v>5002</v>
      </c>
      <c r="F10" s="865" t="s">
        <v>5003</v>
      </c>
      <c r="G10" s="865">
        <v>0.625</v>
      </c>
      <c r="H10" s="865">
        <v>0.625</v>
      </c>
      <c r="I10" s="1837">
        <f>3*4*9</f>
        <v>108</v>
      </c>
      <c r="J10" s="915" t="s">
        <v>3588</v>
      </c>
      <c r="K10" s="874" t="s">
        <v>140</v>
      </c>
      <c r="L10" s="829" t="s">
        <v>17</v>
      </c>
    </row>
    <row r="11" spans="1:14" ht="43.5" x14ac:dyDescent="0.35">
      <c r="A11" s="2086">
        <v>43798</v>
      </c>
      <c r="B11" s="2090" t="s">
        <v>1566</v>
      </c>
      <c r="C11" s="826" t="s">
        <v>5355</v>
      </c>
      <c r="D11" s="2087">
        <v>43771</v>
      </c>
      <c r="E11" s="2088" t="s">
        <v>5353</v>
      </c>
      <c r="F11" s="865" t="s">
        <v>15</v>
      </c>
      <c r="G11" s="865">
        <v>0.5</v>
      </c>
      <c r="H11" s="865">
        <v>0.54166666666666663</v>
      </c>
      <c r="I11" s="2091">
        <f>1*120</f>
        <v>120</v>
      </c>
      <c r="J11" s="826" t="s">
        <v>5354</v>
      </c>
      <c r="K11" s="826" t="s">
        <v>15</v>
      </c>
      <c r="L11" s="829" t="s">
        <v>17</v>
      </c>
    </row>
    <row r="12" spans="1:14" ht="159.5" x14ac:dyDescent="0.35">
      <c r="A12" s="1830">
        <v>43766</v>
      </c>
      <c r="B12" s="10" t="s">
        <v>4912</v>
      </c>
      <c r="C12" s="10" t="s">
        <v>4910</v>
      </c>
      <c r="D12" s="1808">
        <v>43772</v>
      </c>
      <c r="E12" s="1571" t="s">
        <v>5004</v>
      </c>
      <c r="F12" s="12">
        <v>0.41666666666666669</v>
      </c>
      <c r="G12" s="12">
        <v>0.52083333333333337</v>
      </c>
      <c r="H12" s="12">
        <v>0.52083333333333337</v>
      </c>
      <c r="I12" s="1630">
        <v>972</v>
      </c>
      <c r="J12" s="824" t="s">
        <v>4913</v>
      </c>
      <c r="K12" s="817" t="s">
        <v>140</v>
      </c>
      <c r="L12" s="807" t="s">
        <v>17</v>
      </c>
    </row>
    <row r="13" spans="1:14" ht="87" x14ac:dyDescent="0.35">
      <c r="A13" s="1882">
        <v>43766</v>
      </c>
      <c r="B13" s="1820" t="s">
        <v>4951</v>
      </c>
      <c r="C13" s="1820" t="s">
        <v>4997</v>
      </c>
      <c r="D13" s="1825">
        <v>43772</v>
      </c>
      <c r="E13" s="2047" t="s">
        <v>1631</v>
      </c>
      <c r="F13" s="1827">
        <v>0.41666666666666669</v>
      </c>
      <c r="G13" s="1827">
        <v>0.57638888888888895</v>
      </c>
      <c r="H13" s="1827">
        <v>0.58333333333333337</v>
      </c>
      <c r="I13" s="1819">
        <f>50*4.76</f>
        <v>238</v>
      </c>
      <c r="J13" s="1823" t="s">
        <v>4995</v>
      </c>
      <c r="K13" s="1820" t="s">
        <v>140</v>
      </c>
      <c r="L13" s="1824" t="s">
        <v>17</v>
      </c>
    </row>
    <row r="14" spans="1:14" ht="101.5" x14ac:dyDescent="0.35">
      <c r="A14" s="2101">
        <v>43766</v>
      </c>
      <c r="B14" s="1412" t="s">
        <v>4051</v>
      </c>
      <c r="C14" s="10" t="s">
        <v>4972</v>
      </c>
      <c r="D14" s="1957">
        <v>43772</v>
      </c>
      <c r="E14" s="1412" t="s">
        <v>290</v>
      </c>
      <c r="F14" s="1750">
        <v>0.41666666666666669</v>
      </c>
      <c r="G14" s="1750">
        <v>0.625</v>
      </c>
      <c r="H14" s="1750">
        <v>0.625</v>
      </c>
      <c r="I14" s="1678">
        <v>540</v>
      </c>
      <c r="J14" s="1431" t="s">
        <v>4973</v>
      </c>
      <c r="K14" s="1820" t="s">
        <v>140</v>
      </c>
      <c r="L14" s="839" t="s">
        <v>22</v>
      </c>
    </row>
    <row r="15" spans="1:14" ht="43.5" x14ac:dyDescent="0.35">
      <c r="A15" s="1832">
        <v>43766</v>
      </c>
      <c r="B15" s="817" t="s">
        <v>20</v>
      </c>
      <c r="C15" s="817" t="s">
        <v>4918</v>
      </c>
      <c r="D15" s="1814">
        <v>43772</v>
      </c>
      <c r="E15" s="1149" t="s">
        <v>15</v>
      </c>
      <c r="F15" s="1149" t="s">
        <v>15</v>
      </c>
      <c r="G15" s="1149" t="s">
        <v>15</v>
      </c>
      <c r="H15" s="1149" t="s">
        <v>15</v>
      </c>
      <c r="I15" s="1809">
        <v>0</v>
      </c>
      <c r="J15" s="1149" t="s">
        <v>15</v>
      </c>
      <c r="K15" s="2047" t="s">
        <v>15</v>
      </c>
      <c r="L15" s="839" t="s">
        <v>17</v>
      </c>
    </row>
    <row r="16" spans="1:14" ht="72.5" x14ac:dyDescent="0.35">
      <c r="A16" s="1833">
        <v>43767</v>
      </c>
      <c r="B16" s="1815" t="s">
        <v>4968</v>
      </c>
      <c r="C16" s="819" t="s">
        <v>4981</v>
      </c>
      <c r="D16" s="1816">
        <v>43772</v>
      </c>
      <c r="E16" s="1817" t="s">
        <v>4969</v>
      </c>
      <c r="F16" s="913">
        <v>0.41666666666666669</v>
      </c>
      <c r="G16" s="913">
        <v>0.45833333333333331</v>
      </c>
      <c r="H16" s="913">
        <v>0.45833333333333331</v>
      </c>
      <c r="I16" s="1819">
        <f>4*65</f>
        <v>260</v>
      </c>
      <c r="J16" s="874" t="s">
        <v>4970</v>
      </c>
      <c r="K16" s="1820" t="s">
        <v>140</v>
      </c>
      <c r="L16" s="875" t="s">
        <v>17</v>
      </c>
    </row>
    <row r="17" spans="1:12" ht="72.5" x14ac:dyDescent="0.35">
      <c r="A17" s="1833">
        <v>43766</v>
      </c>
      <c r="B17" s="1815" t="s">
        <v>4919</v>
      </c>
      <c r="C17" s="1815" t="s">
        <v>4924</v>
      </c>
      <c r="D17" s="1816">
        <v>43773</v>
      </c>
      <c r="E17" s="1815" t="s">
        <v>4998</v>
      </c>
      <c r="F17" s="1818">
        <v>0.4375</v>
      </c>
      <c r="G17" s="1818">
        <v>0.47916666666666669</v>
      </c>
      <c r="H17" s="1818">
        <v>0.47916666666666669</v>
      </c>
      <c r="I17" s="1813">
        <v>0</v>
      </c>
      <c r="J17" s="1518" t="s">
        <v>4921</v>
      </c>
      <c r="K17" s="1518" t="s">
        <v>119</v>
      </c>
      <c r="L17" s="1826" t="s">
        <v>17</v>
      </c>
    </row>
    <row r="18" spans="1:12" ht="72.5" x14ac:dyDescent="0.35">
      <c r="A18" s="1838">
        <v>43772</v>
      </c>
      <c r="B18" s="1012" t="s">
        <v>911</v>
      </c>
      <c r="C18" s="1012" t="s">
        <v>5008</v>
      </c>
      <c r="D18" s="1839">
        <v>43773</v>
      </c>
      <c r="E18" s="1858" t="s">
        <v>5009</v>
      </c>
      <c r="F18" s="1840">
        <v>0.4375</v>
      </c>
      <c r="G18" s="1840">
        <v>0.52083333333333337</v>
      </c>
      <c r="H18" s="1840">
        <v>0.52083333333333337</v>
      </c>
      <c r="I18" s="1841">
        <v>0</v>
      </c>
      <c r="J18" s="1012" t="s">
        <v>5010</v>
      </c>
      <c r="K18" s="1012" t="s">
        <v>119</v>
      </c>
      <c r="L18" s="1842" t="s">
        <v>17</v>
      </c>
    </row>
    <row r="19" spans="1:12" ht="115.4" customHeight="1" x14ac:dyDescent="0.35">
      <c r="A19" s="1847">
        <v>43772</v>
      </c>
      <c r="B19" s="1836" t="s">
        <v>4468</v>
      </c>
      <c r="C19" s="1012" t="s">
        <v>5014</v>
      </c>
      <c r="D19" s="1848">
        <v>43773</v>
      </c>
      <c r="E19" s="1849" t="s">
        <v>5002</v>
      </c>
      <c r="F19" s="1840">
        <v>0.58333333333333337</v>
      </c>
      <c r="G19" s="1840">
        <v>0.625</v>
      </c>
      <c r="H19" s="1840">
        <v>0.625</v>
      </c>
      <c r="I19" s="1837">
        <f>5*4*9</f>
        <v>180</v>
      </c>
      <c r="J19" s="1012" t="s">
        <v>3588</v>
      </c>
      <c r="K19" s="1012" t="s">
        <v>119</v>
      </c>
      <c r="L19" s="1842" t="s">
        <v>17</v>
      </c>
    </row>
    <row r="20" spans="1:12" ht="115.4" customHeight="1" x14ac:dyDescent="0.35">
      <c r="A20" s="1833">
        <v>43766</v>
      </c>
      <c r="B20" s="1815" t="s">
        <v>5017</v>
      </c>
      <c r="C20" s="1815" t="s">
        <v>4917</v>
      </c>
      <c r="D20" s="1816">
        <v>43774</v>
      </c>
      <c r="E20" s="1817" t="s">
        <v>4915</v>
      </c>
      <c r="F20" s="1818">
        <v>0.35416666666666669</v>
      </c>
      <c r="G20" s="1818">
        <v>0.375</v>
      </c>
      <c r="H20" s="1818">
        <v>0.41666666666666669</v>
      </c>
      <c r="I20" s="1835">
        <v>780</v>
      </c>
      <c r="J20" s="1820" t="s">
        <v>5016</v>
      </c>
      <c r="K20" s="1820" t="s">
        <v>140</v>
      </c>
      <c r="L20" s="1824" t="s">
        <v>17</v>
      </c>
    </row>
    <row r="21" spans="1:12" ht="115.4" customHeight="1" x14ac:dyDescent="0.35">
      <c r="A21" s="1844">
        <v>43770</v>
      </c>
      <c r="B21" s="1012" t="s">
        <v>5007</v>
      </c>
      <c r="C21" s="1012" t="s">
        <v>4999</v>
      </c>
      <c r="D21" s="1845">
        <v>43774</v>
      </c>
      <c r="E21" s="1846" t="s">
        <v>5000</v>
      </c>
      <c r="F21" s="1840">
        <v>0.58333333333333337</v>
      </c>
      <c r="G21" s="1840">
        <v>0.64583333333333337</v>
      </c>
      <c r="H21" s="1840">
        <v>0.64583333333333337</v>
      </c>
      <c r="I21" s="1851">
        <v>0</v>
      </c>
      <c r="J21" s="1012" t="s">
        <v>289</v>
      </c>
      <c r="K21" s="1012" t="s">
        <v>140</v>
      </c>
      <c r="L21" s="1842" t="s">
        <v>17</v>
      </c>
    </row>
    <row r="22" spans="1:12" ht="29" x14ac:dyDescent="0.35">
      <c r="A22" s="1838">
        <v>43772</v>
      </c>
      <c r="B22" s="1012" t="s">
        <v>911</v>
      </c>
      <c r="C22" s="1012" t="s">
        <v>5011</v>
      </c>
      <c r="D22" s="1839">
        <v>43774</v>
      </c>
      <c r="E22" s="1858" t="s">
        <v>262</v>
      </c>
      <c r="F22" s="1840">
        <v>0.36041666666666666</v>
      </c>
      <c r="G22" s="1840">
        <v>0.45833333333333331</v>
      </c>
      <c r="H22" s="1840">
        <v>0.45833333333333331</v>
      </c>
      <c r="I22" s="1841">
        <v>0</v>
      </c>
      <c r="J22" s="1012" t="s">
        <v>5010</v>
      </c>
      <c r="K22" s="1012" t="s">
        <v>140</v>
      </c>
      <c r="L22" s="1842" t="s">
        <v>17</v>
      </c>
    </row>
    <row r="23" spans="1:12" ht="58" x14ac:dyDescent="0.35">
      <c r="A23" s="1994">
        <v>43772</v>
      </c>
      <c r="B23" s="7" t="s">
        <v>911</v>
      </c>
      <c r="C23" s="7" t="s">
        <v>5012</v>
      </c>
      <c r="D23" s="1899">
        <v>43774</v>
      </c>
      <c r="E23" s="881" t="s">
        <v>5013</v>
      </c>
      <c r="F23" s="7" t="s">
        <v>15</v>
      </c>
      <c r="G23" s="836">
        <v>0.5</v>
      </c>
      <c r="H23" s="836">
        <v>0.5</v>
      </c>
      <c r="I23" s="1100">
        <v>0</v>
      </c>
      <c r="J23" s="7" t="s">
        <v>5010</v>
      </c>
      <c r="K23" s="1012" t="s">
        <v>140</v>
      </c>
      <c r="L23" s="809" t="s">
        <v>17</v>
      </c>
    </row>
    <row r="24" spans="1:12" x14ac:dyDescent="0.35">
      <c r="A24" s="1838">
        <v>43773</v>
      </c>
      <c r="B24" s="1012" t="s">
        <v>20</v>
      </c>
      <c r="C24" s="1012" t="s">
        <v>5024</v>
      </c>
      <c r="D24" s="1839">
        <v>43774</v>
      </c>
      <c r="E24" s="1858" t="s">
        <v>20</v>
      </c>
      <c r="F24" s="1012" t="s">
        <v>15</v>
      </c>
      <c r="G24" s="1840" t="s">
        <v>15</v>
      </c>
      <c r="H24" s="1840" t="s">
        <v>15</v>
      </c>
      <c r="I24" s="1841">
        <v>0</v>
      </c>
      <c r="J24" s="1012" t="s">
        <v>15</v>
      </c>
      <c r="K24" s="1012" t="s">
        <v>140</v>
      </c>
      <c r="L24" s="1842" t="s">
        <v>17</v>
      </c>
    </row>
    <row r="25" spans="1:12" ht="101.5" x14ac:dyDescent="0.35">
      <c r="A25" s="1882">
        <v>43730</v>
      </c>
      <c r="B25" s="1820" t="s">
        <v>5041</v>
      </c>
      <c r="C25" s="1820" t="s">
        <v>5039</v>
      </c>
      <c r="D25" s="1825">
        <v>43775</v>
      </c>
      <c r="E25" s="2047" t="s">
        <v>5040</v>
      </c>
      <c r="F25" s="1827">
        <v>0.66666666666666663</v>
      </c>
      <c r="G25" s="1827">
        <v>0.6875</v>
      </c>
      <c r="H25" s="1827">
        <v>0.72916666666666663</v>
      </c>
      <c r="I25" s="1819">
        <v>192</v>
      </c>
      <c r="J25" s="1820" t="s">
        <v>5038</v>
      </c>
      <c r="K25" s="1820" t="s">
        <v>119</v>
      </c>
      <c r="L25" s="1824" t="s">
        <v>17</v>
      </c>
    </row>
    <row r="26" spans="1:12" ht="43.5" x14ac:dyDescent="0.35">
      <c r="A26" s="1831">
        <v>43761</v>
      </c>
      <c r="B26" s="1518" t="s">
        <v>131</v>
      </c>
      <c r="C26" s="1518" t="s">
        <v>4856</v>
      </c>
      <c r="D26" s="1810">
        <v>43775</v>
      </c>
      <c r="E26" s="1811" t="s">
        <v>129</v>
      </c>
      <c r="F26" s="1812">
        <v>0.54166666666666663</v>
      </c>
      <c r="G26" s="1812">
        <v>0.5</v>
      </c>
      <c r="H26" s="1812">
        <v>0.625</v>
      </c>
      <c r="I26" s="1813">
        <v>0</v>
      </c>
      <c r="J26" s="1518" t="s">
        <v>289</v>
      </c>
      <c r="K26" s="1518" t="s">
        <v>119</v>
      </c>
      <c r="L26" s="1826" t="s">
        <v>17</v>
      </c>
    </row>
    <row r="27" spans="1:12" ht="43.5" x14ac:dyDescent="0.35">
      <c r="A27" s="1937">
        <v>43775</v>
      </c>
      <c r="B27" s="1940" t="s">
        <v>929</v>
      </c>
      <c r="C27" s="1820" t="s">
        <v>5045</v>
      </c>
      <c r="D27" s="1944">
        <v>43775</v>
      </c>
      <c r="E27" s="1945" t="s">
        <v>1043</v>
      </c>
      <c r="F27" s="1827">
        <v>0.66666666666666663</v>
      </c>
      <c r="G27" s="1827">
        <v>0.75</v>
      </c>
      <c r="H27" s="1827">
        <v>0.79166666666666663</v>
      </c>
      <c r="I27" s="1851">
        <f>(2*199+6*15)*0.7</f>
        <v>341.59999999999997</v>
      </c>
      <c r="J27" s="1820" t="s">
        <v>5046</v>
      </c>
      <c r="K27" s="1820" t="s">
        <v>119</v>
      </c>
      <c r="L27" s="1824" t="s">
        <v>17</v>
      </c>
    </row>
    <row r="28" spans="1:12" x14ac:dyDescent="0.35">
      <c r="A28" s="1882">
        <v>43759</v>
      </c>
      <c r="B28" s="1820" t="s">
        <v>20</v>
      </c>
      <c r="C28" s="1820" t="s">
        <v>4823</v>
      </c>
      <c r="D28" s="1825">
        <v>43776</v>
      </c>
      <c r="E28" s="2047" t="s">
        <v>20</v>
      </c>
      <c r="F28" s="1820" t="s">
        <v>15</v>
      </c>
      <c r="G28" s="1820" t="s">
        <v>15</v>
      </c>
      <c r="H28" s="1820" t="s">
        <v>15</v>
      </c>
      <c r="I28" s="1819">
        <v>0</v>
      </c>
      <c r="J28" s="1820" t="s">
        <v>15</v>
      </c>
      <c r="K28" s="1820" t="s">
        <v>15</v>
      </c>
      <c r="L28" s="1824" t="s">
        <v>17</v>
      </c>
    </row>
    <row r="29" spans="1:12" x14ac:dyDescent="0.35">
      <c r="A29" s="1831">
        <v>43760</v>
      </c>
      <c r="B29" s="1518" t="s">
        <v>20</v>
      </c>
      <c r="C29" s="1518" t="s">
        <v>4825</v>
      </c>
      <c r="D29" s="1810">
        <v>43776</v>
      </c>
      <c r="E29" s="1811" t="s">
        <v>20</v>
      </c>
      <c r="F29" s="1518" t="s">
        <v>15</v>
      </c>
      <c r="G29" s="1518" t="s">
        <v>15</v>
      </c>
      <c r="H29" s="1518" t="s">
        <v>15</v>
      </c>
      <c r="I29" s="1813">
        <v>0</v>
      </c>
      <c r="J29" s="1518" t="s">
        <v>15</v>
      </c>
      <c r="K29" s="1518" t="s">
        <v>15</v>
      </c>
      <c r="L29" s="1826" t="s">
        <v>17</v>
      </c>
    </row>
    <row r="30" spans="1:12" ht="43.5" x14ac:dyDescent="0.35">
      <c r="A30" s="1847">
        <v>43773</v>
      </c>
      <c r="B30" s="1836" t="s">
        <v>131</v>
      </c>
      <c r="C30" s="1820" t="s">
        <v>5042</v>
      </c>
      <c r="D30" s="1825">
        <v>43776</v>
      </c>
      <c r="E30" s="1849" t="s">
        <v>129</v>
      </c>
      <c r="F30" s="1827">
        <v>0.48958333333333331</v>
      </c>
      <c r="G30" s="1967">
        <v>0.54166666666666663</v>
      </c>
      <c r="H30" s="1967">
        <v>0.54166666666666663</v>
      </c>
      <c r="I30" s="1819">
        <f>75*125/1000*65</f>
        <v>609.375</v>
      </c>
      <c r="J30" s="1849" t="s">
        <v>247</v>
      </c>
      <c r="K30" s="2047" t="s">
        <v>140</v>
      </c>
      <c r="L30" s="1824" t="s">
        <v>17</v>
      </c>
    </row>
    <row r="31" spans="1:12" ht="43.5" x14ac:dyDescent="0.35">
      <c r="A31" s="1856">
        <v>43774</v>
      </c>
      <c r="B31" s="1857" t="s">
        <v>3736</v>
      </c>
      <c r="C31" s="1012" t="s">
        <v>5067</v>
      </c>
      <c r="D31" s="1854">
        <v>43776</v>
      </c>
      <c r="E31" s="1858" t="s">
        <v>19</v>
      </c>
      <c r="F31" s="1840">
        <v>0.70833333333333337</v>
      </c>
      <c r="G31" s="1840">
        <v>0.70833333333333337</v>
      </c>
      <c r="H31" s="1840">
        <v>0.70833333333333337</v>
      </c>
      <c r="I31" s="1855">
        <v>192</v>
      </c>
      <c r="J31" s="1012" t="s">
        <v>5066</v>
      </c>
      <c r="K31" s="1012" t="s">
        <v>15</v>
      </c>
      <c r="L31" s="1842" t="s">
        <v>22</v>
      </c>
    </row>
    <row r="32" spans="1:12" ht="72.5" x14ac:dyDescent="0.35">
      <c r="A32" s="1882">
        <v>43775</v>
      </c>
      <c r="B32" s="1820" t="s">
        <v>5070</v>
      </c>
      <c r="C32" s="1518" t="s">
        <v>5073</v>
      </c>
      <c r="D32" s="1825">
        <v>43776</v>
      </c>
      <c r="E32" s="2007" t="s">
        <v>5071</v>
      </c>
      <c r="F32" s="1812">
        <v>0.48958333333333331</v>
      </c>
      <c r="G32" s="1812">
        <v>0.51041666666666663</v>
      </c>
      <c r="H32" s="1812">
        <v>0.51041666666666663</v>
      </c>
      <c r="I32" s="1819">
        <v>0</v>
      </c>
      <c r="J32" s="1518" t="s">
        <v>289</v>
      </c>
      <c r="K32" s="1518" t="s">
        <v>15</v>
      </c>
      <c r="L32" s="1826" t="s">
        <v>17</v>
      </c>
    </row>
    <row r="33" spans="1:13" ht="58" x14ac:dyDescent="0.35">
      <c r="A33" s="1882">
        <v>43775</v>
      </c>
      <c r="B33" s="1820" t="s">
        <v>5069</v>
      </c>
      <c r="C33" s="1518" t="s">
        <v>5072</v>
      </c>
      <c r="D33" s="1825">
        <v>43776</v>
      </c>
      <c r="E33" s="1978" t="s">
        <v>5068</v>
      </c>
      <c r="F33" s="1812">
        <v>0.48958333333333331</v>
      </c>
      <c r="G33" s="1812">
        <v>0.58333333333333337</v>
      </c>
      <c r="H33" s="1812">
        <v>0.58333333333333337</v>
      </c>
      <c r="I33" s="1819">
        <v>0</v>
      </c>
      <c r="J33" s="1518" t="s">
        <v>289</v>
      </c>
      <c r="K33" s="1518" t="s">
        <v>15</v>
      </c>
      <c r="L33" s="1826" t="s">
        <v>17</v>
      </c>
    </row>
    <row r="34" spans="1:13" ht="29" x14ac:dyDescent="0.35">
      <c r="A34" s="1882">
        <v>43775</v>
      </c>
      <c r="B34" s="1820" t="s">
        <v>20</v>
      </c>
      <c r="C34" s="1820" t="s">
        <v>5064</v>
      </c>
      <c r="D34" s="1825">
        <v>43776</v>
      </c>
      <c r="E34" s="2047" t="s">
        <v>20</v>
      </c>
      <c r="F34" s="1820" t="s">
        <v>15</v>
      </c>
      <c r="G34" s="1820" t="s">
        <v>15</v>
      </c>
      <c r="H34" s="1820" t="s">
        <v>15</v>
      </c>
      <c r="I34" s="1819">
        <v>0</v>
      </c>
      <c r="J34" s="1820" t="s">
        <v>15</v>
      </c>
      <c r="K34" s="1820" t="s">
        <v>15</v>
      </c>
      <c r="L34" s="1824" t="s">
        <v>17</v>
      </c>
    </row>
    <row r="35" spans="1:13" ht="72.5" x14ac:dyDescent="0.35">
      <c r="A35" s="1844">
        <v>43741</v>
      </c>
      <c r="B35" s="1012" t="s">
        <v>5019</v>
      </c>
      <c r="C35" s="1012" t="s">
        <v>5020</v>
      </c>
      <c r="D35" s="1845">
        <v>43777</v>
      </c>
      <c r="E35" s="1877" t="s">
        <v>4879</v>
      </c>
      <c r="F35" s="1840">
        <v>0.60416666666666663</v>
      </c>
      <c r="G35" s="1840">
        <v>0.66666666666666663</v>
      </c>
      <c r="H35" s="1840">
        <v>0.66666666666666663</v>
      </c>
      <c r="I35" s="1837">
        <v>160</v>
      </c>
      <c r="J35" s="1518" t="s">
        <v>108</v>
      </c>
      <c r="K35" s="1518" t="s">
        <v>119</v>
      </c>
      <c r="L35" s="1826" t="s">
        <v>22</v>
      </c>
    </row>
    <row r="36" spans="1:13" ht="58" x14ac:dyDescent="0.35">
      <c r="A36" s="1844">
        <v>43742</v>
      </c>
      <c r="B36" s="1878" t="s">
        <v>667</v>
      </c>
      <c r="C36" s="1012" t="s">
        <v>5032</v>
      </c>
      <c r="D36" s="1845">
        <v>43777</v>
      </c>
      <c r="E36" s="1012" t="s">
        <v>4386</v>
      </c>
      <c r="F36" s="1840">
        <v>0.35416666666666669</v>
      </c>
      <c r="G36" s="1870">
        <v>0.38541666666666669</v>
      </c>
      <c r="H36" s="1870">
        <v>0.38541666666666669</v>
      </c>
      <c r="I36" s="1951">
        <v>268</v>
      </c>
      <c r="J36" s="1518" t="s">
        <v>5195</v>
      </c>
      <c r="K36" s="1518" t="s">
        <v>119</v>
      </c>
      <c r="L36" s="1826" t="s">
        <v>22</v>
      </c>
    </row>
    <row r="37" spans="1:13" ht="72.5" x14ac:dyDescent="0.35">
      <c r="A37" s="1993">
        <v>43742</v>
      </c>
      <c r="B37" s="2102" t="s">
        <v>4051</v>
      </c>
      <c r="C37" s="7" t="s">
        <v>5034</v>
      </c>
      <c r="D37" s="1908">
        <v>43777</v>
      </c>
      <c r="E37" s="2106" t="s">
        <v>290</v>
      </c>
      <c r="F37" s="836">
        <v>0.4375</v>
      </c>
      <c r="G37" s="836">
        <v>0.47916666666666669</v>
      </c>
      <c r="H37" s="836">
        <v>0.47916666666666669</v>
      </c>
      <c r="I37" s="2109">
        <v>195</v>
      </c>
      <c r="J37" s="1842" t="s">
        <v>5035</v>
      </c>
      <c r="K37" s="1842" t="s">
        <v>136</v>
      </c>
      <c r="L37" s="1842" t="s">
        <v>22</v>
      </c>
    </row>
    <row r="38" spans="1:13" ht="58" x14ac:dyDescent="0.35">
      <c r="A38" s="1844">
        <v>43742</v>
      </c>
      <c r="B38" s="1878" t="s">
        <v>667</v>
      </c>
      <c r="C38" s="828" t="s">
        <v>5033</v>
      </c>
      <c r="D38" s="1845">
        <v>43777</v>
      </c>
      <c r="E38" s="2105" t="s">
        <v>4384</v>
      </c>
      <c r="F38" s="836">
        <v>0.60416666666666663</v>
      </c>
      <c r="G38" s="836">
        <v>0.75</v>
      </c>
      <c r="H38" s="902">
        <v>0.75</v>
      </c>
      <c r="I38" s="1951">
        <v>108</v>
      </c>
      <c r="J38" s="1826" t="s">
        <v>5196</v>
      </c>
      <c r="K38" s="1826" t="s">
        <v>119</v>
      </c>
      <c r="L38" s="1826" t="s">
        <v>22</v>
      </c>
    </row>
    <row r="39" spans="1:13" ht="43.5" x14ac:dyDescent="0.35">
      <c r="A39" s="1856">
        <v>43743</v>
      </c>
      <c r="B39" s="1012" t="s">
        <v>4653</v>
      </c>
      <c r="C39" s="1012" t="s">
        <v>5074</v>
      </c>
      <c r="D39" s="1854">
        <v>43777</v>
      </c>
      <c r="E39" s="1879" t="s">
        <v>4655</v>
      </c>
      <c r="F39" s="836">
        <v>0.4375</v>
      </c>
      <c r="G39" s="836">
        <v>0.5</v>
      </c>
      <c r="H39" s="1840">
        <v>0.5625</v>
      </c>
      <c r="I39" s="1906">
        <v>163.19999999999999</v>
      </c>
      <c r="J39" s="1012" t="s">
        <v>5065</v>
      </c>
      <c r="K39" s="1518" t="s">
        <v>136</v>
      </c>
      <c r="L39" s="1842" t="s">
        <v>22</v>
      </c>
    </row>
    <row r="40" spans="1:13" ht="217.5" x14ac:dyDescent="0.35">
      <c r="A40" s="1863">
        <v>43766</v>
      </c>
      <c r="B40" s="1942" t="s">
        <v>5026</v>
      </c>
      <c r="C40" s="1942" t="s">
        <v>5025</v>
      </c>
      <c r="D40" s="1932">
        <v>43777</v>
      </c>
      <c r="E40" s="1933" t="s">
        <v>4947</v>
      </c>
      <c r="F40" s="1909">
        <v>0.60416666666666663</v>
      </c>
      <c r="G40" s="1909">
        <v>0.66666666666666663</v>
      </c>
      <c r="H40" s="1909">
        <v>0.70833333333333337</v>
      </c>
      <c r="I40" s="1819">
        <f>30*9+75*2+25*8+75*5.3</f>
        <v>1017.5</v>
      </c>
      <c r="J40" s="1820" t="s">
        <v>5043</v>
      </c>
      <c r="K40" s="1518" t="s">
        <v>119</v>
      </c>
      <c r="L40" s="1824" t="s">
        <v>17</v>
      </c>
    </row>
    <row r="41" spans="1:13" x14ac:dyDescent="0.35">
      <c r="A41" s="1844">
        <v>43772</v>
      </c>
      <c r="B41" s="1871" t="s">
        <v>20</v>
      </c>
      <c r="C41" s="1012" t="s">
        <v>5006</v>
      </c>
      <c r="D41" s="1845">
        <v>43777</v>
      </c>
      <c r="E41" s="1846" t="s">
        <v>15</v>
      </c>
      <c r="F41" s="1846" t="s">
        <v>15</v>
      </c>
      <c r="G41" s="1846" t="s">
        <v>15</v>
      </c>
      <c r="H41" s="1846" t="s">
        <v>15</v>
      </c>
      <c r="I41" s="1866">
        <v>0</v>
      </c>
      <c r="J41" s="1846" t="s">
        <v>15</v>
      </c>
      <c r="K41" s="1012" t="s">
        <v>15</v>
      </c>
      <c r="L41" s="1842" t="s">
        <v>17</v>
      </c>
    </row>
    <row r="42" spans="1:13" ht="116" x14ac:dyDescent="0.35">
      <c r="A42" s="1867">
        <v>43774</v>
      </c>
      <c r="B42" s="1012" t="s">
        <v>5053</v>
      </c>
      <c r="C42" s="1012" t="s">
        <v>5076</v>
      </c>
      <c r="D42" s="1868">
        <v>43777</v>
      </c>
      <c r="E42" s="1869" t="s">
        <v>5054</v>
      </c>
      <c r="F42" s="1840">
        <v>0.35416666666666669</v>
      </c>
      <c r="G42" s="1870">
        <v>0.38541666666666669</v>
      </c>
      <c r="H42" s="1870">
        <v>0.38541666666666669</v>
      </c>
      <c r="I42" s="1969">
        <v>1080</v>
      </c>
      <c r="J42" s="1858" t="s">
        <v>5055</v>
      </c>
      <c r="K42" s="1012" t="s">
        <v>119</v>
      </c>
      <c r="L42" s="1842" t="s">
        <v>22</v>
      </c>
    </row>
    <row r="43" spans="1:13" ht="87" x14ac:dyDescent="0.35">
      <c r="A43" s="1844">
        <v>43774</v>
      </c>
      <c r="B43" s="1871" t="s">
        <v>5027</v>
      </c>
      <c r="C43" s="1012" t="s">
        <v>5028</v>
      </c>
      <c r="D43" s="1845">
        <v>43777</v>
      </c>
      <c r="E43" s="1846" t="s">
        <v>5029</v>
      </c>
      <c r="F43" s="1840">
        <v>0.42708333333333331</v>
      </c>
      <c r="G43" s="1840">
        <v>0.52083333333333337</v>
      </c>
      <c r="H43" s="1840">
        <v>0.52083333333333337</v>
      </c>
      <c r="I43" s="1866">
        <v>0</v>
      </c>
      <c r="J43" s="1012" t="s">
        <v>5030</v>
      </c>
      <c r="K43" s="1012" t="s">
        <v>119</v>
      </c>
      <c r="L43" s="1842" t="s">
        <v>17</v>
      </c>
    </row>
    <row r="44" spans="1:13" ht="43.5" x14ac:dyDescent="0.35">
      <c r="A44" s="1838">
        <v>43775</v>
      </c>
      <c r="B44" s="828" t="s">
        <v>697</v>
      </c>
      <c r="C44" s="1012" t="s">
        <v>5056</v>
      </c>
      <c r="D44" s="1839">
        <v>43777</v>
      </c>
      <c r="E44" s="919" t="s">
        <v>5088</v>
      </c>
      <c r="F44" s="1840">
        <v>0.375</v>
      </c>
      <c r="G44" s="1840">
        <v>0.375</v>
      </c>
      <c r="H44" s="1840">
        <v>0.375</v>
      </c>
      <c r="I44" s="1905">
        <f>0.7*4*199</f>
        <v>557.19999999999993</v>
      </c>
      <c r="J44" s="1012" t="s">
        <v>5057</v>
      </c>
      <c r="K44" s="1012" t="s">
        <v>15</v>
      </c>
      <c r="L44" s="1842" t="s">
        <v>17</v>
      </c>
    </row>
    <row r="45" spans="1:13" ht="43.5" x14ac:dyDescent="0.35">
      <c r="A45" s="1872">
        <v>43775</v>
      </c>
      <c r="B45" s="1873" t="s">
        <v>5090</v>
      </c>
      <c r="C45" s="1012" t="s">
        <v>5032</v>
      </c>
      <c r="D45" s="1874">
        <v>43777</v>
      </c>
      <c r="E45" s="1875" t="s">
        <v>5089</v>
      </c>
      <c r="F45" s="1840">
        <v>0.42708333333333331</v>
      </c>
      <c r="G45" s="1840">
        <v>0.45833333333333331</v>
      </c>
      <c r="H45" s="1840">
        <v>0.45833333333333331</v>
      </c>
      <c r="I45" s="1904">
        <f>1*199+1*99</f>
        <v>298</v>
      </c>
      <c r="J45" s="1012" t="s">
        <v>257</v>
      </c>
      <c r="K45" s="1012" t="s">
        <v>119</v>
      </c>
      <c r="L45" s="1842" t="s">
        <v>17</v>
      </c>
    </row>
    <row r="46" spans="1:13" ht="174" x14ac:dyDescent="0.35">
      <c r="A46" s="1872">
        <v>43775</v>
      </c>
      <c r="B46" s="1012" t="s">
        <v>4864</v>
      </c>
      <c r="C46" s="1012" t="s">
        <v>4876</v>
      </c>
      <c r="D46" s="1998">
        <v>43777</v>
      </c>
      <c r="E46" s="1858" t="s">
        <v>4863</v>
      </c>
      <c r="F46" s="1840">
        <v>0.42708333333333331</v>
      </c>
      <c r="G46" s="1840">
        <v>0.47916666666666669</v>
      </c>
      <c r="H46" s="1840">
        <v>0.47916666666666669</v>
      </c>
      <c r="I46" s="1841">
        <v>368</v>
      </c>
      <c r="J46" s="1012" t="s">
        <v>5075</v>
      </c>
      <c r="K46" s="1012" t="s">
        <v>119</v>
      </c>
      <c r="L46" s="1842" t="s">
        <v>22</v>
      </c>
    </row>
    <row r="47" spans="1:13" ht="72.5" x14ac:dyDescent="0.35">
      <c r="A47" s="1838">
        <v>43775</v>
      </c>
      <c r="B47" s="1012" t="s">
        <v>5061</v>
      </c>
      <c r="C47" s="1012" t="s">
        <v>5062</v>
      </c>
      <c r="D47" s="1839">
        <v>43777</v>
      </c>
      <c r="E47" s="1858" t="s">
        <v>5059</v>
      </c>
      <c r="F47" s="1840">
        <v>0.42708333333333331</v>
      </c>
      <c r="G47" s="1840">
        <v>0.5</v>
      </c>
      <c r="H47" s="1840">
        <v>0.5</v>
      </c>
      <c r="I47" s="1905">
        <f>(1.6*2*65+199)*0.7</f>
        <v>284.89999999999998</v>
      </c>
      <c r="J47" s="1012" t="s">
        <v>5060</v>
      </c>
      <c r="K47" s="1012" t="s">
        <v>119</v>
      </c>
      <c r="L47" s="1842" t="s">
        <v>17</v>
      </c>
      <c r="M47" s="1592"/>
    </row>
    <row r="48" spans="1:13" ht="145" x14ac:dyDescent="0.35">
      <c r="A48" s="1867">
        <v>43775</v>
      </c>
      <c r="B48" s="1996" t="s">
        <v>5047</v>
      </c>
      <c r="C48" s="1012" t="s">
        <v>4999</v>
      </c>
      <c r="D48" s="1868">
        <v>43777</v>
      </c>
      <c r="E48" s="1869" t="s">
        <v>5048</v>
      </c>
      <c r="F48" s="1840">
        <v>0.5</v>
      </c>
      <c r="G48" s="1840">
        <v>0.52083333333333337</v>
      </c>
      <c r="H48" s="1840">
        <v>0.52083333333333337</v>
      </c>
      <c r="I48" s="1852">
        <v>0</v>
      </c>
      <c r="J48" s="1012" t="s">
        <v>289</v>
      </c>
      <c r="K48" s="1012" t="s">
        <v>17</v>
      </c>
      <c r="L48" s="1842" t="s">
        <v>17</v>
      </c>
    </row>
    <row r="49" spans="1:12" ht="43.5" x14ac:dyDescent="0.35">
      <c r="A49" s="1834">
        <v>43775</v>
      </c>
      <c r="B49" s="1821" t="s">
        <v>131</v>
      </c>
      <c r="C49" s="1821" t="s">
        <v>5063</v>
      </c>
      <c r="D49" s="1829">
        <v>43777</v>
      </c>
      <c r="E49" s="1907" t="s">
        <v>129</v>
      </c>
      <c r="F49" s="1822">
        <v>0.60416666666666663</v>
      </c>
      <c r="G49" s="1822">
        <v>0.625</v>
      </c>
      <c r="H49" s="1822">
        <v>0.625</v>
      </c>
      <c r="I49" s="2028">
        <f>15*65</f>
        <v>975</v>
      </c>
      <c r="J49" s="1820" t="s">
        <v>247</v>
      </c>
      <c r="K49" s="1518" t="s">
        <v>119</v>
      </c>
      <c r="L49" s="1824" t="s">
        <v>17</v>
      </c>
    </row>
    <row r="50" spans="1:12" ht="29" x14ac:dyDescent="0.35">
      <c r="A50" s="1882">
        <v>43775</v>
      </c>
      <c r="B50" s="874" t="s">
        <v>697</v>
      </c>
      <c r="C50" s="874" t="s">
        <v>5058</v>
      </c>
      <c r="D50" s="1738">
        <v>43777</v>
      </c>
      <c r="E50" s="1015" t="s">
        <v>126</v>
      </c>
      <c r="F50" s="1016">
        <v>0.60416666666666663</v>
      </c>
      <c r="G50" s="1827">
        <v>0.64583333333333337</v>
      </c>
      <c r="H50" s="1827">
        <v>0.64583333333333337</v>
      </c>
      <c r="I50" s="1643">
        <f>1.6*2*65</f>
        <v>208</v>
      </c>
      <c r="J50" s="874" t="s">
        <v>5057</v>
      </c>
      <c r="K50" s="1820" t="s">
        <v>119</v>
      </c>
      <c r="L50" s="875" t="s">
        <v>17</v>
      </c>
    </row>
    <row r="51" spans="1:12" x14ac:dyDescent="0.35">
      <c r="A51" s="1867">
        <v>43775</v>
      </c>
      <c r="B51" s="1974" t="s">
        <v>20</v>
      </c>
      <c r="C51" s="1012" t="s">
        <v>5051</v>
      </c>
      <c r="D51" s="1868">
        <v>43777</v>
      </c>
      <c r="E51" s="1920" t="s">
        <v>20</v>
      </c>
      <c r="F51" s="1840" t="s">
        <v>15</v>
      </c>
      <c r="G51" s="1840" t="s">
        <v>15</v>
      </c>
      <c r="H51" s="1840" t="s">
        <v>15</v>
      </c>
      <c r="I51" s="1852">
        <v>0</v>
      </c>
      <c r="J51" s="1840" t="s">
        <v>15</v>
      </c>
      <c r="K51" s="1840" t="s">
        <v>15</v>
      </c>
      <c r="L51" s="1842" t="s">
        <v>17</v>
      </c>
    </row>
    <row r="52" spans="1:12" ht="29" x14ac:dyDescent="0.35">
      <c r="A52" s="1882">
        <v>43776</v>
      </c>
      <c r="B52" s="2020" t="s">
        <v>501</v>
      </c>
      <c r="C52" s="1012" t="s">
        <v>5091</v>
      </c>
      <c r="D52" s="1880">
        <v>43777</v>
      </c>
      <c r="E52" s="2024" t="s">
        <v>499</v>
      </c>
      <c r="F52" s="1840"/>
      <c r="G52" s="1840">
        <v>0.79166666666666663</v>
      </c>
      <c r="H52" s="1840">
        <v>0.83333333333333337</v>
      </c>
      <c r="I52" s="1859">
        <v>192</v>
      </c>
      <c r="J52" s="1518" t="s">
        <v>5141</v>
      </c>
      <c r="K52" s="1518"/>
      <c r="L52" s="1826" t="s">
        <v>22</v>
      </c>
    </row>
    <row r="53" spans="1:12" x14ac:dyDescent="0.35">
      <c r="A53" s="1860">
        <v>43776</v>
      </c>
      <c r="B53" s="1861" t="s">
        <v>20</v>
      </c>
      <c r="C53" s="1815" t="s">
        <v>5087</v>
      </c>
      <c r="D53" s="1862">
        <v>43777</v>
      </c>
      <c r="E53" s="2104" t="s">
        <v>20</v>
      </c>
      <c r="F53" s="1840" t="s">
        <v>15</v>
      </c>
      <c r="G53" s="1840" t="s">
        <v>15</v>
      </c>
      <c r="H53" s="1840" t="s">
        <v>15</v>
      </c>
      <c r="I53" s="1852">
        <v>0</v>
      </c>
      <c r="J53" s="1840" t="s">
        <v>15</v>
      </c>
      <c r="K53" s="1840" t="s">
        <v>15</v>
      </c>
      <c r="L53" s="1842" t="s">
        <v>17</v>
      </c>
    </row>
    <row r="54" spans="1:12" ht="29" x14ac:dyDescent="0.35">
      <c r="A54" s="1921">
        <v>43781</v>
      </c>
      <c r="B54" s="1922" t="s">
        <v>5154</v>
      </c>
      <c r="C54" s="1012" t="s">
        <v>5155</v>
      </c>
      <c r="D54" s="1923">
        <v>43777</v>
      </c>
      <c r="E54" s="1924" t="s">
        <v>19</v>
      </c>
      <c r="F54" s="1840">
        <v>0.5</v>
      </c>
      <c r="G54" s="1840">
        <v>0.5</v>
      </c>
      <c r="H54" s="1840">
        <v>0.5</v>
      </c>
      <c r="I54" s="1926">
        <f>2*91</f>
        <v>182</v>
      </c>
      <c r="J54" s="1012" t="s">
        <v>5156</v>
      </c>
      <c r="K54" s="1012" t="s">
        <v>15</v>
      </c>
      <c r="L54" s="1842" t="s">
        <v>17</v>
      </c>
    </row>
    <row r="55" spans="1:12" ht="217.5" x14ac:dyDescent="0.35">
      <c r="A55" s="1833">
        <v>43759</v>
      </c>
      <c r="B55" s="819" t="s">
        <v>5099</v>
      </c>
      <c r="C55" s="819" t="s">
        <v>5031</v>
      </c>
      <c r="D55" s="1816">
        <v>43778</v>
      </c>
      <c r="E55" s="1493" t="s">
        <v>5100</v>
      </c>
      <c r="F55" s="913">
        <v>0.60416666666666663</v>
      </c>
      <c r="G55" s="913">
        <v>0.72569444444444453</v>
      </c>
      <c r="H55" s="913">
        <v>0.72569444444444453</v>
      </c>
      <c r="I55" s="1813">
        <f>400+40*4.5*4.76+105*120/1000*85</f>
        <v>2327.8000000000002</v>
      </c>
      <c r="J55" s="826" t="s">
        <v>5105</v>
      </c>
      <c r="K55" s="1518" t="s">
        <v>119</v>
      </c>
      <c r="L55" s="829" t="s">
        <v>17</v>
      </c>
    </row>
    <row r="56" spans="1:12" ht="43.5" x14ac:dyDescent="0.35">
      <c r="A56" s="2017">
        <v>43776</v>
      </c>
      <c r="B56" s="1901" t="s">
        <v>5080</v>
      </c>
      <c r="C56" s="7" t="s">
        <v>5081</v>
      </c>
      <c r="D56" s="1900">
        <v>43778</v>
      </c>
      <c r="E56" s="1902" t="s">
        <v>5082</v>
      </c>
      <c r="F56" s="836">
        <v>0.39583333333333331</v>
      </c>
      <c r="G56" s="836">
        <v>0.45833333333333331</v>
      </c>
      <c r="H56" s="836">
        <v>0.45833333333333331</v>
      </c>
      <c r="I56" s="1903">
        <v>0</v>
      </c>
      <c r="J56" s="7" t="s">
        <v>289</v>
      </c>
      <c r="K56" s="7" t="s">
        <v>119</v>
      </c>
      <c r="L56" s="809" t="s">
        <v>17</v>
      </c>
    </row>
    <row r="57" spans="1:12" ht="58" x14ac:dyDescent="0.35">
      <c r="A57" s="1872">
        <v>43776</v>
      </c>
      <c r="B57" s="1873" t="s">
        <v>5077</v>
      </c>
      <c r="C57" s="828" t="s">
        <v>5078</v>
      </c>
      <c r="D57" s="1874">
        <v>43778</v>
      </c>
      <c r="E57" s="1875" t="s">
        <v>5079</v>
      </c>
      <c r="F57" s="902">
        <v>0.54166666666666663</v>
      </c>
      <c r="G57" s="902">
        <v>0.5625</v>
      </c>
      <c r="H57" s="902">
        <v>0.5625</v>
      </c>
      <c r="I57" s="1904">
        <v>200</v>
      </c>
      <c r="J57" s="828" t="s">
        <v>257</v>
      </c>
      <c r="K57" s="1012" t="s">
        <v>119</v>
      </c>
      <c r="L57" s="868" t="s">
        <v>17</v>
      </c>
    </row>
    <row r="58" spans="1:12" ht="58" x14ac:dyDescent="0.35">
      <c r="A58" s="1860">
        <v>43776</v>
      </c>
      <c r="B58" s="1861" t="s">
        <v>5084</v>
      </c>
      <c r="C58" s="819" t="s">
        <v>5083</v>
      </c>
      <c r="D58" s="1862">
        <v>43778</v>
      </c>
      <c r="E58" s="1884" t="s">
        <v>5086</v>
      </c>
      <c r="F58" s="913">
        <v>0.60416666666666663</v>
      </c>
      <c r="G58" s="913">
        <v>0.625</v>
      </c>
      <c r="H58" s="913">
        <v>0.625</v>
      </c>
      <c r="I58" s="1876">
        <v>500</v>
      </c>
      <c r="J58" s="902" t="s">
        <v>5085</v>
      </c>
      <c r="K58" s="1840" t="s">
        <v>119</v>
      </c>
      <c r="L58" s="868" t="s">
        <v>17</v>
      </c>
    </row>
    <row r="59" spans="1:12" ht="87" x14ac:dyDescent="0.35">
      <c r="A59" s="1872">
        <v>43777</v>
      </c>
      <c r="B59" s="1873" t="s">
        <v>4468</v>
      </c>
      <c r="C59" s="828" t="s">
        <v>5103</v>
      </c>
      <c r="D59" s="1874">
        <v>43778</v>
      </c>
      <c r="E59" s="1875" t="s">
        <v>5002</v>
      </c>
      <c r="F59" s="902">
        <v>0.60416666666666663</v>
      </c>
      <c r="G59" s="902">
        <v>0.64583333333333337</v>
      </c>
      <c r="H59" s="902">
        <v>0.64583333333333337</v>
      </c>
      <c r="I59" s="1876">
        <f>13*3*9</f>
        <v>351</v>
      </c>
      <c r="J59" s="902" t="s">
        <v>5104</v>
      </c>
      <c r="K59" s="1012" t="s">
        <v>119</v>
      </c>
      <c r="L59" s="868" t="s">
        <v>17</v>
      </c>
    </row>
    <row r="60" spans="1:12" x14ac:dyDescent="0.35">
      <c r="A60" s="1939">
        <v>43777</v>
      </c>
      <c r="B60" s="1943" t="s">
        <v>20</v>
      </c>
      <c r="C60" s="826" t="s">
        <v>5098</v>
      </c>
      <c r="D60" s="1880">
        <v>43778</v>
      </c>
      <c r="E60" s="1881" t="s">
        <v>15</v>
      </c>
      <c r="F60" s="2024" t="s">
        <v>15</v>
      </c>
      <c r="G60" s="2024" t="s">
        <v>15</v>
      </c>
      <c r="H60" s="2024" t="s">
        <v>15</v>
      </c>
      <c r="I60" s="1859">
        <v>0</v>
      </c>
      <c r="J60" s="2024" t="s">
        <v>15</v>
      </c>
      <c r="K60" s="1881" t="s">
        <v>15</v>
      </c>
      <c r="L60" s="829" t="s">
        <v>17</v>
      </c>
    </row>
    <row r="61" spans="1:12" ht="290" x14ac:dyDescent="0.35">
      <c r="A61" s="1833">
        <v>43760</v>
      </c>
      <c r="B61" s="1815" t="s">
        <v>5108</v>
      </c>
      <c r="C61" s="1815" t="s">
        <v>5111</v>
      </c>
      <c r="D61" s="1816">
        <v>43779</v>
      </c>
      <c r="E61" s="1828" t="s">
        <v>5109</v>
      </c>
      <c r="F61" s="1818">
        <v>0.41666666666666669</v>
      </c>
      <c r="G61" s="1818">
        <v>0.47916666666666669</v>
      </c>
      <c r="H61" s="1818">
        <v>0.47916666666666669</v>
      </c>
      <c r="I61" s="1813">
        <f>400+90*4*4.76+14*65</f>
        <v>3023.6</v>
      </c>
      <c r="J61" s="1973" t="s">
        <v>5044</v>
      </c>
      <c r="K61" s="1518" t="s">
        <v>119</v>
      </c>
      <c r="L61" s="1826" t="s">
        <v>17</v>
      </c>
    </row>
    <row r="62" spans="1:12" ht="333.5" x14ac:dyDescent="0.35">
      <c r="A62" s="1961">
        <v>43772</v>
      </c>
      <c r="B62" s="1821" t="s">
        <v>5102</v>
      </c>
      <c r="C62" s="1815" t="s">
        <v>5113</v>
      </c>
      <c r="D62" s="1964">
        <v>43779</v>
      </c>
      <c r="E62" s="1965" t="s">
        <v>5115</v>
      </c>
      <c r="F62" s="1818">
        <v>0.65277777777777779</v>
      </c>
      <c r="G62" s="1818">
        <v>0.65277777777777779</v>
      </c>
      <c r="H62" s="1818">
        <v>0.66666666666666663</v>
      </c>
      <c r="I62" s="1837">
        <v>3086.87</v>
      </c>
      <c r="J62" s="1973" t="s">
        <v>5015</v>
      </c>
      <c r="K62" s="1518" t="s">
        <v>119</v>
      </c>
      <c r="L62" s="1826" t="s">
        <v>974</v>
      </c>
    </row>
    <row r="63" spans="1:12" ht="391.5" x14ac:dyDescent="0.35">
      <c r="A63" s="1961">
        <v>43772</v>
      </c>
      <c r="B63" s="1821" t="s">
        <v>5101</v>
      </c>
      <c r="C63" s="1821" t="s">
        <v>5114</v>
      </c>
      <c r="D63" s="1964">
        <v>43779</v>
      </c>
      <c r="E63" s="1965" t="s">
        <v>5116</v>
      </c>
      <c r="F63" s="1815" t="s">
        <v>15</v>
      </c>
      <c r="G63" s="1818">
        <v>0.58333333333333337</v>
      </c>
      <c r="H63" s="1818">
        <v>0.58333333333333337</v>
      </c>
      <c r="I63" s="1837">
        <v>1681</v>
      </c>
      <c r="J63" s="1823" t="s">
        <v>5005</v>
      </c>
      <c r="K63" s="1820" t="s">
        <v>119</v>
      </c>
      <c r="L63" s="1824" t="s">
        <v>17</v>
      </c>
    </row>
    <row r="64" spans="1:12" ht="72.5" x14ac:dyDescent="0.35">
      <c r="A64" s="1847">
        <v>43773</v>
      </c>
      <c r="B64" s="1820" t="s">
        <v>4051</v>
      </c>
      <c r="C64" s="1820" t="s">
        <v>5036</v>
      </c>
      <c r="D64" s="1848">
        <v>43779</v>
      </c>
      <c r="E64" s="2007" t="s">
        <v>290</v>
      </c>
      <c r="F64" s="1827">
        <v>0.41666666666666669</v>
      </c>
      <c r="G64" s="1827">
        <v>0.53125</v>
      </c>
      <c r="H64" s="1827">
        <v>0.53125</v>
      </c>
      <c r="I64" s="1837">
        <v>498.75</v>
      </c>
      <c r="J64" s="1973" t="s">
        <v>5037</v>
      </c>
      <c r="K64" s="1820" t="s">
        <v>119</v>
      </c>
      <c r="L64" s="1824" t="s">
        <v>974</v>
      </c>
    </row>
    <row r="65" spans="1:12" ht="87" x14ac:dyDescent="0.35">
      <c r="A65" s="1939">
        <v>43777</v>
      </c>
      <c r="B65" s="1943" t="s">
        <v>4951</v>
      </c>
      <c r="C65" s="1012" t="s">
        <v>5095</v>
      </c>
      <c r="D65" s="1880">
        <v>43779</v>
      </c>
      <c r="E65" s="1881" t="s">
        <v>4478</v>
      </c>
      <c r="F65" s="1840">
        <v>0.41666666666666669</v>
      </c>
      <c r="G65" s="1840">
        <v>0.44791666666666669</v>
      </c>
      <c r="H65" s="1840">
        <v>0.44791666666666669</v>
      </c>
      <c r="I65" s="1992">
        <v>238</v>
      </c>
      <c r="J65" s="1012" t="s">
        <v>5107</v>
      </c>
      <c r="K65" s="7" t="s">
        <v>119</v>
      </c>
      <c r="L65" s="1842" t="s">
        <v>17</v>
      </c>
    </row>
    <row r="66" spans="1:12" ht="261" x14ac:dyDescent="0.35">
      <c r="A66" s="1939">
        <v>43777</v>
      </c>
      <c r="B66" s="1943" t="s">
        <v>4548</v>
      </c>
      <c r="C66" s="1518" t="s">
        <v>5110</v>
      </c>
      <c r="D66" s="1880">
        <v>43779</v>
      </c>
      <c r="E66" s="1965" t="s">
        <v>5112</v>
      </c>
      <c r="F66" s="1812">
        <v>0.41666666666666669</v>
      </c>
      <c r="G66" s="1812">
        <v>0.5</v>
      </c>
      <c r="H66" s="1812">
        <v>0.5</v>
      </c>
      <c r="I66" s="1859">
        <f>75*3.5*4.76</f>
        <v>1249.5</v>
      </c>
      <c r="J66" s="1973" t="s">
        <v>4551</v>
      </c>
      <c r="K66" s="1820" t="s">
        <v>119</v>
      </c>
      <c r="L66" s="1826" t="s">
        <v>17</v>
      </c>
    </row>
    <row r="67" spans="1:12" ht="87" x14ac:dyDescent="0.35">
      <c r="A67" s="1844">
        <v>43773</v>
      </c>
      <c r="B67" s="1871" t="s">
        <v>131</v>
      </c>
      <c r="C67" s="1012" t="s">
        <v>5018</v>
      </c>
      <c r="D67" s="1845">
        <v>43780</v>
      </c>
      <c r="E67" s="1846" t="s">
        <v>129</v>
      </c>
      <c r="F67" s="1840">
        <v>0.54166666666666663</v>
      </c>
      <c r="G67" s="1870">
        <v>0.58333333333333337</v>
      </c>
      <c r="H67" s="1870">
        <v>0.58333333333333337</v>
      </c>
      <c r="I67" s="1866">
        <f>1.5*60*4.76</f>
        <v>428.4</v>
      </c>
      <c r="J67" s="2031" t="s">
        <v>247</v>
      </c>
      <c r="K67" s="1012" t="s">
        <v>140</v>
      </c>
      <c r="L67" s="1842" t="s">
        <v>17</v>
      </c>
    </row>
    <row r="68" spans="1:12" ht="87" x14ac:dyDescent="0.35">
      <c r="A68" s="1860">
        <v>43777</v>
      </c>
      <c r="B68" s="1861" t="s">
        <v>697</v>
      </c>
      <c r="C68" s="1815" t="s">
        <v>5120</v>
      </c>
      <c r="D68" s="1862">
        <v>43780</v>
      </c>
      <c r="E68" s="1884" t="s">
        <v>5097</v>
      </c>
      <c r="F68" s="1818">
        <v>0.45833333333333331</v>
      </c>
      <c r="G68" s="1818">
        <v>0.5</v>
      </c>
      <c r="H68" s="1818">
        <v>0.5</v>
      </c>
      <c r="I68" s="1859">
        <f>(199+6*9+2*120)*0.7</f>
        <v>345.09999999999997</v>
      </c>
      <c r="J68" s="1973" t="s">
        <v>4002</v>
      </c>
      <c r="K68" s="1820" t="s">
        <v>140</v>
      </c>
      <c r="L68" s="1826" t="s">
        <v>17</v>
      </c>
    </row>
    <row r="69" spans="1:12" ht="72.5" x14ac:dyDescent="0.35">
      <c r="A69" s="1872">
        <v>43778</v>
      </c>
      <c r="B69" s="1873" t="s">
        <v>5119</v>
      </c>
      <c r="C69" s="828" t="s">
        <v>5118</v>
      </c>
      <c r="D69" s="1874">
        <v>43780</v>
      </c>
      <c r="E69" s="1875" t="s">
        <v>1275</v>
      </c>
      <c r="F69" s="902">
        <v>0.54166666666666663</v>
      </c>
      <c r="G69" s="2002">
        <v>0.54166666666666663</v>
      </c>
      <c r="H69" s="2002">
        <v>0.54166666666666663</v>
      </c>
      <c r="I69" s="1876">
        <v>0</v>
      </c>
      <c r="J69" s="919" t="s">
        <v>289</v>
      </c>
      <c r="K69" s="868" t="s">
        <v>15</v>
      </c>
      <c r="L69" s="1842" t="s">
        <v>17</v>
      </c>
    </row>
    <row r="70" spans="1:12" ht="29" x14ac:dyDescent="0.35">
      <c r="A70" s="2018">
        <v>43779</v>
      </c>
      <c r="B70" s="2021" t="s">
        <v>911</v>
      </c>
      <c r="C70" s="828" t="s">
        <v>5121</v>
      </c>
      <c r="D70" s="2023">
        <v>43780</v>
      </c>
      <c r="E70" s="2025" t="s">
        <v>5122</v>
      </c>
      <c r="F70" s="902">
        <v>0.54166666666666663</v>
      </c>
      <c r="G70" s="2002">
        <v>0.625</v>
      </c>
      <c r="H70" s="2002">
        <v>0.625</v>
      </c>
      <c r="I70" s="2029">
        <v>0</v>
      </c>
      <c r="J70" s="919" t="s">
        <v>5123</v>
      </c>
      <c r="K70" s="828" t="s">
        <v>140</v>
      </c>
      <c r="L70" s="868" t="s">
        <v>17</v>
      </c>
    </row>
    <row r="71" spans="1:12" ht="43.5" x14ac:dyDescent="0.35">
      <c r="A71" s="1957">
        <v>43770</v>
      </c>
      <c r="B71" s="1412" t="s">
        <v>4052</v>
      </c>
      <c r="C71" s="1412" t="s">
        <v>5117</v>
      </c>
      <c r="D71" s="1957">
        <v>43781</v>
      </c>
      <c r="E71" s="1958" t="s">
        <v>441</v>
      </c>
      <c r="F71" s="1750">
        <v>0.45833333333333331</v>
      </c>
      <c r="G71" s="1750">
        <v>0.60416666666666663</v>
      </c>
      <c r="H71" s="1750">
        <v>0.60416666666666663</v>
      </c>
      <c r="I71" s="1956">
        <v>300</v>
      </c>
      <c r="J71" s="1431" t="s">
        <v>5106</v>
      </c>
      <c r="K71" s="817" t="s">
        <v>119</v>
      </c>
      <c r="L71" s="817" t="s">
        <v>17</v>
      </c>
    </row>
    <row r="72" spans="1:12" ht="101.5" x14ac:dyDescent="0.35">
      <c r="A72" s="1962">
        <v>43775</v>
      </c>
      <c r="B72" s="1963" t="s">
        <v>5049</v>
      </c>
      <c r="C72" s="10" t="s">
        <v>5052</v>
      </c>
      <c r="D72" s="1962">
        <v>43781</v>
      </c>
      <c r="E72" s="1966" t="s">
        <v>2960</v>
      </c>
      <c r="F72" s="12">
        <v>0.45833333333333331</v>
      </c>
      <c r="G72" s="12">
        <v>0.64583333333333337</v>
      </c>
      <c r="H72" s="12">
        <v>0.64583333333333337</v>
      </c>
      <c r="I72" s="1970">
        <v>360</v>
      </c>
      <c r="J72" s="7" t="s">
        <v>5050</v>
      </c>
      <c r="K72" s="817" t="s">
        <v>119</v>
      </c>
      <c r="L72" s="7" t="s">
        <v>17</v>
      </c>
    </row>
    <row r="73" spans="1:12" ht="87" x14ac:dyDescent="0.35">
      <c r="A73" s="1900">
        <v>43780</v>
      </c>
      <c r="B73" s="1901" t="s">
        <v>5129</v>
      </c>
      <c r="C73" s="7" t="s">
        <v>5131</v>
      </c>
      <c r="D73" s="1900">
        <v>43781</v>
      </c>
      <c r="E73" s="1902" t="s">
        <v>5130</v>
      </c>
      <c r="F73" s="836">
        <v>0.45833333333333331</v>
      </c>
      <c r="G73" s="836">
        <v>0.5</v>
      </c>
      <c r="H73" s="836">
        <v>0.5</v>
      </c>
      <c r="I73" s="1903">
        <f>20*3.5+17*3</f>
        <v>121</v>
      </c>
      <c r="J73" s="850" t="s">
        <v>5132</v>
      </c>
      <c r="K73" s="817" t="s">
        <v>119</v>
      </c>
      <c r="L73" s="7" t="s">
        <v>17</v>
      </c>
    </row>
    <row r="74" spans="1:12" ht="72.5" x14ac:dyDescent="0.35">
      <c r="A74" s="1814">
        <v>43780</v>
      </c>
      <c r="B74" s="817" t="s">
        <v>5139</v>
      </c>
      <c r="C74" s="7" t="s">
        <v>5140</v>
      </c>
      <c r="D74" s="1814">
        <v>43781</v>
      </c>
      <c r="E74" s="1149" t="s">
        <v>493</v>
      </c>
      <c r="F74" s="836">
        <v>0.45833333333333331</v>
      </c>
      <c r="G74" s="836">
        <v>0.52083333333333337</v>
      </c>
      <c r="H74" s="836">
        <v>0.52083333333333337</v>
      </c>
      <c r="I74" s="1809">
        <v>0</v>
      </c>
      <c r="J74" s="7" t="s">
        <v>289</v>
      </c>
      <c r="K74" s="817" t="s">
        <v>119</v>
      </c>
      <c r="L74" s="7" t="s">
        <v>17</v>
      </c>
    </row>
    <row r="75" spans="1:12" ht="87" x14ac:dyDescent="0.35">
      <c r="A75" s="1900">
        <v>43780</v>
      </c>
      <c r="B75" s="7" t="s">
        <v>5126</v>
      </c>
      <c r="C75" s="7" t="s">
        <v>5125</v>
      </c>
      <c r="D75" s="1900">
        <v>43781</v>
      </c>
      <c r="E75" s="881" t="s">
        <v>1271</v>
      </c>
      <c r="F75" s="836" t="s">
        <v>15</v>
      </c>
      <c r="G75" s="836" t="s">
        <v>15</v>
      </c>
      <c r="H75" s="836" t="s">
        <v>15</v>
      </c>
      <c r="I75" s="1903">
        <v>0</v>
      </c>
      <c r="J75" s="7" t="s">
        <v>15</v>
      </c>
      <c r="K75" s="7" t="s">
        <v>15</v>
      </c>
      <c r="L75" s="7" t="s">
        <v>15</v>
      </c>
    </row>
    <row r="76" spans="1:12" ht="232" x14ac:dyDescent="0.35">
      <c r="A76" s="1995">
        <v>43773</v>
      </c>
      <c r="B76" s="1997" t="s">
        <v>5021</v>
      </c>
      <c r="C76" s="1850" t="s">
        <v>5127</v>
      </c>
      <c r="D76" s="1999">
        <v>43782</v>
      </c>
      <c r="E76" s="2000" t="s">
        <v>5022</v>
      </c>
      <c r="F76" s="1864">
        <v>0.75</v>
      </c>
      <c r="G76" s="1865">
        <v>0.75</v>
      </c>
      <c r="H76" s="1865">
        <v>0.75</v>
      </c>
      <c r="I76" s="1853">
        <v>0</v>
      </c>
      <c r="J76" s="1149" t="s">
        <v>5023</v>
      </c>
      <c r="K76" s="1149" t="s">
        <v>15</v>
      </c>
      <c r="L76" s="817" t="s">
        <v>17</v>
      </c>
    </row>
    <row r="77" spans="1:12" x14ac:dyDescent="0.35">
      <c r="A77" s="1899">
        <v>43780</v>
      </c>
      <c r="B77" s="7" t="s">
        <v>20</v>
      </c>
      <c r="C77" s="7" t="s">
        <v>5142</v>
      </c>
      <c r="D77" s="1899">
        <v>43782</v>
      </c>
      <c r="E77" s="881" t="s">
        <v>20</v>
      </c>
      <c r="F77" s="7" t="s">
        <v>15</v>
      </c>
      <c r="G77" s="7" t="s">
        <v>15</v>
      </c>
      <c r="H77" s="7" t="s">
        <v>15</v>
      </c>
      <c r="I77" s="1100">
        <v>0</v>
      </c>
      <c r="J77" s="7" t="s">
        <v>15</v>
      </c>
      <c r="K77" s="817" t="s">
        <v>140</v>
      </c>
      <c r="L77" s="7" t="s">
        <v>17</v>
      </c>
    </row>
    <row r="78" spans="1:12" ht="29" x14ac:dyDescent="0.35">
      <c r="A78" s="1916">
        <v>43781</v>
      </c>
      <c r="B78" s="1917" t="s">
        <v>5144</v>
      </c>
      <c r="C78" s="7" t="s">
        <v>5145</v>
      </c>
      <c r="D78" s="1916">
        <v>43782</v>
      </c>
      <c r="E78" s="1918" t="s">
        <v>493</v>
      </c>
      <c r="F78" s="836">
        <v>0.45833333333333331</v>
      </c>
      <c r="G78" s="836">
        <v>0.48958333333333331</v>
      </c>
      <c r="H78" s="836">
        <v>0.48958333333333331</v>
      </c>
      <c r="I78" s="1919">
        <v>0</v>
      </c>
      <c r="J78" s="7" t="s">
        <v>289</v>
      </c>
      <c r="K78" s="7" t="s">
        <v>140</v>
      </c>
      <c r="L78" s="7" t="s">
        <v>17</v>
      </c>
    </row>
    <row r="79" spans="1:12" ht="43.5" x14ac:dyDescent="0.35">
      <c r="A79" s="1921">
        <v>43781</v>
      </c>
      <c r="B79" s="1922" t="s">
        <v>5166</v>
      </c>
      <c r="C79" s="1412" t="s">
        <v>5167</v>
      </c>
      <c r="D79" s="1913">
        <v>43782</v>
      </c>
      <c r="E79" s="1914" t="s">
        <v>5168</v>
      </c>
      <c r="F79" s="836">
        <v>0.45833333333333331</v>
      </c>
      <c r="G79" s="836">
        <v>0.64583333333333337</v>
      </c>
      <c r="H79" s="836">
        <v>0.64583333333333337</v>
      </c>
      <c r="I79" s="2003">
        <v>50</v>
      </c>
      <c r="J79" s="817" t="s">
        <v>5169</v>
      </c>
      <c r="K79" s="817" t="s">
        <v>140</v>
      </c>
      <c r="L79" s="817" t="s">
        <v>17</v>
      </c>
    </row>
    <row r="80" spans="1:12" x14ac:dyDescent="0.35">
      <c r="A80" s="1911">
        <v>43781</v>
      </c>
      <c r="B80" s="1912" t="s">
        <v>3727</v>
      </c>
      <c r="C80" s="7" t="s">
        <v>5153</v>
      </c>
      <c r="D80" s="1913">
        <v>43782</v>
      </c>
      <c r="E80" s="1912" t="s">
        <v>3727</v>
      </c>
      <c r="F80" s="836" t="s">
        <v>15</v>
      </c>
      <c r="G80" s="836" t="s">
        <v>15</v>
      </c>
      <c r="H80" s="836" t="s">
        <v>15</v>
      </c>
      <c r="I80" s="1915">
        <v>0</v>
      </c>
      <c r="J80" s="1917" t="s">
        <v>3727</v>
      </c>
      <c r="K80" s="1917" t="s">
        <v>3727</v>
      </c>
      <c r="L80" s="1917" t="s">
        <v>3727</v>
      </c>
    </row>
    <row r="81" spans="1:14" x14ac:dyDescent="0.35">
      <c r="A81" s="1921">
        <v>43781</v>
      </c>
      <c r="B81" s="1922" t="s">
        <v>20</v>
      </c>
      <c r="C81" s="7" t="s">
        <v>5159</v>
      </c>
      <c r="D81" s="1923">
        <v>43782</v>
      </c>
      <c r="E81" s="1924" t="s">
        <v>20</v>
      </c>
      <c r="F81" s="836" t="s">
        <v>15</v>
      </c>
      <c r="G81" s="836" t="s">
        <v>15</v>
      </c>
      <c r="H81" s="836" t="s">
        <v>15</v>
      </c>
      <c r="I81" s="1925">
        <v>0</v>
      </c>
      <c r="J81" s="836" t="s">
        <v>15</v>
      </c>
      <c r="K81" s="836" t="s">
        <v>15</v>
      </c>
      <c r="L81" s="7" t="s">
        <v>17</v>
      </c>
    </row>
    <row r="82" spans="1:14" x14ac:dyDescent="0.35">
      <c r="A82" s="1921">
        <v>43781</v>
      </c>
      <c r="B82" s="1922" t="s">
        <v>20</v>
      </c>
      <c r="C82" s="7" t="s">
        <v>5161</v>
      </c>
      <c r="D82" s="1923">
        <v>43782</v>
      </c>
      <c r="E82" s="1924" t="s">
        <v>20</v>
      </c>
      <c r="F82" s="836" t="s">
        <v>15</v>
      </c>
      <c r="G82" s="836" t="s">
        <v>15</v>
      </c>
      <c r="H82" s="836" t="s">
        <v>15</v>
      </c>
      <c r="I82" s="1925">
        <v>0</v>
      </c>
      <c r="J82" s="836" t="s">
        <v>15</v>
      </c>
      <c r="K82" s="836" t="s">
        <v>15</v>
      </c>
      <c r="L82" s="7" t="s">
        <v>17</v>
      </c>
    </row>
    <row r="83" spans="1:14" ht="409.5" x14ac:dyDescent="0.35">
      <c r="A83" s="1838">
        <v>43766</v>
      </c>
      <c r="B83" s="1012" t="s">
        <v>5174</v>
      </c>
      <c r="C83" s="7" t="s">
        <v>5128</v>
      </c>
      <c r="D83" s="1839">
        <v>43783</v>
      </c>
      <c r="E83" s="1858" t="s">
        <v>4976</v>
      </c>
      <c r="F83" s="1790">
        <v>0.75</v>
      </c>
      <c r="G83" s="1790">
        <v>0.75</v>
      </c>
      <c r="H83" s="1790">
        <v>0.75</v>
      </c>
      <c r="I83" s="1841">
        <v>0</v>
      </c>
      <c r="J83" s="1797" t="s">
        <v>4957</v>
      </c>
      <c r="K83" s="1797" t="s">
        <v>15</v>
      </c>
      <c r="L83" s="1797" t="s">
        <v>17</v>
      </c>
    </row>
    <row r="84" spans="1:14" ht="58" x14ac:dyDescent="0.35">
      <c r="A84" s="1899">
        <v>43780</v>
      </c>
      <c r="B84" s="7" t="s">
        <v>5138</v>
      </c>
      <c r="C84" s="7" t="s">
        <v>5172</v>
      </c>
      <c r="D84" s="1899">
        <v>43783</v>
      </c>
      <c r="E84" s="881" t="s">
        <v>5137</v>
      </c>
      <c r="F84" s="836">
        <v>0.52083333333333337</v>
      </c>
      <c r="G84" s="836">
        <v>0.60416666666666663</v>
      </c>
      <c r="H84" s="836">
        <v>0.60416666666666663</v>
      </c>
      <c r="I84" s="1100">
        <v>0</v>
      </c>
      <c r="J84" s="7" t="s">
        <v>289</v>
      </c>
      <c r="K84" s="7" t="s">
        <v>140</v>
      </c>
      <c r="L84" s="7" t="s">
        <v>17</v>
      </c>
    </row>
    <row r="85" spans="1:14" ht="116" x14ac:dyDescent="0.35">
      <c r="A85" s="1900">
        <v>43780</v>
      </c>
      <c r="B85" s="1901" t="s">
        <v>5133</v>
      </c>
      <c r="C85" s="7" t="s">
        <v>5173</v>
      </c>
      <c r="D85" s="1900">
        <v>43783</v>
      </c>
      <c r="E85" s="1902" t="s">
        <v>5134</v>
      </c>
      <c r="F85" s="836">
        <v>0.52083333333333337</v>
      </c>
      <c r="G85" s="836">
        <v>0.64583333333333337</v>
      </c>
      <c r="H85" s="836">
        <v>0.64583333333333337</v>
      </c>
      <c r="I85" s="2041">
        <v>150</v>
      </c>
      <c r="J85" s="7" t="s">
        <v>5171</v>
      </c>
      <c r="K85" s="817" t="s">
        <v>140</v>
      </c>
      <c r="L85" s="7" t="s">
        <v>17</v>
      </c>
    </row>
    <row r="86" spans="1:14" x14ac:dyDescent="0.35">
      <c r="A86" s="1911">
        <v>43781</v>
      </c>
      <c r="B86" s="1912" t="s">
        <v>3727</v>
      </c>
      <c r="C86" s="7" t="s">
        <v>5153</v>
      </c>
      <c r="D86" s="1913">
        <v>43783</v>
      </c>
      <c r="E86" s="1912" t="s">
        <v>3727</v>
      </c>
      <c r="F86" s="836" t="s">
        <v>15</v>
      </c>
      <c r="G86" s="836" t="s">
        <v>15</v>
      </c>
      <c r="H86" s="836" t="s">
        <v>15</v>
      </c>
      <c r="I86" s="1915">
        <v>0</v>
      </c>
      <c r="J86" s="1917" t="s">
        <v>3727</v>
      </c>
      <c r="K86" s="1917" t="s">
        <v>3727</v>
      </c>
      <c r="L86" s="1917" t="s">
        <v>3727</v>
      </c>
    </row>
    <row r="87" spans="1:14" ht="43.5" x14ac:dyDescent="0.35">
      <c r="A87" s="1814">
        <v>43782</v>
      </c>
      <c r="B87" s="817" t="s">
        <v>4468</v>
      </c>
      <c r="C87" s="7" t="s">
        <v>5176</v>
      </c>
      <c r="D87" s="1814">
        <v>43783</v>
      </c>
      <c r="E87" s="1149" t="s">
        <v>5002</v>
      </c>
      <c r="F87" s="836">
        <v>0.52083333333333337</v>
      </c>
      <c r="G87" s="836">
        <v>0.5625</v>
      </c>
      <c r="H87" s="836">
        <v>0.5625</v>
      </c>
      <c r="I87" s="1809">
        <f>3*5*9</f>
        <v>135</v>
      </c>
      <c r="J87" s="7" t="s">
        <v>5175</v>
      </c>
      <c r="K87" s="817" t="s">
        <v>140</v>
      </c>
      <c r="L87" s="7" t="s">
        <v>17</v>
      </c>
    </row>
    <row r="88" spans="1:14" ht="130.5" x14ac:dyDescent="0.35">
      <c r="A88" s="1911">
        <v>43781</v>
      </c>
      <c r="B88" s="1912" t="s">
        <v>889</v>
      </c>
      <c r="C88" s="7" t="s">
        <v>5146</v>
      </c>
      <c r="D88" s="1913">
        <v>43784</v>
      </c>
      <c r="E88" s="1914" t="s">
        <v>4565</v>
      </c>
      <c r="F88" s="836">
        <v>0.375</v>
      </c>
      <c r="G88" s="836">
        <v>0.41666666666666669</v>
      </c>
      <c r="H88" s="836">
        <v>0.41666666666666669</v>
      </c>
      <c r="I88" s="1915">
        <v>315</v>
      </c>
      <c r="J88" s="7" t="s">
        <v>4564</v>
      </c>
      <c r="K88" s="7" t="s">
        <v>119</v>
      </c>
      <c r="L88" s="7" t="s">
        <v>17</v>
      </c>
    </row>
    <row r="89" spans="1:14" ht="72.5" x14ac:dyDescent="0.35">
      <c r="A89" s="1911">
        <v>43781</v>
      </c>
      <c r="B89" s="1912" t="s">
        <v>889</v>
      </c>
      <c r="C89" s="7" t="s">
        <v>5147</v>
      </c>
      <c r="D89" s="1913">
        <v>43784</v>
      </c>
      <c r="E89" s="1914" t="s">
        <v>4566</v>
      </c>
      <c r="F89" s="836">
        <v>0.375</v>
      </c>
      <c r="G89" s="836">
        <v>0.45833333333333331</v>
      </c>
      <c r="H89" s="836">
        <v>0.45833333333333331</v>
      </c>
      <c r="I89" s="1915">
        <v>0</v>
      </c>
      <c r="J89" s="7" t="s">
        <v>4567</v>
      </c>
      <c r="K89" s="7" t="s">
        <v>119</v>
      </c>
      <c r="L89" s="7" t="s">
        <v>17</v>
      </c>
    </row>
    <row r="90" spans="1:14" x14ac:dyDescent="0.35">
      <c r="A90" s="1911">
        <v>43781</v>
      </c>
      <c r="B90" s="1912" t="s">
        <v>20</v>
      </c>
      <c r="C90" s="7" t="s">
        <v>5150</v>
      </c>
      <c r="D90" s="1913">
        <v>43784</v>
      </c>
      <c r="E90" s="1914" t="s">
        <v>20</v>
      </c>
      <c r="F90" s="836" t="s">
        <v>15</v>
      </c>
      <c r="G90" s="836" t="s">
        <v>15</v>
      </c>
      <c r="H90" s="836" t="s">
        <v>15</v>
      </c>
      <c r="I90" s="1915">
        <v>0</v>
      </c>
      <c r="J90" s="836" t="s">
        <v>15</v>
      </c>
      <c r="K90" s="836" t="s">
        <v>15</v>
      </c>
      <c r="L90" s="836" t="s">
        <v>15</v>
      </c>
    </row>
    <row r="91" spans="1:14" x14ac:dyDescent="0.35">
      <c r="A91" s="1975">
        <v>43781</v>
      </c>
      <c r="B91" s="1971" t="s">
        <v>3727</v>
      </c>
      <c r="C91" s="828" t="s">
        <v>5153</v>
      </c>
      <c r="D91" s="1975">
        <v>43784</v>
      </c>
      <c r="E91" s="1971" t="s">
        <v>3727</v>
      </c>
      <c r="F91" s="902" t="s">
        <v>15</v>
      </c>
      <c r="G91" s="902" t="s">
        <v>15</v>
      </c>
      <c r="H91" s="902" t="s">
        <v>15</v>
      </c>
      <c r="I91" s="1977">
        <v>0</v>
      </c>
      <c r="J91" s="1971" t="s">
        <v>3727</v>
      </c>
      <c r="K91" s="1971" t="s">
        <v>3727</v>
      </c>
      <c r="L91" s="1971" t="s">
        <v>3727</v>
      </c>
    </row>
    <row r="92" spans="1:14" ht="58" x14ac:dyDescent="0.35">
      <c r="A92" s="1900">
        <v>43777</v>
      </c>
      <c r="B92" s="1901" t="s">
        <v>5096</v>
      </c>
      <c r="C92" s="7" t="s">
        <v>5188</v>
      </c>
      <c r="D92" s="1900">
        <v>43785</v>
      </c>
      <c r="E92" s="1902" t="s">
        <v>19</v>
      </c>
      <c r="F92" s="836">
        <v>0.41666666666666669</v>
      </c>
      <c r="G92" s="1898">
        <v>0.41666666666666669</v>
      </c>
      <c r="H92" s="1898">
        <v>0.41666666666666669</v>
      </c>
      <c r="I92" s="1903">
        <v>200</v>
      </c>
      <c r="J92" s="1972" t="s">
        <v>5187</v>
      </c>
      <c r="K92" s="881" t="s">
        <v>15</v>
      </c>
      <c r="L92" s="7" t="s">
        <v>17</v>
      </c>
      <c r="N92" s="1">
        <f>9*30+75*5.3</f>
        <v>667.5</v>
      </c>
    </row>
    <row r="93" spans="1:14" ht="43.5" x14ac:dyDescent="0.35">
      <c r="A93" s="1900">
        <v>43779</v>
      </c>
      <c r="B93" s="7" t="s">
        <v>5189</v>
      </c>
      <c r="C93" s="7" t="s">
        <v>5170</v>
      </c>
      <c r="D93" s="1900">
        <v>43785</v>
      </c>
      <c r="E93" s="1902" t="s">
        <v>5124</v>
      </c>
      <c r="F93" s="836">
        <v>0.47916666666666669</v>
      </c>
      <c r="G93" s="1898">
        <v>0.54166666666666663</v>
      </c>
      <c r="H93" s="1898">
        <v>0.54166666666666663</v>
      </c>
      <c r="I93" s="1903">
        <v>0</v>
      </c>
      <c r="J93" s="881" t="s">
        <v>5123</v>
      </c>
      <c r="K93" s="817" t="s">
        <v>140</v>
      </c>
      <c r="L93" s="7" t="s">
        <v>17</v>
      </c>
    </row>
    <row r="94" spans="1:14" ht="43.5" x14ac:dyDescent="0.35">
      <c r="A94" s="1957">
        <v>43780</v>
      </c>
      <c r="B94" s="1412" t="s">
        <v>5136</v>
      </c>
      <c r="C94" s="1412" t="s">
        <v>5143</v>
      </c>
      <c r="D94" s="1957">
        <v>43785</v>
      </c>
      <c r="E94" s="1958" t="s">
        <v>5135</v>
      </c>
      <c r="F94" s="1750">
        <v>0.47916666666666669</v>
      </c>
      <c r="G94" s="1750">
        <v>0.5</v>
      </c>
      <c r="H94" s="1750">
        <v>0.5</v>
      </c>
      <c r="I94" s="1956">
        <f>2*120</f>
        <v>240</v>
      </c>
      <c r="J94" s="817" t="s">
        <v>257</v>
      </c>
      <c r="K94" s="817" t="s">
        <v>140</v>
      </c>
      <c r="L94" s="817" t="s">
        <v>17</v>
      </c>
    </row>
    <row r="95" spans="1:14" ht="145" x14ac:dyDescent="0.35">
      <c r="A95" s="2019">
        <v>43781</v>
      </c>
      <c r="B95" s="2022" t="s">
        <v>5158</v>
      </c>
      <c r="C95" s="10" t="s">
        <v>5165</v>
      </c>
      <c r="D95" s="2019">
        <v>43785</v>
      </c>
      <c r="E95" s="2026" t="s">
        <v>4478</v>
      </c>
      <c r="F95" s="12">
        <v>0.47916666666666669</v>
      </c>
      <c r="G95" s="12">
        <v>0.58333333333333337</v>
      </c>
      <c r="H95" s="12">
        <v>0.58333333333333337</v>
      </c>
      <c r="I95" s="1910">
        <f>7*120+600</f>
        <v>1440</v>
      </c>
      <c r="J95" s="7" t="s">
        <v>5163</v>
      </c>
      <c r="K95" s="7" t="s">
        <v>140</v>
      </c>
      <c r="L95" s="7" t="s">
        <v>17</v>
      </c>
    </row>
    <row r="96" spans="1:14" ht="29" x14ac:dyDescent="0.35">
      <c r="A96" s="2032">
        <v>43781</v>
      </c>
      <c r="B96" s="2034" t="s">
        <v>1308</v>
      </c>
      <c r="C96" s="7" t="s">
        <v>5157</v>
      </c>
      <c r="D96" s="2032">
        <v>43785</v>
      </c>
      <c r="E96" s="2038" t="s">
        <v>19</v>
      </c>
      <c r="F96" s="1927">
        <v>0.5</v>
      </c>
      <c r="G96" s="1927">
        <v>0.5</v>
      </c>
      <c r="H96" s="1927">
        <v>0.5</v>
      </c>
      <c r="I96" s="2042">
        <f>(2*120+30*3)*0.7</f>
        <v>230.99999999999997</v>
      </c>
      <c r="J96" s="7" t="s">
        <v>5156</v>
      </c>
      <c r="K96" s="7" t="s">
        <v>15</v>
      </c>
      <c r="L96" s="7" t="s">
        <v>17</v>
      </c>
    </row>
    <row r="97" spans="1:16" x14ac:dyDescent="0.35">
      <c r="A97" s="1911">
        <v>43781</v>
      </c>
      <c r="B97" s="1912" t="s">
        <v>3727</v>
      </c>
      <c r="C97" s="7" t="s">
        <v>5153</v>
      </c>
      <c r="D97" s="1913">
        <v>43785</v>
      </c>
      <c r="E97" s="1912" t="s">
        <v>3727</v>
      </c>
      <c r="F97" s="836" t="s">
        <v>15</v>
      </c>
      <c r="G97" s="836" t="s">
        <v>15</v>
      </c>
      <c r="H97" s="836" t="s">
        <v>15</v>
      </c>
      <c r="I97" s="1915">
        <v>0</v>
      </c>
      <c r="J97" s="1917" t="s">
        <v>3727</v>
      </c>
      <c r="K97" s="1917" t="s">
        <v>3727</v>
      </c>
      <c r="L97" s="1917" t="s">
        <v>3727</v>
      </c>
    </row>
    <row r="98" spans="1:16" ht="43.5" x14ac:dyDescent="0.35">
      <c r="A98" s="1979">
        <v>43784</v>
      </c>
      <c r="B98" s="1934" t="s">
        <v>5182</v>
      </c>
      <c r="C98" s="5" t="s">
        <v>5180</v>
      </c>
      <c r="D98" s="1980">
        <v>43785</v>
      </c>
      <c r="E98" s="1935" t="s">
        <v>5181</v>
      </c>
      <c r="F98" s="6">
        <v>0.47916666666666669</v>
      </c>
      <c r="G98" s="6">
        <v>0.625</v>
      </c>
      <c r="H98" s="6">
        <v>0.625</v>
      </c>
      <c r="I98" s="1950">
        <f>2*120</f>
        <v>240</v>
      </c>
      <c r="J98" s="5" t="s">
        <v>257</v>
      </c>
      <c r="K98" s="5" t="s">
        <v>140</v>
      </c>
      <c r="L98" s="5" t="s">
        <v>17</v>
      </c>
    </row>
    <row r="99" spans="1:16" ht="29" x14ac:dyDescent="0.35">
      <c r="A99" s="1979">
        <v>43784</v>
      </c>
      <c r="B99" s="1934" t="s">
        <v>5185</v>
      </c>
      <c r="C99" s="817" t="s">
        <v>5186</v>
      </c>
      <c r="D99" s="1980">
        <v>43785</v>
      </c>
      <c r="E99" s="1935" t="s">
        <v>5184</v>
      </c>
      <c r="F99" s="1154">
        <v>0.65972222222222221</v>
      </c>
      <c r="G99" s="1154">
        <v>0.70833333333333337</v>
      </c>
      <c r="H99" s="1154">
        <v>0.70833333333333337</v>
      </c>
      <c r="I99" s="1936">
        <f>1.8*120</f>
        <v>216</v>
      </c>
      <c r="J99" s="1431" t="s">
        <v>5187</v>
      </c>
      <c r="K99" s="817" t="s">
        <v>140</v>
      </c>
      <c r="L99" s="817" t="s">
        <v>17</v>
      </c>
    </row>
    <row r="100" spans="1:16" ht="43.5" x14ac:dyDescent="0.35">
      <c r="A100" s="1979">
        <v>43785</v>
      </c>
      <c r="B100" s="1934" t="s">
        <v>4468</v>
      </c>
      <c r="C100" s="5" t="s">
        <v>5190</v>
      </c>
      <c r="D100" s="1980">
        <v>43785</v>
      </c>
      <c r="E100" s="1935" t="s">
        <v>5002</v>
      </c>
      <c r="F100" s="6" t="s">
        <v>15</v>
      </c>
      <c r="G100" s="6" t="s">
        <v>15</v>
      </c>
      <c r="H100" s="6" t="s">
        <v>15</v>
      </c>
      <c r="I100" s="1936">
        <f>4*3*9</f>
        <v>108</v>
      </c>
      <c r="J100" s="850" t="s">
        <v>5175</v>
      </c>
      <c r="K100" s="5" t="s">
        <v>98</v>
      </c>
      <c r="L100" s="5" t="s">
        <v>17</v>
      </c>
    </row>
    <row r="101" spans="1:16" x14ac:dyDescent="0.35">
      <c r="A101" s="1911">
        <v>43781</v>
      </c>
      <c r="B101" s="1912" t="s">
        <v>3727</v>
      </c>
      <c r="C101" s="7" t="s">
        <v>5153</v>
      </c>
      <c r="D101" s="1913">
        <v>43786</v>
      </c>
      <c r="E101" s="1912" t="s">
        <v>3727</v>
      </c>
      <c r="F101" s="836" t="s">
        <v>15</v>
      </c>
      <c r="G101" s="836" t="s">
        <v>15</v>
      </c>
      <c r="H101" s="836" t="s">
        <v>15</v>
      </c>
      <c r="I101" s="1915">
        <v>0</v>
      </c>
      <c r="J101" s="1917" t="s">
        <v>3727</v>
      </c>
      <c r="K101" s="1917" t="s">
        <v>3727</v>
      </c>
      <c r="L101" s="1917" t="s">
        <v>3727</v>
      </c>
    </row>
    <row r="102" spans="1:16" ht="58" x14ac:dyDescent="0.35">
      <c r="A102" s="1928">
        <v>43781</v>
      </c>
      <c r="B102" s="1929" t="s">
        <v>5148</v>
      </c>
      <c r="C102" s="10" t="s">
        <v>5151</v>
      </c>
      <c r="D102" s="1930">
        <v>43786</v>
      </c>
      <c r="E102" s="1931" t="s">
        <v>2960</v>
      </c>
      <c r="F102" s="12">
        <v>0.54166666666666663</v>
      </c>
      <c r="G102" s="12">
        <v>0.58333333333333337</v>
      </c>
      <c r="H102" s="12">
        <v>0.625</v>
      </c>
      <c r="I102" s="1968">
        <v>415</v>
      </c>
      <c r="J102" s="5" t="s">
        <v>5149</v>
      </c>
      <c r="K102" s="7" t="s">
        <v>140</v>
      </c>
      <c r="L102" s="5" t="s">
        <v>17</v>
      </c>
    </row>
    <row r="103" spans="1:16" ht="130.5" x14ac:dyDescent="0.35">
      <c r="A103" s="1928">
        <v>43781</v>
      </c>
      <c r="B103" s="1929" t="s">
        <v>5160</v>
      </c>
      <c r="C103" s="10" t="s">
        <v>5164</v>
      </c>
      <c r="D103" s="1930">
        <v>43786</v>
      </c>
      <c r="E103" s="1931" t="s">
        <v>4478</v>
      </c>
      <c r="F103" s="12">
        <v>0.5</v>
      </c>
      <c r="G103" s="12">
        <v>0.54166666666666663</v>
      </c>
      <c r="H103" s="12">
        <v>0.54166666666666663</v>
      </c>
      <c r="I103" s="1925">
        <v>660</v>
      </c>
      <c r="J103" s="7" t="s">
        <v>5162</v>
      </c>
      <c r="K103" s="7" t="s">
        <v>140</v>
      </c>
      <c r="L103" s="7" t="s">
        <v>17</v>
      </c>
    </row>
    <row r="104" spans="1:16" ht="58" x14ac:dyDescent="0.35">
      <c r="A104" s="1948">
        <v>43786</v>
      </c>
      <c r="B104" s="2035" t="s">
        <v>4468</v>
      </c>
      <c r="C104" s="5" t="s">
        <v>5191</v>
      </c>
      <c r="D104" s="2037">
        <v>43786</v>
      </c>
      <c r="E104" s="2039" t="s">
        <v>5002</v>
      </c>
      <c r="F104" s="6" t="s">
        <v>15</v>
      </c>
      <c r="G104" s="6" t="s">
        <v>15</v>
      </c>
      <c r="H104" s="6" t="s">
        <v>15</v>
      </c>
      <c r="I104" s="1949">
        <f>18*9</f>
        <v>162</v>
      </c>
      <c r="J104" s="5" t="s">
        <v>5175</v>
      </c>
      <c r="K104" s="5" t="s">
        <v>98</v>
      </c>
      <c r="L104" s="5" t="s">
        <v>17</v>
      </c>
    </row>
    <row r="105" spans="1:16" ht="58" x14ac:dyDescent="0.35">
      <c r="A105" s="1979">
        <v>43783</v>
      </c>
      <c r="B105" s="1934" t="s">
        <v>5179</v>
      </c>
      <c r="C105" s="826" t="s">
        <v>5177</v>
      </c>
      <c r="D105" s="1980">
        <v>43787</v>
      </c>
      <c r="E105" s="1935" t="s">
        <v>5178</v>
      </c>
      <c r="F105" s="865">
        <v>0.45833333333333331</v>
      </c>
      <c r="G105" s="865">
        <v>0.5</v>
      </c>
      <c r="H105" s="865">
        <v>0.54166666666666663</v>
      </c>
      <c r="I105" s="1936">
        <f>1.5*120</f>
        <v>180</v>
      </c>
      <c r="J105" s="826" t="s">
        <v>257</v>
      </c>
      <c r="K105" s="826" t="s">
        <v>119</v>
      </c>
      <c r="L105" s="829" t="s">
        <v>17</v>
      </c>
    </row>
    <row r="106" spans="1:16" ht="29" x14ac:dyDescent="0.35">
      <c r="A106" s="1979">
        <v>43785</v>
      </c>
      <c r="B106" s="1883" t="s">
        <v>501</v>
      </c>
      <c r="C106" s="828" t="s">
        <v>5193</v>
      </c>
      <c r="D106" s="1880">
        <v>43787</v>
      </c>
      <c r="E106" s="1881" t="s">
        <v>499</v>
      </c>
      <c r="F106" s="865">
        <v>0.70833333333333337</v>
      </c>
      <c r="G106" s="865">
        <v>0.75</v>
      </c>
      <c r="H106" s="865">
        <v>0.75</v>
      </c>
      <c r="I106" s="1936">
        <v>120</v>
      </c>
      <c r="J106" s="826" t="s">
        <v>257</v>
      </c>
      <c r="K106" s="826" t="s">
        <v>119</v>
      </c>
      <c r="L106" s="829" t="s">
        <v>22</v>
      </c>
    </row>
    <row r="107" spans="1:16" ht="29" x14ac:dyDescent="0.35">
      <c r="A107" s="1723">
        <v>43788</v>
      </c>
      <c r="B107" s="2020" t="s">
        <v>5211</v>
      </c>
      <c r="C107" s="828" t="s">
        <v>5212</v>
      </c>
      <c r="D107" s="1738">
        <v>43789</v>
      </c>
      <c r="E107" s="1015" t="s">
        <v>5213</v>
      </c>
      <c r="F107" s="865">
        <v>0.47916666666666669</v>
      </c>
      <c r="G107" s="865">
        <v>0.5</v>
      </c>
      <c r="H107" s="865">
        <v>0.5</v>
      </c>
      <c r="I107" s="1643">
        <v>0</v>
      </c>
      <c r="J107" s="826" t="s">
        <v>15</v>
      </c>
      <c r="K107" s="826" t="s">
        <v>119</v>
      </c>
      <c r="L107" s="829" t="s">
        <v>17</v>
      </c>
      <c r="P107" s="1" t="s">
        <v>5192</v>
      </c>
    </row>
    <row r="108" spans="1:16" x14ac:dyDescent="0.35">
      <c r="A108" s="1979">
        <v>43788</v>
      </c>
      <c r="B108" s="1934" t="s">
        <v>20</v>
      </c>
      <c r="C108" s="874" t="s">
        <v>5202</v>
      </c>
      <c r="D108" s="1980">
        <v>43789</v>
      </c>
      <c r="E108" s="1935" t="s">
        <v>20</v>
      </c>
      <c r="F108" s="1016" t="s">
        <v>15</v>
      </c>
      <c r="G108" s="1016" t="s">
        <v>15</v>
      </c>
      <c r="H108" s="1016" t="s">
        <v>15</v>
      </c>
      <c r="I108" s="1936">
        <v>0</v>
      </c>
      <c r="J108" s="2044" t="s">
        <v>15</v>
      </c>
      <c r="K108" s="874" t="s">
        <v>15</v>
      </c>
      <c r="L108" s="875" t="s">
        <v>17</v>
      </c>
      <c r="P108" s="1" t="s">
        <v>5205</v>
      </c>
    </row>
    <row r="109" spans="1:16" x14ac:dyDescent="0.35">
      <c r="A109" s="1938">
        <v>43788</v>
      </c>
      <c r="B109" s="1941" t="s">
        <v>20</v>
      </c>
      <c r="C109" s="7" t="s">
        <v>5208</v>
      </c>
      <c r="D109" s="1938">
        <v>43789</v>
      </c>
      <c r="E109" s="1946" t="s">
        <v>20</v>
      </c>
      <c r="F109" s="7" t="s">
        <v>15</v>
      </c>
      <c r="G109" s="836" t="s">
        <v>15</v>
      </c>
      <c r="H109" s="836" t="s">
        <v>15</v>
      </c>
      <c r="I109" s="1947">
        <v>0</v>
      </c>
      <c r="J109" s="7" t="s">
        <v>15</v>
      </c>
      <c r="K109" s="7" t="s">
        <v>15</v>
      </c>
      <c r="L109" s="7" t="s">
        <v>17</v>
      </c>
    </row>
    <row r="110" spans="1:16" x14ac:dyDescent="0.35">
      <c r="A110" s="1959">
        <v>43788</v>
      </c>
      <c r="B110" s="1960" t="s">
        <v>20</v>
      </c>
      <c r="C110" s="7" t="s">
        <v>5210</v>
      </c>
      <c r="D110" s="1959">
        <v>43789</v>
      </c>
      <c r="E110" s="881" t="s">
        <v>20</v>
      </c>
      <c r="F110" s="7" t="s">
        <v>15</v>
      </c>
      <c r="G110" s="7" t="s">
        <v>15</v>
      </c>
      <c r="H110" s="7" t="s">
        <v>15</v>
      </c>
      <c r="I110" s="1976">
        <v>0</v>
      </c>
      <c r="J110" s="7" t="s">
        <v>15</v>
      </c>
      <c r="K110" s="7" t="s">
        <v>15</v>
      </c>
      <c r="L110" s="7" t="s">
        <v>17</v>
      </c>
    </row>
    <row r="111" spans="1:16" x14ac:dyDescent="0.35">
      <c r="A111" s="1899">
        <v>43745</v>
      </c>
      <c r="B111" s="7" t="s">
        <v>20</v>
      </c>
      <c r="C111" s="7" t="s">
        <v>4601</v>
      </c>
      <c r="D111" s="1899">
        <v>43790</v>
      </c>
      <c r="E111" s="881" t="s">
        <v>15</v>
      </c>
      <c r="F111" s="881" t="s">
        <v>15</v>
      </c>
      <c r="G111" s="881" t="s">
        <v>15</v>
      </c>
      <c r="H111" s="881" t="s">
        <v>15</v>
      </c>
      <c r="I111" s="1100" t="s">
        <v>15</v>
      </c>
      <c r="J111" s="881" t="s">
        <v>15</v>
      </c>
      <c r="K111" s="881" t="s">
        <v>15</v>
      </c>
      <c r="L111" s="7" t="s">
        <v>17</v>
      </c>
    </row>
    <row r="112" spans="1:16" x14ac:dyDescent="0.35">
      <c r="A112" s="1872">
        <v>43777</v>
      </c>
      <c r="B112" s="1873" t="s">
        <v>20</v>
      </c>
      <c r="C112" s="7" t="s">
        <v>5094</v>
      </c>
      <c r="D112" s="1874">
        <v>43790</v>
      </c>
      <c r="E112" s="1875" t="s">
        <v>20</v>
      </c>
      <c r="F112" s="7" t="s">
        <v>15</v>
      </c>
      <c r="G112" s="7" t="s">
        <v>15</v>
      </c>
      <c r="H112" s="7" t="s">
        <v>15</v>
      </c>
      <c r="I112" s="1876">
        <v>0</v>
      </c>
      <c r="J112" s="7" t="s">
        <v>15</v>
      </c>
      <c r="K112" s="7" t="s">
        <v>15</v>
      </c>
      <c r="L112" s="7" t="s">
        <v>17</v>
      </c>
    </row>
    <row r="113" spans="1:12" ht="29" x14ac:dyDescent="0.35">
      <c r="A113" s="1916">
        <v>43781</v>
      </c>
      <c r="B113" s="1917" t="s">
        <v>20</v>
      </c>
      <c r="C113" s="7" t="s">
        <v>5219</v>
      </c>
      <c r="D113" s="1916">
        <v>43790</v>
      </c>
      <c r="E113" s="1918" t="s">
        <v>20</v>
      </c>
      <c r="F113" s="7" t="s">
        <v>15</v>
      </c>
      <c r="G113" s="7" t="s">
        <v>15</v>
      </c>
      <c r="H113" s="7" t="s">
        <v>15</v>
      </c>
      <c r="I113" s="1919">
        <v>0</v>
      </c>
      <c r="J113" s="7" t="s">
        <v>15</v>
      </c>
      <c r="K113" s="7" t="s">
        <v>15</v>
      </c>
      <c r="L113" s="7" t="s">
        <v>15</v>
      </c>
    </row>
    <row r="114" spans="1:12" ht="275.5" x14ac:dyDescent="0.35">
      <c r="A114" s="1938">
        <v>43788</v>
      </c>
      <c r="B114" s="1941" t="s">
        <v>5174</v>
      </c>
      <c r="C114" s="7" t="s">
        <v>5198</v>
      </c>
      <c r="D114" s="1938">
        <v>43790</v>
      </c>
      <c r="E114" s="1149" t="s">
        <v>5199</v>
      </c>
      <c r="F114" s="836" t="s">
        <v>15</v>
      </c>
      <c r="G114" s="1898">
        <v>0.375</v>
      </c>
      <c r="H114" s="1898">
        <v>0.375</v>
      </c>
      <c r="I114" s="1947">
        <v>0</v>
      </c>
      <c r="J114" s="1972" t="s">
        <v>4957</v>
      </c>
      <c r="K114" s="881" t="s">
        <v>15</v>
      </c>
      <c r="L114" s="7" t="s">
        <v>17</v>
      </c>
    </row>
    <row r="115" spans="1:12" ht="101.5" x14ac:dyDescent="0.35">
      <c r="A115" s="1959">
        <v>43788</v>
      </c>
      <c r="B115" s="1960" t="s">
        <v>4987</v>
      </c>
      <c r="C115" s="7" t="s">
        <v>5197</v>
      </c>
      <c r="D115" s="1959">
        <v>43791</v>
      </c>
      <c r="E115" s="2001" t="s">
        <v>262</v>
      </c>
      <c r="F115" s="836">
        <v>0.39583333333333331</v>
      </c>
      <c r="G115" s="836">
        <v>0.4375</v>
      </c>
      <c r="H115" s="836">
        <v>0.4375</v>
      </c>
      <c r="I115" s="1976">
        <v>0</v>
      </c>
      <c r="J115" s="7" t="s">
        <v>289</v>
      </c>
      <c r="K115" s="7" t="s">
        <v>119</v>
      </c>
      <c r="L115" s="7" t="s">
        <v>17</v>
      </c>
    </row>
    <row r="116" spans="1:12" ht="29" x14ac:dyDescent="0.35">
      <c r="A116" s="1981">
        <v>43790</v>
      </c>
      <c r="B116" s="1982" t="s">
        <v>3301</v>
      </c>
      <c r="C116" s="828" t="s">
        <v>5227</v>
      </c>
      <c r="D116" s="1983">
        <v>43791</v>
      </c>
      <c r="E116" s="1983" t="s">
        <v>4527</v>
      </c>
      <c r="F116" s="836">
        <v>0.39583333333333331</v>
      </c>
      <c r="G116" s="836">
        <v>0.47916666666666669</v>
      </c>
      <c r="H116" s="836">
        <v>0.47916666666666669</v>
      </c>
      <c r="I116" s="1984">
        <v>0</v>
      </c>
      <c r="J116" s="7" t="s">
        <v>289</v>
      </c>
      <c r="K116" s="7" t="s">
        <v>119</v>
      </c>
      <c r="L116" s="7" t="s">
        <v>17</v>
      </c>
    </row>
    <row r="117" spans="1:12" ht="58" x14ac:dyDescent="0.35">
      <c r="A117" s="1959">
        <v>43789</v>
      </c>
      <c r="B117" s="7" t="s">
        <v>5220</v>
      </c>
      <c r="C117" s="7" t="s">
        <v>5222</v>
      </c>
      <c r="D117" s="1959">
        <v>43791</v>
      </c>
      <c r="E117" s="881" t="s">
        <v>5221</v>
      </c>
      <c r="F117" s="836">
        <v>0.39583333333333331</v>
      </c>
      <c r="G117" s="836">
        <v>0.52083333333333337</v>
      </c>
      <c r="H117" s="836">
        <v>0.52083333333333337</v>
      </c>
      <c r="I117" s="2030">
        <v>319</v>
      </c>
      <c r="J117" s="7" t="s">
        <v>5223</v>
      </c>
      <c r="K117" s="7" t="s">
        <v>119</v>
      </c>
      <c r="L117" s="7" t="s">
        <v>974</v>
      </c>
    </row>
    <row r="118" spans="1:12" ht="203" x14ac:dyDescent="0.35">
      <c r="A118" s="2033">
        <v>43788</v>
      </c>
      <c r="B118" s="2036" t="s">
        <v>4951</v>
      </c>
      <c r="C118" s="10" t="s">
        <v>5209</v>
      </c>
      <c r="D118" s="2033">
        <v>43791</v>
      </c>
      <c r="E118" s="2040" t="s">
        <v>4478</v>
      </c>
      <c r="F118" s="12">
        <v>0.58333333333333337</v>
      </c>
      <c r="G118" s="12">
        <v>0.625</v>
      </c>
      <c r="H118" s="12">
        <v>0.625</v>
      </c>
      <c r="I118" s="2043">
        <f>300+720</f>
        <v>1020</v>
      </c>
      <c r="J118" s="7" t="s">
        <v>5226</v>
      </c>
      <c r="K118" s="7" t="s">
        <v>119</v>
      </c>
      <c r="L118" s="7" t="s">
        <v>17</v>
      </c>
    </row>
    <row r="119" spans="1:12" ht="72.5" x14ac:dyDescent="0.35">
      <c r="A119" s="1952">
        <v>43788</v>
      </c>
      <c r="B119" s="1953" t="s">
        <v>5203</v>
      </c>
      <c r="C119" s="1412" t="s">
        <v>5204</v>
      </c>
      <c r="D119" s="1954">
        <v>43791</v>
      </c>
      <c r="E119" s="1955" t="s">
        <v>5200</v>
      </c>
      <c r="F119" s="1750">
        <v>0.72916666666666663</v>
      </c>
      <c r="G119" s="1750">
        <v>0.77083333333333337</v>
      </c>
      <c r="H119" s="1750">
        <v>0.79166666666666663</v>
      </c>
      <c r="I119" s="1950">
        <f>(120*4)*0.91</f>
        <v>436.8</v>
      </c>
      <c r="J119" s="1431" t="s">
        <v>5201</v>
      </c>
      <c r="K119" s="7" t="s">
        <v>119</v>
      </c>
      <c r="L119" s="817" t="s">
        <v>17</v>
      </c>
    </row>
    <row r="120" spans="1:12" ht="116" x14ac:dyDescent="0.35">
      <c r="A120" s="1979">
        <v>43788</v>
      </c>
      <c r="B120" s="1934" t="s">
        <v>4951</v>
      </c>
      <c r="C120" s="7" t="s">
        <v>5206</v>
      </c>
      <c r="D120" s="1980">
        <v>43792</v>
      </c>
      <c r="E120" s="1935" t="s">
        <v>859</v>
      </c>
      <c r="F120" s="836">
        <v>0.45833333333333331</v>
      </c>
      <c r="G120" s="836">
        <v>0.5</v>
      </c>
      <c r="H120" s="836">
        <v>0.5</v>
      </c>
      <c r="I120" s="1841">
        <v>300</v>
      </c>
      <c r="J120" s="7" t="s">
        <v>5207</v>
      </c>
      <c r="K120" s="7" t="s">
        <v>119</v>
      </c>
      <c r="L120" s="7" t="s">
        <v>17</v>
      </c>
    </row>
    <row r="121" spans="1:12" ht="232" x14ac:dyDescent="0.35">
      <c r="A121" s="1952">
        <v>43788</v>
      </c>
      <c r="B121" s="1953" t="s">
        <v>4951</v>
      </c>
      <c r="C121" s="10" t="s">
        <v>5214</v>
      </c>
      <c r="D121" s="1954">
        <v>43792</v>
      </c>
      <c r="E121" s="1955" t="s">
        <v>4478</v>
      </c>
      <c r="F121" s="12">
        <v>0.45833333333333331</v>
      </c>
      <c r="G121" s="12">
        <v>0.54166666666666663</v>
      </c>
      <c r="H121" s="12">
        <v>0.54166666666666663</v>
      </c>
      <c r="I121" s="1950">
        <f>650+1900</f>
        <v>2550</v>
      </c>
      <c r="J121" s="7" t="s">
        <v>5253</v>
      </c>
      <c r="K121" s="7" t="s">
        <v>119</v>
      </c>
      <c r="L121" s="7" t="s">
        <v>17</v>
      </c>
    </row>
    <row r="122" spans="1:12" ht="58" x14ac:dyDescent="0.35">
      <c r="A122" s="1952">
        <v>43790</v>
      </c>
      <c r="B122" s="1953" t="s">
        <v>5224</v>
      </c>
      <c r="C122" s="1412" t="s">
        <v>5225</v>
      </c>
      <c r="D122" s="1954">
        <v>43792</v>
      </c>
      <c r="E122" s="1955" t="s">
        <v>2960</v>
      </c>
      <c r="F122" s="1750">
        <v>0.60416666666666663</v>
      </c>
      <c r="G122" s="1750">
        <v>0.625</v>
      </c>
      <c r="H122" s="1750">
        <v>0.64583333333333337</v>
      </c>
      <c r="I122" s="1950">
        <f>3.5*120</f>
        <v>420</v>
      </c>
      <c r="J122" s="1431" t="s">
        <v>5050</v>
      </c>
      <c r="K122" s="7" t="s">
        <v>119</v>
      </c>
      <c r="L122" s="817" t="s">
        <v>17</v>
      </c>
    </row>
    <row r="123" spans="1:12" ht="101.5" x14ac:dyDescent="0.35">
      <c r="A123" s="1833">
        <v>43745</v>
      </c>
      <c r="B123" s="1815" t="s">
        <v>4598</v>
      </c>
      <c r="C123" s="10" t="s">
        <v>4599</v>
      </c>
      <c r="D123" s="1816">
        <v>43792</v>
      </c>
      <c r="E123" s="1817" t="s">
        <v>4964</v>
      </c>
      <c r="F123" s="12">
        <v>0.60416666666666663</v>
      </c>
      <c r="G123" s="12">
        <v>0.70833333333333337</v>
      </c>
      <c r="H123" s="12">
        <v>0.70833333333333337</v>
      </c>
      <c r="I123" s="1991">
        <f>105*4.5</f>
        <v>472.5</v>
      </c>
      <c r="J123" s="5" t="s">
        <v>4600</v>
      </c>
      <c r="K123" s="7" t="s">
        <v>119</v>
      </c>
      <c r="L123" s="5" t="s">
        <v>17</v>
      </c>
    </row>
    <row r="124" spans="1:12" ht="43.5" x14ac:dyDescent="0.35">
      <c r="A124" s="1860">
        <v>43777</v>
      </c>
      <c r="B124" s="1821" t="s">
        <v>5092</v>
      </c>
      <c r="C124" s="1412" t="s">
        <v>5093</v>
      </c>
      <c r="D124" s="1862">
        <v>43792</v>
      </c>
      <c r="E124" s="1884" t="s">
        <v>2960</v>
      </c>
      <c r="F124" s="12">
        <v>0.60416666666666663</v>
      </c>
      <c r="G124" s="12">
        <v>0.72916666666666663</v>
      </c>
      <c r="H124" s="12">
        <v>0.72916666666666663</v>
      </c>
      <c r="I124" s="1992">
        <v>520</v>
      </c>
      <c r="J124" s="817" t="s">
        <v>5194</v>
      </c>
      <c r="K124" s="7" t="s">
        <v>119</v>
      </c>
      <c r="L124" s="817" t="s">
        <v>17</v>
      </c>
    </row>
    <row r="125" spans="1:12" ht="130.5" x14ac:dyDescent="0.35">
      <c r="A125" s="1928">
        <v>43781</v>
      </c>
      <c r="B125" s="1929" t="s">
        <v>5152</v>
      </c>
      <c r="C125" s="10" t="s">
        <v>5243</v>
      </c>
      <c r="D125" s="1930">
        <v>43792</v>
      </c>
      <c r="E125" s="1931" t="s">
        <v>4947</v>
      </c>
      <c r="F125" s="1750">
        <v>0.60416666666666663</v>
      </c>
      <c r="G125" s="1750">
        <v>0.75</v>
      </c>
      <c r="H125" s="1750">
        <v>0.75</v>
      </c>
      <c r="I125" s="1925">
        <f>4.7*75+300+30*5.5</f>
        <v>817.5</v>
      </c>
      <c r="J125" s="7" t="s">
        <v>5228</v>
      </c>
      <c r="K125" s="7" t="s">
        <v>119</v>
      </c>
      <c r="L125" s="817" t="s">
        <v>17</v>
      </c>
    </row>
    <row r="126" spans="1:12" ht="261" x14ac:dyDescent="0.35">
      <c r="A126" s="1979">
        <v>43788</v>
      </c>
      <c r="B126" s="1820" t="s">
        <v>5215</v>
      </c>
      <c r="C126" s="10" t="s">
        <v>5218</v>
      </c>
      <c r="D126" s="1980">
        <v>43794</v>
      </c>
      <c r="E126" s="2007" t="s">
        <v>5216</v>
      </c>
      <c r="F126" s="12">
        <v>0.375</v>
      </c>
      <c r="G126" s="12">
        <v>0.41666666666666669</v>
      </c>
      <c r="H126" s="12">
        <v>0.41666666666666669</v>
      </c>
      <c r="I126" s="1950">
        <v>450</v>
      </c>
      <c r="J126" s="7" t="s">
        <v>5217</v>
      </c>
      <c r="K126" s="7" t="s">
        <v>140</v>
      </c>
      <c r="L126" s="7" t="s">
        <v>974</v>
      </c>
    </row>
    <row r="127" spans="1:12" ht="29" x14ac:dyDescent="0.35">
      <c r="A127" s="2004">
        <v>43793</v>
      </c>
      <c r="B127" s="1820" t="s">
        <v>5254</v>
      </c>
      <c r="C127" s="10" t="s">
        <v>5256</v>
      </c>
      <c r="D127" s="2005">
        <v>43794</v>
      </c>
      <c r="E127" s="2007" t="s">
        <v>5255</v>
      </c>
      <c r="F127" s="12"/>
      <c r="G127" s="12">
        <v>0.79166666666666663</v>
      </c>
      <c r="H127" s="12">
        <v>0.79166666666666663</v>
      </c>
      <c r="I127" s="2084">
        <v>192</v>
      </c>
      <c r="J127" s="1390" t="s">
        <v>648</v>
      </c>
      <c r="K127" s="7" t="s">
        <v>140</v>
      </c>
      <c r="L127" s="7" t="s">
        <v>22</v>
      </c>
    </row>
    <row r="128" spans="1:12" ht="29" x14ac:dyDescent="0.35">
      <c r="A128" s="2004">
        <v>43794</v>
      </c>
      <c r="B128" s="2015" t="s">
        <v>20</v>
      </c>
      <c r="C128" s="7" t="s">
        <v>5263</v>
      </c>
      <c r="D128" s="2005">
        <v>43795</v>
      </c>
      <c r="E128" s="2016" t="s">
        <v>20</v>
      </c>
      <c r="F128" s="7" t="s">
        <v>15</v>
      </c>
      <c r="G128" s="7" t="s">
        <v>15</v>
      </c>
      <c r="H128" s="7" t="s">
        <v>15</v>
      </c>
      <c r="I128" s="2006">
        <v>0</v>
      </c>
      <c r="J128" s="7" t="s">
        <v>15</v>
      </c>
      <c r="K128" s="7" t="s">
        <v>15</v>
      </c>
      <c r="L128" s="7" t="s">
        <v>17</v>
      </c>
    </row>
    <row r="129" spans="1:12" ht="43.5" x14ac:dyDescent="0.35">
      <c r="A129" s="155">
        <v>43602</v>
      </c>
      <c r="B129" s="37" t="s">
        <v>5273</v>
      </c>
      <c r="C129" s="37" t="s">
        <v>5274</v>
      </c>
      <c r="D129" s="2005">
        <v>43795</v>
      </c>
      <c r="E129" s="37" t="s">
        <v>1053</v>
      </c>
      <c r="F129" s="37" t="s">
        <v>15</v>
      </c>
      <c r="G129" s="212">
        <v>0.58333333333333337</v>
      </c>
      <c r="H129" s="212">
        <v>0.58333333333333337</v>
      </c>
      <c r="I129" s="2045">
        <v>199</v>
      </c>
      <c r="J129" s="2046" t="s">
        <v>5275</v>
      </c>
      <c r="K129" s="37" t="s">
        <v>119</v>
      </c>
      <c r="L129" s="154" t="s">
        <v>22</v>
      </c>
    </row>
    <row r="130" spans="1:12" ht="58" x14ac:dyDescent="0.35">
      <c r="A130" s="1981">
        <v>43791</v>
      </c>
      <c r="B130" s="1982" t="s">
        <v>5244</v>
      </c>
      <c r="C130" s="7" t="s">
        <v>5245</v>
      </c>
      <c r="D130" s="1983">
        <v>43796</v>
      </c>
      <c r="E130" s="2027" t="s">
        <v>5246</v>
      </c>
      <c r="F130" s="836" t="s">
        <v>15</v>
      </c>
      <c r="G130" s="836" t="s">
        <v>3213</v>
      </c>
      <c r="H130" s="836" t="s">
        <v>972</v>
      </c>
      <c r="I130" s="1984">
        <v>0</v>
      </c>
      <c r="J130" s="7" t="s">
        <v>289</v>
      </c>
      <c r="K130" s="7" t="s">
        <v>15</v>
      </c>
      <c r="L130" s="7" t="s">
        <v>17</v>
      </c>
    </row>
    <row r="131" spans="1:12" x14ac:dyDescent="0.35">
      <c r="A131" s="1938">
        <v>43791</v>
      </c>
      <c r="B131" s="1941" t="s">
        <v>20</v>
      </c>
      <c r="C131" s="7" t="s">
        <v>5242</v>
      </c>
      <c r="D131" s="1938">
        <v>43796</v>
      </c>
      <c r="E131" s="1946" t="s">
        <v>20</v>
      </c>
      <c r="F131" s="7" t="s">
        <v>15</v>
      </c>
      <c r="G131" s="7" t="s">
        <v>15</v>
      </c>
      <c r="H131" s="7" t="s">
        <v>15</v>
      </c>
      <c r="I131" s="1947">
        <f>3.5*120</f>
        <v>420</v>
      </c>
      <c r="J131" s="7" t="s">
        <v>15</v>
      </c>
      <c r="K131" s="7" t="s">
        <v>15</v>
      </c>
      <c r="L131" s="7" t="s">
        <v>17</v>
      </c>
    </row>
    <row r="132" spans="1:12" ht="29" x14ac:dyDescent="0.35">
      <c r="A132" s="2008">
        <v>43794</v>
      </c>
      <c r="B132" s="2009" t="s">
        <v>5264</v>
      </c>
      <c r="C132" s="7" t="s">
        <v>5265</v>
      </c>
      <c r="D132" s="2008">
        <v>43796</v>
      </c>
      <c r="E132" s="2010" t="s">
        <v>5266</v>
      </c>
      <c r="F132" s="7" t="s">
        <v>15</v>
      </c>
      <c r="G132" s="836">
        <v>0.41666666666666669</v>
      </c>
      <c r="H132" s="836">
        <v>0.54166666666666663</v>
      </c>
      <c r="I132" s="2011">
        <v>0</v>
      </c>
      <c r="J132" s="7" t="s">
        <v>289</v>
      </c>
      <c r="K132" s="7" t="s">
        <v>15</v>
      </c>
      <c r="L132" s="7" t="s">
        <v>17</v>
      </c>
    </row>
    <row r="133" spans="1:12" ht="58" x14ac:dyDescent="0.35">
      <c r="A133" s="2051">
        <v>43794</v>
      </c>
      <c r="B133" s="2013" t="s">
        <v>5260</v>
      </c>
      <c r="C133" s="1733" t="s">
        <v>5262</v>
      </c>
      <c r="D133" s="2012">
        <v>43796</v>
      </c>
      <c r="E133" s="2014" t="s">
        <v>5261</v>
      </c>
      <c r="F133" s="1733" t="s">
        <v>15</v>
      </c>
      <c r="G133" s="1756">
        <v>0.58333333333333337</v>
      </c>
      <c r="H133" s="1756">
        <v>0.58333333333333337</v>
      </c>
      <c r="I133" s="2011">
        <v>390</v>
      </c>
      <c r="J133" s="7" t="s">
        <v>4618</v>
      </c>
      <c r="K133" s="7" t="s">
        <v>15</v>
      </c>
      <c r="L133" s="7" t="s">
        <v>17</v>
      </c>
    </row>
    <row r="134" spans="1:12" ht="58" x14ac:dyDescent="0.35">
      <c r="A134" s="2065">
        <v>43796</v>
      </c>
      <c r="B134" s="2064" t="s">
        <v>4468</v>
      </c>
      <c r="C134" s="2062" t="s">
        <v>5315</v>
      </c>
      <c r="D134" s="2065">
        <v>43796</v>
      </c>
      <c r="E134" s="2068" t="s">
        <v>5002</v>
      </c>
      <c r="F134" s="2063" t="s">
        <v>15</v>
      </c>
      <c r="G134" s="2063">
        <v>0.79166666666666663</v>
      </c>
      <c r="H134" s="2063">
        <v>0.79166666666666663</v>
      </c>
      <c r="I134" s="2071">
        <f>20*9</f>
        <v>180</v>
      </c>
      <c r="J134" s="2064" t="s">
        <v>5316</v>
      </c>
      <c r="K134" s="2064" t="s">
        <v>15</v>
      </c>
      <c r="L134" s="2064" t="s">
        <v>17</v>
      </c>
    </row>
    <row r="135" spans="1:12" ht="72.5" x14ac:dyDescent="0.35">
      <c r="A135" s="2008">
        <v>43794</v>
      </c>
      <c r="B135" s="2009" t="s">
        <v>5259</v>
      </c>
      <c r="C135" s="7" t="s">
        <v>5257</v>
      </c>
      <c r="D135" s="2008">
        <v>43797</v>
      </c>
      <c r="E135" s="2010" t="s">
        <v>5258</v>
      </c>
      <c r="F135" s="836">
        <v>0.4375</v>
      </c>
      <c r="G135" s="836">
        <v>0.45833333333333331</v>
      </c>
      <c r="H135" s="836">
        <v>0.45833333333333331</v>
      </c>
      <c r="I135" s="2011">
        <f>4*8*4</f>
        <v>128</v>
      </c>
      <c r="J135" s="7" t="s">
        <v>5050</v>
      </c>
      <c r="K135" s="7" t="s">
        <v>15</v>
      </c>
      <c r="L135" s="7" t="s">
        <v>17</v>
      </c>
    </row>
    <row r="136" spans="1:12" ht="43.5" x14ac:dyDescent="0.35">
      <c r="A136" s="1831">
        <v>43794</v>
      </c>
      <c r="B136" s="1518" t="s">
        <v>4987</v>
      </c>
      <c r="C136" s="5" t="s">
        <v>5268</v>
      </c>
      <c r="D136" s="1810">
        <v>43797</v>
      </c>
      <c r="E136" s="1811" t="s">
        <v>262</v>
      </c>
      <c r="F136" s="6">
        <v>0.4375</v>
      </c>
      <c r="G136" s="6">
        <v>0.5</v>
      </c>
      <c r="H136" s="6">
        <v>0.5</v>
      </c>
      <c r="I136" s="1813">
        <v>0</v>
      </c>
      <c r="J136" s="5" t="s">
        <v>289</v>
      </c>
      <c r="K136" s="5" t="s">
        <v>15</v>
      </c>
      <c r="L136" s="5" t="s">
        <v>17</v>
      </c>
    </row>
    <row r="137" spans="1:12" ht="29" x14ac:dyDescent="0.35">
      <c r="A137" s="2073">
        <v>43796</v>
      </c>
      <c r="B137" s="2015" t="s">
        <v>5264</v>
      </c>
      <c r="C137" s="7" t="s">
        <v>5293</v>
      </c>
      <c r="D137" s="2074">
        <v>43797</v>
      </c>
      <c r="E137" s="2010" t="s">
        <v>5266</v>
      </c>
      <c r="F137" s="836">
        <v>0.4375</v>
      </c>
      <c r="G137" s="836">
        <v>0.51041666666666663</v>
      </c>
      <c r="H137" s="836">
        <v>0.54166666666666663</v>
      </c>
      <c r="I137" s="2011">
        <v>0</v>
      </c>
      <c r="J137" s="7" t="s">
        <v>289</v>
      </c>
      <c r="K137" s="7" t="s">
        <v>15</v>
      </c>
      <c r="L137" s="7" t="s">
        <v>17</v>
      </c>
    </row>
    <row r="138" spans="1:12" ht="29" x14ac:dyDescent="0.35">
      <c r="A138" s="1814">
        <v>43796</v>
      </c>
      <c r="B138" s="817" t="s">
        <v>3642</v>
      </c>
      <c r="C138" s="2054" t="s">
        <v>5304</v>
      </c>
      <c r="D138" s="1814">
        <v>43797</v>
      </c>
      <c r="E138" s="1149" t="s">
        <v>4109</v>
      </c>
      <c r="F138" s="2061">
        <v>0.70833333333333337</v>
      </c>
      <c r="G138" s="2061">
        <v>0.75</v>
      </c>
      <c r="H138" s="2061">
        <v>0.79166666666666663</v>
      </c>
      <c r="I138" s="1809">
        <v>150</v>
      </c>
      <c r="J138" s="2060" t="s">
        <v>257</v>
      </c>
      <c r="K138" s="2060" t="s">
        <v>15</v>
      </c>
      <c r="L138" s="2060" t="s">
        <v>17</v>
      </c>
    </row>
    <row r="139" spans="1:12" x14ac:dyDescent="0.35">
      <c r="A139" s="2073">
        <v>43795</v>
      </c>
      <c r="B139" s="817" t="s">
        <v>20</v>
      </c>
      <c r="C139" s="5" t="s">
        <v>5283</v>
      </c>
      <c r="D139" s="2008">
        <v>43797</v>
      </c>
      <c r="E139" s="2001" t="s">
        <v>20</v>
      </c>
      <c r="F139" s="836" t="s">
        <v>15</v>
      </c>
      <c r="G139" s="836" t="s">
        <v>15</v>
      </c>
      <c r="H139" s="836" t="s">
        <v>15</v>
      </c>
      <c r="I139" s="1976">
        <v>0</v>
      </c>
      <c r="J139" s="836" t="s">
        <v>15</v>
      </c>
      <c r="K139" s="836" t="s">
        <v>15</v>
      </c>
      <c r="L139" s="5" t="s">
        <v>22</v>
      </c>
    </row>
    <row r="140" spans="1:12" x14ac:dyDescent="0.35">
      <c r="A140" s="1959">
        <v>43791</v>
      </c>
      <c r="B140" s="1960" t="s">
        <v>20</v>
      </c>
      <c r="C140" s="7" t="s">
        <v>5233</v>
      </c>
      <c r="D140" s="1959">
        <v>43797</v>
      </c>
      <c r="E140" s="2001" t="s">
        <v>20</v>
      </c>
      <c r="F140" s="836" t="s">
        <v>15</v>
      </c>
      <c r="G140" s="836" t="s">
        <v>15</v>
      </c>
      <c r="H140" s="836" t="s">
        <v>15</v>
      </c>
      <c r="I140" s="1976">
        <v>0</v>
      </c>
      <c r="J140" s="836" t="s">
        <v>15</v>
      </c>
      <c r="K140" s="836" t="s">
        <v>15</v>
      </c>
      <c r="L140" s="836" t="s">
        <v>17</v>
      </c>
    </row>
    <row r="141" spans="1:12" x14ac:dyDescent="0.35">
      <c r="A141" s="2008">
        <v>43796</v>
      </c>
      <c r="B141" s="2009" t="s">
        <v>20</v>
      </c>
      <c r="C141" s="7" t="s">
        <v>5299</v>
      </c>
      <c r="D141" s="2008">
        <v>43797</v>
      </c>
      <c r="E141" s="2010" t="s">
        <v>20</v>
      </c>
      <c r="F141" s="7" t="s">
        <v>15</v>
      </c>
      <c r="G141" s="7" t="s">
        <v>15</v>
      </c>
      <c r="H141" s="7" t="s">
        <v>15</v>
      </c>
      <c r="I141" s="2011">
        <v>0</v>
      </c>
      <c r="J141" s="7" t="s">
        <v>15</v>
      </c>
      <c r="K141" s="7" t="s">
        <v>15</v>
      </c>
      <c r="L141" s="7" t="s">
        <v>17</v>
      </c>
    </row>
    <row r="142" spans="1:12" ht="43.5" x14ac:dyDescent="0.35">
      <c r="A142" s="1882">
        <v>43796</v>
      </c>
      <c r="B142" s="1820" t="s">
        <v>5305</v>
      </c>
      <c r="C142" s="2054" t="s">
        <v>5306</v>
      </c>
      <c r="D142" s="1825">
        <v>43798</v>
      </c>
      <c r="E142" s="2047" t="s">
        <v>5307</v>
      </c>
      <c r="F142" s="2061">
        <v>0.35416666666666669</v>
      </c>
      <c r="G142" s="2061">
        <v>0.375</v>
      </c>
      <c r="H142" s="2061">
        <v>0.41666666666666669</v>
      </c>
      <c r="I142" s="1819">
        <f>3.2*120*0.7</f>
        <v>268.79999999999995</v>
      </c>
      <c r="J142" s="2060" t="s">
        <v>5046</v>
      </c>
      <c r="K142" s="2060" t="s">
        <v>140</v>
      </c>
      <c r="L142" s="2060" t="s">
        <v>17</v>
      </c>
    </row>
    <row r="143" spans="1:12" ht="43.5" x14ac:dyDescent="0.35">
      <c r="A143" s="2081">
        <v>43795</v>
      </c>
      <c r="B143" s="1518" t="s">
        <v>4987</v>
      </c>
      <c r="C143" s="5" t="s">
        <v>5272</v>
      </c>
      <c r="D143" s="1810">
        <v>43798</v>
      </c>
      <c r="E143" s="1811" t="s">
        <v>262</v>
      </c>
      <c r="F143" s="6">
        <v>0.35416666666666669</v>
      </c>
      <c r="G143" s="6">
        <v>0.45833333333333331</v>
      </c>
      <c r="H143" s="6">
        <v>0.45833333333333331</v>
      </c>
      <c r="I143" s="1813">
        <v>0</v>
      </c>
      <c r="J143" s="5" t="s">
        <v>289</v>
      </c>
      <c r="K143" s="2060" t="s">
        <v>140</v>
      </c>
      <c r="L143" s="5" t="s">
        <v>17</v>
      </c>
    </row>
    <row r="144" spans="1:12" ht="87" x14ac:dyDescent="0.35">
      <c r="A144" s="2073">
        <v>43795</v>
      </c>
      <c r="B144" s="2015" t="s">
        <v>5270</v>
      </c>
      <c r="C144" s="7" t="s">
        <v>5269</v>
      </c>
      <c r="D144" s="2074">
        <v>43798</v>
      </c>
      <c r="E144" s="2075" t="s">
        <v>5246</v>
      </c>
      <c r="F144" s="836">
        <v>0.35416666666666669</v>
      </c>
      <c r="G144" s="836">
        <v>0.5</v>
      </c>
      <c r="H144" s="836">
        <v>0.5</v>
      </c>
      <c r="I144" s="2006">
        <v>180</v>
      </c>
      <c r="J144" s="7" t="s">
        <v>5271</v>
      </c>
      <c r="K144" s="2060" t="s">
        <v>140</v>
      </c>
      <c r="L144" s="7" t="s">
        <v>17</v>
      </c>
    </row>
    <row r="145" spans="1:12" ht="227.15" customHeight="1" x14ac:dyDescent="0.35">
      <c r="A145" s="2008">
        <v>43797</v>
      </c>
      <c r="B145" s="2009" t="s">
        <v>5326</v>
      </c>
      <c r="C145" s="7" t="s">
        <v>5327</v>
      </c>
      <c r="D145" s="2008">
        <v>43798</v>
      </c>
      <c r="E145" s="2010" t="s">
        <v>5328</v>
      </c>
      <c r="F145" s="836">
        <v>0.41666666666666669</v>
      </c>
      <c r="G145" s="836">
        <v>0.41666666666666669</v>
      </c>
      <c r="H145" s="836">
        <v>0.41666666666666669</v>
      </c>
      <c r="I145" s="2011">
        <f>70*2</f>
        <v>140</v>
      </c>
      <c r="J145" s="7" t="s">
        <v>257</v>
      </c>
      <c r="K145" s="7" t="s">
        <v>15</v>
      </c>
      <c r="L145" s="7" t="s">
        <v>17</v>
      </c>
    </row>
    <row r="146" spans="1:12" ht="227.15" customHeight="1" x14ac:dyDescent="0.35">
      <c r="A146" s="2081">
        <v>43797</v>
      </c>
      <c r="B146" s="2015" t="s">
        <v>5338</v>
      </c>
      <c r="C146" s="7" t="s">
        <v>5336</v>
      </c>
      <c r="D146" s="2082">
        <v>43798</v>
      </c>
      <c r="E146" s="2083" t="s">
        <v>5337</v>
      </c>
      <c r="F146" s="836">
        <v>0.54166666666666663</v>
      </c>
      <c r="G146" s="836">
        <v>0.58333333333333337</v>
      </c>
      <c r="H146" s="836">
        <v>0.58333333333333337</v>
      </c>
      <c r="I146" s="2006">
        <v>0</v>
      </c>
      <c r="J146" s="7" t="s">
        <v>289</v>
      </c>
      <c r="K146" s="2060" t="s">
        <v>140</v>
      </c>
      <c r="L146" s="7" t="s">
        <v>17</v>
      </c>
    </row>
    <row r="147" spans="1:12" ht="227.15" customHeight="1" x14ac:dyDescent="0.35">
      <c r="A147" s="2081">
        <v>43794</v>
      </c>
      <c r="B147" s="2015" t="s">
        <v>1445</v>
      </c>
      <c r="C147" s="7" t="s">
        <v>5267</v>
      </c>
      <c r="D147" s="2082">
        <v>43798</v>
      </c>
      <c r="E147" s="2083" t="s">
        <v>19</v>
      </c>
      <c r="F147" s="836">
        <v>0.70833333333333337</v>
      </c>
      <c r="G147" s="836">
        <v>0.70833333333333337</v>
      </c>
      <c r="H147" s="836">
        <v>0.70833333333333337</v>
      </c>
      <c r="I147" s="2006">
        <v>70</v>
      </c>
      <c r="J147" s="7" t="s">
        <v>3847</v>
      </c>
      <c r="K147" s="2060" t="s">
        <v>140</v>
      </c>
      <c r="L147" s="7" t="s">
        <v>17</v>
      </c>
    </row>
    <row r="148" spans="1:12" ht="227.15" customHeight="1" x14ac:dyDescent="0.35">
      <c r="A148" s="2066">
        <v>43784</v>
      </c>
      <c r="B148" s="2059" t="s">
        <v>5302</v>
      </c>
      <c r="C148" s="2054" t="s">
        <v>5294</v>
      </c>
      <c r="D148" s="2067">
        <v>43798</v>
      </c>
      <c r="E148" s="2069" t="s">
        <v>5183</v>
      </c>
      <c r="F148" s="2061">
        <v>0.54166666666666663</v>
      </c>
      <c r="G148" s="2061">
        <v>0.625</v>
      </c>
      <c r="H148" s="2061">
        <v>0.625</v>
      </c>
      <c r="I148" s="2072">
        <f>(45*120/1000+2.5)*80</f>
        <v>632</v>
      </c>
      <c r="J148" s="2060" t="s">
        <v>5303</v>
      </c>
      <c r="K148" s="2060" t="s">
        <v>140</v>
      </c>
      <c r="L148" s="2060" t="s">
        <v>17</v>
      </c>
    </row>
    <row r="149" spans="1:12" ht="227.15" customHeight="1" x14ac:dyDescent="0.35">
      <c r="A149" s="1882">
        <v>43796</v>
      </c>
      <c r="B149" s="1820" t="s">
        <v>615</v>
      </c>
      <c r="C149" s="2054" t="s">
        <v>5308</v>
      </c>
      <c r="D149" s="1825">
        <v>43798</v>
      </c>
      <c r="E149" s="2047" t="s">
        <v>5097</v>
      </c>
      <c r="F149" s="2061">
        <v>0.54166666666666663</v>
      </c>
      <c r="G149" s="2061">
        <v>0.66666666666666663</v>
      </c>
      <c r="H149" s="2061">
        <v>0.66666666666666663</v>
      </c>
      <c r="I149" s="1819">
        <f>0.7*(1.6*120+199)</f>
        <v>273.7</v>
      </c>
      <c r="J149" s="2060" t="s">
        <v>4002</v>
      </c>
      <c r="K149" s="2060" t="s">
        <v>140</v>
      </c>
      <c r="L149" s="2060" t="s">
        <v>17</v>
      </c>
    </row>
    <row r="150" spans="1:12" ht="227.15" customHeight="1" x14ac:dyDescent="0.35">
      <c r="A150" s="2073">
        <v>43795</v>
      </c>
      <c r="B150" s="1820" t="s">
        <v>402</v>
      </c>
      <c r="C150" s="7" t="s">
        <v>5277</v>
      </c>
      <c r="D150" s="2074">
        <v>43798</v>
      </c>
      <c r="E150" s="2047" t="s">
        <v>5276</v>
      </c>
      <c r="F150" s="836">
        <v>0.75</v>
      </c>
      <c r="G150" s="836">
        <v>0.75</v>
      </c>
      <c r="H150" s="836">
        <v>0.75</v>
      </c>
      <c r="I150" s="2006">
        <v>218</v>
      </c>
      <c r="J150" s="7" t="s">
        <v>5279</v>
      </c>
      <c r="K150" s="7" t="s">
        <v>15</v>
      </c>
      <c r="L150" s="7" t="s">
        <v>974</v>
      </c>
    </row>
    <row r="151" spans="1:12" ht="63.65" customHeight="1" x14ac:dyDescent="0.35">
      <c r="A151" s="2086">
        <v>43798</v>
      </c>
      <c r="B151" s="2090" t="s">
        <v>5367</v>
      </c>
      <c r="C151" s="1090" t="s">
        <v>5368</v>
      </c>
      <c r="D151" s="2087">
        <v>43798</v>
      </c>
      <c r="E151" s="2088" t="s">
        <v>15</v>
      </c>
      <c r="F151" s="1927" t="s">
        <v>15</v>
      </c>
      <c r="G151" s="1927" t="s">
        <v>15</v>
      </c>
      <c r="H151" s="1927" t="s">
        <v>15</v>
      </c>
      <c r="I151" s="2091">
        <v>2300</v>
      </c>
      <c r="J151" s="1090" t="s">
        <v>15</v>
      </c>
      <c r="K151" s="1090" t="s">
        <v>15</v>
      </c>
      <c r="L151" s="1090" t="s">
        <v>15</v>
      </c>
    </row>
    <row r="152" spans="1:12" ht="55.4" customHeight="1" x14ac:dyDescent="0.35">
      <c r="A152" s="2114">
        <v>43799</v>
      </c>
      <c r="B152" s="2115" t="s">
        <v>4468</v>
      </c>
      <c r="C152" s="7" t="s">
        <v>5365</v>
      </c>
      <c r="D152" s="2114">
        <v>43799</v>
      </c>
      <c r="E152" s="2117" t="s">
        <v>5002</v>
      </c>
      <c r="F152" s="836">
        <v>0.72916666666666663</v>
      </c>
      <c r="G152" s="836">
        <v>0.72916666666666663</v>
      </c>
      <c r="H152" s="836">
        <v>0</v>
      </c>
      <c r="I152" s="2120">
        <f>4*9*3</f>
        <v>108</v>
      </c>
      <c r="J152" s="836" t="s">
        <v>214</v>
      </c>
      <c r="K152" s="7" t="s">
        <v>17</v>
      </c>
      <c r="L152" s="7" t="s">
        <v>17</v>
      </c>
    </row>
    <row r="153" spans="1:12" ht="99" customHeight="1" x14ac:dyDescent="0.35">
      <c r="A153" s="2081">
        <v>43796</v>
      </c>
      <c r="B153" s="2015" t="s">
        <v>5270</v>
      </c>
      <c r="C153" s="7" t="s">
        <v>5329</v>
      </c>
      <c r="D153" s="2082">
        <v>43799</v>
      </c>
      <c r="E153" s="2083" t="s">
        <v>5292</v>
      </c>
      <c r="F153" s="836">
        <v>0.35416666666666669</v>
      </c>
      <c r="G153" s="2070">
        <v>0.375</v>
      </c>
      <c r="H153" s="2070">
        <v>0.375</v>
      </c>
      <c r="I153" s="2006">
        <f>3*120*0.9</f>
        <v>324</v>
      </c>
      <c r="J153" s="7" t="s">
        <v>1493</v>
      </c>
      <c r="K153" s="7" t="s">
        <v>140</v>
      </c>
      <c r="L153" s="7" t="s">
        <v>17</v>
      </c>
    </row>
    <row r="154" spans="1:12" ht="134.15" customHeight="1" x14ac:dyDescent="0.35">
      <c r="A154" s="2100">
        <v>43795</v>
      </c>
      <c r="B154" s="1012" t="s">
        <v>4842</v>
      </c>
      <c r="C154" s="7" t="s">
        <v>5349</v>
      </c>
      <c r="D154" s="2103">
        <v>43799</v>
      </c>
      <c r="E154" s="1879" t="s">
        <v>4655</v>
      </c>
      <c r="F154" s="2076">
        <v>0.35416666666666669</v>
      </c>
      <c r="G154" s="2076">
        <v>0.3888888888888889</v>
      </c>
      <c r="H154" s="2076">
        <v>0.3888888888888889</v>
      </c>
      <c r="I154" s="2108">
        <v>336</v>
      </c>
      <c r="J154" s="7" t="s">
        <v>5278</v>
      </c>
      <c r="K154" s="7" t="s">
        <v>140</v>
      </c>
      <c r="L154" s="7" t="s">
        <v>22</v>
      </c>
    </row>
    <row r="155" spans="1:12" ht="125.9" customHeight="1" x14ac:dyDescent="0.35">
      <c r="A155" s="2086">
        <v>43796</v>
      </c>
      <c r="B155" s="2090" t="s">
        <v>5351</v>
      </c>
      <c r="C155" s="5" t="s">
        <v>5350</v>
      </c>
      <c r="D155" s="2087">
        <v>43799</v>
      </c>
      <c r="E155" s="2088" t="s">
        <v>5122</v>
      </c>
      <c r="F155" s="6">
        <v>0.41666666666666669</v>
      </c>
      <c r="G155" s="6">
        <v>0.41666666666666669</v>
      </c>
      <c r="H155" s="6">
        <v>0.58333333333333337</v>
      </c>
      <c r="I155" s="2091">
        <v>265</v>
      </c>
      <c r="J155" s="6" t="s">
        <v>5352</v>
      </c>
      <c r="K155" s="6" t="s">
        <v>140</v>
      </c>
      <c r="L155" s="5" t="s">
        <v>17</v>
      </c>
    </row>
    <row r="156" spans="1:12" ht="75.650000000000006" customHeight="1" x14ac:dyDescent="0.35">
      <c r="A156" s="2113">
        <v>43795</v>
      </c>
      <c r="B156" s="819" t="s">
        <v>5280</v>
      </c>
      <c r="C156" s="819" t="s">
        <v>5281</v>
      </c>
      <c r="D156" s="2116">
        <v>43799</v>
      </c>
      <c r="E156" s="867" t="s">
        <v>5356</v>
      </c>
      <c r="F156" s="913">
        <v>0.41666666666666669</v>
      </c>
      <c r="G156" s="913">
        <v>0.45833333333333331</v>
      </c>
      <c r="H156" s="913">
        <v>0.45833333333333331</v>
      </c>
      <c r="I156" s="2119">
        <v>195</v>
      </c>
      <c r="J156" s="826" t="s">
        <v>5343</v>
      </c>
      <c r="K156" s="826" t="s">
        <v>140</v>
      </c>
      <c r="L156" s="829" t="s">
        <v>22</v>
      </c>
    </row>
    <row r="157" spans="1:12" ht="84" customHeight="1" x14ac:dyDescent="0.35">
      <c r="A157" s="1952">
        <v>43791</v>
      </c>
      <c r="B157" s="2094" t="s">
        <v>5229</v>
      </c>
      <c r="C157" s="976" t="s">
        <v>5230</v>
      </c>
      <c r="D157" s="2096">
        <v>43799</v>
      </c>
      <c r="E157" s="2097" t="s">
        <v>5231</v>
      </c>
      <c r="F157" s="1011">
        <v>0.41666666666666669</v>
      </c>
      <c r="G157" s="1011">
        <v>0.47916666666666669</v>
      </c>
      <c r="H157" s="1011">
        <v>0.47916666666666669</v>
      </c>
      <c r="I157" s="2099">
        <f>5*120</f>
        <v>600</v>
      </c>
      <c r="J157" s="1277" t="s">
        <v>5232</v>
      </c>
      <c r="K157" s="874" t="s">
        <v>140</v>
      </c>
      <c r="L157" s="875" t="s">
        <v>17</v>
      </c>
    </row>
    <row r="158" spans="1:12" ht="103.4" customHeight="1" x14ac:dyDescent="0.35">
      <c r="A158" s="1882">
        <v>43793</v>
      </c>
      <c r="B158" s="1820" t="s">
        <v>5247</v>
      </c>
      <c r="C158" s="826" t="s">
        <v>5248</v>
      </c>
      <c r="D158" s="1825">
        <v>43799</v>
      </c>
      <c r="E158" s="2047" t="s">
        <v>5357</v>
      </c>
      <c r="F158" s="865">
        <v>0.41666666666666669</v>
      </c>
      <c r="G158" s="865">
        <v>0.5</v>
      </c>
      <c r="H158" s="865">
        <v>0.5</v>
      </c>
      <c r="I158" s="1819">
        <v>180</v>
      </c>
      <c r="J158" s="826" t="s">
        <v>5364</v>
      </c>
      <c r="K158" s="826" t="s">
        <v>140</v>
      </c>
      <c r="L158" s="829" t="s">
        <v>17</v>
      </c>
    </row>
    <row r="159" spans="1:12" ht="165.65" customHeight="1" x14ac:dyDescent="0.35">
      <c r="A159" s="2092">
        <v>43796</v>
      </c>
      <c r="B159" s="1821" t="s">
        <v>5295</v>
      </c>
      <c r="C159" s="819" t="s">
        <v>5298</v>
      </c>
      <c r="D159" s="2095">
        <v>43799</v>
      </c>
      <c r="E159" s="1907" t="s">
        <v>5296</v>
      </c>
      <c r="F159" s="913">
        <v>0.41666666666666669</v>
      </c>
      <c r="G159" s="913">
        <v>0.54166666666666663</v>
      </c>
      <c r="H159" s="913">
        <v>0.54166666666666663</v>
      </c>
      <c r="I159" s="2098">
        <f>3.5*130+50*4</f>
        <v>655</v>
      </c>
      <c r="J159" s="828" t="s">
        <v>5297</v>
      </c>
      <c r="K159" s="828" t="s">
        <v>140</v>
      </c>
      <c r="L159" s="868" t="s">
        <v>17</v>
      </c>
    </row>
    <row r="160" spans="1:12" ht="40.4" customHeight="1" x14ac:dyDescent="0.35">
      <c r="A160" s="2081">
        <v>43796</v>
      </c>
      <c r="B160" s="2015" t="s">
        <v>5287</v>
      </c>
      <c r="C160" s="7" t="s">
        <v>5361</v>
      </c>
      <c r="D160" s="2082">
        <v>43799</v>
      </c>
      <c r="E160" s="2083" t="s">
        <v>4478</v>
      </c>
      <c r="F160" s="836">
        <v>0.41666666666666669</v>
      </c>
      <c r="G160" s="836">
        <v>0.625</v>
      </c>
      <c r="H160" s="836">
        <v>0.625</v>
      </c>
      <c r="I160" s="2006">
        <v>350</v>
      </c>
      <c r="J160" s="7" t="s">
        <v>5288</v>
      </c>
      <c r="K160" s="7" t="s">
        <v>140</v>
      </c>
      <c r="L160" s="7" t="s">
        <v>17</v>
      </c>
    </row>
    <row r="161" spans="1:12" ht="40.4" customHeight="1" x14ac:dyDescent="0.35">
      <c r="A161" s="1882">
        <v>43796</v>
      </c>
      <c r="B161" s="1820" t="s">
        <v>5309</v>
      </c>
      <c r="C161" s="2054" t="s">
        <v>5310</v>
      </c>
      <c r="D161" s="1825">
        <v>43799</v>
      </c>
      <c r="E161" s="2047" t="s">
        <v>19</v>
      </c>
      <c r="F161" s="2061">
        <v>0.45833333333333331</v>
      </c>
      <c r="G161" s="2061">
        <v>0.45833333333333331</v>
      </c>
      <c r="H161" s="2061">
        <v>0.45833333333333331</v>
      </c>
      <c r="I161" s="1819">
        <v>460</v>
      </c>
      <c r="J161" s="2060" t="s">
        <v>5313</v>
      </c>
      <c r="K161" s="2060" t="s">
        <v>15</v>
      </c>
      <c r="L161" s="2060" t="s">
        <v>17</v>
      </c>
    </row>
    <row r="162" spans="1:12" ht="62.9" customHeight="1" x14ac:dyDescent="0.35">
      <c r="A162" s="2086">
        <v>43798</v>
      </c>
      <c r="B162" s="2090" t="s">
        <v>5362</v>
      </c>
      <c r="C162" s="2054" t="s">
        <v>5363</v>
      </c>
      <c r="D162" s="2087">
        <v>43799</v>
      </c>
      <c r="E162" s="2047" t="s">
        <v>19</v>
      </c>
      <c r="F162" s="2061">
        <v>0.5</v>
      </c>
      <c r="G162" s="2061">
        <v>0.5</v>
      </c>
      <c r="H162" s="2061">
        <v>0.5</v>
      </c>
      <c r="I162" s="2091">
        <v>180</v>
      </c>
      <c r="J162" s="2060" t="s">
        <v>257</v>
      </c>
      <c r="K162" s="2060" t="s">
        <v>15</v>
      </c>
      <c r="L162" s="2060" t="s">
        <v>17</v>
      </c>
    </row>
    <row r="163" spans="1:12" ht="89.15" customHeight="1" x14ac:dyDescent="0.35">
      <c r="A163" s="2086">
        <v>43798</v>
      </c>
      <c r="B163" s="2090" t="s">
        <v>5347</v>
      </c>
      <c r="C163" s="5" t="s">
        <v>5348</v>
      </c>
      <c r="D163" s="2087">
        <v>43799</v>
      </c>
      <c r="E163" s="2088" t="s">
        <v>3983</v>
      </c>
      <c r="F163" s="6">
        <v>0.54166666666666663</v>
      </c>
      <c r="G163" s="6">
        <v>0.54166666666666663</v>
      </c>
      <c r="H163" s="6">
        <v>0.54166666666666663</v>
      </c>
      <c r="I163" s="2091">
        <v>135</v>
      </c>
      <c r="J163" s="6" t="s">
        <v>45</v>
      </c>
      <c r="K163" s="6" t="s">
        <v>15</v>
      </c>
      <c r="L163" s="5" t="s">
        <v>17</v>
      </c>
    </row>
    <row r="164" spans="1:12" ht="78.650000000000006" customHeight="1" x14ac:dyDescent="0.35">
      <c r="A164" s="2081">
        <v>43795</v>
      </c>
      <c r="B164" s="2015" t="s">
        <v>5317</v>
      </c>
      <c r="C164" s="7" t="s">
        <v>5318</v>
      </c>
      <c r="D164" s="2082">
        <v>43799</v>
      </c>
      <c r="E164" s="2083" t="s">
        <v>5319</v>
      </c>
      <c r="F164" s="2076">
        <v>0.54166666666666663</v>
      </c>
      <c r="G164" s="2076">
        <v>0.5625</v>
      </c>
      <c r="H164" s="2076">
        <v>0.5625</v>
      </c>
      <c r="I164" s="2006" t="s">
        <v>5321</v>
      </c>
      <c r="J164" s="7" t="s">
        <v>5320</v>
      </c>
      <c r="K164" s="7" t="s">
        <v>22</v>
      </c>
      <c r="L164" s="7" t="s">
        <v>22</v>
      </c>
    </row>
    <row r="165" spans="1:12" ht="53.15" customHeight="1" x14ac:dyDescent="0.35">
      <c r="A165" s="2081">
        <v>43795</v>
      </c>
      <c r="B165" s="2015" t="s">
        <v>5317</v>
      </c>
      <c r="C165" s="7" t="s">
        <v>5322</v>
      </c>
      <c r="D165" s="2082">
        <v>43799</v>
      </c>
      <c r="E165" s="2083" t="s">
        <v>5323</v>
      </c>
      <c r="F165" s="2076">
        <v>0.54166666666666663</v>
      </c>
      <c r="G165" s="2076">
        <v>0.58333333333333337</v>
      </c>
      <c r="H165" s="2076">
        <v>0.58333333333333337</v>
      </c>
      <c r="I165" s="2006">
        <v>420</v>
      </c>
      <c r="J165" s="7" t="s">
        <v>5324</v>
      </c>
      <c r="K165" s="7" t="s">
        <v>22</v>
      </c>
      <c r="L165" s="7" t="s">
        <v>22</v>
      </c>
    </row>
    <row r="166" spans="1:12" ht="29" x14ac:dyDescent="0.35">
      <c r="A166" s="2086">
        <v>43798</v>
      </c>
      <c r="B166" s="2090" t="s">
        <v>5358</v>
      </c>
      <c r="C166" s="5" t="s">
        <v>5359</v>
      </c>
      <c r="D166" s="2087">
        <v>43799</v>
      </c>
      <c r="E166" s="2088" t="s">
        <v>115</v>
      </c>
      <c r="F166" s="6">
        <v>0.625</v>
      </c>
      <c r="G166" s="6">
        <v>0.625</v>
      </c>
      <c r="H166" s="6">
        <v>0.625</v>
      </c>
      <c r="I166" s="2091">
        <v>135</v>
      </c>
      <c r="J166" s="6" t="s">
        <v>5360</v>
      </c>
      <c r="K166" s="6" t="s">
        <v>15</v>
      </c>
      <c r="L166" s="5" t="s">
        <v>17</v>
      </c>
    </row>
    <row r="167" spans="1:12" ht="58" x14ac:dyDescent="0.35">
      <c r="A167" s="1952">
        <v>43791</v>
      </c>
      <c r="B167" s="1953" t="s">
        <v>5238</v>
      </c>
      <c r="C167" s="10" t="s">
        <v>5239</v>
      </c>
      <c r="D167" s="1954">
        <v>43799</v>
      </c>
      <c r="E167" s="1955" t="s">
        <v>5240</v>
      </c>
      <c r="F167" s="12">
        <v>0.79166666666666663</v>
      </c>
      <c r="G167" s="12">
        <v>0.8125</v>
      </c>
      <c r="H167" s="12">
        <v>0.83333333333333337</v>
      </c>
      <c r="I167" s="2093">
        <f>3.5*120</f>
        <v>420</v>
      </c>
      <c r="J167" s="7" t="s">
        <v>5241</v>
      </c>
      <c r="K167" s="7" t="s">
        <v>140</v>
      </c>
      <c r="L167" s="7" t="s">
        <v>17</v>
      </c>
    </row>
    <row r="168" spans="1:12" ht="189" customHeight="1" x14ac:dyDescent="0.35">
      <c r="A168" s="1979">
        <v>43791</v>
      </c>
      <c r="B168" s="1934" t="s">
        <v>20</v>
      </c>
      <c r="C168" s="7" t="s">
        <v>5237</v>
      </c>
      <c r="D168" s="1980">
        <v>43799</v>
      </c>
      <c r="E168" s="1935" t="s">
        <v>20</v>
      </c>
      <c r="F168" s="7" t="s">
        <v>15</v>
      </c>
      <c r="G168" s="7" t="s">
        <v>15</v>
      </c>
      <c r="H168" s="7" t="s">
        <v>15</v>
      </c>
      <c r="I168" s="1936">
        <v>0</v>
      </c>
      <c r="J168" s="7" t="s">
        <v>15</v>
      </c>
      <c r="K168" s="7" t="s">
        <v>15</v>
      </c>
      <c r="L168" s="7" t="s">
        <v>17</v>
      </c>
    </row>
    <row r="169" spans="1:12" ht="116" x14ac:dyDescent="0.35">
      <c r="A169" s="2052">
        <v>43796</v>
      </c>
      <c r="B169" s="2053" t="s">
        <v>5295</v>
      </c>
      <c r="C169" s="2054" t="s">
        <v>5300</v>
      </c>
      <c r="D169" s="2055">
        <v>43800</v>
      </c>
      <c r="E169" s="2056" t="s">
        <v>5301</v>
      </c>
      <c r="F169" s="2054" t="s">
        <v>15</v>
      </c>
      <c r="G169" s="2057">
        <v>0.58333333333333337</v>
      </c>
      <c r="H169" s="2057">
        <v>0.58333333333333337</v>
      </c>
      <c r="I169" s="2058">
        <f>3.5*120</f>
        <v>420</v>
      </c>
      <c r="J169" s="2054" t="s">
        <v>5366</v>
      </c>
      <c r="K169" s="2054" t="s">
        <v>140</v>
      </c>
      <c r="L169" s="2054" t="s">
        <v>17</v>
      </c>
    </row>
    <row r="170" spans="1:12" ht="43.5" x14ac:dyDescent="0.35">
      <c r="A170" s="1882">
        <v>43796</v>
      </c>
      <c r="B170" s="1820" t="s">
        <v>5309</v>
      </c>
      <c r="C170" s="2054" t="s">
        <v>5311</v>
      </c>
      <c r="D170" s="1825">
        <v>43800</v>
      </c>
      <c r="E170" s="2047" t="s">
        <v>5312</v>
      </c>
      <c r="F170" s="2061">
        <v>0.47916666666666669</v>
      </c>
      <c r="G170" s="2061">
        <v>0.5</v>
      </c>
      <c r="H170" s="2061">
        <v>0.52083333333333337</v>
      </c>
      <c r="I170" s="1819">
        <v>0</v>
      </c>
      <c r="J170" s="2060" t="s">
        <v>5314</v>
      </c>
      <c r="K170" s="2060" t="s">
        <v>140</v>
      </c>
      <c r="L170" s="2060" t="s">
        <v>17</v>
      </c>
    </row>
    <row r="171" spans="1:12" ht="100.4" customHeight="1" x14ac:dyDescent="0.35">
      <c r="A171" s="2081">
        <v>43797</v>
      </c>
      <c r="B171" s="2015" t="s">
        <v>5333</v>
      </c>
      <c r="C171" s="7" t="s">
        <v>5334</v>
      </c>
      <c r="D171" s="2082">
        <v>43801</v>
      </c>
      <c r="E171" s="2083" t="s">
        <v>5335</v>
      </c>
      <c r="F171" s="836">
        <v>0.45833333333333331</v>
      </c>
      <c r="G171" s="1840">
        <v>0.5</v>
      </c>
      <c r="H171" s="1840">
        <v>0.5</v>
      </c>
      <c r="I171" s="2006">
        <v>0</v>
      </c>
      <c r="J171" s="7" t="s">
        <v>289</v>
      </c>
      <c r="K171" s="7" t="s">
        <v>15</v>
      </c>
      <c r="L171" s="7" t="s">
        <v>17</v>
      </c>
    </row>
    <row r="172" spans="1:12" ht="58" x14ac:dyDescent="0.35">
      <c r="A172" s="2081">
        <v>43797</v>
      </c>
      <c r="B172" s="1820" t="s">
        <v>5340</v>
      </c>
      <c r="C172" s="2054" t="s">
        <v>5341</v>
      </c>
      <c r="D172" s="2082">
        <v>43801</v>
      </c>
      <c r="E172" s="2083" t="s">
        <v>5342</v>
      </c>
      <c r="F172" s="2061"/>
      <c r="G172" s="2118">
        <v>0.54166666666666663</v>
      </c>
      <c r="H172" s="2118">
        <v>0.625</v>
      </c>
      <c r="I172" s="2084">
        <v>298</v>
      </c>
      <c r="J172" s="2085" t="s">
        <v>648</v>
      </c>
      <c r="K172" s="2060"/>
      <c r="L172" s="2060" t="s">
        <v>22</v>
      </c>
    </row>
    <row r="173" spans="1:12" ht="67.400000000000006" customHeight="1" x14ac:dyDescent="0.35">
      <c r="A173" s="2081">
        <v>43796</v>
      </c>
      <c r="B173" s="2015" t="s">
        <v>5284</v>
      </c>
      <c r="C173" s="7" t="s">
        <v>5286</v>
      </c>
      <c r="D173" s="2082">
        <v>43802</v>
      </c>
      <c r="E173" s="2083" t="s">
        <v>5285</v>
      </c>
      <c r="F173" s="7" t="s">
        <v>15</v>
      </c>
      <c r="G173" s="902">
        <v>0.5</v>
      </c>
      <c r="H173" s="902">
        <v>0.5</v>
      </c>
      <c r="I173" s="2006">
        <v>150</v>
      </c>
      <c r="J173" s="7" t="s">
        <v>3721</v>
      </c>
      <c r="K173" s="7" t="s">
        <v>15</v>
      </c>
      <c r="L173" s="7" t="s">
        <v>17</v>
      </c>
    </row>
    <row r="174" spans="1:12" ht="43.5" x14ac:dyDescent="0.35">
      <c r="A174" s="1979">
        <v>43791</v>
      </c>
      <c r="B174" s="1934" t="s">
        <v>5234</v>
      </c>
      <c r="C174" s="7" t="s">
        <v>5235</v>
      </c>
      <c r="D174" s="1980">
        <v>43802</v>
      </c>
      <c r="E174" s="1935" t="s">
        <v>262</v>
      </c>
      <c r="F174" s="7" t="s">
        <v>15</v>
      </c>
      <c r="G174" s="902" t="s">
        <v>49</v>
      </c>
      <c r="H174" s="902" t="s">
        <v>49</v>
      </c>
      <c r="I174" s="1936">
        <f>8*65</f>
        <v>520</v>
      </c>
      <c r="J174" s="7" t="s">
        <v>5236</v>
      </c>
      <c r="K174" s="7" t="s">
        <v>15</v>
      </c>
      <c r="L174" s="7" t="s">
        <v>17</v>
      </c>
    </row>
    <row r="175" spans="1:12" ht="261" x14ac:dyDescent="0.35">
      <c r="A175" s="2081">
        <v>43796</v>
      </c>
      <c r="B175" s="2015" t="s">
        <v>889</v>
      </c>
      <c r="C175" s="7" t="s">
        <v>5289</v>
      </c>
      <c r="D175" s="2082">
        <v>43803</v>
      </c>
      <c r="E175" s="2049" t="s">
        <v>5290</v>
      </c>
      <c r="F175" s="7" t="s">
        <v>15</v>
      </c>
      <c r="G175" s="2107" t="s">
        <v>5290</v>
      </c>
      <c r="H175" s="2107" t="s">
        <v>5290</v>
      </c>
      <c r="I175" s="2006">
        <f>20*150</f>
        <v>3000</v>
      </c>
      <c r="J175" s="7" t="s">
        <v>5291</v>
      </c>
      <c r="K175" s="7" t="s">
        <v>15</v>
      </c>
      <c r="L175" s="7" t="s">
        <v>17</v>
      </c>
    </row>
    <row r="176" spans="1:12" x14ac:dyDescent="0.35">
      <c r="A176" s="1882">
        <v>43793</v>
      </c>
      <c r="B176" s="1820" t="s">
        <v>20</v>
      </c>
      <c r="C176" s="5" t="s">
        <v>5252</v>
      </c>
      <c r="D176" s="1825">
        <v>43803</v>
      </c>
      <c r="E176" s="2047" t="s">
        <v>20</v>
      </c>
      <c r="F176" s="6" t="s">
        <v>15</v>
      </c>
      <c r="G176" s="6" t="s">
        <v>15</v>
      </c>
      <c r="H176" s="6" t="s">
        <v>15</v>
      </c>
      <c r="I176" s="1819">
        <v>0</v>
      </c>
      <c r="J176" s="6" t="s">
        <v>15</v>
      </c>
      <c r="K176" s="6" t="s">
        <v>15</v>
      </c>
      <c r="L176" s="5" t="s">
        <v>17</v>
      </c>
    </row>
    <row r="177" spans="1:12" ht="87" x14ac:dyDescent="0.35">
      <c r="A177" s="2008">
        <v>43797</v>
      </c>
      <c r="B177" s="2009" t="s">
        <v>5330</v>
      </c>
      <c r="C177" s="7" t="s">
        <v>5331</v>
      </c>
      <c r="D177" s="2008">
        <v>43805</v>
      </c>
      <c r="E177" s="2010" t="s">
        <v>5332</v>
      </c>
      <c r="F177" s="836" t="s">
        <v>15</v>
      </c>
      <c r="G177" s="836">
        <v>0.41666666666666669</v>
      </c>
      <c r="H177" s="836">
        <v>0.45833333333333331</v>
      </c>
      <c r="I177" s="2011">
        <f>0.7*(90+4*15)</f>
        <v>105</v>
      </c>
      <c r="J177" s="836" t="s">
        <v>2043</v>
      </c>
      <c r="K177" s="836" t="s">
        <v>2507</v>
      </c>
      <c r="L177" s="836" t="s">
        <v>17</v>
      </c>
    </row>
    <row r="178" spans="1:12" ht="43.5" x14ac:dyDescent="0.35">
      <c r="A178" s="1834">
        <v>43793</v>
      </c>
      <c r="B178" s="1821" t="s">
        <v>5249</v>
      </c>
      <c r="C178" s="10" t="s">
        <v>5250</v>
      </c>
      <c r="D178" s="1829">
        <v>43806</v>
      </c>
      <c r="E178" s="1907" t="s">
        <v>5251</v>
      </c>
      <c r="F178" s="12" t="s">
        <v>15</v>
      </c>
      <c r="G178" s="12">
        <v>0.72916666666666663</v>
      </c>
      <c r="H178" s="12">
        <v>0.72916666666666663</v>
      </c>
      <c r="I178" s="1819">
        <f>4*130</f>
        <v>520</v>
      </c>
      <c r="J178" s="5" t="s">
        <v>257</v>
      </c>
      <c r="K178" s="5" t="s">
        <v>15</v>
      </c>
      <c r="L178" s="5" t="s">
        <v>17</v>
      </c>
    </row>
    <row r="179" spans="1:12" ht="174" x14ac:dyDescent="0.35">
      <c r="A179" s="2086">
        <v>43797</v>
      </c>
      <c r="B179" s="1820" t="s">
        <v>667</v>
      </c>
      <c r="C179" s="7" t="s">
        <v>5345</v>
      </c>
      <c r="D179" s="2087">
        <v>43813</v>
      </c>
      <c r="E179" s="2088" t="s">
        <v>5344</v>
      </c>
      <c r="F179" s="12"/>
      <c r="G179" s="12">
        <v>0.6875</v>
      </c>
      <c r="H179" s="12">
        <v>0.6875</v>
      </c>
      <c r="I179" s="2089">
        <v>704.7</v>
      </c>
      <c r="J179" s="1390" t="s">
        <v>5346</v>
      </c>
      <c r="K179" s="5"/>
      <c r="L179" s="5"/>
    </row>
    <row r="180" spans="1:12" ht="58" x14ac:dyDescent="0.35">
      <c r="A180" s="2081">
        <v>43795</v>
      </c>
      <c r="B180" s="1820" t="s">
        <v>3647</v>
      </c>
      <c r="C180" s="1090" t="s">
        <v>5282</v>
      </c>
      <c r="D180" s="2048">
        <v>43823</v>
      </c>
      <c r="E180" s="2049" t="s">
        <v>5325</v>
      </c>
      <c r="F180" s="1927"/>
      <c r="G180" s="1927"/>
      <c r="H180" s="1927"/>
      <c r="I180" s="2050"/>
      <c r="J180" s="1090"/>
      <c r="K180" s="1090"/>
      <c r="L180" s="1090" t="s">
        <v>22</v>
      </c>
    </row>
    <row r="181" spans="1:12" ht="145" x14ac:dyDescent="0.35">
      <c r="A181" s="1838">
        <v>43669</v>
      </c>
      <c r="B181" s="1012" t="s">
        <v>52</v>
      </c>
      <c r="C181" s="7" t="s">
        <v>13</v>
      </c>
      <c r="D181" s="1839">
        <v>43824</v>
      </c>
      <c r="E181" s="1012" t="s">
        <v>19</v>
      </c>
      <c r="F181" s="7" t="s">
        <v>15</v>
      </c>
      <c r="G181" s="7" t="s">
        <v>49</v>
      </c>
      <c r="H181" s="7" t="s">
        <v>49</v>
      </c>
      <c r="I181" s="1841">
        <v>0</v>
      </c>
      <c r="J181" s="7" t="s">
        <v>16</v>
      </c>
      <c r="K181" s="7" t="s">
        <v>15</v>
      </c>
      <c r="L181" s="7" t="s">
        <v>17</v>
      </c>
    </row>
    <row r="182" spans="1:12" ht="29" x14ac:dyDescent="0.35">
      <c r="A182" s="2077">
        <v>43797</v>
      </c>
      <c r="B182" s="1012" t="s">
        <v>501</v>
      </c>
      <c r="C182" s="1090" t="s">
        <v>5339</v>
      </c>
      <c r="D182" s="2078">
        <v>43830</v>
      </c>
      <c r="E182" s="2079" t="s">
        <v>49</v>
      </c>
      <c r="F182" s="1927"/>
      <c r="G182" s="1927"/>
      <c r="H182" s="1927"/>
      <c r="I182" s="2080"/>
      <c r="J182" s="1090"/>
      <c r="K182" s="1090"/>
      <c r="L182" s="1090" t="s">
        <v>974</v>
      </c>
    </row>
    <row r="183" spans="1:12" ht="29" x14ac:dyDescent="0.35">
      <c r="A183" s="1899">
        <v>43703</v>
      </c>
      <c r="B183" s="7" t="s">
        <v>3889</v>
      </c>
      <c r="C183" s="7" t="s">
        <v>3884</v>
      </c>
      <c r="D183" s="1899">
        <v>43883</v>
      </c>
      <c r="E183" s="881" t="s">
        <v>49</v>
      </c>
      <c r="F183" s="7" t="s">
        <v>15</v>
      </c>
      <c r="G183" s="7" t="s">
        <v>49</v>
      </c>
      <c r="H183" s="7" t="s">
        <v>49</v>
      </c>
      <c r="I183" s="1100" t="s">
        <v>49</v>
      </c>
      <c r="J183" s="7" t="s">
        <v>49</v>
      </c>
      <c r="K183" s="7" t="s">
        <v>15</v>
      </c>
      <c r="L183" s="7" t="s">
        <v>17</v>
      </c>
    </row>
  </sheetData>
  <conditionalFormatting sqref="B1:L1">
    <cfRule type="cellIs" dxfId="1707" priority="5" operator="equal">
      <formula>TODAY()</formula>
    </cfRule>
    <cfRule type="cellIs" dxfId="1706" priority="6" operator="equal">
      <formula>TODAY()</formula>
    </cfRule>
  </conditionalFormatting>
  <conditionalFormatting sqref="A23:J23 L23">
    <cfRule type="cellIs" dxfId="1705" priority="3" operator="equal">
      <formula>TODAY()</formula>
    </cfRule>
    <cfRule type="cellIs" dxfId="1704" priority="4" operator="equal">
      <formula>TODAY()</formula>
    </cfRule>
  </conditionalFormatting>
  <conditionalFormatting sqref="A129:C129 E129:L129">
    <cfRule type="cellIs" dxfId="1703" priority="1" operator="equal">
      <formula>TODAY()</formula>
    </cfRule>
    <cfRule type="cellIs" dxfId="1702" priority="2" operator="equal">
      <formula>TODAY()</formula>
    </cfRule>
  </conditionalFormatting>
  <printOptions horizontalCentered="1" verticalCentered="1"/>
  <pageMargins left="0" right="0" top="0" bottom="0" header="0" footer="0"/>
  <pageSetup paperSize="9" scale="1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pageSetUpPr fitToPage="1"/>
  </sheetPr>
  <dimension ref="A1:AC454"/>
  <sheetViews>
    <sheetView topLeftCell="A22" zoomScale="60" zoomScaleNormal="60" zoomScalePageLayoutView="40" workbookViewId="0">
      <selection activeCell="D2" sqref="D2"/>
    </sheetView>
  </sheetViews>
  <sheetFormatPr defaultRowHeight="14.5" x14ac:dyDescent="0.35"/>
  <cols>
    <col min="1" max="1" width="14.453125" customWidth="1"/>
    <col min="2" max="2" width="28.54296875" customWidth="1"/>
    <col min="3" max="3" width="48" style="3" customWidth="1"/>
    <col min="4" max="4" width="13.453125" style="1" customWidth="1"/>
    <col min="5" max="5" width="21.54296875" style="2" customWidth="1"/>
    <col min="6" max="6" width="8.453125" customWidth="1"/>
    <col min="7" max="7" width="7.453125" customWidth="1"/>
    <col min="8" max="8" width="7.54296875" customWidth="1"/>
    <col min="9" max="9" width="15.54296875" customWidth="1"/>
    <col min="10" max="10" width="24.453125" customWidth="1"/>
    <col min="11" max="11" width="11.453125" customWidth="1"/>
    <col min="12" max="12" width="17.453125" customWidth="1"/>
    <col min="15" max="15" width="11.453125" bestFit="1" customWidth="1"/>
    <col min="17" max="17" width="22.453125" customWidth="1"/>
    <col min="18" max="18" width="16.453125" customWidth="1"/>
    <col min="19" max="19" width="22.08984375" customWidth="1"/>
    <col min="21" max="21" width="10.453125" customWidth="1"/>
  </cols>
  <sheetData>
    <row r="1" spans="1:15" ht="29" x14ac:dyDescent="0.35">
      <c r="A1" s="810" t="s">
        <v>6398</v>
      </c>
      <c r="B1" s="811" t="s">
        <v>1</v>
      </c>
      <c r="C1" s="812" t="s">
        <v>2</v>
      </c>
      <c r="D1" s="813" t="s">
        <v>3</v>
      </c>
      <c r="E1" s="814" t="s">
        <v>110</v>
      </c>
      <c r="F1" s="814" t="s">
        <v>5</v>
      </c>
      <c r="G1" s="812" t="s">
        <v>6</v>
      </c>
      <c r="H1" s="812" t="s">
        <v>7</v>
      </c>
      <c r="I1" s="812" t="s">
        <v>8</v>
      </c>
      <c r="J1" s="812" t="s">
        <v>9</v>
      </c>
      <c r="K1" s="812" t="s">
        <v>10</v>
      </c>
      <c r="L1" s="815" t="s">
        <v>11</v>
      </c>
    </row>
    <row r="2" spans="1:15" s="1592" customFormat="1" ht="237.65" customHeight="1" x14ac:dyDescent="0.35">
      <c r="A2" s="1202">
        <v>43717</v>
      </c>
      <c r="B2" s="10" t="s">
        <v>3800</v>
      </c>
      <c r="C2" s="10" t="s">
        <v>4167</v>
      </c>
      <c r="D2" s="1196">
        <v>43739</v>
      </c>
      <c r="E2" s="823" t="s">
        <v>210</v>
      </c>
      <c r="F2" s="1197">
        <v>0.54166666666666663</v>
      </c>
      <c r="G2" s="1197">
        <v>0.54166666666666663</v>
      </c>
      <c r="H2" s="1197">
        <v>0.54166666666666663</v>
      </c>
      <c r="I2" s="1100">
        <v>350</v>
      </c>
      <c r="J2" s="826" t="s">
        <v>257</v>
      </c>
      <c r="K2" s="5" t="s">
        <v>119</v>
      </c>
      <c r="L2" s="807" t="s">
        <v>22</v>
      </c>
      <c r="O2" s="1">
        <f>SUM(I1:I188)/4.751</f>
        <v>19348.878130919802</v>
      </c>
    </row>
    <row r="3" spans="1:15" ht="43.5" customHeight="1" x14ac:dyDescent="0.35">
      <c r="A3" s="1342">
        <v>43735</v>
      </c>
      <c r="B3" s="7" t="s">
        <v>4487</v>
      </c>
      <c r="C3" s="7" t="s">
        <v>4445</v>
      </c>
      <c r="D3" s="1343">
        <v>43739</v>
      </c>
      <c r="E3" s="1344" t="s">
        <v>4444</v>
      </c>
      <c r="F3" s="1345">
        <v>0.45833333333333331</v>
      </c>
      <c r="G3" s="1345">
        <v>0.47916666666666669</v>
      </c>
      <c r="H3" s="1345">
        <v>0.47916666666666669</v>
      </c>
      <c r="I3" s="1618">
        <v>0</v>
      </c>
      <c r="J3" s="1200" t="s">
        <v>15</v>
      </c>
      <c r="K3" s="5" t="s">
        <v>119</v>
      </c>
      <c r="L3" s="809" t="s">
        <v>22</v>
      </c>
    </row>
    <row r="4" spans="1:15" ht="43.5" customHeight="1" x14ac:dyDescent="0.35">
      <c r="A4" s="1342">
        <v>43735</v>
      </c>
      <c r="B4" s="7" t="s">
        <v>4488</v>
      </c>
      <c r="C4" s="7" t="s">
        <v>4446</v>
      </c>
      <c r="D4" s="1343">
        <v>43739</v>
      </c>
      <c r="E4" s="1344" t="s">
        <v>4443</v>
      </c>
      <c r="F4" s="1345">
        <v>0.45833333333333331</v>
      </c>
      <c r="G4" s="1345">
        <v>0.5</v>
      </c>
      <c r="H4" s="1345">
        <v>0.5</v>
      </c>
      <c r="I4" s="1618">
        <v>0</v>
      </c>
      <c r="J4" s="1200" t="s">
        <v>15</v>
      </c>
      <c r="K4" s="5" t="s">
        <v>119</v>
      </c>
      <c r="L4" s="809" t="s">
        <v>22</v>
      </c>
    </row>
    <row r="5" spans="1:15" ht="58.4" customHeight="1" x14ac:dyDescent="0.35">
      <c r="A5" s="1335">
        <v>43737</v>
      </c>
      <c r="B5" s="1329" t="s">
        <v>25</v>
      </c>
      <c r="C5" s="1329" t="s">
        <v>4477</v>
      </c>
      <c r="D5" s="1330">
        <v>43739</v>
      </c>
      <c r="E5" s="872" t="s">
        <v>4478</v>
      </c>
      <c r="F5" s="1334">
        <v>0.45833333333333331</v>
      </c>
      <c r="G5" s="1334">
        <v>0.54166666666666663</v>
      </c>
      <c r="H5" s="1334">
        <v>0.54166666666666663</v>
      </c>
      <c r="I5" s="1619">
        <v>0</v>
      </c>
      <c r="J5" s="1329" t="s">
        <v>16</v>
      </c>
      <c r="K5" s="5" t="s">
        <v>119</v>
      </c>
      <c r="L5" s="1333" t="s">
        <v>17</v>
      </c>
    </row>
    <row r="6" spans="1:15" ht="14.9" customHeight="1" x14ac:dyDescent="0.35">
      <c r="A6" s="1335">
        <v>43737</v>
      </c>
      <c r="B6" s="1329" t="s">
        <v>4483</v>
      </c>
      <c r="C6" s="1329" t="s">
        <v>4486</v>
      </c>
      <c r="D6" s="1330">
        <v>43739</v>
      </c>
      <c r="E6" s="1331" t="s">
        <v>576</v>
      </c>
      <c r="F6" s="1334">
        <v>0.45833333333333331</v>
      </c>
      <c r="G6" s="1334">
        <v>0.58333333333333337</v>
      </c>
      <c r="H6" s="1334">
        <v>0.58333333333333337</v>
      </c>
      <c r="I6" s="1619">
        <v>0</v>
      </c>
      <c r="J6" s="1329" t="s">
        <v>4285</v>
      </c>
      <c r="K6" s="5" t="s">
        <v>15</v>
      </c>
      <c r="L6" s="1333" t="s">
        <v>17</v>
      </c>
    </row>
    <row r="7" spans="1:15" ht="101.9" customHeight="1" x14ac:dyDescent="0.35">
      <c r="A7" s="1338">
        <v>43734</v>
      </c>
      <c r="B7" s="10" t="s">
        <v>4428</v>
      </c>
      <c r="C7" s="1390" t="s">
        <v>4429</v>
      </c>
      <c r="D7" s="1340">
        <v>43740</v>
      </c>
      <c r="E7" s="823" t="s">
        <v>229</v>
      </c>
      <c r="F7" s="1341">
        <v>0.66666666666666663</v>
      </c>
      <c r="G7" s="1341">
        <v>0.66666666666666663</v>
      </c>
      <c r="H7" s="1341">
        <v>0.66666666666666663</v>
      </c>
      <c r="I7" s="1618">
        <v>0</v>
      </c>
      <c r="J7" s="5" t="s">
        <v>15</v>
      </c>
      <c r="K7" s="1324"/>
      <c r="L7" s="807" t="s">
        <v>22</v>
      </c>
    </row>
    <row r="8" spans="1:15" ht="29.15" customHeight="1" x14ac:dyDescent="0.35">
      <c r="A8" s="1397">
        <v>43739</v>
      </c>
      <c r="B8" s="1392" t="s">
        <v>20</v>
      </c>
      <c r="C8" s="7" t="s">
        <v>4515</v>
      </c>
      <c r="D8" s="1398">
        <v>43740</v>
      </c>
      <c r="E8" s="1392" t="s">
        <v>20</v>
      </c>
      <c r="F8" s="1392" t="s">
        <v>15</v>
      </c>
      <c r="G8" s="1392" t="s">
        <v>15</v>
      </c>
      <c r="H8" s="1392" t="s">
        <v>15</v>
      </c>
      <c r="I8" s="1618">
        <v>0</v>
      </c>
      <c r="J8" s="1392" t="s">
        <v>20</v>
      </c>
      <c r="K8" s="1392">
        <v>0</v>
      </c>
      <c r="L8" s="839" t="s">
        <v>22</v>
      </c>
    </row>
    <row r="9" spans="1:15" ht="114.65" customHeight="1" x14ac:dyDescent="0.35">
      <c r="A9" s="1391">
        <v>43684</v>
      </c>
      <c r="B9" s="1392" t="s">
        <v>20</v>
      </c>
      <c r="C9" s="1392" t="s">
        <v>4450</v>
      </c>
      <c r="D9" s="1395">
        <v>43741</v>
      </c>
      <c r="E9" s="1392" t="s">
        <v>20</v>
      </c>
      <c r="F9" s="1392" t="s">
        <v>15</v>
      </c>
      <c r="G9" s="1392" t="s">
        <v>15</v>
      </c>
      <c r="H9" s="1392" t="s">
        <v>15</v>
      </c>
      <c r="I9" s="1618">
        <v>0</v>
      </c>
      <c r="J9" s="1392" t="s">
        <v>20</v>
      </c>
      <c r="K9" s="1392">
        <v>0</v>
      </c>
      <c r="L9" s="839" t="s">
        <v>17</v>
      </c>
    </row>
    <row r="10" spans="1:15" ht="14.9" customHeight="1" x14ac:dyDescent="0.35">
      <c r="A10" s="1397">
        <v>43734</v>
      </c>
      <c r="B10" s="1392" t="s">
        <v>20</v>
      </c>
      <c r="C10" s="1324" t="s">
        <v>4499</v>
      </c>
      <c r="D10" s="1398">
        <v>43741</v>
      </c>
      <c r="E10" s="1392" t="s">
        <v>20</v>
      </c>
      <c r="F10" s="1392" t="s">
        <v>15</v>
      </c>
      <c r="G10" s="1392" t="s">
        <v>15</v>
      </c>
      <c r="H10" s="1392" t="s">
        <v>15</v>
      </c>
      <c r="I10" s="1618">
        <v>0</v>
      </c>
      <c r="J10" s="1392" t="s">
        <v>20</v>
      </c>
      <c r="K10" s="1392">
        <v>0</v>
      </c>
      <c r="L10" s="839" t="s">
        <v>22</v>
      </c>
    </row>
    <row r="11" spans="1:15" ht="29.15" customHeight="1" x14ac:dyDescent="0.35">
      <c r="A11" s="1397">
        <v>43737</v>
      </c>
      <c r="B11" s="1324" t="s">
        <v>262</v>
      </c>
      <c r="C11" s="5" t="s">
        <v>4475</v>
      </c>
      <c r="D11" s="1398">
        <v>43741</v>
      </c>
      <c r="E11" s="1327" t="s">
        <v>576</v>
      </c>
      <c r="F11" s="1325">
        <v>0.4375</v>
      </c>
      <c r="G11" s="1325">
        <v>0.45833333333333331</v>
      </c>
      <c r="H11" s="1325">
        <v>0.45833333333333331</v>
      </c>
      <c r="I11" s="1618">
        <f>16.5*65+64*3*4.76</f>
        <v>1986.42</v>
      </c>
      <c r="J11" s="850" t="s">
        <v>4532</v>
      </c>
      <c r="K11" s="5" t="s">
        <v>119</v>
      </c>
      <c r="L11" s="1328" t="s">
        <v>17</v>
      </c>
    </row>
    <row r="12" spans="1:15" ht="174" customHeight="1" x14ac:dyDescent="0.35">
      <c r="A12" s="1397">
        <v>43739</v>
      </c>
      <c r="B12" s="5" t="s">
        <v>4502</v>
      </c>
      <c r="C12" s="5" t="s">
        <v>4516</v>
      </c>
      <c r="D12" s="1398">
        <v>43741</v>
      </c>
      <c r="E12" s="824" t="s">
        <v>4239</v>
      </c>
      <c r="F12" s="1325">
        <v>0.66666666666666663</v>
      </c>
      <c r="G12" s="1325">
        <v>0.72916666666666663</v>
      </c>
      <c r="H12" s="1325">
        <v>0.72916666666666663</v>
      </c>
      <c r="I12" s="1621">
        <v>360</v>
      </c>
      <c r="J12" s="5" t="s">
        <v>369</v>
      </c>
      <c r="K12" s="5" t="s">
        <v>119</v>
      </c>
      <c r="L12" s="807" t="s">
        <v>22</v>
      </c>
    </row>
    <row r="13" spans="1:15" ht="43.5" customHeight="1" x14ac:dyDescent="0.35">
      <c r="A13" s="1453">
        <v>43739</v>
      </c>
      <c r="B13" s="817" t="s">
        <v>20</v>
      </c>
      <c r="C13" s="5" t="s">
        <v>4518</v>
      </c>
      <c r="D13" s="1223">
        <v>43741</v>
      </c>
      <c r="E13" s="817" t="s">
        <v>20</v>
      </c>
      <c r="F13" s="817" t="s">
        <v>15</v>
      </c>
      <c r="G13" s="817" t="s">
        <v>15</v>
      </c>
      <c r="H13" s="817" t="s">
        <v>15</v>
      </c>
      <c r="I13" s="1100">
        <v>0</v>
      </c>
      <c r="J13" s="817" t="s">
        <v>20</v>
      </c>
      <c r="K13" s="817" t="s">
        <v>15</v>
      </c>
      <c r="L13" s="839" t="s">
        <v>17</v>
      </c>
    </row>
    <row r="14" spans="1:15" ht="14.9" customHeight="1" x14ac:dyDescent="0.35">
      <c r="A14" s="1434">
        <v>43740</v>
      </c>
      <c r="B14" s="1435" t="s">
        <v>4525</v>
      </c>
      <c r="C14" s="1435" t="s">
        <v>4526</v>
      </c>
      <c r="D14" s="1436">
        <v>43741</v>
      </c>
      <c r="E14" s="872" t="s">
        <v>4527</v>
      </c>
      <c r="F14" s="1437">
        <v>0.4375</v>
      </c>
      <c r="G14" s="1437">
        <v>0.47916666666666669</v>
      </c>
      <c r="H14" s="1437">
        <v>0.47916666666666669</v>
      </c>
      <c r="I14" s="1624">
        <v>350</v>
      </c>
      <c r="J14" s="1784" t="s">
        <v>4529</v>
      </c>
      <c r="K14" s="1435" t="s">
        <v>119</v>
      </c>
      <c r="L14" s="1438" t="s">
        <v>216</v>
      </c>
    </row>
    <row r="15" spans="1:15" ht="58.4" customHeight="1" x14ac:dyDescent="0.35">
      <c r="A15" s="1439">
        <v>43740</v>
      </c>
      <c r="B15" s="1728" t="s">
        <v>4523</v>
      </c>
      <c r="C15" s="1732" t="s">
        <v>4528</v>
      </c>
      <c r="D15" s="1398">
        <v>43741</v>
      </c>
      <c r="E15" s="1728" t="s">
        <v>4524</v>
      </c>
      <c r="F15" s="1749">
        <v>0.4375</v>
      </c>
      <c r="G15" s="1749">
        <v>0.5</v>
      </c>
      <c r="H15" s="1749">
        <v>0.5</v>
      </c>
      <c r="I15" s="1622" t="s">
        <v>15</v>
      </c>
      <c r="J15" s="1728" t="s">
        <v>4523</v>
      </c>
      <c r="K15" s="1728" t="s">
        <v>119</v>
      </c>
      <c r="L15" s="1776" t="s">
        <v>17</v>
      </c>
    </row>
    <row r="16" spans="1:15" ht="43.5" customHeight="1" x14ac:dyDescent="0.35">
      <c r="A16" s="1391">
        <v>43719</v>
      </c>
      <c r="B16" s="1392" t="s">
        <v>20</v>
      </c>
      <c r="C16" s="1392" t="s">
        <v>4157</v>
      </c>
      <c r="D16" s="1395">
        <v>43742</v>
      </c>
      <c r="E16" s="1392" t="s">
        <v>20</v>
      </c>
      <c r="F16" s="1392" t="s">
        <v>15</v>
      </c>
      <c r="G16" s="1392" t="s">
        <v>15</v>
      </c>
      <c r="H16" s="1392" t="s">
        <v>15</v>
      </c>
      <c r="I16" s="1618">
        <v>0</v>
      </c>
      <c r="J16" s="1392" t="s">
        <v>20</v>
      </c>
      <c r="K16" s="1392" t="s">
        <v>15</v>
      </c>
      <c r="L16" s="1393" t="s">
        <v>17</v>
      </c>
    </row>
    <row r="17" spans="1:21" ht="14.9" customHeight="1" x14ac:dyDescent="0.35">
      <c r="A17" s="1335">
        <v>43719</v>
      </c>
      <c r="B17" s="1336" t="s">
        <v>20</v>
      </c>
      <c r="C17" s="826" t="s">
        <v>4156</v>
      </c>
      <c r="D17" s="1347">
        <v>43742</v>
      </c>
      <c r="E17" s="1336" t="s">
        <v>20</v>
      </c>
      <c r="F17" s="1336" t="s">
        <v>15</v>
      </c>
      <c r="G17" s="1336" t="s">
        <v>15</v>
      </c>
      <c r="H17" s="1336" t="s">
        <v>15</v>
      </c>
      <c r="I17" s="1619">
        <v>0</v>
      </c>
      <c r="J17" s="1336" t="s">
        <v>20</v>
      </c>
      <c r="K17" s="1336" t="s">
        <v>15</v>
      </c>
      <c r="L17" s="1348" t="s">
        <v>17</v>
      </c>
    </row>
    <row r="18" spans="1:21" ht="260.89999999999998" customHeight="1" x14ac:dyDescent="0.35">
      <c r="A18" s="1335">
        <v>43737</v>
      </c>
      <c r="B18" s="1329" t="s">
        <v>262</v>
      </c>
      <c r="C18" s="826" t="s">
        <v>4476</v>
      </c>
      <c r="D18" s="1330">
        <v>43742</v>
      </c>
      <c r="E18" s="872" t="s">
        <v>576</v>
      </c>
      <c r="F18" s="1334">
        <v>0.4375</v>
      </c>
      <c r="G18" s="1334">
        <v>0.45833333333333331</v>
      </c>
      <c r="H18" s="1334">
        <v>0.45833333333333331</v>
      </c>
      <c r="I18" s="1619">
        <f>64*3*4.76</f>
        <v>913.92</v>
      </c>
      <c r="J18" s="915" t="s">
        <v>4533</v>
      </c>
      <c r="K18" s="1329" t="s">
        <v>15</v>
      </c>
      <c r="L18" s="1333" t="s">
        <v>17</v>
      </c>
    </row>
    <row r="19" spans="1:21" ht="104.9" customHeight="1" x14ac:dyDescent="0.35">
      <c r="A19" s="1397">
        <v>43739</v>
      </c>
      <c r="B19" s="5" t="s">
        <v>4507</v>
      </c>
      <c r="C19" s="5" t="s">
        <v>4508</v>
      </c>
      <c r="D19" s="1398">
        <v>43742</v>
      </c>
      <c r="E19" s="824" t="s">
        <v>4552</v>
      </c>
      <c r="F19" s="6">
        <v>0.70833333333333337</v>
      </c>
      <c r="G19" s="1325">
        <v>0.70833333333333337</v>
      </c>
      <c r="H19" s="1325">
        <v>0.75</v>
      </c>
      <c r="I19" s="1623">
        <v>80</v>
      </c>
      <c r="J19" s="915" t="s">
        <v>4590</v>
      </c>
      <c r="K19" s="826" t="s">
        <v>15</v>
      </c>
      <c r="L19" s="807" t="s">
        <v>17</v>
      </c>
    </row>
    <row r="20" spans="1:21" ht="58.4" customHeight="1" x14ac:dyDescent="0.35">
      <c r="A20" s="1439">
        <v>43741</v>
      </c>
      <c r="B20" s="1440" t="s">
        <v>4538</v>
      </c>
      <c r="C20" s="5" t="s">
        <v>4539</v>
      </c>
      <c r="D20" s="1441">
        <v>43742</v>
      </c>
      <c r="E20" s="1442" t="s">
        <v>4540</v>
      </c>
      <c r="F20" s="1443">
        <v>0.4375</v>
      </c>
      <c r="G20" s="1443">
        <v>0.49652777777777773</v>
      </c>
      <c r="H20" s="1443">
        <v>0.49652777777777773</v>
      </c>
      <c r="I20" s="1622">
        <v>0</v>
      </c>
      <c r="J20" s="1440" t="s">
        <v>16</v>
      </c>
      <c r="K20" s="1440" t="s">
        <v>15</v>
      </c>
      <c r="L20" s="1444" t="s">
        <v>17</v>
      </c>
    </row>
    <row r="21" spans="1:21" ht="101.9" customHeight="1" x14ac:dyDescent="0.35">
      <c r="A21" s="1434">
        <v>43741</v>
      </c>
      <c r="B21" s="826" t="s">
        <v>20</v>
      </c>
      <c r="C21" s="826" t="s">
        <v>4534</v>
      </c>
      <c r="D21" s="827">
        <v>43742</v>
      </c>
      <c r="E21" s="872" t="s">
        <v>20</v>
      </c>
      <c r="F21" s="826" t="s">
        <v>15</v>
      </c>
      <c r="G21" s="826" t="s">
        <v>15</v>
      </c>
      <c r="H21" s="826" t="s">
        <v>15</v>
      </c>
      <c r="I21" s="1767" t="s">
        <v>15</v>
      </c>
      <c r="J21" s="826" t="s">
        <v>15</v>
      </c>
      <c r="K21" s="826" t="s">
        <v>15</v>
      </c>
      <c r="L21" s="829" t="s">
        <v>17</v>
      </c>
    </row>
    <row r="22" spans="1:21" ht="29.9" customHeight="1" thickBot="1" x14ac:dyDescent="0.4">
      <c r="A22" s="1447">
        <v>43742</v>
      </c>
      <c r="B22" s="1448" t="s">
        <v>4051</v>
      </c>
      <c r="C22" s="1448" t="s">
        <v>4556</v>
      </c>
      <c r="D22" s="1459">
        <v>43742</v>
      </c>
      <c r="E22" s="1449" t="s">
        <v>290</v>
      </c>
      <c r="F22" s="1474"/>
      <c r="G22" s="1474">
        <v>0.5</v>
      </c>
      <c r="H22" s="1474">
        <v>0.70833333333333337</v>
      </c>
      <c r="I22" s="1625">
        <v>0</v>
      </c>
      <c r="J22" s="1435" t="s">
        <v>16</v>
      </c>
      <c r="K22" s="1435" t="s">
        <v>15</v>
      </c>
      <c r="L22" s="1450" t="s">
        <v>22</v>
      </c>
    </row>
    <row r="23" spans="1:21" ht="58.5" customHeight="1" thickBot="1" x14ac:dyDescent="0.4">
      <c r="A23" s="993">
        <v>43703</v>
      </c>
      <c r="B23" s="819" t="s">
        <v>4549</v>
      </c>
      <c r="C23" s="819" t="s">
        <v>4542</v>
      </c>
      <c r="D23" s="995">
        <v>43743</v>
      </c>
      <c r="E23" s="1446" t="s">
        <v>4522</v>
      </c>
      <c r="F23" s="913">
        <v>0.52083333333333337</v>
      </c>
      <c r="G23" s="913">
        <v>0.625</v>
      </c>
      <c r="H23" s="913">
        <v>0.625</v>
      </c>
      <c r="I23" s="1626">
        <f>750+100*3.5*4.76+120*1</f>
        <v>2536</v>
      </c>
      <c r="J23" s="915" t="s">
        <v>4543</v>
      </c>
      <c r="K23" s="826" t="s">
        <v>140</v>
      </c>
      <c r="L23" s="991" t="s">
        <v>17</v>
      </c>
      <c r="S23" s="1278"/>
      <c r="T23" s="1279"/>
      <c r="U23" s="1279"/>
    </row>
    <row r="24" spans="1:21" ht="334.4" customHeight="1" thickBot="1" x14ac:dyDescent="0.4">
      <c r="A24" s="1399">
        <v>43731</v>
      </c>
      <c r="B24" s="1400" t="s">
        <v>4051</v>
      </c>
      <c r="C24" s="819" t="s">
        <v>4503</v>
      </c>
      <c r="D24" s="1401">
        <v>43743</v>
      </c>
      <c r="E24" s="1400" t="s">
        <v>290</v>
      </c>
      <c r="F24" s="1402">
        <v>0.375</v>
      </c>
      <c r="G24" s="1402">
        <v>0.45833333333333331</v>
      </c>
      <c r="H24" s="1402">
        <v>0.45833333333333331</v>
      </c>
      <c r="I24" s="1619">
        <v>2905</v>
      </c>
      <c r="J24" s="1277" t="s">
        <v>4517</v>
      </c>
      <c r="K24" s="826" t="s">
        <v>140</v>
      </c>
      <c r="L24" s="1348" t="s">
        <v>22</v>
      </c>
      <c r="S24" s="1279"/>
      <c r="T24" s="1280"/>
      <c r="U24" s="1279"/>
    </row>
    <row r="25" spans="1:21" ht="145.5" customHeight="1" thickBot="1" x14ac:dyDescent="0.4">
      <c r="A25" s="1349">
        <v>43734</v>
      </c>
      <c r="B25" s="1350" t="s">
        <v>4500</v>
      </c>
      <c r="C25" s="819" t="s">
        <v>4491</v>
      </c>
      <c r="D25" s="1351">
        <v>43743</v>
      </c>
      <c r="E25" s="867" t="s">
        <v>4430</v>
      </c>
      <c r="F25" s="1385">
        <v>0.4375</v>
      </c>
      <c r="G25" s="1385">
        <v>0.47916666666666669</v>
      </c>
      <c r="H25" s="1385">
        <v>0.47916666666666669</v>
      </c>
      <c r="I25" s="1627">
        <v>750</v>
      </c>
      <c r="J25" s="826" t="s">
        <v>4519</v>
      </c>
      <c r="K25" s="826" t="s">
        <v>17</v>
      </c>
      <c r="L25" s="829" t="s">
        <v>22</v>
      </c>
      <c r="S25" s="1279"/>
      <c r="T25" s="1280"/>
      <c r="U25" s="1279"/>
    </row>
    <row r="26" spans="1:21" ht="87.65" customHeight="1" thickBot="1" x14ac:dyDescent="0.4">
      <c r="A26" s="1397">
        <v>43736</v>
      </c>
      <c r="B26" s="1324" t="s">
        <v>4451</v>
      </c>
      <c r="C26" s="5" t="s">
        <v>4452</v>
      </c>
      <c r="D26" s="1398">
        <v>43743</v>
      </c>
      <c r="E26" s="824" t="s">
        <v>4453</v>
      </c>
      <c r="F26" s="1325">
        <v>0.375</v>
      </c>
      <c r="G26" s="1325">
        <v>0.39583333333333331</v>
      </c>
      <c r="H26" s="1325">
        <v>0.39583333333333331</v>
      </c>
      <c r="I26" s="1623">
        <v>100</v>
      </c>
      <c r="J26" s="850" t="s">
        <v>4531</v>
      </c>
      <c r="K26" s="5" t="s">
        <v>140</v>
      </c>
      <c r="L26" s="1328" t="s">
        <v>17</v>
      </c>
      <c r="S26" s="1279"/>
      <c r="T26" s="1280"/>
      <c r="U26" s="1279"/>
    </row>
    <row r="27" spans="1:21" ht="73.400000000000006" customHeight="1" thickBot="1" x14ac:dyDescent="0.4">
      <c r="A27" s="1349">
        <v>43736</v>
      </c>
      <c r="B27" s="1350" t="s">
        <v>4449</v>
      </c>
      <c r="C27" s="1350" t="s">
        <v>4504</v>
      </c>
      <c r="D27" s="1351">
        <v>43743</v>
      </c>
      <c r="E27" s="1445" t="s">
        <v>576</v>
      </c>
      <c r="F27" s="1385">
        <v>0.375</v>
      </c>
      <c r="G27" s="1385">
        <v>0.41666666666666669</v>
      </c>
      <c r="H27" s="1385">
        <v>0.41666666666666669</v>
      </c>
      <c r="I27" s="1619">
        <f>42.7 *65+750</f>
        <v>3525.5</v>
      </c>
      <c r="J27" s="1337" t="s">
        <v>4505</v>
      </c>
      <c r="K27" s="826" t="s">
        <v>140</v>
      </c>
      <c r="L27" s="1333" t="s">
        <v>17</v>
      </c>
      <c r="S27" s="1279"/>
      <c r="T27" s="1280"/>
      <c r="U27" s="1279"/>
    </row>
    <row r="28" spans="1:21" ht="87.65" customHeight="1" thickBot="1" x14ac:dyDescent="0.4">
      <c r="A28" s="1335">
        <v>43736</v>
      </c>
      <c r="B28" s="826" t="s">
        <v>4569</v>
      </c>
      <c r="C28" s="826" t="s">
        <v>4467</v>
      </c>
      <c r="D28" s="1330">
        <v>43743</v>
      </c>
      <c r="E28" s="1446" t="s">
        <v>4561</v>
      </c>
      <c r="F28" s="1334">
        <v>0.52083333333333337</v>
      </c>
      <c r="G28" s="1334">
        <v>0.59375</v>
      </c>
      <c r="H28" s="1334">
        <v>0.59375</v>
      </c>
      <c r="I28" s="1627">
        <f>45*4*4.76+300</f>
        <v>1156.8</v>
      </c>
      <c r="J28" s="915" t="s">
        <v>4562</v>
      </c>
      <c r="K28" s="826" t="s">
        <v>140</v>
      </c>
      <c r="L28" s="1333" t="s">
        <v>17</v>
      </c>
      <c r="S28" s="1279"/>
      <c r="T28" s="1280"/>
      <c r="U28" s="1279"/>
    </row>
    <row r="29" spans="1:21" ht="174.65" customHeight="1" thickBot="1" x14ac:dyDescent="0.4">
      <c r="A29" s="1403">
        <v>43739</v>
      </c>
      <c r="B29" s="828" t="s">
        <v>4558</v>
      </c>
      <c r="C29" s="828" t="s">
        <v>4530</v>
      </c>
      <c r="D29" s="1404">
        <v>43743</v>
      </c>
      <c r="E29" s="1446" t="s">
        <v>4541</v>
      </c>
      <c r="F29" s="1424">
        <v>0.52083333333333337</v>
      </c>
      <c r="G29" s="1424">
        <v>0.53472222222222221</v>
      </c>
      <c r="H29" s="1424">
        <v>0.53472222222222221</v>
      </c>
      <c r="I29" s="1627">
        <f>3.5*90*4.76</f>
        <v>1499.3999999999999</v>
      </c>
      <c r="J29" s="1337" t="s">
        <v>3874</v>
      </c>
      <c r="K29" s="826" t="s">
        <v>140</v>
      </c>
      <c r="L29" s="1333" t="s">
        <v>17</v>
      </c>
      <c r="S29" s="1278"/>
      <c r="T29" s="1279"/>
      <c r="U29" s="1279"/>
    </row>
    <row r="30" spans="1:21" ht="218.15" customHeight="1" thickBot="1" x14ac:dyDescent="0.4">
      <c r="A30" s="806">
        <v>43739</v>
      </c>
      <c r="B30" s="10" t="s">
        <v>4042</v>
      </c>
      <c r="C30" s="10" t="s">
        <v>4546</v>
      </c>
      <c r="D30" s="8">
        <v>43743</v>
      </c>
      <c r="E30" s="823" t="s">
        <v>129</v>
      </c>
      <c r="F30" s="12">
        <v>0.52083333333333337</v>
      </c>
      <c r="G30" s="12">
        <v>0.5625</v>
      </c>
      <c r="H30" s="12">
        <v>0.5625</v>
      </c>
      <c r="I30" s="1100">
        <f>100*125/1000*65+400</f>
        <v>1212.5</v>
      </c>
      <c r="J30" s="850" t="s">
        <v>247</v>
      </c>
      <c r="K30" s="5" t="s">
        <v>140</v>
      </c>
      <c r="L30" s="807" t="s">
        <v>22</v>
      </c>
      <c r="S30" s="1278"/>
      <c r="T30" s="1279"/>
      <c r="U30" s="1279"/>
    </row>
    <row r="31" spans="1:21" ht="218.15" customHeight="1" thickBot="1" x14ac:dyDescent="0.4">
      <c r="A31" s="1486">
        <v>43741</v>
      </c>
      <c r="B31" s="1487" t="s">
        <v>4535</v>
      </c>
      <c r="C31" s="1487" t="s">
        <v>4536</v>
      </c>
      <c r="D31" s="1488">
        <v>43743</v>
      </c>
      <c r="E31" s="1490" t="s">
        <v>4537</v>
      </c>
      <c r="F31" s="1491">
        <v>0.4375</v>
      </c>
      <c r="G31" s="1491">
        <v>0.52083333333333337</v>
      </c>
      <c r="H31" s="1491">
        <v>0.52083333333333337</v>
      </c>
      <c r="I31" s="1628">
        <f>2*130*0.9</f>
        <v>234</v>
      </c>
      <c r="J31" s="1435" t="s">
        <v>369</v>
      </c>
      <c r="K31" s="826" t="s">
        <v>17</v>
      </c>
      <c r="L31" s="1438" t="s">
        <v>17</v>
      </c>
      <c r="S31" s="1279"/>
      <c r="T31" s="1280"/>
      <c r="U31" s="1279"/>
    </row>
    <row r="32" spans="1:21" ht="153" customHeight="1" thickBot="1" x14ac:dyDescent="0.4">
      <c r="A32" s="825">
        <v>43741</v>
      </c>
      <c r="B32" s="826" t="s">
        <v>4547</v>
      </c>
      <c r="C32" s="826" t="s">
        <v>4555</v>
      </c>
      <c r="D32" s="827">
        <v>43743</v>
      </c>
      <c r="E32" s="919" t="s">
        <v>4553</v>
      </c>
      <c r="F32" s="865">
        <v>0.4375</v>
      </c>
      <c r="G32" s="865">
        <v>0.5625</v>
      </c>
      <c r="H32" s="865">
        <v>0.5625</v>
      </c>
      <c r="I32" s="1626">
        <v>400</v>
      </c>
      <c r="J32" s="915" t="s">
        <v>4554</v>
      </c>
      <c r="K32" s="826" t="s">
        <v>17</v>
      </c>
      <c r="L32" s="829" t="s">
        <v>17</v>
      </c>
      <c r="S32" s="1279"/>
      <c r="T32" s="1280"/>
      <c r="U32" s="1279"/>
    </row>
    <row r="33" spans="1:21" ht="73.400000000000006" customHeight="1" thickBot="1" x14ac:dyDescent="0.4">
      <c r="A33" s="1434">
        <v>43741</v>
      </c>
      <c r="B33" s="826" t="s">
        <v>4557</v>
      </c>
      <c r="C33" s="1435" t="s">
        <v>4544</v>
      </c>
      <c r="D33" s="1436">
        <v>43743</v>
      </c>
      <c r="E33" s="1446" t="s">
        <v>4559</v>
      </c>
      <c r="F33" s="1437">
        <v>0.66666666666666663</v>
      </c>
      <c r="G33" s="865">
        <v>0.70833333333333337</v>
      </c>
      <c r="H33" s="865">
        <v>0.70833333333333337</v>
      </c>
      <c r="I33" s="1791">
        <f>3.5*90*4.76+80*15</f>
        <v>2699.3999999999996</v>
      </c>
      <c r="J33" s="826" t="s">
        <v>4545</v>
      </c>
      <c r="K33" s="826" t="s">
        <v>140</v>
      </c>
      <c r="L33" s="829" t="s">
        <v>17</v>
      </c>
      <c r="S33" s="1279"/>
      <c r="T33" s="1280"/>
      <c r="U33" s="1279"/>
    </row>
    <row r="34" spans="1:21" ht="160.4" customHeight="1" thickBot="1" x14ac:dyDescent="0.4">
      <c r="A34" s="1460">
        <v>43743</v>
      </c>
      <c r="B34" s="1451" t="s">
        <v>4468</v>
      </c>
      <c r="C34" s="1451" t="s">
        <v>4574</v>
      </c>
      <c r="D34" s="1461">
        <v>43743</v>
      </c>
      <c r="E34" s="1454" t="s">
        <v>4468</v>
      </c>
      <c r="F34" s="1452">
        <v>0.4375</v>
      </c>
      <c r="G34" s="1452">
        <v>0.58333333333333337</v>
      </c>
      <c r="H34" s="1452">
        <v>0.58333333333333337</v>
      </c>
      <c r="I34" s="1645">
        <v>186.39</v>
      </c>
      <c r="J34" s="1793" t="s">
        <v>4575</v>
      </c>
      <c r="K34" s="1451" t="s">
        <v>17</v>
      </c>
      <c r="L34" s="1455" t="s">
        <v>17</v>
      </c>
      <c r="S34" s="1279"/>
      <c r="T34" s="1279"/>
      <c r="U34" s="1279"/>
    </row>
    <row r="35" spans="1:21" ht="58.5" customHeight="1" thickBot="1" x14ac:dyDescent="0.4">
      <c r="A35" s="1232">
        <v>43716</v>
      </c>
      <c r="B35" s="1187" t="s">
        <v>4153</v>
      </c>
      <c r="C35" s="1187" t="s">
        <v>4152</v>
      </c>
      <c r="D35" s="1233">
        <v>43744</v>
      </c>
      <c r="E35" s="1789" t="s">
        <v>4102</v>
      </c>
      <c r="F35" s="1191">
        <v>0.5625</v>
      </c>
      <c r="G35" s="1191">
        <v>0.5625</v>
      </c>
      <c r="H35" s="1191">
        <v>0.5625</v>
      </c>
      <c r="I35" s="1792">
        <v>0</v>
      </c>
      <c r="J35" s="1187" t="s">
        <v>16</v>
      </c>
      <c r="K35" s="1187" t="s">
        <v>15</v>
      </c>
      <c r="L35" s="1190" t="s">
        <v>17</v>
      </c>
      <c r="S35" s="1279"/>
      <c r="T35" s="1279"/>
      <c r="U35" s="1279"/>
    </row>
    <row r="36" spans="1:21" ht="102" customHeight="1" thickBot="1" x14ac:dyDescent="0.4">
      <c r="A36" s="1302">
        <v>43730</v>
      </c>
      <c r="B36" s="5" t="s">
        <v>4521</v>
      </c>
      <c r="C36" s="5" t="s">
        <v>4474</v>
      </c>
      <c r="D36" s="1304">
        <v>43744</v>
      </c>
      <c r="E36" s="824" t="s">
        <v>4406</v>
      </c>
      <c r="F36" s="6">
        <v>0.4375</v>
      </c>
      <c r="G36" s="6">
        <v>0.5</v>
      </c>
      <c r="H36" s="6">
        <v>0.54166666666666663</v>
      </c>
      <c r="I36" s="1620">
        <v>192</v>
      </c>
      <c r="J36" s="850" t="s">
        <v>4520</v>
      </c>
      <c r="K36" s="5" t="s">
        <v>15</v>
      </c>
      <c r="L36" s="1292" t="s">
        <v>17</v>
      </c>
      <c r="S36" s="1279"/>
      <c r="T36" s="1281"/>
      <c r="U36" s="1279"/>
    </row>
    <row r="37" spans="1:21" ht="217.5" customHeight="1" x14ac:dyDescent="0.35">
      <c r="A37" s="1453">
        <v>43741</v>
      </c>
      <c r="B37" s="5" t="s">
        <v>4548</v>
      </c>
      <c r="C37" s="5" t="s">
        <v>4550</v>
      </c>
      <c r="D37" s="908">
        <v>43744</v>
      </c>
      <c r="E37" s="824" t="s">
        <v>4579</v>
      </c>
      <c r="F37" s="5" t="s">
        <v>15</v>
      </c>
      <c r="G37" s="6">
        <v>0.60416666666666663</v>
      </c>
      <c r="H37" s="6">
        <v>0.60416666666666663</v>
      </c>
      <c r="I37" s="1630">
        <f>80*3.5*4.76</f>
        <v>1332.8</v>
      </c>
      <c r="J37" s="850" t="s">
        <v>4551</v>
      </c>
      <c r="K37" s="5" t="s">
        <v>15</v>
      </c>
      <c r="L37" s="807" t="s">
        <v>17</v>
      </c>
    </row>
    <row r="38" spans="1:21" ht="58.4" customHeight="1" x14ac:dyDescent="0.35">
      <c r="A38" s="1462">
        <v>43741</v>
      </c>
      <c r="B38" s="1456" t="s">
        <v>4483</v>
      </c>
      <c r="C38" s="1456" t="s">
        <v>4580</v>
      </c>
      <c r="D38" s="1457">
        <v>43744</v>
      </c>
      <c r="E38" s="1463" t="s">
        <v>4581</v>
      </c>
      <c r="F38" s="1456" t="s">
        <v>15</v>
      </c>
      <c r="G38" s="1456" t="s">
        <v>3213</v>
      </c>
      <c r="H38" s="1456" t="s">
        <v>3213</v>
      </c>
      <c r="I38" s="1629">
        <v>0</v>
      </c>
      <c r="J38" s="1456" t="s">
        <v>4285</v>
      </c>
      <c r="K38" s="1456" t="s">
        <v>15</v>
      </c>
      <c r="L38" s="1464" t="s">
        <v>17</v>
      </c>
    </row>
    <row r="39" spans="1:21" ht="58.4" customHeight="1" x14ac:dyDescent="0.35">
      <c r="A39" s="1453">
        <v>43712</v>
      </c>
      <c r="B39" s="5" t="s">
        <v>4573</v>
      </c>
      <c r="C39" s="5" t="s">
        <v>4571</v>
      </c>
      <c r="D39" s="1461">
        <v>43745</v>
      </c>
      <c r="E39" s="824" t="s">
        <v>4570</v>
      </c>
      <c r="F39" s="865">
        <v>0.52083333333333337</v>
      </c>
      <c r="G39" s="1452">
        <v>0.625</v>
      </c>
      <c r="H39" s="1452">
        <v>0.625</v>
      </c>
      <c r="I39" s="1714">
        <v>120</v>
      </c>
      <c r="J39" s="850" t="s">
        <v>4572</v>
      </c>
      <c r="K39" s="5" t="s">
        <v>119</v>
      </c>
      <c r="L39" s="807" t="s">
        <v>22</v>
      </c>
    </row>
    <row r="40" spans="1:21" ht="72.650000000000006" customHeight="1" x14ac:dyDescent="0.35">
      <c r="A40" s="1462">
        <v>43719</v>
      </c>
      <c r="B40" s="1456" t="s">
        <v>4585</v>
      </c>
      <c r="C40" s="1456" t="s">
        <v>1048</v>
      </c>
      <c r="D40" s="1457">
        <v>43745</v>
      </c>
      <c r="E40" s="1463" t="s">
        <v>4586</v>
      </c>
      <c r="F40" s="1458">
        <v>0.52083333333333337</v>
      </c>
      <c r="G40" s="1458">
        <v>0.59375</v>
      </c>
      <c r="H40" s="1458">
        <v>0.59375</v>
      </c>
      <c r="I40" s="1631">
        <v>140</v>
      </c>
      <c r="J40" s="826" t="s">
        <v>4621</v>
      </c>
      <c r="K40" s="826" t="s">
        <v>119</v>
      </c>
      <c r="L40" s="1464" t="s">
        <v>17</v>
      </c>
    </row>
    <row r="41" spans="1:21" ht="188.9" customHeight="1" x14ac:dyDescent="0.35">
      <c r="A41" s="1349">
        <v>43719</v>
      </c>
      <c r="B41" s="1350" t="s">
        <v>4154</v>
      </c>
      <c r="C41" s="819" t="s">
        <v>4576</v>
      </c>
      <c r="D41" s="1351">
        <v>43745</v>
      </c>
      <c r="E41" s="1445" t="s">
        <v>115</v>
      </c>
      <c r="F41" s="1385">
        <v>0.54166666666666663</v>
      </c>
      <c r="G41" s="1385">
        <v>0.54166666666666663</v>
      </c>
      <c r="H41" s="1385">
        <v>0.54166666666666663</v>
      </c>
      <c r="I41" s="1619">
        <f>8*120+240</f>
        <v>1200</v>
      </c>
      <c r="J41" s="915" t="s">
        <v>4582</v>
      </c>
      <c r="K41" s="1324" t="s">
        <v>15</v>
      </c>
      <c r="L41" s="1333" t="s">
        <v>17</v>
      </c>
    </row>
    <row r="42" spans="1:21" ht="72.650000000000006" customHeight="1" x14ac:dyDescent="0.35">
      <c r="A42" s="1335">
        <v>43738</v>
      </c>
      <c r="B42" s="826" t="s">
        <v>4494</v>
      </c>
      <c r="C42" s="826" t="s">
        <v>4495</v>
      </c>
      <c r="D42" s="1330">
        <v>43745</v>
      </c>
      <c r="E42" s="1331" t="s">
        <v>4496</v>
      </c>
      <c r="F42" s="865">
        <v>0.36458333333333331</v>
      </c>
      <c r="G42" s="1334">
        <v>0.39583333333333331</v>
      </c>
      <c r="H42" s="1334">
        <v>0.39583333333333331</v>
      </c>
      <c r="I42" s="1713">
        <v>240</v>
      </c>
      <c r="J42" s="826" t="s">
        <v>257</v>
      </c>
      <c r="K42" s="826" t="s">
        <v>119</v>
      </c>
      <c r="L42" s="1333" t="s">
        <v>22</v>
      </c>
    </row>
    <row r="43" spans="1:21" ht="87" customHeight="1" x14ac:dyDescent="0.35">
      <c r="A43" s="1453">
        <v>43742</v>
      </c>
      <c r="B43" s="5" t="s">
        <v>889</v>
      </c>
      <c r="C43" s="5" t="s">
        <v>4563</v>
      </c>
      <c r="D43" s="908">
        <v>43745</v>
      </c>
      <c r="E43" s="824" t="s">
        <v>4565</v>
      </c>
      <c r="F43" s="6">
        <v>0.36458333333333331</v>
      </c>
      <c r="G43" s="6">
        <v>0.41666666666666669</v>
      </c>
      <c r="H43" s="6">
        <v>0.41666666666666669</v>
      </c>
      <c r="I43" s="1100">
        <v>315</v>
      </c>
      <c r="J43" s="850" t="s">
        <v>4564</v>
      </c>
      <c r="K43" s="5" t="s">
        <v>119</v>
      </c>
      <c r="L43" s="807" t="s">
        <v>17</v>
      </c>
    </row>
    <row r="44" spans="1:21" ht="87" customHeight="1" x14ac:dyDescent="0.35">
      <c r="A44" s="1453">
        <v>43742</v>
      </c>
      <c r="B44" s="5" t="s">
        <v>889</v>
      </c>
      <c r="C44" s="5" t="s">
        <v>4568</v>
      </c>
      <c r="D44" s="908">
        <v>43745</v>
      </c>
      <c r="E44" s="824" t="s">
        <v>4566</v>
      </c>
      <c r="F44" s="6">
        <v>0.36458333333333331</v>
      </c>
      <c r="G44" s="6">
        <v>0.45833333333333331</v>
      </c>
      <c r="H44" s="6">
        <v>0.45833333333333331</v>
      </c>
      <c r="I44" s="1100">
        <v>0</v>
      </c>
      <c r="J44" s="5" t="s">
        <v>4567</v>
      </c>
      <c r="K44" s="5" t="s">
        <v>119</v>
      </c>
      <c r="L44" s="807" t="s">
        <v>17</v>
      </c>
    </row>
    <row r="45" spans="1:21" ht="101.9" customHeight="1" x14ac:dyDescent="0.35">
      <c r="A45" s="1460">
        <v>43743</v>
      </c>
      <c r="B45" s="5" t="s">
        <v>4113</v>
      </c>
      <c r="C45" s="1451" t="s">
        <v>4577</v>
      </c>
      <c r="D45" s="1461">
        <v>43745</v>
      </c>
      <c r="E45" s="1454" t="s">
        <v>4578</v>
      </c>
      <c r="F45" s="1452">
        <v>0.52083333333333337</v>
      </c>
      <c r="G45" s="1452">
        <v>0.5625</v>
      </c>
      <c r="H45" s="1452">
        <v>0.5625</v>
      </c>
      <c r="I45" s="1764">
        <v>200</v>
      </c>
      <c r="J45" s="1451" t="s">
        <v>4587</v>
      </c>
      <c r="K45" s="5" t="s">
        <v>119</v>
      </c>
      <c r="L45" s="1455" t="s">
        <v>22</v>
      </c>
    </row>
    <row r="46" spans="1:21" ht="58.4" customHeight="1" x14ac:dyDescent="0.35">
      <c r="A46" s="1462">
        <v>43743</v>
      </c>
      <c r="B46" s="1456" t="s">
        <v>4483</v>
      </c>
      <c r="C46" s="1473" t="s">
        <v>4583</v>
      </c>
      <c r="D46" s="1457">
        <v>43745</v>
      </c>
      <c r="E46" s="1463" t="s">
        <v>4588</v>
      </c>
      <c r="F46" s="1458">
        <v>0.52083333333333337</v>
      </c>
      <c r="G46" s="1458">
        <v>0.66666666666666663</v>
      </c>
      <c r="H46" s="1458">
        <v>0.66666666666666663</v>
      </c>
      <c r="I46" s="1629">
        <v>0</v>
      </c>
      <c r="J46" s="1456" t="s">
        <v>4285</v>
      </c>
      <c r="K46" s="1456" t="s">
        <v>119</v>
      </c>
      <c r="L46" s="1464" t="s">
        <v>22</v>
      </c>
    </row>
    <row r="47" spans="1:21" ht="58.4" customHeight="1" x14ac:dyDescent="0.35">
      <c r="A47" s="1462">
        <v>43744</v>
      </c>
      <c r="B47" s="1456" t="s">
        <v>697</v>
      </c>
      <c r="C47" s="1456" t="s">
        <v>4589</v>
      </c>
      <c r="D47" s="1457">
        <v>43745</v>
      </c>
      <c r="E47" s="1463" t="s">
        <v>126</v>
      </c>
      <c r="F47" s="1458">
        <v>0.72222222222222221</v>
      </c>
      <c r="G47" s="1458">
        <v>0.75</v>
      </c>
      <c r="H47" s="1458">
        <v>0.75</v>
      </c>
      <c r="I47" s="1629" t="s">
        <v>15</v>
      </c>
      <c r="J47" s="1456" t="s">
        <v>16</v>
      </c>
      <c r="K47" s="1456" t="s">
        <v>119</v>
      </c>
      <c r="L47" s="1464" t="s">
        <v>17</v>
      </c>
    </row>
    <row r="48" spans="1:21" ht="14.9" customHeight="1" x14ac:dyDescent="0.35">
      <c r="A48" s="1684">
        <v>43745</v>
      </c>
      <c r="B48" s="1727" t="s">
        <v>4616</v>
      </c>
      <c r="C48" s="1727" t="s">
        <v>4617</v>
      </c>
      <c r="D48" s="1698">
        <v>43746</v>
      </c>
      <c r="E48" s="1742" t="s">
        <v>15</v>
      </c>
      <c r="F48" s="1708" t="s">
        <v>15</v>
      </c>
      <c r="G48" s="1708" t="s">
        <v>972</v>
      </c>
      <c r="H48" s="1708" t="s">
        <v>972</v>
      </c>
      <c r="I48" s="1758" t="s">
        <v>15</v>
      </c>
      <c r="J48" s="1727" t="s">
        <v>15</v>
      </c>
      <c r="K48" s="1727" t="s">
        <v>140</v>
      </c>
      <c r="L48" s="1774" t="s">
        <v>17</v>
      </c>
    </row>
    <row r="49" spans="1:12" ht="43.5" customHeight="1" x14ac:dyDescent="0.35">
      <c r="A49" s="1465">
        <v>43745</v>
      </c>
      <c r="B49" s="826" t="s">
        <v>4592</v>
      </c>
      <c r="C49" s="1466" t="s">
        <v>4593</v>
      </c>
      <c r="D49" s="1467">
        <v>43746</v>
      </c>
      <c r="E49" s="1468" t="s">
        <v>4594</v>
      </c>
      <c r="F49" s="1470">
        <v>0.59375</v>
      </c>
      <c r="G49" s="1470">
        <v>0.625</v>
      </c>
      <c r="H49" s="1470">
        <v>0.625</v>
      </c>
      <c r="I49" s="1632">
        <v>160</v>
      </c>
      <c r="J49" s="826" t="s">
        <v>4618</v>
      </c>
      <c r="K49" s="1466" t="s">
        <v>140</v>
      </c>
      <c r="L49" s="1469" t="s">
        <v>17</v>
      </c>
    </row>
    <row r="50" spans="1:12" ht="29.15" customHeight="1" x14ac:dyDescent="0.35">
      <c r="A50" s="1335">
        <v>43738</v>
      </c>
      <c r="B50" s="1336" t="s">
        <v>4497</v>
      </c>
      <c r="C50" s="828" t="s">
        <v>4584</v>
      </c>
      <c r="D50" s="1347">
        <v>43747</v>
      </c>
      <c r="E50" s="874" t="s">
        <v>229</v>
      </c>
      <c r="F50" s="1383">
        <v>0.5</v>
      </c>
      <c r="G50" s="1383">
        <v>0.5</v>
      </c>
      <c r="H50" s="1383">
        <v>0.5</v>
      </c>
      <c r="I50" s="1619">
        <v>0</v>
      </c>
      <c r="J50" s="826" t="s">
        <v>16</v>
      </c>
      <c r="K50" s="826" t="s">
        <v>119</v>
      </c>
      <c r="L50" s="1348" t="s">
        <v>22</v>
      </c>
    </row>
    <row r="51" spans="1:12" ht="43.5" customHeight="1" x14ac:dyDescent="0.35">
      <c r="A51" s="825">
        <v>43746</v>
      </c>
      <c r="B51" s="826" t="s">
        <v>4625</v>
      </c>
      <c r="C51" s="826" t="s">
        <v>4626</v>
      </c>
      <c r="D51" s="827">
        <v>43747</v>
      </c>
      <c r="E51" s="872" t="s">
        <v>4627</v>
      </c>
      <c r="F51" s="865">
        <v>0.58333333333333337</v>
      </c>
      <c r="G51" s="865">
        <v>0.58333333333333337</v>
      </c>
      <c r="H51" s="865">
        <v>0.625</v>
      </c>
      <c r="I51" s="1386">
        <v>0</v>
      </c>
      <c r="J51" s="826" t="s">
        <v>16</v>
      </c>
      <c r="K51" s="826" t="s">
        <v>119</v>
      </c>
      <c r="L51" s="829" t="s">
        <v>17</v>
      </c>
    </row>
    <row r="52" spans="1:12" ht="29.15" customHeight="1" x14ac:dyDescent="0.35">
      <c r="A52" s="925">
        <v>43672</v>
      </c>
      <c r="B52" s="873" t="s">
        <v>20</v>
      </c>
      <c r="C52" s="874" t="s">
        <v>4037</v>
      </c>
      <c r="D52" s="981">
        <v>43748</v>
      </c>
      <c r="E52" s="874" t="s">
        <v>20</v>
      </c>
      <c r="F52" s="874" t="s">
        <v>15</v>
      </c>
      <c r="G52" s="874" t="s">
        <v>15</v>
      </c>
      <c r="H52" s="874" t="s">
        <v>15</v>
      </c>
      <c r="I52" s="1633" t="s">
        <v>15</v>
      </c>
      <c r="J52" s="874" t="s">
        <v>20</v>
      </c>
      <c r="K52" s="826" t="s">
        <v>15</v>
      </c>
      <c r="L52" s="875" t="s">
        <v>17</v>
      </c>
    </row>
    <row r="53" spans="1:12" ht="87" customHeight="1" x14ac:dyDescent="0.35">
      <c r="A53" s="1302">
        <v>43730</v>
      </c>
      <c r="B53" s="5" t="s">
        <v>4339</v>
      </c>
      <c r="C53" s="1290" t="s">
        <v>4337</v>
      </c>
      <c r="D53" s="1304">
        <v>43748</v>
      </c>
      <c r="E53" s="1291" t="s">
        <v>4338</v>
      </c>
      <c r="F53" s="1293">
        <v>0.5625</v>
      </c>
      <c r="G53" s="1293">
        <v>0.60416666666666663</v>
      </c>
      <c r="H53" s="1293">
        <v>0.60416666666666663</v>
      </c>
      <c r="I53" s="1620">
        <v>327.5</v>
      </c>
      <c r="J53" s="850" t="s">
        <v>4648</v>
      </c>
      <c r="K53" s="5" t="s">
        <v>140</v>
      </c>
      <c r="L53" s="1292" t="s">
        <v>17</v>
      </c>
    </row>
    <row r="54" spans="1:12" ht="14.9" customHeight="1" x14ac:dyDescent="0.35">
      <c r="A54" s="1294">
        <v>43730</v>
      </c>
      <c r="B54" s="1262" t="s">
        <v>20</v>
      </c>
      <c r="C54" s="826" t="s">
        <v>4609</v>
      </c>
      <c r="D54" s="827">
        <v>43748</v>
      </c>
      <c r="E54" s="1263" t="s">
        <v>15</v>
      </c>
      <c r="F54" s="1262" t="s">
        <v>15</v>
      </c>
      <c r="G54" s="1262" t="s">
        <v>98</v>
      </c>
      <c r="H54" s="1262" t="s">
        <v>15</v>
      </c>
      <c r="I54" s="1633" t="s">
        <v>15</v>
      </c>
      <c r="J54" s="1264" t="s">
        <v>15</v>
      </c>
      <c r="K54" s="1264" t="s">
        <v>15</v>
      </c>
      <c r="L54" s="1265" t="s">
        <v>17</v>
      </c>
    </row>
    <row r="55" spans="1:12" ht="276.64999999999998" customHeight="1" x14ac:dyDescent="0.35">
      <c r="A55" s="1294">
        <v>43730</v>
      </c>
      <c r="B55" s="1262" t="s">
        <v>20</v>
      </c>
      <c r="C55" s="826" t="s">
        <v>4651</v>
      </c>
      <c r="D55" s="1477">
        <v>43748</v>
      </c>
      <c r="E55" s="1263" t="s">
        <v>15</v>
      </c>
      <c r="F55" s="1262" t="s">
        <v>15</v>
      </c>
      <c r="G55" s="1262" t="s">
        <v>98</v>
      </c>
      <c r="H55" s="1262" t="s">
        <v>15</v>
      </c>
      <c r="I55" s="1633" t="s">
        <v>15</v>
      </c>
      <c r="J55" s="1264" t="s">
        <v>15</v>
      </c>
      <c r="K55" s="1264" t="s">
        <v>15</v>
      </c>
      <c r="L55" s="1265" t="s">
        <v>17</v>
      </c>
    </row>
    <row r="56" spans="1:12" ht="101.9" customHeight="1" x14ac:dyDescent="0.35">
      <c r="A56" s="1447">
        <v>43742</v>
      </c>
      <c r="B56" s="1448" t="s">
        <v>4560</v>
      </c>
      <c r="C56" s="1448" t="s">
        <v>4152</v>
      </c>
      <c r="D56" s="1459">
        <v>43748</v>
      </c>
      <c r="E56" s="872" t="s">
        <v>4649</v>
      </c>
      <c r="F56" s="1474">
        <v>0.5625</v>
      </c>
      <c r="G56" s="1474">
        <v>0.625</v>
      </c>
      <c r="H56" s="1474">
        <v>0.625</v>
      </c>
      <c r="I56" s="1625">
        <v>0</v>
      </c>
      <c r="J56" s="1448" t="s">
        <v>16</v>
      </c>
      <c r="K56" s="826" t="s">
        <v>140</v>
      </c>
      <c r="L56" s="1450" t="s">
        <v>17</v>
      </c>
    </row>
    <row r="57" spans="1:12" ht="29.15" customHeight="1" x14ac:dyDescent="0.35">
      <c r="A57" s="1465">
        <v>43745</v>
      </c>
      <c r="B57" s="1466" t="s">
        <v>131</v>
      </c>
      <c r="C57" s="1466" t="s">
        <v>4602</v>
      </c>
      <c r="D57" s="1467">
        <v>43748</v>
      </c>
      <c r="E57" s="1468" t="s">
        <v>129</v>
      </c>
      <c r="F57" s="1470">
        <v>0.5625</v>
      </c>
      <c r="G57" s="1470">
        <v>0.58333333333333337</v>
      </c>
      <c r="H57" s="1470">
        <v>0.58333333333333337</v>
      </c>
      <c r="I57" s="1634">
        <f>15*65</f>
        <v>975</v>
      </c>
      <c r="J57" s="1494" t="s">
        <v>4603</v>
      </c>
      <c r="K57" s="826" t="s">
        <v>140</v>
      </c>
      <c r="L57" s="1469" t="s">
        <v>17</v>
      </c>
    </row>
    <row r="58" spans="1:12" ht="29.15" customHeight="1" x14ac:dyDescent="0.35">
      <c r="A58" s="1483">
        <v>43745</v>
      </c>
      <c r="B58" s="1484" t="s">
        <v>20</v>
      </c>
      <c r="C58" s="1484" t="s">
        <v>4597</v>
      </c>
      <c r="D58" s="1485">
        <v>43748</v>
      </c>
      <c r="E58" s="1471" t="s">
        <v>20</v>
      </c>
      <c r="F58" s="1484" t="s">
        <v>15</v>
      </c>
      <c r="G58" s="1484" t="s">
        <v>15</v>
      </c>
      <c r="H58" s="1484" t="s">
        <v>15</v>
      </c>
      <c r="I58" s="1761" t="s">
        <v>15</v>
      </c>
      <c r="J58" s="1484" t="s">
        <v>15</v>
      </c>
      <c r="K58" s="1484" t="s">
        <v>15</v>
      </c>
      <c r="L58" s="807" t="s">
        <v>17</v>
      </c>
    </row>
    <row r="59" spans="1:12" ht="138" customHeight="1" x14ac:dyDescent="0.35">
      <c r="A59" s="1682">
        <v>43745</v>
      </c>
      <c r="B59" s="1689" t="s">
        <v>20</v>
      </c>
      <c r="C59" s="1689" t="s">
        <v>4613</v>
      </c>
      <c r="D59" s="1696">
        <v>43748</v>
      </c>
      <c r="E59" s="1703" t="s">
        <v>15</v>
      </c>
      <c r="F59" s="1703" t="s">
        <v>15</v>
      </c>
      <c r="G59" s="1703" t="s">
        <v>15</v>
      </c>
      <c r="H59" s="1703" t="s">
        <v>15</v>
      </c>
      <c r="I59" s="1635" t="s">
        <v>15</v>
      </c>
      <c r="J59" s="1703" t="s">
        <v>15</v>
      </c>
      <c r="K59" s="1703" t="s">
        <v>15</v>
      </c>
      <c r="L59" s="1717" t="s">
        <v>17</v>
      </c>
    </row>
    <row r="60" spans="1:12" ht="14.9" customHeight="1" x14ac:dyDescent="0.35">
      <c r="A60" s="1483">
        <v>43745</v>
      </c>
      <c r="B60" s="1484" t="s">
        <v>20</v>
      </c>
      <c r="C60" s="1484" t="s">
        <v>4606</v>
      </c>
      <c r="D60" s="1485">
        <v>43748</v>
      </c>
      <c r="E60" s="1471" t="s">
        <v>15</v>
      </c>
      <c r="F60" s="1471" t="s">
        <v>15</v>
      </c>
      <c r="G60" s="1471" t="s">
        <v>15</v>
      </c>
      <c r="H60" s="1471" t="s">
        <v>15</v>
      </c>
      <c r="I60" s="1762" t="s">
        <v>15</v>
      </c>
      <c r="J60" s="1471" t="s">
        <v>15</v>
      </c>
      <c r="K60" s="1471" t="s">
        <v>15</v>
      </c>
      <c r="L60" s="1775" t="s">
        <v>17</v>
      </c>
    </row>
    <row r="61" spans="1:12" ht="29.15" customHeight="1" x14ac:dyDescent="0.35">
      <c r="A61" s="1681">
        <v>43746</v>
      </c>
      <c r="B61" s="5" t="s">
        <v>20</v>
      </c>
      <c r="C61" s="5" t="s">
        <v>4636</v>
      </c>
      <c r="D61" s="1510">
        <v>43748</v>
      </c>
      <c r="E61" s="1291" t="s">
        <v>15</v>
      </c>
      <c r="F61" s="1290" t="s">
        <v>15</v>
      </c>
      <c r="G61" s="1290" t="s">
        <v>98</v>
      </c>
      <c r="H61" s="1290" t="s">
        <v>15</v>
      </c>
      <c r="I61" s="1620" t="s">
        <v>15</v>
      </c>
      <c r="J61" s="1288" t="s">
        <v>15</v>
      </c>
      <c r="K61" s="1288" t="s">
        <v>15</v>
      </c>
      <c r="L61" s="807" t="s">
        <v>22</v>
      </c>
    </row>
    <row r="62" spans="1:12" ht="72.650000000000006" customHeight="1" x14ac:dyDescent="0.35">
      <c r="A62" s="1475">
        <v>43747</v>
      </c>
      <c r="B62" s="1476" t="s">
        <v>4639</v>
      </c>
      <c r="C62" s="1476" t="s">
        <v>4650</v>
      </c>
      <c r="D62" s="1477">
        <v>43748</v>
      </c>
      <c r="E62" s="1478" t="s">
        <v>4638</v>
      </c>
      <c r="F62" s="1481">
        <v>0.5625</v>
      </c>
      <c r="G62" s="1481">
        <v>0.66666666666666663</v>
      </c>
      <c r="H62" s="1481">
        <v>0.70833333333333337</v>
      </c>
      <c r="I62" s="1636">
        <v>192</v>
      </c>
      <c r="J62" s="1476" t="s">
        <v>4640</v>
      </c>
      <c r="K62" s="826" t="s">
        <v>140</v>
      </c>
      <c r="L62" s="1480" t="s">
        <v>17</v>
      </c>
    </row>
    <row r="63" spans="1:12" ht="29.15" customHeight="1" x14ac:dyDescent="0.35">
      <c r="A63" s="1475">
        <v>43747</v>
      </c>
      <c r="B63" s="1476" t="s">
        <v>20</v>
      </c>
      <c r="C63" s="1476" t="s">
        <v>4647</v>
      </c>
      <c r="D63" s="1477">
        <v>43748</v>
      </c>
      <c r="E63" s="1478" t="s">
        <v>20</v>
      </c>
      <c r="F63" s="1476" t="s">
        <v>15</v>
      </c>
      <c r="G63" s="1476" t="s">
        <v>15</v>
      </c>
      <c r="H63" s="1476" t="s">
        <v>15</v>
      </c>
      <c r="I63" s="1768" t="s">
        <v>15</v>
      </c>
      <c r="J63" s="1476" t="s">
        <v>15</v>
      </c>
      <c r="K63" s="1476" t="s">
        <v>15</v>
      </c>
      <c r="L63" s="1480" t="s">
        <v>15</v>
      </c>
    </row>
    <row r="64" spans="1:12" ht="87" customHeight="1" x14ac:dyDescent="0.35">
      <c r="A64" s="1685">
        <v>43731</v>
      </c>
      <c r="B64" s="1690" t="s">
        <v>4051</v>
      </c>
      <c r="C64" s="10" t="s">
        <v>4628</v>
      </c>
      <c r="D64" s="1697">
        <v>43749</v>
      </c>
      <c r="E64" s="1690" t="s">
        <v>290</v>
      </c>
      <c r="F64" s="1706">
        <v>0.66666666666666663</v>
      </c>
      <c r="G64" s="1706">
        <v>0.75</v>
      </c>
      <c r="H64" s="1706">
        <v>0.75</v>
      </c>
      <c r="I64" s="1618">
        <v>1863.75</v>
      </c>
      <c r="J64" s="1431" t="s">
        <v>4629</v>
      </c>
      <c r="K64" s="5" t="s">
        <v>315</v>
      </c>
      <c r="L64" s="1393" t="s">
        <v>22</v>
      </c>
    </row>
    <row r="65" spans="1:12" ht="58.4" customHeight="1" x14ac:dyDescent="0.35">
      <c r="A65" s="1475">
        <v>43748</v>
      </c>
      <c r="B65" s="1476" t="s">
        <v>4483</v>
      </c>
      <c r="C65" s="1476" t="s">
        <v>4657</v>
      </c>
      <c r="D65" s="1477">
        <v>43749</v>
      </c>
      <c r="E65" s="1478" t="s">
        <v>4656</v>
      </c>
      <c r="F65" s="1481">
        <v>0.375</v>
      </c>
      <c r="G65" s="1481">
        <v>0.40625</v>
      </c>
      <c r="H65" s="1481">
        <v>0.40625</v>
      </c>
      <c r="I65" s="1636">
        <v>0</v>
      </c>
      <c r="J65" s="1476" t="s">
        <v>4285</v>
      </c>
      <c r="K65" s="1476" t="s">
        <v>119</v>
      </c>
      <c r="L65" s="1480" t="s">
        <v>17</v>
      </c>
    </row>
    <row r="66" spans="1:12" ht="43.5" customHeight="1" x14ac:dyDescent="0.35">
      <c r="A66" s="1475">
        <v>43748</v>
      </c>
      <c r="B66" s="826" t="s">
        <v>4653</v>
      </c>
      <c r="C66" s="826" t="s">
        <v>4654</v>
      </c>
      <c r="D66" s="1477">
        <v>43749</v>
      </c>
      <c r="E66" s="1478" t="s">
        <v>4655</v>
      </c>
      <c r="F66" s="1481">
        <v>0.52083333333333337</v>
      </c>
      <c r="G66" s="1481">
        <v>0.54166666666666663</v>
      </c>
      <c r="H66" s="1481">
        <v>0.54166666666666663</v>
      </c>
      <c r="I66" s="1637">
        <v>312</v>
      </c>
      <c r="J66" s="828" t="s">
        <v>369</v>
      </c>
      <c r="K66" s="1479" t="s">
        <v>119</v>
      </c>
      <c r="L66" s="829" t="s">
        <v>22</v>
      </c>
    </row>
    <row r="67" spans="1:12" ht="87" customHeight="1" x14ac:dyDescent="0.35">
      <c r="A67" s="1501">
        <v>43748</v>
      </c>
      <c r="B67" s="1479" t="s">
        <v>4669</v>
      </c>
      <c r="C67" s="1479" t="s">
        <v>4670</v>
      </c>
      <c r="D67" s="1508">
        <v>43749</v>
      </c>
      <c r="E67" s="1502" t="s">
        <v>4671</v>
      </c>
      <c r="F67" s="1503">
        <v>0.52083333333333337</v>
      </c>
      <c r="G67" s="1503">
        <v>0.60416666666666663</v>
      </c>
      <c r="H67" s="1503">
        <v>0.60416666666666663</v>
      </c>
      <c r="I67" s="1638">
        <v>0</v>
      </c>
      <c r="J67" s="1479" t="s">
        <v>4672</v>
      </c>
      <c r="K67" s="1479" t="s">
        <v>119</v>
      </c>
      <c r="L67" s="1504" t="s">
        <v>17</v>
      </c>
    </row>
    <row r="68" spans="1:12" ht="14.9" customHeight="1" x14ac:dyDescent="0.35">
      <c r="A68" s="1475">
        <v>43748</v>
      </c>
      <c r="B68" s="1476" t="s">
        <v>262</v>
      </c>
      <c r="C68" s="1476" t="s">
        <v>4658</v>
      </c>
      <c r="D68" s="1477">
        <v>43749</v>
      </c>
      <c r="E68" s="1478" t="s">
        <v>262</v>
      </c>
      <c r="F68" s="1481">
        <v>0.66666666666666663</v>
      </c>
      <c r="G68" s="1481">
        <v>0.70833333333333337</v>
      </c>
      <c r="H68" s="1481">
        <v>0.70833333333333337</v>
      </c>
      <c r="I68" s="1636">
        <v>0</v>
      </c>
      <c r="J68" s="1476" t="s">
        <v>4659</v>
      </c>
      <c r="K68" s="1476" t="s">
        <v>119</v>
      </c>
      <c r="L68" s="1480" t="s">
        <v>17</v>
      </c>
    </row>
    <row r="69" spans="1:12" ht="29.15" customHeight="1" x14ac:dyDescent="0.35">
      <c r="A69" s="1475">
        <v>43748</v>
      </c>
      <c r="B69" s="1476" t="s">
        <v>20</v>
      </c>
      <c r="C69" s="1476" t="s">
        <v>4664</v>
      </c>
      <c r="D69" s="1477">
        <v>43749</v>
      </c>
      <c r="E69" s="1478" t="s">
        <v>20</v>
      </c>
      <c r="F69" s="1476" t="s">
        <v>15</v>
      </c>
      <c r="G69" s="1476" t="s">
        <v>15</v>
      </c>
      <c r="H69" s="1476" t="s">
        <v>15</v>
      </c>
      <c r="I69" s="1636">
        <v>0</v>
      </c>
      <c r="J69" s="1476" t="s">
        <v>15</v>
      </c>
      <c r="K69" s="1476" t="s">
        <v>15</v>
      </c>
      <c r="L69" s="1480" t="s">
        <v>17</v>
      </c>
    </row>
    <row r="70" spans="1:12" ht="43.5" customHeight="1" x14ac:dyDescent="0.35">
      <c r="A70" s="1722">
        <v>43749</v>
      </c>
      <c r="B70" s="1482" t="s">
        <v>3301</v>
      </c>
      <c r="C70" s="1482" t="s">
        <v>4675</v>
      </c>
      <c r="D70" s="1510">
        <v>43749</v>
      </c>
      <c r="E70" s="1489" t="s">
        <v>1010</v>
      </c>
      <c r="F70" s="1495">
        <v>0.66666666666666663</v>
      </c>
      <c r="G70" s="1495">
        <v>0.70833333333333337</v>
      </c>
      <c r="H70" s="1495">
        <v>0.70833333333333337</v>
      </c>
      <c r="I70" s="1639">
        <f>269+199</f>
        <v>468</v>
      </c>
      <c r="J70" s="1482" t="s">
        <v>4674</v>
      </c>
      <c r="K70" s="1482" t="s">
        <v>119</v>
      </c>
      <c r="L70" s="1492" t="s">
        <v>17</v>
      </c>
    </row>
    <row r="71" spans="1:12" ht="188.9" customHeight="1" x14ac:dyDescent="0.35">
      <c r="A71" s="993">
        <v>43703</v>
      </c>
      <c r="B71" s="819" t="s">
        <v>4612</v>
      </c>
      <c r="C71" s="819" t="s">
        <v>4614</v>
      </c>
      <c r="D71" s="993">
        <v>43750</v>
      </c>
      <c r="E71" s="1493" t="s">
        <v>3857</v>
      </c>
      <c r="F71" s="997">
        <v>0.35416666666666669</v>
      </c>
      <c r="G71" s="997">
        <v>0.40277777777777773</v>
      </c>
      <c r="H71" s="997">
        <v>0.40277777777777773</v>
      </c>
      <c r="I71" s="1766">
        <f>999.6+280+130*110/1000*70</f>
        <v>2280.6</v>
      </c>
      <c r="J71" s="826" t="s">
        <v>369</v>
      </c>
      <c r="K71" s="826" t="s">
        <v>119</v>
      </c>
      <c r="L71" s="991" t="s">
        <v>17</v>
      </c>
    </row>
    <row r="72" spans="1:12" ht="290.14999999999998" customHeight="1" x14ac:dyDescent="0.35">
      <c r="A72" s="830">
        <v>43711</v>
      </c>
      <c r="B72" s="819" t="s">
        <v>4018</v>
      </c>
      <c r="C72" s="819" t="s">
        <v>4686</v>
      </c>
      <c r="D72" s="833">
        <v>43750</v>
      </c>
      <c r="E72" s="1493" t="s">
        <v>4673</v>
      </c>
      <c r="F72" s="913">
        <v>0.59375</v>
      </c>
      <c r="G72" s="913">
        <v>0.625</v>
      </c>
      <c r="H72" s="913">
        <v>0.625</v>
      </c>
      <c r="I72" s="1765">
        <f>430*100*65/1000+100+400+50*3*4.76+200*3.5*4.76+32.5</f>
        <v>7373.5</v>
      </c>
      <c r="J72" s="915" t="s">
        <v>4591</v>
      </c>
      <c r="K72" s="826" t="s">
        <v>4652</v>
      </c>
      <c r="L72" s="829" t="s">
        <v>17</v>
      </c>
    </row>
    <row r="73" spans="1:12" ht="290.14999999999998" customHeight="1" x14ac:dyDescent="0.35">
      <c r="A73" s="1238">
        <v>43724</v>
      </c>
      <c r="B73" s="1239" t="s">
        <v>4193</v>
      </c>
      <c r="C73" s="819" t="s">
        <v>4637</v>
      </c>
      <c r="D73" s="1240">
        <v>43750</v>
      </c>
      <c r="E73" s="1493" t="s">
        <v>4643</v>
      </c>
      <c r="F73" s="1246">
        <v>0.69791666666666663</v>
      </c>
      <c r="G73" s="1246">
        <v>0.72916666666666663</v>
      </c>
      <c r="H73" s="1246">
        <v>0.72916666666666663</v>
      </c>
      <c r="I73" s="1640">
        <f>450*100/1000*75+400+200*3.5*4.76</f>
        <v>7107</v>
      </c>
      <c r="J73" s="1235" t="s">
        <v>4213</v>
      </c>
      <c r="K73" s="826" t="s">
        <v>4652</v>
      </c>
      <c r="L73" s="1237" t="s">
        <v>17</v>
      </c>
    </row>
    <row r="74" spans="1:12" ht="43.5" customHeight="1" x14ac:dyDescent="0.35">
      <c r="A74" s="1721">
        <v>43745</v>
      </c>
      <c r="B74" s="1730" t="s">
        <v>131</v>
      </c>
      <c r="C74" s="1730" t="s">
        <v>4604</v>
      </c>
      <c r="D74" s="1736">
        <v>43750</v>
      </c>
      <c r="E74" s="1746" t="s">
        <v>129</v>
      </c>
      <c r="F74" s="1752">
        <v>0.44791666666666669</v>
      </c>
      <c r="G74" s="1752">
        <v>0.54166666666666663</v>
      </c>
      <c r="H74" s="1752">
        <v>0.54166666666666663</v>
      </c>
      <c r="I74" s="1762">
        <f>200+240*125/1000*65+1.5*65</f>
        <v>2247.5</v>
      </c>
      <c r="J74" s="1494" t="s">
        <v>4605</v>
      </c>
      <c r="K74" s="826" t="s">
        <v>315</v>
      </c>
      <c r="L74" s="1775" t="s">
        <v>17</v>
      </c>
    </row>
    <row r="75" spans="1:12" ht="101.9" customHeight="1" x14ac:dyDescent="0.35">
      <c r="A75" s="1721">
        <v>43745</v>
      </c>
      <c r="B75" s="1730" t="s">
        <v>4052</v>
      </c>
      <c r="C75" s="1730" t="s">
        <v>4595</v>
      </c>
      <c r="D75" s="1736">
        <v>43750</v>
      </c>
      <c r="E75" s="1746" t="s">
        <v>441</v>
      </c>
      <c r="F75" s="1752">
        <v>0.83333333333333337</v>
      </c>
      <c r="G75" s="1752">
        <v>0.875</v>
      </c>
      <c r="H75" s="1752">
        <v>0.875</v>
      </c>
      <c r="I75" s="1762">
        <f>200+15*75</f>
        <v>1325</v>
      </c>
      <c r="J75" s="1773" t="s">
        <v>4596</v>
      </c>
      <c r="K75" s="5" t="s">
        <v>315</v>
      </c>
      <c r="L75" s="1775"/>
    </row>
    <row r="76" spans="1:12" ht="43.5" customHeight="1" x14ac:dyDescent="0.35">
      <c r="A76" s="1505">
        <v>43745</v>
      </c>
      <c r="B76" s="826" t="s">
        <v>4610</v>
      </c>
      <c r="C76" s="826" t="s">
        <v>4611</v>
      </c>
      <c r="D76" s="1506">
        <v>43750</v>
      </c>
      <c r="E76" s="872" t="s">
        <v>311</v>
      </c>
      <c r="F76" s="826" t="s">
        <v>15</v>
      </c>
      <c r="G76" s="1507">
        <v>0.41666666666666669</v>
      </c>
      <c r="H76" s="1507">
        <v>0.75</v>
      </c>
      <c r="I76" s="1759">
        <v>120</v>
      </c>
      <c r="J76" s="828" t="s">
        <v>369</v>
      </c>
      <c r="K76" s="826" t="s">
        <v>15</v>
      </c>
      <c r="L76" s="829" t="s">
        <v>22</v>
      </c>
    </row>
    <row r="77" spans="1:12" ht="29.15" customHeight="1" x14ac:dyDescent="0.35">
      <c r="A77" s="825">
        <v>43746</v>
      </c>
      <c r="B77" s="826" t="s">
        <v>4622</v>
      </c>
      <c r="C77" s="826" t="s">
        <v>4623</v>
      </c>
      <c r="D77" s="827">
        <v>43750</v>
      </c>
      <c r="E77" s="872" t="s">
        <v>4624</v>
      </c>
      <c r="F77" s="865">
        <v>0.35416666666666669</v>
      </c>
      <c r="G77" s="865">
        <v>0.375</v>
      </c>
      <c r="H77" s="865">
        <v>0.375</v>
      </c>
      <c r="I77" s="1641">
        <v>480</v>
      </c>
      <c r="J77" s="826" t="s">
        <v>257</v>
      </c>
      <c r="K77" s="826" t="s">
        <v>119</v>
      </c>
      <c r="L77" s="829" t="s">
        <v>17</v>
      </c>
    </row>
    <row r="78" spans="1:12" ht="43.5" customHeight="1" x14ac:dyDescent="0.35">
      <c r="A78" s="1475">
        <v>43747</v>
      </c>
      <c r="B78" s="1476" t="s">
        <v>4645</v>
      </c>
      <c r="C78" s="1476" t="s">
        <v>4644</v>
      </c>
      <c r="D78" s="1477">
        <v>43750</v>
      </c>
      <c r="E78" s="1478" t="s">
        <v>4646</v>
      </c>
      <c r="F78" s="1481">
        <v>0.44791666666666669</v>
      </c>
      <c r="G78" s="1481">
        <v>0.4861111111111111</v>
      </c>
      <c r="H78" s="1481">
        <v>0.4861111111111111</v>
      </c>
      <c r="I78" s="1637">
        <v>360</v>
      </c>
      <c r="J78" s="1476" t="s">
        <v>4618</v>
      </c>
      <c r="K78" s="1476" t="s">
        <v>119</v>
      </c>
      <c r="L78" s="1480" t="s">
        <v>17</v>
      </c>
    </row>
    <row r="79" spans="1:12" ht="58.4" customHeight="1" x14ac:dyDescent="0.35">
      <c r="A79" s="1496">
        <v>43748</v>
      </c>
      <c r="B79" s="1497" t="s">
        <v>4660</v>
      </c>
      <c r="C79" s="1497" t="s">
        <v>4663</v>
      </c>
      <c r="D79" s="1498">
        <v>43750</v>
      </c>
      <c r="E79" s="1499" t="s">
        <v>4661</v>
      </c>
      <c r="F79" s="1500">
        <v>0.44791666666666669</v>
      </c>
      <c r="G79" s="1500">
        <v>0.51388888888888895</v>
      </c>
      <c r="H79" s="1500">
        <v>0.51388888888888895</v>
      </c>
      <c r="I79" s="1637">
        <v>360</v>
      </c>
      <c r="J79" s="1476" t="s">
        <v>4662</v>
      </c>
      <c r="K79" s="1476" t="s">
        <v>15</v>
      </c>
      <c r="L79" s="1480" t="s">
        <v>17</v>
      </c>
    </row>
    <row r="80" spans="1:12" ht="72.650000000000006" customHeight="1" x14ac:dyDescent="0.35">
      <c r="A80" s="1270">
        <v>43730</v>
      </c>
      <c r="B80" s="1271" t="s">
        <v>4350</v>
      </c>
      <c r="C80" s="819" t="s">
        <v>4619</v>
      </c>
      <c r="D80" s="1272">
        <v>43751</v>
      </c>
      <c r="E80" s="867" t="s">
        <v>4615</v>
      </c>
      <c r="F80" s="1266">
        <v>0.58333333333333337</v>
      </c>
      <c r="G80" s="1266">
        <v>0.70833333333333337</v>
      </c>
      <c r="H80" s="1266">
        <v>0.70833333333333337</v>
      </c>
      <c r="I80" s="1642">
        <f>450+105</f>
        <v>555</v>
      </c>
      <c r="J80" s="826" t="s">
        <v>4620</v>
      </c>
      <c r="K80" s="1482" t="s">
        <v>119</v>
      </c>
      <c r="L80" s="1265" t="s">
        <v>17</v>
      </c>
    </row>
    <row r="81" spans="1:12" ht="58.4" customHeight="1" x14ac:dyDescent="0.35">
      <c r="A81" s="1465">
        <v>43745</v>
      </c>
      <c r="B81" s="1466" t="s">
        <v>25</v>
      </c>
      <c r="C81" s="826" t="s">
        <v>4607</v>
      </c>
      <c r="D81" s="1467">
        <v>43751</v>
      </c>
      <c r="E81" s="872" t="s">
        <v>4478</v>
      </c>
      <c r="F81" s="865">
        <v>0.58333333333333337</v>
      </c>
      <c r="G81" s="1470">
        <v>0.66666666666666663</v>
      </c>
      <c r="H81" s="1470">
        <v>0.66666666666666663</v>
      </c>
      <c r="I81" s="1632">
        <v>300</v>
      </c>
      <c r="J81" s="826" t="s">
        <v>4608</v>
      </c>
      <c r="K81" s="1482" t="s">
        <v>119</v>
      </c>
      <c r="L81" s="829" t="s">
        <v>17</v>
      </c>
    </row>
    <row r="82" spans="1:12" ht="43.5" customHeight="1" x14ac:dyDescent="0.35">
      <c r="A82" s="1472">
        <v>43746</v>
      </c>
      <c r="B82" s="826" t="s">
        <v>4632</v>
      </c>
      <c r="C82" s="826" t="s">
        <v>4633</v>
      </c>
      <c r="D82" s="1737">
        <v>43751</v>
      </c>
      <c r="E82" s="1744" t="s">
        <v>4634</v>
      </c>
      <c r="F82" s="1751">
        <v>0.58333333333333337</v>
      </c>
      <c r="G82" s="1751">
        <v>0.6875</v>
      </c>
      <c r="H82" s="1751">
        <v>0.6875</v>
      </c>
      <c r="I82" s="1763">
        <v>520</v>
      </c>
      <c r="J82" s="826" t="s">
        <v>4608</v>
      </c>
      <c r="K82" s="1482" t="s">
        <v>119</v>
      </c>
      <c r="L82" s="829" t="s">
        <v>22</v>
      </c>
    </row>
    <row r="83" spans="1:12" ht="72.650000000000006" customHeight="1" x14ac:dyDescent="0.35">
      <c r="A83" s="1475">
        <v>43747</v>
      </c>
      <c r="B83" s="1476" t="s">
        <v>4641</v>
      </c>
      <c r="C83" s="1476" t="s">
        <v>4692</v>
      </c>
      <c r="D83" s="1477">
        <v>43751</v>
      </c>
      <c r="E83" s="1478" t="s">
        <v>4642</v>
      </c>
      <c r="F83" s="1481">
        <v>0.58333333333333337</v>
      </c>
      <c r="G83" s="1481">
        <v>0.625</v>
      </c>
      <c r="H83" s="1481">
        <v>0.625</v>
      </c>
      <c r="I83" s="1637">
        <v>40</v>
      </c>
      <c r="J83" s="1476" t="s">
        <v>257</v>
      </c>
      <c r="K83" s="1482" t="s">
        <v>119</v>
      </c>
      <c r="L83" s="1480" t="s">
        <v>17</v>
      </c>
    </row>
    <row r="84" spans="1:12" ht="68.900000000000006" customHeight="1" x14ac:dyDescent="0.35">
      <c r="A84" s="1509">
        <v>43748</v>
      </c>
      <c r="B84" s="1482" t="s">
        <v>20</v>
      </c>
      <c r="C84" s="1482" t="s">
        <v>4668</v>
      </c>
      <c r="D84" s="1510">
        <v>43751</v>
      </c>
      <c r="E84" s="1489" t="s">
        <v>20</v>
      </c>
      <c r="F84" s="1482" t="s">
        <v>15</v>
      </c>
      <c r="G84" s="1482" t="s">
        <v>15</v>
      </c>
      <c r="H84" s="1482" t="s">
        <v>15</v>
      </c>
      <c r="I84" s="1639">
        <v>0</v>
      </c>
      <c r="J84" s="1482" t="s">
        <v>15</v>
      </c>
      <c r="K84" s="1482" t="s">
        <v>15</v>
      </c>
      <c r="L84" s="1492" t="s">
        <v>17</v>
      </c>
    </row>
    <row r="85" spans="1:12" ht="68.900000000000006" customHeight="1" x14ac:dyDescent="0.35">
      <c r="A85" s="1509">
        <v>43749</v>
      </c>
      <c r="B85" s="1482" t="s">
        <v>4687</v>
      </c>
      <c r="C85" s="1482" t="s">
        <v>4688</v>
      </c>
      <c r="D85" s="1510">
        <v>43751</v>
      </c>
      <c r="E85" s="1489" t="s">
        <v>4689</v>
      </c>
      <c r="F85" s="1495">
        <v>0.58333333333333337</v>
      </c>
      <c r="G85" s="1495">
        <v>0.75</v>
      </c>
      <c r="H85" s="1495">
        <v>0.75</v>
      </c>
      <c r="I85" s="1639">
        <v>0</v>
      </c>
      <c r="J85" s="1482" t="s">
        <v>4690</v>
      </c>
      <c r="K85" s="1482" t="s">
        <v>119</v>
      </c>
      <c r="L85" s="1492" t="s">
        <v>22</v>
      </c>
    </row>
    <row r="86" spans="1:12" ht="43.5" customHeight="1" x14ac:dyDescent="0.35">
      <c r="A86" s="1475">
        <v>43751</v>
      </c>
      <c r="B86" s="1476" t="s">
        <v>4483</v>
      </c>
      <c r="C86" s="1476" t="s">
        <v>4693</v>
      </c>
      <c r="D86" s="1477">
        <v>43751</v>
      </c>
      <c r="E86" s="1478" t="s">
        <v>4694</v>
      </c>
      <c r="F86" s="1481">
        <v>0.41666666666666669</v>
      </c>
      <c r="G86" s="1481">
        <v>0.4375</v>
      </c>
      <c r="H86" s="1481">
        <v>0.4375</v>
      </c>
      <c r="I86" s="1636">
        <v>0</v>
      </c>
      <c r="J86" s="1476" t="s">
        <v>4285</v>
      </c>
      <c r="K86" s="1476" t="s">
        <v>119</v>
      </c>
      <c r="L86" s="1480" t="s">
        <v>17</v>
      </c>
    </row>
    <row r="87" spans="1:12" ht="58.4" customHeight="1" x14ac:dyDescent="0.35">
      <c r="A87" s="1472">
        <v>43746</v>
      </c>
      <c r="B87" s="826" t="s">
        <v>4630</v>
      </c>
      <c r="C87" s="828" t="s">
        <v>4635</v>
      </c>
      <c r="D87" s="1737">
        <v>43752</v>
      </c>
      <c r="E87" s="1744" t="s">
        <v>4631</v>
      </c>
      <c r="F87" s="1751">
        <v>0.54166666666666663</v>
      </c>
      <c r="G87" s="1751">
        <v>0.54166666666666663</v>
      </c>
      <c r="H87" s="1751">
        <v>0.625</v>
      </c>
      <c r="I87" s="1763">
        <v>200</v>
      </c>
      <c r="J87" s="826" t="s">
        <v>257</v>
      </c>
      <c r="K87" s="826" t="s">
        <v>140</v>
      </c>
      <c r="L87" s="829" t="s">
        <v>22</v>
      </c>
    </row>
    <row r="88" spans="1:12" ht="116.15" customHeight="1" x14ac:dyDescent="0.35">
      <c r="A88" s="825">
        <v>43749</v>
      </c>
      <c r="B88" s="826" t="s">
        <v>4678</v>
      </c>
      <c r="C88" s="826" t="s">
        <v>4679</v>
      </c>
      <c r="D88" s="827">
        <v>43752</v>
      </c>
      <c r="E88" s="872" t="s">
        <v>4680</v>
      </c>
      <c r="F88" s="865">
        <v>0.54166666666666663</v>
      </c>
      <c r="G88" s="865">
        <v>0.625</v>
      </c>
      <c r="H88" s="865">
        <v>0.6875</v>
      </c>
      <c r="I88" s="1386">
        <v>0</v>
      </c>
      <c r="J88" s="826" t="s">
        <v>4681</v>
      </c>
      <c r="K88" s="826" t="s">
        <v>140</v>
      </c>
      <c r="L88" s="829" t="s">
        <v>17</v>
      </c>
    </row>
    <row r="89" spans="1:12" ht="43.5" customHeight="1" x14ac:dyDescent="0.35">
      <c r="A89" s="925">
        <v>43700</v>
      </c>
      <c r="B89" s="874" t="s">
        <v>3819</v>
      </c>
      <c r="C89" s="874" t="s">
        <v>4712</v>
      </c>
      <c r="D89" s="981">
        <v>43753</v>
      </c>
      <c r="E89" s="874" t="s">
        <v>3820</v>
      </c>
      <c r="F89" s="1016">
        <v>0.39583333333333331</v>
      </c>
      <c r="G89" s="1016">
        <v>0.41666666666666669</v>
      </c>
      <c r="H89" s="1016">
        <v>0.41666666666666669</v>
      </c>
      <c r="I89" s="1643">
        <v>0</v>
      </c>
      <c r="J89" s="874" t="s">
        <v>911</v>
      </c>
      <c r="K89" s="1514" t="s">
        <v>119</v>
      </c>
      <c r="L89" s="875" t="s">
        <v>17</v>
      </c>
    </row>
    <row r="90" spans="1:12" ht="130.5" customHeight="1" x14ac:dyDescent="0.35">
      <c r="A90" s="1496">
        <v>43748</v>
      </c>
      <c r="B90" s="1497" t="s">
        <v>4666</v>
      </c>
      <c r="C90" s="1497" t="s">
        <v>4667</v>
      </c>
      <c r="D90" s="1498">
        <v>43753</v>
      </c>
      <c r="E90" s="1499" t="s">
        <v>4665</v>
      </c>
      <c r="F90" s="1500">
        <v>0.4375</v>
      </c>
      <c r="G90" s="1500">
        <v>0.5</v>
      </c>
      <c r="H90" s="1500">
        <v>0.5</v>
      </c>
      <c r="I90" s="1636">
        <v>0</v>
      </c>
      <c r="J90" s="826" t="s">
        <v>4742</v>
      </c>
      <c r="K90" s="1514" t="s">
        <v>119</v>
      </c>
      <c r="L90" s="1480" t="s">
        <v>17</v>
      </c>
    </row>
    <row r="91" spans="1:12" ht="43.5" customHeight="1" x14ac:dyDescent="0.35">
      <c r="A91" s="1509">
        <v>43751</v>
      </c>
      <c r="B91" s="1482" t="s">
        <v>4483</v>
      </c>
      <c r="C91" s="1482" t="s">
        <v>4713</v>
      </c>
      <c r="D91" s="1510">
        <v>43753</v>
      </c>
      <c r="E91" s="1489" t="s">
        <v>262</v>
      </c>
      <c r="F91" s="1495">
        <v>0.4375</v>
      </c>
      <c r="G91" s="1495">
        <v>0.54166666666666663</v>
      </c>
      <c r="H91" s="1495">
        <v>0.54166666666666663</v>
      </c>
      <c r="I91" s="1639">
        <v>0</v>
      </c>
      <c r="J91" s="817" t="s">
        <v>911</v>
      </c>
      <c r="K91" s="1514" t="s">
        <v>119</v>
      </c>
      <c r="L91" s="839" t="s">
        <v>17</v>
      </c>
    </row>
    <row r="92" spans="1:12" ht="43.5" customHeight="1" x14ac:dyDescent="0.35">
      <c r="A92" s="1509">
        <v>43752</v>
      </c>
      <c r="B92" s="1482" t="s">
        <v>4714</v>
      </c>
      <c r="C92" s="1482" t="s">
        <v>4715</v>
      </c>
      <c r="D92" s="1510">
        <v>43753</v>
      </c>
      <c r="E92" s="1489" t="s">
        <v>4716</v>
      </c>
      <c r="F92" s="1495">
        <v>0.4375</v>
      </c>
      <c r="G92" s="1495">
        <v>0.45833333333333331</v>
      </c>
      <c r="H92" s="1495">
        <v>0.45833333333333331</v>
      </c>
      <c r="I92" s="1639">
        <v>0</v>
      </c>
      <c r="J92" s="1514" t="s">
        <v>4717</v>
      </c>
      <c r="K92" s="1514" t="s">
        <v>119</v>
      </c>
      <c r="L92" s="1718" t="s">
        <v>17</v>
      </c>
    </row>
    <row r="93" spans="1:12" ht="101.9" customHeight="1" x14ac:dyDescent="0.35">
      <c r="A93" s="1683">
        <v>43752</v>
      </c>
      <c r="B93" s="874" t="s">
        <v>4704</v>
      </c>
      <c r="C93" s="1511" t="s">
        <v>4705</v>
      </c>
      <c r="D93" s="1512">
        <v>43753</v>
      </c>
      <c r="E93" s="1511" t="s">
        <v>4706</v>
      </c>
      <c r="F93" s="1513">
        <v>0.4375</v>
      </c>
      <c r="G93" s="1513">
        <v>0.47916666666666669</v>
      </c>
      <c r="H93" s="1513">
        <v>0.47916666666666669</v>
      </c>
      <c r="I93" s="1637">
        <v>480</v>
      </c>
      <c r="J93" s="874" t="s">
        <v>4707</v>
      </c>
      <c r="K93" s="1514" t="s">
        <v>119</v>
      </c>
      <c r="L93" s="875" t="s">
        <v>22</v>
      </c>
    </row>
    <row r="94" spans="1:12" ht="43.5" customHeight="1" x14ac:dyDescent="0.35">
      <c r="A94" s="1509">
        <v>43752</v>
      </c>
      <c r="B94" s="1482" t="s">
        <v>450</v>
      </c>
      <c r="C94" s="1482" t="s">
        <v>4720</v>
      </c>
      <c r="D94" s="1510">
        <v>43753</v>
      </c>
      <c r="E94" s="1489" t="s">
        <v>4718</v>
      </c>
      <c r="F94" s="1495">
        <v>0.625</v>
      </c>
      <c r="G94" s="1495">
        <v>0.69791666666666663</v>
      </c>
      <c r="H94" s="1495">
        <v>0.69791666666666663</v>
      </c>
      <c r="I94" s="1639">
        <v>0</v>
      </c>
      <c r="J94" s="1514" t="s">
        <v>4719</v>
      </c>
      <c r="K94" s="1514" t="s">
        <v>119</v>
      </c>
      <c r="L94" s="1718" t="s">
        <v>17</v>
      </c>
    </row>
    <row r="95" spans="1:12" ht="29.15" customHeight="1" x14ac:dyDescent="0.35">
      <c r="A95" s="1475">
        <v>43752</v>
      </c>
      <c r="B95" s="1476" t="s">
        <v>3642</v>
      </c>
      <c r="C95" s="1476" t="s">
        <v>4695</v>
      </c>
      <c r="D95" s="1477">
        <v>43753</v>
      </c>
      <c r="E95" s="1478" t="s">
        <v>1554</v>
      </c>
      <c r="F95" s="1481">
        <v>0.625</v>
      </c>
      <c r="G95" s="1481">
        <v>0.75</v>
      </c>
      <c r="H95" s="1481">
        <v>0.75</v>
      </c>
      <c r="I95" s="1636">
        <f>1.6*120</f>
        <v>192</v>
      </c>
      <c r="J95" s="1476" t="s">
        <v>4696</v>
      </c>
      <c r="K95" s="1514" t="s">
        <v>119</v>
      </c>
      <c r="L95" s="829" t="s">
        <v>17</v>
      </c>
    </row>
    <row r="96" spans="1:12" ht="72.650000000000006" customHeight="1" x14ac:dyDescent="0.35">
      <c r="A96" s="1509">
        <v>43752</v>
      </c>
      <c r="B96" s="1482" t="s">
        <v>4697</v>
      </c>
      <c r="C96" s="1482" t="s">
        <v>4699</v>
      </c>
      <c r="D96" s="1510">
        <v>43753</v>
      </c>
      <c r="E96" s="1489" t="s">
        <v>4698</v>
      </c>
      <c r="F96" s="1495">
        <v>0.625</v>
      </c>
      <c r="G96" s="1495">
        <v>0.79166666666666663</v>
      </c>
      <c r="H96" s="1495">
        <v>0.79166666666666663</v>
      </c>
      <c r="I96" s="1639">
        <f>12*9+45*3</f>
        <v>243</v>
      </c>
      <c r="J96" s="1482" t="s">
        <v>4696</v>
      </c>
      <c r="K96" s="1514" t="s">
        <v>119</v>
      </c>
      <c r="L96" s="807" t="s">
        <v>17</v>
      </c>
    </row>
    <row r="97" spans="1:12" ht="159.65" customHeight="1" x14ac:dyDescent="0.35">
      <c r="A97" s="825">
        <v>43749</v>
      </c>
      <c r="B97" s="826" t="s">
        <v>4292</v>
      </c>
      <c r="C97" s="826" t="s">
        <v>4746</v>
      </c>
      <c r="D97" s="827">
        <v>43754</v>
      </c>
      <c r="E97" s="872" t="s">
        <v>4682</v>
      </c>
      <c r="F97" s="865">
        <v>0.54166666666666663</v>
      </c>
      <c r="G97" s="865">
        <v>0.60416666666666663</v>
      </c>
      <c r="H97" s="865">
        <v>0.625</v>
      </c>
      <c r="I97" s="1641">
        <v>660</v>
      </c>
      <c r="J97" s="826" t="s">
        <v>4747</v>
      </c>
      <c r="K97" s="1476" t="s">
        <v>140</v>
      </c>
      <c r="L97" s="829" t="s">
        <v>17</v>
      </c>
    </row>
    <row r="98" spans="1:12" ht="58.4" customHeight="1" x14ac:dyDescent="0.35">
      <c r="A98" s="825">
        <v>43753</v>
      </c>
      <c r="B98" s="826" t="s">
        <v>4738</v>
      </c>
      <c r="C98" s="826" t="s">
        <v>4736</v>
      </c>
      <c r="D98" s="827">
        <v>43754</v>
      </c>
      <c r="E98" s="872" t="s">
        <v>4737</v>
      </c>
      <c r="F98" s="865">
        <v>0.43055555555555558</v>
      </c>
      <c r="G98" s="865">
        <v>0.45833333333333331</v>
      </c>
      <c r="H98" s="865">
        <v>0.45833333333333331</v>
      </c>
      <c r="I98" s="1386">
        <v>0</v>
      </c>
      <c r="J98" s="826" t="s">
        <v>4735</v>
      </c>
      <c r="K98" s="1476" t="s">
        <v>140</v>
      </c>
      <c r="L98" s="829" t="s">
        <v>1508</v>
      </c>
    </row>
    <row r="99" spans="1:12" ht="29.15" customHeight="1" x14ac:dyDescent="0.35">
      <c r="A99" s="1475">
        <v>43753</v>
      </c>
      <c r="B99" s="1476" t="s">
        <v>1877</v>
      </c>
      <c r="C99" s="1476" t="s">
        <v>4729</v>
      </c>
      <c r="D99" s="1477">
        <v>43754</v>
      </c>
      <c r="E99" s="1478" t="s">
        <v>576</v>
      </c>
      <c r="F99" s="1481">
        <v>0.43055555555555558</v>
      </c>
      <c r="G99" s="1481">
        <v>0.5</v>
      </c>
      <c r="H99" s="1481">
        <v>0.5</v>
      </c>
      <c r="I99" s="1636">
        <v>0</v>
      </c>
      <c r="J99" s="1476" t="s">
        <v>289</v>
      </c>
      <c r="K99" s="1476" t="s">
        <v>140</v>
      </c>
      <c r="L99" s="1480" t="s">
        <v>17</v>
      </c>
    </row>
    <row r="100" spans="1:12" ht="43.5" customHeight="1" x14ac:dyDescent="0.35">
      <c r="A100" s="825">
        <v>43753</v>
      </c>
      <c r="B100" s="826" t="s">
        <v>4743</v>
      </c>
      <c r="C100" s="826" t="s">
        <v>4744</v>
      </c>
      <c r="D100" s="827">
        <v>43754</v>
      </c>
      <c r="E100" s="872" t="s">
        <v>129</v>
      </c>
      <c r="F100" s="865">
        <v>0.54166666666666663</v>
      </c>
      <c r="G100" s="865">
        <v>0.5625</v>
      </c>
      <c r="H100" s="865">
        <v>0.58333333333333337</v>
      </c>
      <c r="I100" s="1386">
        <v>0</v>
      </c>
      <c r="J100" s="826" t="s">
        <v>4745</v>
      </c>
      <c r="K100" s="1476" t="s">
        <v>140</v>
      </c>
      <c r="L100" s="829" t="s">
        <v>17</v>
      </c>
    </row>
    <row r="101" spans="1:12" ht="29.15" customHeight="1" x14ac:dyDescent="0.35">
      <c r="A101" s="1255">
        <v>43724</v>
      </c>
      <c r="B101" s="1285" t="s">
        <v>20</v>
      </c>
      <c r="C101" s="1285" t="s">
        <v>4227</v>
      </c>
      <c r="D101" s="1286">
        <v>43755</v>
      </c>
      <c r="E101" s="1285" t="s">
        <v>20</v>
      </c>
      <c r="F101" s="1285" t="s">
        <v>15</v>
      </c>
      <c r="G101" s="1285" t="s">
        <v>15</v>
      </c>
      <c r="H101" s="1285" t="s">
        <v>15</v>
      </c>
      <c r="I101" s="1644">
        <v>0</v>
      </c>
      <c r="J101" s="1285" t="s">
        <v>20</v>
      </c>
      <c r="K101" s="1482" t="s">
        <v>119</v>
      </c>
      <c r="L101" s="1289" t="s">
        <v>17</v>
      </c>
    </row>
    <row r="102" spans="1:12" ht="29.15" customHeight="1" x14ac:dyDescent="0.35">
      <c r="A102" s="1255">
        <v>43724</v>
      </c>
      <c r="B102" s="1285" t="s">
        <v>20</v>
      </c>
      <c r="C102" s="1285" t="s">
        <v>4228</v>
      </c>
      <c r="D102" s="1286">
        <v>43755</v>
      </c>
      <c r="E102" s="1285" t="s">
        <v>20</v>
      </c>
      <c r="F102" s="1285" t="s">
        <v>15</v>
      </c>
      <c r="G102" s="1285" t="s">
        <v>15</v>
      </c>
      <c r="H102" s="1285" t="s">
        <v>15</v>
      </c>
      <c r="I102" s="1644">
        <v>0</v>
      </c>
      <c r="J102" s="1285" t="s">
        <v>20</v>
      </c>
      <c r="K102" s="1482" t="s">
        <v>119</v>
      </c>
      <c r="L102" s="1289" t="s">
        <v>17</v>
      </c>
    </row>
    <row r="103" spans="1:12" ht="261" customHeight="1" x14ac:dyDescent="0.35">
      <c r="A103" s="1496">
        <v>43749</v>
      </c>
      <c r="B103" s="819" t="s">
        <v>4677</v>
      </c>
      <c r="C103" s="819" t="s">
        <v>4749</v>
      </c>
      <c r="D103" s="1498">
        <v>43755</v>
      </c>
      <c r="E103" s="867" t="s">
        <v>4753</v>
      </c>
      <c r="F103" s="1500">
        <v>0.27777777777777779</v>
      </c>
      <c r="G103" s="1500">
        <v>0.30208333333333331</v>
      </c>
      <c r="H103" s="1500">
        <v>0.30208333333333331</v>
      </c>
      <c r="I103" s="1636">
        <v>2620</v>
      </c>
      <c r="J103" s="1476" t="s">
        <v>4676</v>
      </c>
      <c r="K103" s="1482" t="s">
        <v>119</v>
      </c>
      <c r="L103" s="1476" t="s">
        <v>17</v>
      </c>
    </row>
    <row r="104" spans="1:12" ht="43.5" customHeight="1" x14ac:dyDescent="0.35">
      <c r="A104" s="1572">
        <v>43752</v>
      </c>
      <c r="B104" s="1515" t="s">
        <v>3808</v>
      </c>
      <c r="C104" s="1515" t="s">
        <v>4711</v>
      </c>
      <c r="D104" s="1516">
        <v>43755</v>
      </c>
      <c r="E104" s="1584" t="s">
        <v>4709</v>
      </c>
      <c r="F104" s="1517">
        <v>0.58333333333333337</v>
      </c>
      <c r="G104" s="1517">
        <v>0.60416666666666663</v>
      </c>
      <c r="H104" s="1517">
        <v>0.625</v>
      </c>
      <c r="I104" s="1636">
        <f>2*120</f>
        <v>240</v>
      </c>
      <c r="J104" s="1476" t="s">
        <v>4710</v>
      </c>
      <c r="K104" s="1482" t="s">
        <v>119</v>
      </c>
      <c r="L104" s="1480" t="s">
        <v>17</v>
      </c>
    </row>
    <row r="105" spans="1:12" ht="29.15" customHeight="1" x14ac:dyDescent="0.35">
      <c r="A105" s="1475">
        <v>43753</v>
      </c>
      <c r="B105" s="1476" t="s">
        <v>20</v>
      </c>
      <c r="C105" s="1476" t="s">
        <v>4727</v>
      </c>
      <c r="D105" s="1477">
        <v>43755</v>
      </c>
      <c r="E105" s="1478" t="s">
        <v>20</v>
      </c>
      <c r="F105" s="1476" t="s">
        <v>15</v>
      </c>
      <c r="G105" s="1476" t="s">
        <v>15</v>
      </c>
      <c r="H105" s="1476" t="s">
        <v>15</v>
      </c>
      <c r="I105" s="1636">
        <v>0</v>
      </c>
      <c r="J105" s="1242" t="s">
        <v>20</v>
      </c>
      <c r="K105" s="1482" t="s">
        <v>119</v>
      </c>
      <c r="L105" s="1480" t="s">
        <v>17</v>
      </c>
    </row>
    <row r="106" spans="1:12" ht="29.15" customHeight="1" x14ac:dyDescent="0.35">
      <c r="A106" s="825">
        <v>43753</v>
      </c>
      <c r="B106" s="826" t="s">
        <v>20</v>
      </c>
      <c r="C106" s="826" t="s">
        <v>4733</v>
      </c>
      <c r="D106" s="827">
        <v>43755</v>
      </c>
      <c r="E106" s="872" t="s">
        <v>20</v>
      </c>
      <c r="F106" s="826" t="s">
        <v>15</v>
      </c>
      <c r="G106" s="826" t="s">
        <v>15</v>
      </c>
      <c r="H106" s="826" t="s">
        <v>15</v>
      </c>
      <c r="I106" s="1386">
        <v>0</v>
      </c>
      <c r="J106" s="1242" t="s">
        <v>20</v>
      </c>
      <c r="K106" s="1482" t="s">
        <v>119</v>
      </c>
      <c r="L106" s="829" t="s">
        <v>17</v>
      </c>
    </row>
    <row r="107" spans="1:12" ht="29.15" customHeight="1" x14ac:dyDescent="0.35">
      <c r="A107" s="1475">
        <v>43753</v>
      </c>
      <c r="B107" s="1476" t="s">
        <v>1877</v>
      </c>
      <c r="C107" s="1476" t="s">
        <v>4729</v>
      </c>
      <c r="D107" s="1477">
        <v>43756</v>
      </c>
      <c r="E107" s="1478" t="s">
        <v>576</v>
      </c>
      <c r="F107" s="1481">
        <v>0.41666666666666669</v>
      </c>
      <c r="G107" s="1481">
        <v>0.45833333333333331</v>
      </c>
      <c r="H107" s="1481">
        <v>0.45833333333333331</v>
      </c>
      <c r="I107" s="1636">
        <v>0</v>
      </c>
      <c r="J107" s="1476" t="s">
        <v>289</v>
      </c>
      <c r="K107" s="1476" t="s">
        <v>140</v>
      </c>
      <c r="L107" s="1480" t="s">
        <v>17</v>
      </c>
    </row>
    <row r="108" spans="1:12" ht="58.4" customHeight="1" x14ac:dyDescent="0.35">
      <c r="A108" s="1453">
        <v>43753</v>
      </c>
      <c r="B108" s="5" t="s">
        <v>4770</v>
      </c>
      <c r="C108" s="5" t="s">
        <v>4771</v>
      </c>
      <c r="D108" s="908">
        <v>43756</v>
      </c>
      <c r="E108" s="824" t="s">
        <v>290</v>
      </c>
      <c r="F108" s="6">
        <v>0.41666666666666669</v>
      </c>
      <c r="G108" s="6">
        <v>0.5</v>
      </c>
      <c r="H108" s="6">
        <v>0.5</v>
      </c>
      <c r="I108" s="1636">
        <v>0</v>
      </c>
      <c r="J108" s="1476" t="s">
        <v>289</v>
      </c>
      <c r="K108" s="5" t="s">
        <v>140</v>
      </c>
      <c r="L108" s="1480" t="s">
        <v>17</v>
      </c>
    </row>
    <row r="109" spans="1:12" ht="43.5" customHeight="1" x14ac:dyDescent="0.35">
      <c r="A109" s="1666">
        <v>43754</v>
      </c>
      <c r="B109" s="5" t="s">
        <v>4653</v>
      </c>
      <c r="C109" s="5" t="s">
        <v>4752</v>
      </c>
      <c r="D109" s="1668">
        <v>43756</v>
      </c>
      <c r="E109" s="1670" t="s">
        <v>4751</v>
      </c>
      <c r="F109" s="1671">
        <v>0.41666666666666669</v>
      </c>
      <c r="G109" s="6">
        <v>0.54166666666666663</v>
      </c>
      <c r="H109" s="1671">
        <v>0.54166666666666663</v>
      </c>
      <c r="I109" s="1673">
        <v>300</v>
      </c>
      <c r="J109" s="5" t="s">
        <v>257</v>
      </c>
      <c r="K109" s="5" t="s">
        <v>140</v>
      </c>
      <c r="L109" s="807" t="s">
        <v>22</v>
      </c>
    </row>
    <row r="110" spans="1:12" ht="58.4" customHeight="1" x14ac:dyDescent="0.35">
      <c r="A110" s="1453">
        <v>43756</v>
      </c>
      <c r="B110" s="5" t="s">
        <v>4573</v>
      </c>
      <c r="C110" s="5" t="s">
        <v>487</v>
      </c>
      <c r="D110" s="1461">
        <v>43756</v>
      </c>
      <c r="E110" s="824" t="s">
        <v>4570</v>
      </c>
      <c r="F110" s="865"/>
      <c r="G110" s="1452">
        <v>0.66666666666666663</v>
      </c>
      <c r="H110" s="1452">
        <v>0.79166666666666663</v>
      </c>
      <c r="I110" s="1645">
        <v>99</v>
      </c>
      <c r="J110" s="7" t="s">
        <v>4572</v>
      </c>
      <c r="K110" s="5"/>
      <c r="L110" s="807" t="s">
        <v>22</v>
      </c>
    </row>
    <row r="111" spans="1:12" ht="29.15" customHeight="1" x14ac:dyDescent="0.35">
      <c r="A111" s="1560">
        <v>43756</v>
      </c>
      <c r="B111" s="1561" t="s">
        <v>20</v>
      </c>
      <c r="C111" s="1561" t="s">
        <v>4772</v>
      </c>
      <c r="D111" s="1562">
        <v>43756</v>
      </c>
      <c r="E111" s="1563" t="s">
        <v>20</v>
      </c>
      <c r="F111" s="1561" t="s">
        <v>15</v>
      </c>
      <c r="G111" s="1561" t="s">
        <v>15</v>
      </c>
      <c r="H111" s="1561" t="s">
        <v>15</v>
      </c>
      <c r="I111" s="1674" t="s">
        <v>15</v>
      </c>
      <c r="J111" s="1561" t="s">
        <v>15</v>
      </c>
      <c r="K111" s="1561" t="s">
        <v>15</v>
      </c>
      <c r="L111" s="1564" t="s">
        <v>15</v>
      </c>
    </row>
    <row r="112" spans="1:12" ht="29.15" customHeight="1" x14ac:dyDescent="0.35">
      <c r="A112" s="1560">
        <v>43756</v>
      </c>
      <c r="B112" s="1561" t="s">
        <v>20</v>
      </c>
      <c r="C112" s="1561" t="s">
        <v>4773</v>
      </c>
      <c r="D112" s="1562">
        <v>43756</v>
      </c>
      <c r="E112" s="1563" t="s">
        <v>20</v>
      </c>
      <c r="F112" s="1561" t="s">
        <v>15</v>
      </c>
      <c r="G112" s="1561" t="s">
        <v>15</v>
      </c>
      <c r="H112" s="1561" t="s">
        <v>15</v>
      </c>
      <c r="I112" s="1646" t="s">
        <v>15</v>
      </c>
      <c r="J112" s="1561" t="s">
        <v>15</v>
      </c>
      <c r="K112" s="1561" t="s">
        <v>15</v>
      </c>
      <c r="L112" s="1564" t="s">
        <v>15</v>
      </c>
    </row>
    <row r="113" spans="1:12" ht="319.39999999999998" customHeight="1" x14ac:dyDescent="0.35">
      <c r="A113" s="1282">
        <v>43724</v>
      </c>
      <c r="B113" s="1283" t="s">
        <v>4220</v>
      </c>
      <c r="C113" s="10" t="s">
        <v>4748</v>
      </c>
      <c r="D113" s="1284">
        <v>43757</v>
      </c>
      <c r="E113" s="1571" t="s">
        <v>4792</v>
      </c>
      <c r="F113" s="12">
        <v>0.375</v>
      </c>
      <c r="G113" s="1582">
        <v>0.45833333333333331</v>
      </c>
      <c r="H113" s="1582">
        <v>0.45833333333333331</v>
      </c>
      <c r="I113" s="1644">
        <f>181*65*100/1000+400+50*3*4.76+70*3.5*4.76</f>
        <v>3456.7</v>
      </c>
      <c r="J113" s="1771" t="s">
        <v>4223</v>
      </c>
      <c r="K113" s="5" t="s">
        <v>140</v>
      </c>
      <c r="L113" s="807" t="s">
        <v>17</v>
      </c>
    </row>
    <row r="114" spans="1:12" ht="232.4" customHeight="1" x14ac:dyDescent="0.35">
      <c r="A114" s="1349">
        <v>43738</v>
      </c>
      <c r="B114" s="976" t="s">
        <v>4760</v>
      </c>
      <c r="C114" s="976" t="s">
        <v>4775</v>
      </c>
      <c r="D114" s="1401">
        <v>43757</v>
      </c>
      <c r="E114" s="1745" t="s">
        <v>4793</v>
      </c>
      <c r="F114" s="913">
        <v>0.70138888888888884</v>
      </c>
      <c r="G114" s="913">
        <v>0.75</v>
      </c>
      <c r="H114" s="913">
        <v>0.75</v>
      </c>
      <c r="I114" s="1386" t="s">
        <v>4721</v>
      </c>
      <c r="J114" s="915" t="s">
        <v>4722</v>
      </c>
      <c r="K114" s="828" t="s">
        <v>140</v>
      </c>
      <c r="L114" s="1676" t="s">
        <v>22</v>
      </c>
    </row>
    <row r="115" spans="1:12" ht="217.5" customHeight="1" x14ac:dyDescent="0.35">
      <c r="A115" s="1501">
        <v>43739</v>
      </c>
      <c r="B115" s="1479" t="s">
        <v>4558</v>
      </c>
      <c r="C115" s="1479" t="s">
        <v>4730</v>
      </c>
      <c r="D115" s="1508">
        <v>43757</v>
      </c>
      <c r="E115" s="1493" t="s">
        <v>4797</v>
      </c>
      <c r="F115" s="902">
        <v>0.51388888888888895</v>
      </c>
      <c r="G115" s="902">
        <v>0.64583333333333337</v>
      </c>
      <c r="H115" s="902">
        <v>0.64583333333333337</v>
      </c>
      <c r="I115" s="1636">
        <f>3.5*80*4.76</f>
        <v>1332.8</v>
      </c>
      <c r="J115" s="1583" t="s">
        <v>3874</v>
      </c>
      <c r="K115" s="826" t="s">
        <v>140</v>
      </c>
      <c r="L115" s="1480" t="s">
        <v>17</v>
      </c>
    </row>
    <row r="116" spans="1:12" ht="130.5" customHeight="1" x14ac:dyDescent="0.35">
      <c r="A116" s="1724">
        <v>43739</v>
      </c>
      <c r="B116" s="976" t="s">
        <v>4509</v>
      </c>
      <c r="C116" s="819" t="s">
        <v>4756</v>
      </c>
      <c r="D116" s="1739">
        <v>43757</v>
      </c>
      <c r="E116" s="976" t="s">
        <v>4510</v>
      </c>
      <c r="F116" s="1754">
        <v>0.70138888888888884</v>
      </c>
      <c r="G116" s="1754">
        <v>0.83333333333333337</v>
      </c>
      <c r="H116" s="1754">
        <v>0.83333333333333337</v>
      </c>
      <c r="I116" s="1769">
        <v>1080</v>
      </c>
      <c r="J116" s="1277" t="s">
        <v>4754</v>
      </c>
      <c r="K116" s="874" t="s">
        <v>140</v>
      </c>
      <c r="L116" s="875" t="s">
        <v>22</v>
      </c>
    </row>
    <row r="117" spans="1:12" ht="203.15" customHeight="1" x14ac:dyDescent="0.35">
      <c r="A117" s="1720">
        <v>43752</v>
      </c>
      <c r="B117" s="1729" t="s">
        <v>4708</v>
      </c>
      <c r="C117" s="1733" t="s">
        <v>4750</v>
      </c>
      <c r="D117" s="1735">
        <v>43757</v>
      </c>
      <c r="E117" s="1571" t="s">
        <v>4796</v>
      </c>
      <c r="F117" s="1750">
        <v>0.51388888888888895</v>
      </c>
      <c r="G117" s="1756">
        <v>0.54166666666666663</v>
      </c>
      <c r="H117" s="1757">
        <v>0.54166666666666663</v>
      </c>
      <c r="I117" s="1639">
        <f>40*4.5*4.67+300</f>
        <v>1140.5999999999999</v>
      </c>
      <c r="J117" s="850" t="s">
        <v>4758</v>
      </c>
      <c r="K117" s="5" t="s">
        <v>140</v>
      </c>
      <c r="L117" s="1492" t="s">
        <v>17</v>
      </c>
    </row>
    <row r="118" spans="1:12" ht="130.5" customHeight="1" x14ac:dyDescent="0.35">
      <c r="A118" s="1496">
        <v>43753</v>
      </c>
      <c r="B118" s="819" t="s">
        <v>4728</v>
      </c>
      <c r="C118" s="1497" t="s">
        <v>4726</v>
      </c>
      <c r="D118" s="1498">
        <v>43757</v>
      </c>
      <c r="E118" s="867" t="s">
        <v>4757</v>
      </c>
      <c r="F118" s="913">
        <v>0.70138888888888884</v>
      </c>
      <c r="G118" s="1500">
        <v>0.72222222222222221</v>
      </c>
      <c r="H118" s="1500">
        <v>0.72222222222222221</v>
      </c>
      <c r="I118" s="1636">
        <v>300</v>
      </c>
      <c r="J118" s="915" t="s">
        <v>4795</v>
      </c>
      <c r="K118" s="826" t="s">
        <v>140</v>
      </c>
      <c r="L118" s="1480" t="s">
        <v>17</v>
      </c>
    </row>
    <row r="119" spans="1:12" ht="101.9" customHeight="1" x14ac:dyDescent="0.35">
      <c r="A119" s="1335">
        <v>43755</v>
      </c>
      <c r="B119" s="1329" t="s">
        <v>25</v>
      </c>
      <c r="C119" s="826" t="s">
        <v>4764</v>
      </c>
      <c r="D119" s="1330">
        <v>43757</v>
      </c>
      <c r="E119" s="872" t="s">
        <v>4478</v>
      </c>
      <c r="F119" s="865">
        <v>0.375</v>
      </c>
      <c r="G119" s="1334">
        <v>0.3888888888888889</v>
      </c>
      <c r="H119" s="1334">
        <v>0.39583333333333331</v>
      </c>
      <c r="I119" s="1619">
        <v>0</v>
      </c>
      <c r="J119" s="826" t="s">
        <v>4767</v>
      </c>
      <c r="K119" s="826" t="s">
        <v>140</v>
      </c>
      <c r="L119" s="1333" t="s">
        <v>17</v>
      </c>
    </row>
    <row r="120" spans="1:12" ht="101.9" customHeight="1" x14ac:dyDescent="0.35">
      <c r="A120" s="830">
        <v>43755</v>
      </c>
      <c r="B120" s="819" t="s">
        <v>4768</v>
      </c>
      <c r="C120" s="819" t="s">
        <v>4777</v>
      </c>
      <c r="D120" s="833">
        <v>43757</v>
      </c>
      <c r="E120" s="867" t="s">
        <v>4769</v>
      </c>
      <c r="F120" s="913">
        <v>0.375</v>
      </c>
      <c r="G120" s="913">
        <v>0.41666666666666669</v>
      </c>
      <c r="H120" s="913">
        <v>0.41666666666666669</v>
      </c>
      <c r="I120" s="1386">
        <v>320</v>
      </c>
      <c r="J120" s="850" t="s">
        <v>4776</v>
      </c>
      <c r="K120" s="7" t="s">
        <v>140</v>
      </c>
      <c r="L120" s="809" t="s">
        <v>17</v>
      </c>
    </row>
    <row r="121" spans="1:12" ht="217.5" customHeight="1" x14ac:dyDescent="0.35">
      <c r="A121" s="1726">
        <v>43755</v>
      </c>
      <c r="B121" s="1731" t="s">
        <v>131</v>
      </c>
      <c r="C121" s="10" t="s">
        <v>4759</v>
      </c>
      <c r="D121" s="1741">
        <v>43757</v>
      </c>
      <c r="E121" s="1748" t="s">
        <v>129</v>
      </c>
      <c r="F121" s="1755">
        <v>0.51388888888888895</v>
      </c>
      <c r="G121" s="1755">
        <v>0.60416666666666663</v>
      </c>
      <c r="H121" s="12">
        <v>0.60416666666666663</v>
      </c>
      <c r="I121" s="1770">
        <f>4*80*4.76+65*10</f>
        <v>2173.1999999999998</v>
      </c>
      <c r="J121" s="5" t="s">
        <v>4755</v>
      </c>
      <c r="K121" s="5" t="s">
        <v>140</v>
      </c>
      <c r="L121" s="1777" t="s">
        <v>17</v>
      </c>
    </row>
    <row r="122" spans="1:12" ht="58.4" customHeight="1" x14ac:dyDescent="0.35">
      <c r="A122" s="1560">
        <v>43743</v>
      </c>
      <c r="B122" s="1561" t="s">
        <v>4468</v>
      </c>
      <c r="C122" s="1561" t="s">
        <v>4805</v>
      </c>
      <c r="D122" s="1562">
        <v>43758</v>
      </c>
      <c r="E122" s="1563" t="s">
        <v>4468</v>
      </c>
      <c r="F122" s="1565">
        <v>0.54166666666666663</v>
      </c>
      <c r="G122" s="1565">
        <v>0.61111111111111105</v>
      </c>
      <c r="H122" s="1565">
        <v>0.61111111111111105</v>
      </c>
      <c r="I122" s="1646">
        <f>3*4*9</f>
        <v>108</v>
      </c>
      <c r="J122" s="1581" t="s">
        <v>4575</v>
      </c>
      <c r="K122" s="1573" t="s">
        <v>140</v>
      </c>
      <c r="L122" s="1579" t="s">
        <v>17</v>
      </c>
    </row>
    <row r="123" spans="1:12" ht="145.4" customHeight="1" x14ac:dyDescent="0.35">
      <c r="A123" s="1475">
        <v>43749</v>
      </c>
      <c r="B123" s="874" t="s">
        <v>4723</v>
      </c>
      <c r="C123" s="828" t="s">
        <v>4725</v>
      </c>
      <c r="D123" s="1512">
        <v>43758</v>
      </c>
      <c r="E123" s="1511" t="s">
        <v>4239</v>
      </c>
      <c r="F123" s="1513">
        <v>0.54166666666666663</v>
      </c>
      <c r="G123" s="1513">
        <v>0.58333333333333337</v>
      </c>
      <c r="H123" s="1513">
        <v>0.58333333333333337</v>
      </c>
      <c r="I123" s="1637">
        <v>480</v>
      </c>
      <c r="J123" s="1277" t="s">
        <v>4724</v>
      </c>
      <c r="K123" s="1514"/>
      <c r="L123" s="1718" t="s">
        <v>22</v>
      </c>
    </row>
    <row r="124" spans="1:12" ht="72.650000000000006" customHeight="1" x14ac:dyDescent="0.35">
      <c r="A124" s="830">
        <v>43753</v>
      </c>
      <c r="B124" s="819" t="s">
        <v>4731</v>
      </c>
      <c r="C124" s="819" t="s">
        <v>4732</v>
      </c>
      <c r="D124" s="833">
        <v>43758</v>
      </c>
      <c r="E124" s="867" t="s">
        <v>115</v>
      </c>
      <c r="F124" s="819" t="s">
        <v>15</v>
      </c>
      <c r="G124" s="913">
        <v>0.54166666666666663</v>
      </c>
      <c r="H124" s="913">
        <v>0.54166666666666663</v>
      </c>
      <c r="I124" s="1641">
        <f>65*3</f>
        <v>195</v>
      </c>
      <c r="J124" s="826" t="s">
        <v>4734</v>
      </c>
      <c r="K124" s="826" t="s">
        <v>15</v>
      </c>
      <c r="L124" s="829" t="s">
        <v>17</v>
      </c>
    </row>
    <row r="125" spans="1:12" ht="58.4" customHeight="1" x14ac:dyDescent="0.35">
      <c r="A125" s="884">
        <v>43755</v>
      </c>
      <c r="B125" s="828" t="s">
        <v>4763</v>
      </c>
      <c r="C125" s="828" t="s">
        <v>4761</v>
      </c>
      <c r="D125" s="1023">
        <v>43758</v>
      </c>
      <c r="E125" s="828" t="s">
        <v>4762</v>
      </c>
      <c r="F125" s="902">
        <v>0.45833333333333331</v>
      </c>
      <c r="G125" s="902">
        <v>0.5</v>
      </c>
      <c r="H125" s="902">
        <v>0.5</v>
      </c>
      <c r="I125" s="1386">
        <v>0</v>
      </c>
      <c r="J125" s="828" t="s">
        <v>4285</v>
      </c>
      <c r="K125" s="828" t="s">
        <v>140</v>
      </c>
      <c r="L125" s="868" t="s">
        <v>17</v>
      </c>
    </row>
    <row r="126" spans="1:12" ht="101.9" customHeight="1" x14ac:dyDescent="0.35">
      <c r="A126" s="825">
        <v>43755</v>
      </c>
      <c r="B126" s="826" t="s">
        <v>25</v>
      </c>
      <c r="C126" s="826" t="s">
        <v>4766</v>
      </c>
      <c r="D126" s="827">
        <v>43758</v>
      </c>
      <c r="E126" s="872" t="s">
        <v>4478</v>
      </c>
      <c r="F126" s="865">
        <v>0.54166666666666663</v>
      </c>
      <c r="G126" s="865">
        <v>0.63888888888888895</v>
      </c>
      <c r="H126" s="865">
        <v>0.63888888888888895</v>
      </c>
      <c r="I126" s="1641">
        <f>476*2</f>
        <v>952</v>
      </c>
      <c r="J126" s="826" t="s">
        <v>4765</v>
      </c>
      <c r="K126" s="826" t="s">
        <v>140</v>
      </c>
      <c r="L126" s="829" t="s">
        <v>17</v>
      </c>
    </row>
    <row r="127" spans="1:12" ht="145.4" customHeight="1" x14ac:dyDescent="0.35">
      <c r="A127" s="1566">
        <v>43756</v>
      </c>
      <c r="B127" s="819" t="s">
        <v>4774</v>
      </c>
      <c r="C127" s="1567" t="s">
        <v>4778</v>
      </c>
      <c r="D127" s="1568">
        <v>43758</v>
      </c>
      <c r="E127" s="1569" t="s">
        <v>4779</v>
      </c>
      <c r="F127" s="1570">
        <v>0.70833333333333337</v>
      </c>
      <c r="G127" s="1570">
        <v>0.72916666666666663</v>
      </c>
      <c r="H127" s="1570">
        <v>0.75</v>
      </c>
      <c r="I127" s="1647">
        <v>320</v>
      </c>
      <c r="J127" s="1561" t="s">
        <v>4806</v>
      </c>
      <c r="K127" s="1561" t="s">
        <v>140</v>
      </c>
      <c r="L127" s="1564" t="s">
        <v>17</v>
      </c>
    </row>
    <row r="128" spans="1:12" ht="58.4" customHeight="1" x14ac:dyDescent="0.35">
      <c r="A128" s="1566">
        <v>43756</v>
      </c>
      <c r="B128" s="1567" t="s">
        <v>4798</v>
      </c>
      <c r="C128" s="1567" t="s">
        <v>4789</v>
      </c>
      <c r="D128" s="1568">
        <v>43758</v>
      </c>
      <c r="E128" s="1569" t="s">
        <v>4790</v>
      </c>
      <c r="F128" s="1570">
        <v>0.79166666666666663</v>
      </c>
      <c r="G128" s="1570">
        <v>0.8125</v>
      </c>
      <c r="H128" s="1570">
        <v>0.8125</v>
      </c>
      <c r="I128" s="1647">
        <v>300</v>
      </c>
      <c r="J128" s="1561" t="s">
        <v>4791</v>
      </c>
      <c r="K128" s="1561" t="s">
        <v>140</v>
      </c>
      <c r="L128" s="1564" t="s">
        <v>17</v>
      </c>
    </row>
    <row r="129" spans="1:29" ht="14.9" customHeight="1" x14ac:dyDescent="0.35">
      <c r="A129" s="1560">
        <v>43757</v>
      </c>
      <c r="B129" s="1561" t="s">
        <v>4483</v>
      </c>
      <c r="C129" s="1561" t="s">
        <v>4801</v>
      </c>
      <c r="D129" s="1562">
        <v>43758</v>
      </c>
      <c r="E129" s="1563" t="s">
        <v>4802</v>
      </c>
      <c r="F129" s="1565">
        <v>0.41666666666666669</v>
      </c>
      <c r="G129" s="1565">
        <v>0.45833333333333331</v>
      </c>
      <c r="H129" s="1565">
        <v>0.45833333333333331</v>
      </c>
      <c r="I129" s="1646">
        <v>0</v>
      </c>
      <c r="J129" s="1561" t="s">
        <v>4285</v>
      </c>
      <c r="K129" s="1561" t="s">
        <v>15</v>
      </c>
      <c r="L129" s="1564" t="s">
        <v>17</v>
      </c>
    </row>
    <row r="130" spans="1:29" ht="58.4" customHeight="1" x14ac:dyDescent="0.35">
      <c r="A130" s="1475">
        <v>43750</v>
      </c>
      <c r="B130" s="874" t="s">
        <v>4784</v>
      </c>
      <c r="C130" s="828" t="s">
        <v>4783</v>
      </c>
      <c r="D130" s="1512">
        <v>43759</v>
      </c>
      <c r="E130" s="1511" t="s">
        <v>4691</v>
      </c>
      <c r="F130" s="1016">
        <v>0.625</v>
      </c>
      <c r="G130" s="1513">
        <v>0.64583333333333337</v>
      </c>
      <c r="H130" s="1513">
        <v>0.64583333333333337</v>
      </c>
      <c r="I130" s="1636">
        <f>1.6*75*3+20*3</f>
        <v>420</v>
      </c>
      <c r="J130" s="874" t="s">
        <v>4696</v>
      </c>
      <c r="K130" s="874" t="s">
        <v>15</v>
      </c>
      <c r="L130" s="875" t="s">
        <v>17</v>
      </c>
    </row>
    <row r="131" spans="1:29" ht="58.4" customHeight="1" x14ac:dyDescent="0.35">
      <c r="A131" s="825">
        <v>43753</v>
      </c>
      <c r="B131" s="826" t="s">
        <v>4739</v>
      </c>
      <c r="C131" s="826" t="s">
        <v>4741</v>
      </c>
      <c r="D131" s="827">
        <v>43759</v>
      </c>
      <c r="E131" s="872" t="s">
        <v>4740</v>
      </c>
      <c r="F131" s="865">
        <v>0.375</v>
      </c>
      <c r="G131" s="865">
        <v>0.58333333333333337</v>
      </c>
      <c r="H131" s="865">
        <v>0.58333333333333337</v>
      </c>
      <c r="I131" s="1386">
        <v>0</v>
      </c>
      <c r="J131" s="826" t="s">
        <v>4735</v>
      </c>
      <c r="K131" s="826" t="s">
        <v>15</v>
      </c>
      <c r="L131" s="829" t="s">
        <v>17</v>
      </c>
    </row>
    <row r="132" spans="1:29" ht="43.5" customHeight="1" x14ac:dyDescent="0.35">
      <c r="A132" s="1560">
        <v>43757</v>
      </c>
      <c r="B132" s="1561" t="s">
        <v>4799</v>
      </c>
      <c r="C132" s="1561" t="s">
        <v>4800</v>
      </c>
      <c r="D132" s="1562">
        <v>43759</v>
      </c>
      <c r="E132" s="1563" t="s">
        <v>4709</v>
      </c>
      <c r="F132" s="1565">
        <v>0.375</v>
      </c>
      <c r="G132" s="1565">
        <v>0.43055555555555558</v>
      </c>
      <c r="H132" s="1565">
        <v>0.43055555555555558</v>
      </c>
      <c r="I132" s="1647">
        <v>99</v>
      </c>
      <c r="J132" s="1561" t="s">
        <v>4608</v>
      </c>
      <c r="K132" s="1561" t="s">
        <v>15</v>
      </c>
      <c r="L132" s="1564" t="s">
        <v>17</v>
      </c>
    </row>
    <row r="133" spans="1:29" ht="14.9" customHeight="1" x14ac:dyDescent="0.35">
      <c r="A133" s="1576">
        <v>43757</v>
      </c>
      <c r="B133" s="1573" t="s">
        <v>4483</v>
      </c>
      <c r="C133" s="1573" t="s">
        <v>4283</v>
      </c>
      <c r="D133" s="1577">
        <v>43759</v>
      </c>
      <c r="E133" s="1578" t="s">
        <v>262</v>
      </c>
      <c r="F133" s="1580">
        <v>0.375</v>
      </c>
      <c r="G133" s="1580">
        <v>0.46875</v>
      </c>
      <c r="H133" s="1580">
        <v>0.46875</v>
      </c>
      <c r="I133" s="1648">
        <v>0</v>
      </c>
      <c r="J133" s="1573" t="s">
        <v>4285</v>
      </c>
      <c r="K133" s="1573" t="s">
        <v>15</v>
      </c>
      <c r="L133" s="1579" t="s">
        <v>17</v>
      </c>
    </row>
    <row r="134" spans="1:29" ht="58.4" customHeight="1" x14ac:dyDescent="0.35">
      <c r="A134" s="1560">
        <v>43757</v>
      </c>
      <c r="B134" s="1561" t="s">
        <v>4483</v>
      </c>
      <c r="C134" s="1561" t="s">
        <v>4803</v>
      </c>
      <c r="D134" s="1562">
        <v>43759</v>
      </c>
      <c r="E134" s="1563" t="s">
        <v>4804</v>
      </c>
      <c r="F134" s="1565">
        <v>0.375</v>
      </c>
      <c r="G134" s="1565">
        <v>0.55208333333333337</v>
      </c>
      <c r="H134" s="1565">
        <v>0.55208333333333337</v>
      </c>
      <c r="I134" s="1646">
        <v>0</v>
      </c>
      <c r="J134" s="1561" t="s">
        <v>4285</v>
      </c>
      <c r="K134" s="1561" t="s">
        <v>15</v>
      </c>
      <c r="L134" s="1564" t="s">
        <v>17</v>
      </c>
    </row>
    <row r="135" spans="1:29" ht="72.650000000000006" customHeight="1" x14ac:dyDescent="0.35">
      <c r="A135" s="1560">
        <v>43758</v>
      </c>
      <c r="B135" s="1561" t="s">
        <v>4810</v>
      </c>
      <c r="C135" s="1561" t="s">
        <v>4809</v>
      </c>
      <c r="D135" s="1562">
        <v>43759</v>
      </c>
      <c r="E135" s="1563" t="s">
        <v>4811</v>
      </c>
      <c r="F135" s="1565">
        <v>0.375</v>
      </c>
      <c r="G135" s="1565">
        <v>0.39583333333333331</v>
      </c>
      <c r="H135" s="1565">
        <v>0.39583333333333331</v>
      </c>
      <c r="I135" s="1646">
        <v>0</v>
      </c>
      <c r="J135" s="1561" t="s">
        <v>4812</v>
      </c>
      <c r="K135" s="1561" t="s">
        <v>15</v>
      </c>
      <c r="L135" s="1564" t="s">
        <v>17</v>
      </c>
    </row>
    <row r="136" spans="1:29" ht="272.14999999999998" customHeight="1" x14ac:dyDescent="0.35">
      <c r="A136" s="1475">
        <v>43752</v>
      </c>
      <c r="B136" s="1476" t="s">
        <v>20</v>
      </c>
      <c r="C136" s="1476" t="s">
        <v>4703</v>
      </c>
      <c r="D136" s="1477">
        <v>43761</v>
      </c>
      <c r="E136" s="1478" t="s">
        <v>20</v>
      </c>
      <c r="F136" s="1476" t="s">
        <v>15</v>
      </c>
      <c r="G136" s="1476" t="s">
        <v>15</v>
      </c>
      <c r="H136" s="1476" t="s">
        <v>15</v>
      </c>
      <c r="I136" s="1636">
        <v>0</v>
      </c>
      <c r="J136" s="1476" t="s">
        <v>15</v>
      </c>
      <c r="K136" s="1476" t="s">
        <v>15</v>
      </c>
      <c r="L136" s="1480" t="s">
        <v>17</v>
      </c>
    </row>
    <row r="137" spans="1:29" ht="272.14999999999998" customHeight="1" x14ac:dyDescent="0.35">
      <c r="A137" s="925">
        <v>43760</v>
      </c>
      <c r="B137" s="873" t="s">
        <v>20</v>
      </c>
      <c r="C137" s="874" t="s">
        <v>4843</v>
      </c>
      <c r="D137" s="981">
        <v>43761</v>
      </c>
      <c r="E137" s="874" t="s">
        <v>20</v>
      </c>
      <c r="F137" s="874" t="s">
        <v>15</v>
      </c>
      <c r="G137" s="874" t="s">
        <v>15</v>
      </c>
      <c r="H137" s="874" t="s">
        <v>15</v>
      </c>
      <c r="I137" s="1643">
        <v>0</v>
      </c>
      <c r="J137" s="874" t="s">
        <v>20</v>
      </c>
      <c r="K137" s="874" t="s">
        <v>15</v>
      </c>
      <c r="L137" s="875" t="s">
        <v>22</v>
      </c>
    </row>
    <row r="138" spans="1:29" ht="245.9" customHeight="1" x14ac:dyDescent="0.35">
      <c r="A138" s="1723">
        <v>43663</v>
      </c>
      <c r="B138" s="874" t="s">
        <v>20</v>
      </c>
      <c r="C138" s="874" t="s">
        <v>4038</v>
      </c>
      <c r="D138" s="1738">
        <v>43762</v>
      </c>
      <c r="E138" s="874" t="s">
        <v>20</v>
      </c>
      <c r="F138" s="874" t="s">
        <v>15</v>
      </c>
      <c r="G138" s="874" t="s">
        <v>15</v>
      </c>
      <c r="H138" s="874" t="s">
        <v>15</v>
      </c>
      <c r="I138" s="1643">
        <v>0</v>
      </c>
      <c r="J138" s="874" t="s">
        <v>20</v>
      </c>
      <c r="K138" s="874" t="s">
        <v>15</v>
      </c>
      <c r="L138" s="875" t="s">
        <v>17</v>
      </c>
      <c r="R138" s="1223">
        <v>43663</v>
      </c>
      <c r="S138" s="816" t="s">
        <v>20</v>
      </c>
      <c r="T138" s="816" t="s">
        <v>21</v>
      </c>
      <c r="U138" s="1223">
        <v>43678</v>
      </c>
      <c r="V138" s="816" t="s">
        <v>20</v>
      </c>
      <c r="W138" s="816" t="s">
        <v>15</v>
      </c>
      <c r="X138" s="816" t="s">
        <v>15</v>
      </c>
      <c r="Y138" s="816" t="s">
        <v>15</v>
      </c>
      <c r="Z138" s="816">
        <v>0</v>
      </c>
      <c r="AA138" s="816" t="s">
        <v>20</v>
      </c>
      <c r="AB138" s="816" t="s">
        <v>15</v>
      </c>
      <c r="AC138" s="816"/>
    </row>
    <row r="139" spans="1:29" ht="217.5" customHeight="1" x14ac:dyDescent="0.35">
      <c r="A139" s="1566">
        <v>43756</v>
      </c>
      <c r="B139" s="1567" t="s">
        <v>4780</v>
      </c>
      <c r="C139" s="1567" t="s">
        <v>4807</v>
      </c>
      <c r="D139" s="1568">
        <v>43762</v>
      </c>
      <c r="E139" s="867" t="s">
        <v>4781</v>
      </c>
      <c r="F139" s="1570">
        <v>0.34375</v>
      </c>
      <c r="G139" s="1570">
        <v>0.36458333333333331</v>
      </c>
      <c r="H139" s="1570">
        <v>0.36458333333333331</v>
      </c>
      <c r="I139" s="1646">
        <v>1650</v>
      </c>
      <c r="J139" s="1561" t="s">
        <v>4782</v>
      </c>
      <c r="K139" s="1561" t="s">
        <v>15</v>
      </c>
      <c r="L139" s="1564" t="s">
        <v>17</v>
      </c>
      <c r="R139" s="1223">
        <v>43663</v>
      </c>
      <c r="S139" s="816" t="s">
        <v>3605</v>
      </c>
      <c r="T139" s="816" t="s">
        <v>911</v>
      </c>
      <c r="U139" s="1223">
        <v>43678</v>
      </c>
      <c r="V139" s="816" t="s">
        <v>2081</v>
      </c>
      <c r="W139" s="816" t="s">
        <v>15</v>
      </c>
      <c r="X139" s="816" t="s">
        <v>49</v>
      </c>
      <c r="Y139" s="816" t="s">
        <v>49</v>
      </c>
      <c r="Z139" s="816">
        <v>0</v>
      </c>
      <c r="AA139" s="816" t="s">
        <v>911</v>
      </c>
      <c r="AB139" s="816">
        <v>0</v>
      </c>
      <c r="AC139" s="816"/>
    </row>
    <row r="140" spans="1:29" ht="227.9" customHeight="1" x14ac:dyDescent="0.35">
      <c r="A140" s="1560">
        <v>43760</v>
      </c>
      <c r="B140" s="1561" t="s">
        <v>131</v>
      </c>
      <c r="C140" s="826" t="s">
        <v>4855</v>
      </c>
      <c r="D140" s="1562">
        <v>43762</v>
      </c>
      <c r="E140" s="1563" t="s">
        <v>129</v>
      </c>
      <c r="F140" s="1565">
        <v>0.45833333333333331</v>
      </c>
      <c r="G140" s="1565">
        <v>0.5625</v>
      </c>
      <c r="H140" s="1565">
        <v>0.5625</v>
      </c>
      <c r="I140" s="1646">
        <f>118*125/1000*65</f>
        <v>958.75</v>
      </c>
      <c r="J140" s="1561" t="s">
        <v>247</v>
      </c>
      <c r="K140" s="1561" t="s">
        <v>6127</v>
      </c>
      <c r="L140" s="1564" t="s">
        <v>17</v>
      </c>
      <c r="R140" s="1223">
        <v>43663</v>
      </c>
      <c r="S140" s="816" t="s">
        <v>3605</v>
      </c>
      <c r="T140" s="816" t="s">
        <v>911</v>
      </c>
      <c r="U140" s="1223">
        <v>43678</v>
      </c>
      <c r="V140" s="816" t="s">
        <v>2081</v>
      </c>
      <c r="W140" s="816" t="s">
        <v>15</v>
      </c>
      <c r="X140" s="816" t="s">
        <v>49</v>
      </c>
      <c r="Y140" s="816" t="s">
        <v>49</v>
      </c>
      <c r="Z140" s="816">
        <v>0</v>
      </c>
      <c r="AA140" s="816" t="s">
        <v>911</v>
      </c>
      <c r="AB140" s="816">
        <v>0</v>
      </c>
      <c r="AC140" s="816"/>
    </row>
    <row r="141" spans="1:29" ht="72.650000000000006" customHeight="1" x14ac:dyDescent="0.35">
      <c r="A141" s="1680">
        <v>43761</v>
      </c>
      <c r="B141" s="1591" t="s">
        <v>20</v>
      </c>
      <c r="C141" s="1591" t="s">
        <v>4857</v>
      </c>
      <c r="D141" s="1695">
        <v>43762</v>
      </c>
      <c r="E141" s="1702" t="s">
        <v>20</v>
      </c>
      <c r="F141" s="1591" t="s">
        <v>15</v>
      </c>
      <c r="G141" s="1591" t="s">
        <v>15</v>
      </c>
      <c r="H141" s="1591" t="s">
        <v>15</v>
      </c>
      <c r="I141" s="1711">
        <v>0</v>
      </c>
      <c r="J141" s="1591" t="s">
        <v>15</v>
      </c>
      <c r="K141" s="1591" t="s">
        <v>15</v>
      </c>
      <c r="L141" s="1716" t="s">
        <v>17</v>
      </c>
      <c r="R141" s="1574"/>
      <c r="S141" s="1575"/>
      <c r="T141" s="1575"/>
      <c r="U141" s="1574"/>
      <c r="V141" s="1575"/>
      <c r="W141" s="1575"/>
      <c r="X141" s="1575"/>
      <c r="Y141" s="1575"/>
      <c r="Z141" s="1575"/>
      <c r="AA141" s="1575"/>
      <c r="AB141" s="1575"/>
      <c r="AC141" s="1575"/>
    </row>
    <row r="142" spans="1:29" ht="72.650000000000006" customHeight="1" x14ac:dyDescent="0.35">
      <c r="A142" s="1585">
        <v>43761</v>
      </c>
      <c r="B142" s="1586" t="s">
        <v>20</v>
      </c>
      <c r="C142" s="1586" t="s">
        <v>4860</v>
      </c>
      <c r="D142" s="1587">
        <v>43762</v>
      </c>
      <c r="E142" s="1588" t="s">
        <v>15</v>
      </c>
      <c r="F142" s="1586" t="s">
        <v>15</v>
      </c>
      <c r="G142" s="1586" t="s">
        <v>15</v>
      </c>
      <c r="H142" s="1586" t="s">
        <v>15</v>
      </c>
      <c r="I142" s="1593">
        <v>0</v>
      </c>
      <c r="J142" s="1586" t="s">
        <v>15</v>
      </c>
      <c r="K142" s="1688" t="s">
        <v>15</v>
      </c>
      <c r="L142" s="1589" t="s">
        <v>17</v>
      </c>
    </row>
    <row r="143" spans="1:29" ht="29.15" customHeight="1" x14ac:dyDescent="0.35">
      <c r="A143" s="1496">
        <v>43752</v>
      </c>
      <c r="B143" s="1497" t="s">
        <v>4700</v>
      </c>
      <c r="C143" s="1497" t="s">
        <v>4702</v>
      </c>
      <c r="D143" s="1498">
        <v>43763</v>
      </c>
      <c r="E143" s="1499" t="s">
        <v>4701</v>
      </c>
      <c r="F143" s="1500">
        <v>0.625</v>
      </c>
      <c r="G143" s="1500">
        <v>0.75</v>
      </c>
      <c r="H143" s="1500">
        <v>0.77083333333333337</v>
      </c>
      <c r="I143" s="1637">
        <v>450</v>
      </c>
      <c r="J143" s="1476" t="s">
        <v>369</v>
      </c>
      <c r="K143" s="1476" t="s">
        <v>15</v>
      </c>
      <c r="L143" s="1480" t="s">
        <v>17</v>
      </c>
    </row>
    <row r="144" spans="1:29" ht="143.9" customHeight="1" x14ac:dyDescent="0.35">
      <c r="A144" s="1403">
        <v>43759</v>
      </c>
      <c r="B144" s="1332" t="s">
        <v>4051</v>
      </c>
      <c r="C144" s="828" t="s">
        <v>4839</v>
      </c>
      <c r="D144" s="1023">
        <v>43763</v>
      </c>
      <c r="E144" s="1332" t="s">
        <v>290</v>
      </c>
      <c r="F144" s="902">
        <v>0.41666666666666669</v>
      </c>
      <c r="G144" s="1424">
        <v>0.54166666666666663</v>
      </c>
      <c r="H144" s="1424">
        <v>0.54166666666666663</v>
      </c>
      <c r="I144" s="1713">
        <v>525</v>
      </c>
      <c r="J144" s="915" t="s">
        <v>4881</v>
      </c>
      <c r="K144" s="828"/>
      <c r="L144" s="1332" t="s">
        <v>22</v>
      </c>
    </row>
    <row r="145" spans="1:12" s="866" customFormat="1" ht="90.75" customHeight="1" x14ac:dyDescent="0.35">
      <c r="A145" s="1576">
        <v>43759</v>
      </c>
      <c r="B145" s="5" t="s">
        <v>4814</v>
      </c>
      <c r="C145" s="5" t="s">
        <v>4815</v>
      </c>
      <c r="D145" s="1577">
        <v>43763</v>
      </c>
      <c r="E145" s="824" t="s">
        <v>210</v>
      </c>
      <c r="F145" s="6">
        <v>0.625</v>
      </c>
      <c r="G145" s="1580">
        <v>0.625</v>
      </c>
      <c r="H145" s="1580">
        <v>0.625</v>
      </c>
      <c r="I145" s="1648">
        <f>4*100*0.7</f>
        <v>280</v>
      </c>
      <c r="J145" s="5" t="s">
        <v>4813</v>
      </c>
      <c r="K145" s="5" t="s">
        <v>4870</v>
      </c>
      <c r="L145" s="807" t="s">
        <v>17</v>
      </c>
    </row>
    <row r="146" spans="1:12" s="866" customFormat="1" ht="130.5" x14ac:dyDescent="0.35">
      <c r="A146" s="1595">
        <v>43760</v>
      </c>
      <c r="B146" s="819" t="s">
        <v>4869</v>
      </c>
      <c r="C146" s="819" t="s">
        <v>4868</v>
      </c>
      <c r="D146" s="1568">
        <v>43763</v>
      </c>
      <c r="E146" s="867" t="s">
        <v>4867</v>
      </c>
      <c r="F146" s="1570">
        <v>0.33333333333333331</v>
      </c>
      <c r="G146" s="1570">
        <v>0.375</v>
      </c>
      <c r="H146" s="1570">
        <v>0.375</v>
      </c>
      <c r="I146" s="1646">
        <v>1000</v>
      </c>
      <c r="J146" s="915" t="s">
        <v>4871</v>
      </c>
      <c r="K146" s="1561" t="s">
        <v>15</v>
      </c>
      <c r="L146" s="1564" t="s">
        <v>17</v>
      </c>
    </row>
    <row r="147" spans="1:12" ht="94.5" customHeight="1" x14ac:dyDescent="0.35">
      <c r="A147" s="1566">
        <v>43760</v>
      </c>
      <c r="B147" s="819" t="s">
        <v>4842</v>
      </c>
      <c r="C147" s="819" t="s">
        <v>4841</v>
      </c>
      <c r="D147" s="1498">
        <v>43763</v>
      </c>
      <c r="E147" s="1499" t="s">
        <v>4655</v>
      </c>
      <c r="F147" s="1500">
        <v>0.625</v>
      </c>
      <c r="G147" s="1500">
        <v>0.64583333333333337</v>
      </c>
      <c r="H147" s="1500">
        <v>0.64583333333333337</v>
      </c>
      <c r="I147" s="1637">
        <v>312</v>
      </c>
      <c r="J147" s="915" t="s">
        <v>4844</v>
      </c>
      <c r="K147" s="1479"/>
      <c r="L147" s="829" t="s">
        <v>22</v>
      </c>
    </row>
    <row r="148" spans="1:12" ht="135" customHeight="1" x14ac:dyDescent="0.35">
      <c r="A148" s="1453">
        <v>43761</v>
      </c>
      <c r="B148" s="5" t="s">
        <v>4846</v>
      </c>
      <c r="C148" s="5" t="s">
        <v>4847</v>
      </c>
      <c r="D148" s="908">
        <v>43763</v>
      </c>
      <c r="E148" s="824" t="s">
        <v>4848</v>
      </c>
      <c r="F148" s="6">
        <v>0.41666666666666669</v>
      </c>
      <c r="G148" s="6">
        <v>0.4375</v>
      </c>
      <c r="H148" s="6">
        <v>0.45833333333333331</v>
      </c>
      <c r="I148" s="1630">
        <v>568</v>
      </c>
      <c r="J148" s="5" t="s">
        <v>4849</v>
      </c>
      <c r="K148" s="5" t="s">
        <v>15</v>
      </c>
      <c r="L148" s="807" t="s">
        <v>17</v>
      </c>
    </row>
    <row r="149" spans="1:12" ht="36.65" customHeight="1" x14ac:dyDescent="0.35">
      <c r="A149" s="1604">
        <v>43761</v>
      </c>
      <c r="B149" s="1606" t="s">
        <v>4858</v>
      </c>
      <c r="C149" s="1606" t="s">
        <v>4859</v>
      </c>
      <c r="D149" s="1608">
        <v>43763</v>
      </c>
      <c r="E149" s="1610" t="s">
        <v>4861</v>
      </c>
      <c r="F149" s="1614">
        <v>0.625</v>
      </c>
      <c r="G149" s="1614">
        <v>0.6875</v>
      </c>
      <c r="H149" s="1614">
        <v>0.6875</v>
      </c>
      <c r="I149" s="1649">
        <v>140</v>
      </c>
      <c r="J149" s="1586" t="s">
        <v>4872</v>
      </c>
      <c r="K149" s="1586" t="s">
        <v>15</v>
      </c>
      <c r="L149" s="1589" t="s">
        <v>17</v>
      </c>
    </row>
    <row r="150" spans="1:12" ht="171" customHeight="1" x14ac:dyDescent="0.35">
      <c r="A150" s="825">
        <v>43762</v>
      </c>
      <c r="B150" s="826" t="s">
        <v>4864</v>
      </c>
      <c r="C150" s="826" t="s">
        <v>4876</v>
      </c>
      <c r="D150" s="827">
        <v>43763</v>
      </c>
      <c r="E150" s="872" t="s">
        <v>4863</v>
      </c>
      <c r="F150" s="865">
        <v>0.41666666666666669</v>
      </c>
      <c r="G150" s="865">
        <v>0.4861111111111111</v>
      </c>
      <c r="H150" s="865">
        <v>0.4861111111111111</v>
      </c>
      <c r="I150" s="1626">
        <v>368</v>
      </c>
      <c r="J150" s="915" t="s">
        <v>4877</v>
      </c>
      <c r="K150" s="826" t="s">
        <v>15</v>
      </c>
      <c r="L150" s="829" t="s">
        <v>17</v>
      </c>
    </row>
    <row r="151" spans="1:12" ht="29" x14ac:dyDescent="0.35">
      <c r="A151" s="1597">
        <v>43763</v>
      </c>
      <c r="B151" s="1598" t="s">
        <v>450</v>
      </c>
      <c r="C151" s="1598" t="s">
        <v>4890</v>
      </c>
      <c r="D151" s="1734">
        <v>43763</v>
      </c>
      <c r="E151" s="1743" t="s">
        <v>15</v>
      </c>
      <c r="F151" s="1743" t="s">
        <v>15</v>
      </c>
      <c r="G151" s="1743" t="s">
        <v>15</v>
      </c>
      <c r="H151" s="1743" t="s">
        <v>15</v>
      </c>
      <c r="I151" s="1760">
        <v>90</v>
      </c>
      <c r="J151" s="5" t="s">
        <v>4908</v>
      </c>
      <c r="K151" s="1598" t="s">
        <v>119</v>
      </c>
      <c r="L151" s="1675" t="s">
        <v>17</v>
      </c>
    </row>
    <row r="152" spans="1:12" x14ac:dyDescent="0.35">
      <c r="A152" s="1605">
        <v>43763</v>
      </c>
      <c r="B152" s="1607" t="s">
        <v>4891</v>
      </c>
      <c r="C152" s="1607" t="s">
        <v>4892</v>
      </c>
      <c r="D152" s="1609">
        <v>43763</v>
      </c>
      <c r="E152" s="1611" t="s">
        <v>15</v>
      </c>
      <c r="F152" s="1611"/>
      <c r="G152" s="1611"/>
      <c r="H152" s="1611"/>
      <c r="I152" s="1650">
        <v>199</v>
      </c>
      <c r="J152" s="1596" t="s">
        <v>4893</v>
      </c>
      <c r="K152" s="1607" t="s">
        <v>4894</v>
      </c>
      <c r="L152" s="1613" t="s">
        <v>17</v>
      </c>
    </row>
    <row r="153" spans="1:12" ht="121.5" customHeight="1" x14ac:dyDescent="0.35">
      <c r="A153" s="830">
        <v>43703</v>
      </c>
      <c r="B153" s="819" t="s">
        <v>3878</v>
      </c>
      <c r="C153" s="819" t="s">
        <v>4889</v>
      </c>
      <c r="D153" s="833">
        <v>43764</v>
      </c>
      <c r="E153" s="1493" t="s">
        <v>4886</v>
      </c>
      <c r="F153" s="913">
        <v>0.58333333333333337</v>
      </c>
      <c r="G153" s="913">
        <v>0.73958333333333337</v>
      </c>
      <c r="H153" s="913">
        <v>0.73958333333333337</v>
      </c>
      <c r="I153" s="1386">
        <v>2579</v>
      </c>
      <c r="J153" s="826" t="s">
        <v>4829</v>
      </c>
      <c r="K153" s="5" t="s">
        <v>119</v>
      </c>
      <c r="L153" s="829" t="s">
        <v>17</v>
      </c>
    </row>
    <row r="154" spans="1:12" ht="78" customHeight="1" x14ac:dyDescent="0.35">
      <c r="A154" s="1576">
        <v>43757</v>
      </c>
      <c r="B154" s="5" t="s">
        <v>4548</v>
      </c>
      <c r="C154" s="7" t="s">
        <v>4830</v>
      </c>
      <c r="D154" s="1669">
        <v>43764</v>
      </c>
      <c r="E154" s="1571" t="s">
        <v>4884</v>
      </c>
      <c r="F154" s="1580">
        <v>0.58333333333333337</v>
      </c>
      <c r="G154" s="1580">
        <v>0.61805555555555558</v>
      </c>
      <c r="H154" s="1580">
        <v>0.61805555555555558</v>
      </c>
      <c r="I154" s="1648">
        <f>90*3.5*4.76</f>
        <v>1499.3999999999999</v>
      </c>
      <c r="J154" s="1573" t="s">
        <v>4808</v>
      </c>
      <c r="K154" s="5" t="s">
        <v>119</v>
      </c>
      <c r="L154" s="1579" t="s">
        <v>17</v>
      </c>
    </row>
    <row r="155" spans="1:12" s="13" customFormat="1" ht="58" x14ac:dyDescent="0.35">
      <c r="A155" s="1685">
        <v>43759</v>
      </c>
      <c r="B155" s="1690" t="s">
        <v>4051</v>
      </c>
      <c r="C155" s="10" t="s">
        <v>4837</v>
      </c>
      <c r="D155" s="1697">
        <v>43764</v>
      </c>
      <c r="E155" s="1690" t="s">
        <v>290</v>
      </c>
      <c r="F155" s="1706">
        <v>0.33333333333333331</v>
      </c>
      <c r="G155" s="1706">
        <v>0.45833333333333331</v>
      </c>
      <c r="H155" s="1706">
        <v>0.45833333333333331</v>
      </c>
      <c r="I155" s="1618">
        <v>753.75</v>
      </c>
      <c r="J155" s="1431" t="s">
        <v>4838</v>
      </c>
      <c r="K155" s="5" t="s">
        <v>119</v>
      </c>
      <c r="L155" s="1393" t="s">
        <v>22</v>
      </c>
    </row>
    <row r="156" spans="1:12" ht="217.4" customHeight="1" x14ac:dyDescent="0.35">
      <c r="A156" s="1566">
        <v>43760</v>
      </c>
      <c r="B156" s="1567" t="s">
        <v>4831</v>
      </c>
      <c r="C156" s="1567" t="s">
        <v>4833</v>
      </c>
      <c r="D156" s="1568">
        <v>43764</v>
      </c>
      <c r="E156" s="867" t="s">
        <v>4873</v>
      </c>
      <c r="F156" s="1570">
        <v>0.33333333333333331</v>
      </c>
      <c r="G156" s="1570">
        <v>0.375</v>
      </c>
      <c r="H156" s="1570">
        <v>0.375</v>
      </c>
      <c r="I156" s="1646">
        <v>0</v>
      </c>
      <c r="J156" s="826" t="s">
        <v>4874</v>
      </c>
      <c r="K156" s="5" t="s">
        <v>119</v>
      </c>
      <c r="L156" s="1564" t="s">
        <v>17</v>
      </c>
    </row>
    <row r="157" spans="1:12" ht="88.4" customHeight="1" x14ac:dyDescent="0.35">
      <c r="A157" s="1679">
        <v>43761</v>
      </c>
      <c r="B157" s="1688" t="s">
        <v>805</v>
      </c>
      <c r="C157" s="1688" t="s">
        <v>4850</v>
      </c>
      <c r="D157" s="1694">
        <v>43764</v>
      </c>
      <c r="E157" s="1701" t="s">
        <v>4851</v>
      </c>
      <c r="F157" s="1705">
        <v>0.33333333333333331</v>
      </c>
      <c r="G157" s="1705">
        <v>0.41666666666666669</v>
      </c>
      <c r="H157" s="1705">
        <v>0.41666666666666669</v>
      </c>
      <c r="I157" s="1710">
        <v>120</v>
      </c>
      <c r="J157" s="1688" t="s">
        <v>4849</v>
      </c>
      <c r="K157" s="826" t="s">
        <v>119</v>
      </c>
      <c r="L157" s="1715" t="s">
        <v>17</v>
      </c>
    </row>
    <row r="158" spans="1:12" ht="148.4" customHeight="1" x14ac:dyDescent="0.35">
      <c r="A158" s="198">
        <v>43761</v>
      </c>
      <c r="B158" s="22" t="s">
        <v>987</v>
      </c>
      <c r="C158" s="1693" t="s">
        <v>4875</v>
      </c>
      <c r="D158" s="126">
        <v>43764</v>
      </c>
      <c r="E158" s="22" t="s">
        <v>4885</v>
      </c>
      <c r="F158" s="79">
        <v>0.33333333333333331</v>
      </c>
      <c r="G158" s="79">
        <v>0.5</v>
      </c>
      <c r="H158" s="79">
        <v>0.5</v>
      </c>
      <c r="I158" s="1712">
        <v>240</v>
      </c>
      <c r="J158" s="22" t="s">
        <v>257</v>
      </c>
      <c r="K158" s="5" t="s">
        <v>119</v>
      </c>
      <c r="L158" s="194" t="s">
        <v>22</v>
      </c>
    </row>
    <row r="159" spans="1:12" ht="148.4" customHeight="1" x14ac:dyDescent="0.35">
      <c r="A159" s="1602">
        <v>43763</v>
      </c>
      <c r="B159" s="1594" t="s">
        <v>4883</v>
      </c>
      <c r="C159" s="1594" t="s">
        <v>4888</v>
      </c>
      <c r="D159" s="1600">
        <v>43764</v>
      </c>
      <c r="E159" s="1704" t="s">
        <v>4887</v>
      </c>
      <c r="F159" s="1601">
        <v>0.58333333333333337</v>
      </c>
      <c r="G159" s="1601">
        <v>0.68055555555555547</v>
      </c>
      <c r="H159" s="1601">
        <v>0.68055555555555547</v>
      </c>
      <c r="I159" s="1760">
        <v>800</v>
      </c>
      <c r="J159" s="1599" t="s">
        <v>4618</v>
      </c>
      <c r="K159" s="5" t="s">
        <v>119</v>
      </c>
      <c r="L159" s="1603" t="s">
        <v>17</v>
      </c>
    </row>
    <row r="160" spans="1:12" ht="65.900000000000006" customHeight="1" x14ac:dyDescent="0.35">
      <c r="A160" s="1453">
        <v>43740</v>
      </c>
      <c r="B160" s="5" t="s">
        <v>20</v>
      </c>
      <c r="C160" s="5" t="s">
        <v>4882</v>
      </c>
      <c r="D160" s="908">
        <v>43765</v>
      </c>
      <c r="E160" s="824" t="s">
        <v>20</v>
      </c>
      <c r="F160" s="5" t="s">
        <v>15</v>
      </c>
      <c r="G160" s="5" t="s">
        <v>15</v>
      </c>
      <c r="H160" s="5" t="s">
        <v>15</v>
      </c>
      <c r="I160" s="1678" t="s">
        <v>15</v>
      </c>
      <c r="J160" s="5" t="s">
        <v>15</v>
      </c>
      <c r="K160" s="5" t="s">
        <v>15</v>
      </c>
      <c r="L160" s="807" t="s">
        <v>17</v>
      </c>
    </row>
    <row r="161" spans="1:12" ht="347.15" customHeight="1" x14ac:dyDescent="0.35">
      <c r="A161" s="1399">
        <v>43759</v>
      </c>
      <c r="B161" s="1400" t="s">
        <v>4051</v>
      </c>
      <c r="C161" s="819" t="s">
        <v>4845</v>
      </c>
      <c r="D161" s="1401">
        <v>43765</v>
      </c>
      <c r="E161" s="1400" t="s">
        <v>290</v>
      </c>
      <c r="F161" s="1402">
        <v>0.45833333333333331</v>
      </c>
      <c r="G161" s="1402">
        <v>0.625</v>
      </c>
      <c r="H161" s="1402">
        <v>0.625</v>
      </c>
      <c r="I161" s="1619">
        <v>821.59</v>
      </c>
      <c r="J161" s="1277" t="s">
        <v>4838</v>
      </c>
      <c r="K161" s="5" t="s">
        <v>119</v>
      </c>
      <c r="L161" s="1348" t="s">
        <v>22</v>
      </c>
    </row>
    <row r="162" spans="1:12" ht="133.4" customHeight="1" x14ac:dyDescent="0.35">
      <c r="A162" s="1566">
        <v>43760</v>
      </c>
      <c r="B162" s="1567" t="s">
        <v>4831</v>
      </c>
      <c r="C162" s="1567" t="s">
        <v>4834</v>
      </c>
      <c r="D162" s="1568">
        <v>43765</v>
      </c>
      <c r="E162" s="1569" t="s">
        <v>4832</v>
      </c>
      <c r="F162" s="1570">
        <v>0.33333333333333331</v>
      </c>
      <c r="G162" s="1570">
        <v>0.375</v>
      </c>
      <c r="H162" s="1570">
        <v>0.375</v>
      </c>
      <c r="I162" s="1646">
        <v>0</v>
      </c>
      <c r="J162" s="1561" t="s">
        <v>4835</v>
      </c>
      <c r="K162" s="1561" t="s">
        <v>15</v>
      </c>
      <c r="L162" s="1564" t="s">
        <v>17</v>
      </c>
    </row>
    <row r="163" spans="1:12" ht="158.9" customHeight="1" x14ac:dyDescent="0.35">
      <c r="A163" s="1604">
        <v>43761</v>
      </c>
      <c r="B163" s="1606" t="s">
        <v>4852</v>
      </c>
      <c r="C163" s="1606" t="s">
        <v>4854</v>
      </c>
      <c r="D163" s="1608">
        <v>43765</v>
      </c>
      <c r="E163" s="1610" t="s">
        <v>4853</v>
      </c>
      <c r="F163" s="1614">
        <v>0.45833333333333331</v>
      </c>
      <c r="G163" s="1614">
        <v>0.52083333333333337</v>
      </c>
      <c r="H163" s="1614">
        <v>0.52083333333333337</v>
      </c>
      <c r="I163" s="1649">
        <v>360</v>
      </c>
      <c r="J163" s="1586" t="s">
        <v>369</v>
      </c>
      <c r="K163" s="1586" t="s">
        <v>15</v>
      </c>
      <c r="L163" s="1589" t="s">
        <v>17</v>
      </c>
    </row>
    <row r="164" spans="1:12" ht="100.4" customHeight="1" x14ac:dyDescent="0.35">
      <c r="A164" s="1686">
        <v>43764</v>
      </c>
      <c r="B164" s="1691" t="s">
        <v>911</v>
      </c>
      <c r="C164" s="1691" t="s">
        <v>4905</v>
      </c>
      <c r="D164" s="1699">
        <v>43765</v>
      </c>
      <c r="E164" s="1691" t="s">
        <v>4906</v>
      </c>
      <c r="F164" s="1707">
        <v>0.45833333333333331</v>
      </c>
      <c r="G164" s="1707">
        <v>0.55208333333333337</v>
      </c>
      <c r="H164" s="1707">
        <v>0.55208333333333337</v>
      </c>
      <c r="I164" s="1650">
        <v>0</v>
      </c>
      <c r="J164" s="1596" t="s">
        <v>911</v>
      </c>
      <c r="K164" s="1607" t="s">
        <v>119</v>
      </c>
      <c r="L164" s="1719" t="s">
        <v>17</v>
      </c>
    </row>
    <row r="165" spans="1:12" ht="73.5" customHeight="1" x14ac:dyDescent="0.35">
      <c r="A165" s="1597">
        <v>43764</v>
      </c>
      <c r="B165" s="5" t="s">
        <v>4895</v>
      </c>
      <c r="C165" s="1598" t="s">
        <v>4897</v>
      </c>
      <c r="D165" s="1734">
        <v>43765</v>
      </c>
      <c r="E165" s="1743" t="s">
        <v>4896</v>
      </c>
      <c r="F165" s="1753">
        <v>0.45833333333333331</v>
      </c>
      <c r="G165" s="1753">
        <v>0.58333333333333337</v>
      </c>
      <c r="H165" s="1753">
        <v>0.58333333333333337</v>
      </c>
      <c r="I165" s="1760">
        <v>100</v>
      </c>
      <c r="J165" s="1598" t="s">
        <v>257</v>
      </c>
      <c r="K165" s="1598" t="s">
        <v>119</v>
      </c>
      <c r="L165" s="1675" t="s">
        <v>17</v>
      </c>
    </row>
    <row r="166" spans="1:12" ht="158.15" customHeight="1" x14ac:dyDescent="0.35">
      <c r="A166" s="825">
        <v>43759</v>
      </c>
      <c r="B166" s="826" t="s">
        <v>4820</v>
      </c>
      <c r="C166" s="826" t="s">
        <v>4862</v>
      </c>
      <c r="D166" s="827">
        <v>43766</v>
      </c>
      <c r="E166" s="872" t="s">
        <v>4821</v>
      </c>
      <c r="F166" s="865">
        <v>0.375</v>
      </c>
      <c r="G166" s="865">
        <v>0.39583333333333331</v>
      </c>
      <c r="H166" s="865">
        <v>0.4375</v>
      </c>
      <c r="I166" s="1386">
        <v>200</v>
      </c>
      <c r="J166" s="826" t="s">
        <v>4826</v>
      </c>
      <c r="K166" s="826" t="s">
        <v>140</v>
      </c>
      <c r="L166" s="829" t="s">
        <v>17</v>
      </c>
    </row>
    <row r="167" spans="1:12" ht="140.9" customHeight="1" x14ac:dyDescent="0.35">
      <c r="A167" s="1560">
        <v>43760</v>
      </c>
      <c r="B167" s="826" t="s">
        <v>4901</v>
      </c>
      <c r="C167" s="826" t="s">
        <v>4836</v>
      </c>
      <c r="D167" s="1562">
        <v>43766</v>
      </c>
      <c r="E167" s="872" t="s">
        <v>4900</v>
      </c>
      <c r="F167" s="865">
        <v>0.375</v>
      </c>
      <c r="G167" s="1565">
        <v>0.45833333333333331</v>
      </c>
      <c r="H167" s="1565">
        <v>0.45833333333333331</v>
      </c>
      <c r="I167" s="1646">
        <v>0</v>
      </c>
      <c r="J167" s="1561" t="s">
        <v>289</v>
      </c>
      <c r="K167" s="826" t="s">
        <v>140</v>
      </c>
      <c r="L167" s="1564" t="s">
        <v>17</v>
      </c>
    </row>
    <row r="168" spans="1:12" ht="101.9" customHeight="1" x14ac:dyDescent="0.35">
      <c r="A168" s="1605">
        <v>43764</v>
      </c>
      <c r="B168" s="1607" t="s">
        <v>4898</v>
      </c>
      <c r="C168" s="1607" t="s">
        <v>4899</v>
      </c>
      <c r="D168" s="1609">
        <v>43766</v>
      </c>
      <c r="E168" s="1611" t="s">
        <v>4698</v>
      </c>
      <c r="F168" s="1612">
        <v>0.375</v>
      </c>
      <c r="G168" s="1612">
        <v>0.47916666666666669</v>
      </c>
      <c r="H168" s="1612">
        <v>0.5</v>
      </c>
      <c r="I168" s="1650">
        <f>1.6*3*120*0.7</f>
        <v>403.20000000000005</v>
      </c>
      <c r="J168" s="1607" t="s">
        <v>4002</v>
      </c>
      <c r="K168" s="826" t="s">
        <v>140</v>
      </c>
      <c r="L168" s="1613" t="s">
        <v>17</v>
      </c>
    </row>
    <row r="169" spans="1:12" ht="127.5" customHeight="1" x14ac:dyDescent="0.35">
      <c r="A169" s="1453">
        <v>43759</v>
      </c>
      <c r="B169" s="5" t="s">
        <v>4820</v>
      </c>
      <c r="C169" s="5" t="s">
        <v>4862</v>
      </c>
      <c r="D169" s="908">
        <v>43767</v>
      </c>
      <c r="E169" s="824" t="s">
        <v>4821</v>
      </c>
      <c r="F169" s="6">
        <v>0.39583333333333331</v>
      </c>
      <c r="G169" s="6">
        <v>0.4375</v>
      </c>
      <c r="H169" s="6">
        <v>0.4375</v>
      </c>
      <c r="I169" s="1100">
        <v>200</v>
      </c>
      <c r="J169" s="5" t="s">
        <v>4826</v>
      </c>
      <c r="K169" s="5" t="s">
        <v>15</v>
      </c>
      <c r="L169" s="807" t="s">
        <v>17</v>
      </c>
    </row>
    <row r="170" spans="1:12" ht="192" customHeight="1" x14ac:dyDescent="0.35">
      <c r="A170" s="1453">
        <v>43759</v>
      </c>
      <c r="B170" s="5" t="s">
        <v>4814</v>
      </c>
      <c r="C170" s="5" t="s">
        <v>4816</v>
      </c>
      <c r="D170" s="908">
        <v>43767</v>
      </c>
      <c r="E170" s="824" t="s">
        <v>4817</v>
      </c>
      <c r="F170" s="6">
        <v>0.39583333333333331</v>
      </c>
      <c r="G170" s="6">
        <v>0.47916666666666669</v>
      </c>
      <c r="H170" s="6">
        <v>0.47916666666666669</v>
      </c>
      <c r="I170" s="1100">
        <f>2*100*0.7</f>
        <v>140</v>
      </c>
      <c r="J170" s="5" t="s">
        <v>4818</v>
      </c>
      <c r="K170" s="5" t="s">
        <v>15</v>
      </c>
      <c r="L170" s="807" t="s">
        <v>17</v>
      </c>
    </row>
    <row r="171" spans="1:12" ht="65.150000000000006" customHeight="1" x14ac:dyDescent="0.35">
      <c r="A171" s="1655">
        <v>43766</v>
      </c>
      <c r="B171" s="1615" t="s">
        <v>4925</v>
      </c>
      <c r="C171" s="5" t="s">
        <v>4927</v>
      </c>
      <c r="D171" s="1656">
        <v>43767</v>
      </c>
      <c r="E171" s="1616" t="s">
        <v>4926</v>
      </c>
      <c r="F171" s="1657">
        <v>0.51041666666666663</v>
      </c>
      <c r="G171" s="1657">
        <v>0.54166666666666663</v>
      </c>
      <c r="H171" s="1657">
        <v>0.54166666666666663</v>
      </c>
      <c r="I171" s="1651">
        <v>156</v>
      </c>
      <c r="J171" s="1615" t="s">
        <v>45</v>
      </c>
      <c r="K171" s="1615"/>
      <c r="L171" s="1617" t="s">
        <v>22</v>
      </c>
    </row>
    <row r="172" spans="1:12" ht="126" customHeight="1" x14ac:dyDescent="0.35">
      <c r="A172" s="1655">
        <v>43766</v>
      </c>
      <c r="B172" s="1615" t="s">
        <v>4935</v>
      </c>
      <c r="C172" s="1615" t="s">
        <v>4936</v>
      </c>
      <c r="D172" s="1656">
        <v>43767</v>
      </c>
      <c r="E172" s="1616" t="s">
        <v>4937</v>
      </c>
      <c r="F172" s="1657">
        <v>0.51041666666666663</v>
      </c>
      <c r="G172" s="1657">
        <v>0.58333333333333337</v>
      </c>
      <c r="H172" s="1657">
        <v>0.58333333333333337</v>
      </c>
      <c r="I172" s="1651">
        <v>0</v>
      </c>
      <c r="J172" s="1615" t="s">
        <v>289</v>
      </c>
      <c r="K172" s="1615" t="s">
        <v>15</v>
      </c>
      <c r="L172" s="1617" t="s">
        <v>17</v>
      </c>
    </row>
    <row r="173" spans="1:12" ht="126" customHeight="1" x14ac:dyDescent="0.35">
      <c r="A173" s="1787">
        <v>43766</v>
      </c>
      <c r="B173" s="7" t="s">
        <v>4928</v>
      </c>
      <c r="C173" s="7" t="s">
        <v>4929</v>
      </c>
      <c r="D173" s="1788">
        <v>43767</v>
      </c>
      <c r="E173" s="881" t="s">
        <v>1235</v>
      </c>
      <c r="F173" s="1790">
        <v>0.54166666666666663</v>
      </c>
      <c r="G173" s="1790">
        <v>0.54166666666666663</v>
      </c>
      <c r="H173" s="1790">
        <v>0.54166666666666663</v>
      </c>
      <c r="I173" s="1100" t="s">
        <v>455</v>
      </c>
      <c r="J173" s="7" t="s">
        <v>289</v>
      </c>
      <c r="K173" s="7" t="s">
        <v>15</v>
      </c>
      <c r="L173" s="809" t="s">
        <v>22</v>
      </c>
    </row>
    <row r="174" spans="1:12" ht="139.4" customHeight="1" x14ac:dyDescent="0.35">
      <c r="A174" s="1655">
        <v>43766</v>
      </c>
      <c r="B174" s="1615" t="s">
        <v>4930</v>
      </c>
      <c r="C174" s="1615" t="s">
        <v>4931</v>
      </c>
      <c r="D174" s="1656">
        <v>43767</v>
      </c>
      <c r="E174" s="1616" t="s">
        <v>4932</v>
      </c>
      <c r="F174" s="1657">
        <v>0.51041666666666663</v>
      </c>
      <c r="G174" s="1657">
        <v>0.625</v>
      </c>
      <c r="H174" s="1657">
        <v>0.625</v>
      </c>
      <c r="I174" s="1651">
        <v>0</v>
      </c>
      <c r="J174" s="1615" t="s">
        <v>289</v>
      </c>
      <c r="K174" s="1615" t="s">
        <v>15</v>
      </c>
      <c r="L174" s="1617" t="s">
        <v>17</v>
      </c>
    </row>
    <row r="175" spans="1:12" ht="197.9" customHeight="1" x14ac:dyDescent="0.35">
      <c r="A175" s="1658">
        <v>43767</v>
      </c>
      <c r="B175" s="1653" t="s">
        <v>4958</v>
      </c>
      <c r="C175" s="1653" t="s">
        <v>4959</v>
      </c>
      <c r="D175" s="1661">
        <v>43767</v>
      </c>
      <c r="E175" s="1663" t="s">
        <v>4960</v>
      </c>
      <c r="F175" s="1653" t="s">
        <v>15</v>
      </c>
      <c r="G175" s="1677">
        <v>0.83333333333333337</v>
      </c>
      <c r="H175" s="1677">
        <v>0.85416666666666663</v>
      </c>
      <c r="I175" s="1652">
        <f>65*1.2</f>
        <v>78</v>
      </c>
      <c r="J175" s="1653" t="s">
        <v>4961</v>
      </c>
      <c r="K175" s="1653" t="s">
        <v>15</v>
      </c>
      <c r="L175" s="1654" t="s">
        <v>17</v>
      </c>
    </row>
    <row r="176" spans="1:12" ht="111" customHeight="1" x14ac:dyDescent="0.35">
      <c r="A176" s="1658">
        <v>43766</v>
      </c>
      <c r="B176" s="1653" t="s">
        <v>4957</v>
      </c>
      <c r="C176" s="1781" t="s">
        <v>4956</v>
      </c>
      <c r="D176" s="1661">
        <v>43768</v>
      </c>
      <c r="E176" s="1663" t="s">
        <v>4976</v>
      </c>
      <c r="F176" s="1677">
        <v>0.5</v>
      </c>
      <c r="G176" s="1677">
        <v>0.5</v>
      </c>
      <c r="H176" s="1677">
        <v>0.5</v>
      </c>
      <c r="I176" s="1652">
        <v>0</v>
      </c>
      <c r="J176" s="1653" t="s">
        <v>4957</v>
      </c>
      <c r="K176" s="1653" t="s">
        <v>15</v>
      </c>
      <c r="L176" s="1654" t="s">
        <v>17</v>
      </c>
    </row>
    <row r="177" spans="1:12" ht="162" customHeight="1" x14ac:dyDescent="0.35">
      <c r="A177" s="1658">
        <v>43767</v>
      </c>
      <c r="B177" s="1653" t="s">
        <v>4965</v>
      </c>
      <c r="C177" s="1653" t="s">
        <v>4966</v>
      </c>
      <c r="D177" s="1661">
        <v>43768</v>
      </c>
      <c r="E177" s="1663" t="s">
        <v>4967</v>
      </c>
      <c r="F177" s="1677">
        <v>0.5</v>
      </c>
      <c r="G177" s="1677">
        <v>0.54166666666666663</v>
      </c>
      <c r="H177" s="1677">
        <v>0.54166666666666663</v>
      </c>
      <c r="I177" s="1652">
        <v>0</v>
      </c>
      <c r="J177" s="1653" t="s">
        <v>289</v>
      </c>
      <c r="K177" s="826" t="s">
        <v>140</v>
      </c>
      <c r="L177" s="1654" t="s">
        <v>17</v>
      </c>
    </row>
    <row r="178" spans="1:12" ht="409.4" customHeight="1" x14ac:dyDescent="0.35">
      <c r="A178" s="1658">
        <v>43767</v>
      </c>
      <c r="B178" s="1653" t="s">
        <v>4468</v>
      </c>
      <c r="C178" s="826" t="s">
        <v>4978</v>
      </c>
      <c r="D178" s="1661">
        <v>43768</v>
      </c>
      <c r="E178" s="1663" t="s">
        <v>4468</v>
      </c>
      <c r="F178" s="1677">
        <v>0.625</v>
      </c>
      <c r="G178" s="1677">
        <v>0.66666666666666663</v>
      </c>
      <c r="H178" s="1677">
        <v>0.66666666666666663</v>
      </c>
      <c r="I178" s="1652">
        <f>3*3*9</f>
        <v>81</v>
      </c>
      <c r="J178" s="1772" t="s">
        <v>4575</v>
      </c>
      <c r="K178" s="1653" t="s">
        <v>17</v>
      </c>
      <c r="L178" s="1654" t="s">
        <v>17</v>
      </c>
    </row>
    <row r="179" spans="1:12" ht="185.15" customHeight="1" x14ac:dyDescent="0.35">
      <c r="A179" s="1782">
        <v>43762</v>
      </c>
      <c r="B179" s="1783" t="s">
        <v>4865</v>
      </c>
      <c r="C179" s="10" t="s">
        <v>4979</v>
      </c>
      <c r="D179" s="1785">
        <v>43768</v>
      </c>
      <c r="E179" s="823" t="s">
        <v>4977</v>
      </c>
      <c r="F179" s="1786">
        <v>0.76388888888888884</v>
      </c>
      <c r="G179" s="1786">
        <v>0.82291666666666663</v>
      </c>
      <c r="H179" s="1786">
        <v>0.82291666666666663</v>
      </c>
      <c r="I179" s="1711">
        <f>2200*1.19+3375*1.09</f>
        <v>6296.75</v>
      </c>
      <c r="J179" s="1701" t="s">
        <v>4866</v>
      </c>
      <c r="K179" s="824" t="s">
        <v>140</v>
      </c>
      <c r="L179" s="807" t="s">
        <v>17</v>
      </c>
    </row>
    <row r="180" spans="1:12" ht="348.65" customHeight="1" x14ac:dyDescent="0.35">
      <c r="A180" s="1658">
        <v>43766</v>
      </c>
      <c r="B180" s="1653" t="s">
        <v>20</v>
      </c>
      <c r="C180" s="1653" t="s">
        <v>4955</v>
      </c>
      <c r="D180" s="1661">
        <v>43768</v>
      </c>
      <c r="E180" s="1663" t="s">
        <v>15</v>
      </c>
      <c r="F180" s="1663" t="s">
        <v>15</v>
      </c>
      <c r="G180" s="1663" t="s">
        <v>15</v>
      </c>
      <c r="H180" s="1663" t="s">
        <v>15</v>
      </c>
      <c r="I180" s="1652">
        <v>0</v>
      </c>
      <c r="J180" s="1653" t="s">
        <v>621</v>
      </c>
      <c r="K180" s="1653" t="s">
        <v>621</v>
      </c>
      <c r="L180" s="1654" t="s">
        <v>17</v>
      </c>
    </row>
    <row r="181" spans="1:12" ht="181.5" customHeight="1" x14ac:dyDescent="0.35">
      <c r="A181" s="1658">
        <v>43767</v>
      </c>
      <c r="B181" s="1653" t="s">
        <v>20</v>
      </c>
      <c r="C181" s="826" t="s">
        <v>4980</v>
      </c>
      <c r="D181" s="1661">
        <v>43768</v>
      </c>
      <c r="E181" s="1663" t="s">
        <v>20</v>
      </c>
      <c r="F181" s="1677" t="s">
        <v>15</v>
      </c>
      <c r="G181" s="1677" t="s">
        <v>15</v>
      </c>
      <c r="H181" s="1677" t="s">
        <v>15</v>
      </c>
      <c r="I181" s="1652">
        <v>0</v>
      </c>
      <c r="J181" s="1653" t="s">
        <v>15</v>
      </c>
      <c r="K181" s="1653" t="s">
        <v>15</v>
      </c>
      <c r="L181" s="1654" t="s">
        <v>17</v>
      </c>
    </row>
    <row r="182" spans="1:12" ht="110.15" customHeight="1" x14ac:dyDescent="0.35">
      <c r="A182" s="1658">
        <v>43766</v>
      </c>
      <c r="B182" s="1653" t="s">
        <v>4942</v>
      </c>
      <c r="C182" s="1653" t="s">
        <v>4943</v>
      </c>
      <c r="D182" s="1661">
        <v>43769</v>
      </c>
      <c r="E182" s="1663" t="s">
        <v>4985</v>
      </c>
      <c r="F182" s="1677">
        <v>0.35416666666666669</v>
      </c>
      <c r="G182" s="1677">
        <v>0.39583333333333331</v>
      </c>
      <c r="H182" s="1677">
        <v>0.39583333333333331</v>
      </c>
      <c r="I182" s="1652">
        <f>30*3</f>
        <v>90</v>
      </c>
      <c r="J182" s="1653" t="s">
        <v>4944</v>
      </c>
      <c r="K182" s="1653" t="s">
        <v>119</v>
      </c>
      <c r="L182" s="1654" t="s">
        <v>17</v>
      </c>
    </row>
    <row r="183" spans="1:12" x14ac:dyDescent="0.35">
      <c r="A183" s="1686">
        <v>43764</v>
      </c>
      <c r="B183" s="1691" t="s">
        <v>911</v>
      </c>
      <c r="C183" s="1691" t="s">
        <v>4907</v>
      </c>
      <c r="D183" s="1699">
        <v>43769</v>
      </c>
      <c r="E183" s="1691" t="s">
        <v>262</v>
      </c>
      <c r="F183" s="1707">
        <v>0.35416666666666669</v>
      </c>
      <c r="G183" s="1707">
        <v>0.4375</v>
      </c>
      <c r="H183" s="1707">
        <v>0.4375</v>
      </c>
      <c r="I183" s="1650">
        <v>0</v>
      </c>
      <c r="J183" s="1596" t="s">
        <v>911</v>
      </c>
      <c r="K183" s="1607" t="s">
        <v>119</v>
      </c>
      <c r="L183" s="1719" t="s">
        <v>17</v>
      </c>
    </row>
    <row r="184" spans="1:12" ht="77.150000000000006" customHeight="1" x14ac:dyDescent="0.35">
      <c r="A184" s="1597">
        <v>43764</v>
      </c>
      <c r="B184" s="1598" t="s">
        <v>4904</v>
      </c>
      <c r="C184" s="1594" t="s">
        <v>4902</v>
      </c>
      <c r="D184" s="1600">
        <v>43769</v>
      </c>
      <c r="E184" s="1799" t="s">
        <v>4903</v>
      </c>
      <c r="F184" s="1601">
        <v>0.35416666666666669</v>
      </c>
      <c r="G184" s="1601">
        <v>0.47916666666666669</v>
      </c>
      <c r="H184" s="1601">
        <v>0.47916666666666669</v>
      </c>
      <c r="I184" s="1800">
        <v>0</v>
      </c>
      <c r="J184" s="1598" t="s">
        <v>911</v>
      </c>
      <c r="K184" s="1598" t="s">
        <v>119</v>
      </c>
      <c r="L184" s="1675" t="s">
        <v>17</v>
      </c>
    </row>
    <row r="185" spans="1:12" ht="109.4" customHeight="1" x14ac:dyDescent="0.35">
      <c r="A185" s="1585">
        <v>43761</v>
      </c>
      <c r="B185" s="1586" t="s">
        <v>3800</v>
      </c>
      <c r="C185" s="826" t="s">
        <v>4878</v>
      </c>
      <c r="D185" s="1587">
        <v>43769</v>
      </c>
      <c r="E185" s="1588" t="s">
        <v>4879</v>
      </c>
      <c r="F185" s="1590">
        <v>0.47916666666666669</v>
      </c>
      <c r="G185" s="1590">
        <v>0.52083333333333337</v>
      </c>
      <c r="H185" s="1590">
        <v>0.60416666666666663</v>
      </c>
      <c r="I185" s="1649">
        <v>204</v>
      </c>
      <c r="J185" s="826" t="s">
        <v>4880</v>
      </c>
      <c r="K185" s="1607" t="s">
        <v>119</v>
      </c>
      <c r="L185" s="829" t="s">
        <v>22</v>
      </c>
    </row>
    <row r="186" spans="1:12" ht="130.5" x14ac:dyDescent="0.35">
      <c r="A186" s="1658">
        <v>43767</v>
      </c>
      <c r="B186" s="828" t="s">
        <v>3736</v>
      </c>
      <c r="C186" s="826" t="s">
        <v>4982</v>
      </c>
      <c r="D186" s="1661">
        <v>43769</v>
      </c>
      <c r="E186" s="872" t="s">
        <v>311</v>
      </c>
      <c r="F186" s="1677">
        <v>0.66666666666666663</v>
      </c>
      <c r="G186" s="1677">
        <v>0.70833333333333337</v>
      </c>
      <c r="H186" s="1677">
        <v>0.70833333333333337</v>
      </c>
      <c r="I186" s="1652">
        <v>199.8</v>
      </c>
      <c r="J186" s="826" t="s">
        <v>4983</v>
      </c>
      <c r="K186" s="1607" t="s">
        <v>119</v>
      </c>
      <c r="L186" s="1654" t="s">
        <v>22</v>
      </c>
    </row>
    <row r="187" spans="1:12" x14ac:dyDescent="0.35">
      <c r="A187" s="1453">
        <v>43739</v>
      </c>
      <c r="B187" s="5" t="s">
        <v>4513</v>
      </c>
      <c r="C187" s="5" t="s">
        <v>4514</v>
      </c>
      <c r="D187" s="908">
        <v>43769</v>
      </c>
      <c r="E187" s="824" t="s">
        <v>20</v>
      </c>
      <c r="F187" s="5" t="s">
        <v>15</v>
      </c>
      <c r="G187" s="5" t="s">
        <v>15</v>
      </c>
      <c r="H187" s="5" t="s">
        <v>15</v>
      </c>
      <c r="I187" s="1100" t="s">
        <v>15</v>
      </c>
      <c r="J187" s="5" t="s">
        <v>15</v>
      </c>
      <c r="K187" s="826" t="s">
        <v>15</v>
      </c>
      <c r="L187" s="829" t="s">
        <v>17</v>
      </c>
    </row>
    <row r="188" spans="1:12" ht="29" x14ac:dyDescent="0.35">
      <c r="A188" s="1453">
        <v>43756</v>
      </c>
      <c r="B188" s="5" t="s">
        <v>4513</v>
      </c>
      <c r="C188" s="5" t="s">
        <v>4794</v>
      </c>
      <c r="D188" s="908">
        <v>43769</v>
      </c>
      <c r="E188" s="824" t="s">
        <v>20</v>
      </c>
      <c r="F188" s="5" t="s">
        <v>15</v>
      </c>
      <c r="G188" s="5" t="s">
        <v>15</v>
      </c>
      <c r="H188" s="5" t="s">
        <v>15</v>
      </c>
      <c r="I188" s="1100" t="s">
        <v>15</v>
      </c>
      <c r="J188" s="5" t="s">
        <v>15</v>
      </c>
      <c r="K188" s="826" t="s">
        <v>15</v>
      </c>
      <c r="L188" s="807" t="s">
        <v>17</v>
      </c>
    </row>
    <row r="189" spans="1:12" ht="29" x14ac:dyDescent="0.35">
      <c r="A189" s="1795">
        <v>43766</v>
      </c>
      <c r="B189" s="1615" t="s">
        <v>20</v>
      </c>
      <c r="C189" s="1615" t="s">
        <v>4920</v>
      </c>
      <c r="D189" s="1796">
        <v>43769</v>
      </c>
      <c r="E189" s="1616" t="s">
        <v>15</v>
      </c>
      <c r="F189" s="1616" t="s">
        <v>15</v>
      </c>
      <c r="G189" s="1616" t="s">
        <v>15</v>
      </c>
      <c r="H189" s="1616" t="s">
        <v>15</v>
      </c>
      <c r="I189" s="1651">
        <v>0</v>
      </c>
      <c r="J189" s="1616" t="s">
        <v>15</v>
      </c>
      <c r="K189" s="1616" t="s">
        <v>15</v>
      </c>
      <c r="L189" s="1617" t="s">
        <v>17</v>
      </c>
    </row>
    <row r="190" spans="1:12" ht="29" x14ac:dyDescent="0.35">
      <c r="A190" s="1787">
        <v>43768</v>
      </c>
      <c r="B190" s="1797" t="s">
        <v>20</v>
      </c>
      <c r="C190" s="1797" t="s">
        <v>4986</v>
      </c>
      <c r="D190" s="1788">
        <v>43769</v>
      </c>
      <c r="E190" s="1797" t="s">
        <v>20</v>
      </c>
      <c r="F190" s="1797" t="s">
        <v>15</v>
      </c>
      <c r="G190" s="1797" t="s">
        <v>15</v>
      </c>
      <c r="H190" s="1797" t="s">
        <v>15</v>
      </c>
      <c r="I190" s="1651">
        <v>0</v>
      </c>
      <c r="J190" s="1797" t="s">
        <v>15</v>
      </c>
      <c r="K190" s="1797" t="s">
        <v>15</v>
      </c>
      <c r="L190" s="1798" t="s">
        <v>15</v>
      </c>
    </row>
    <row r="191" spans="1:12" ht="159.5" x14ac:dyDescent="0.35">
      <c r="A191" s="1725">
        <v>43766</v>
      </c>
      <c r="B191" s="1667" t="s">
        <v>4951</v>
      </c>
      <c r="C191" s="10" t="s">
        <v>4994</v>
      </c>
      <c r="D191" s="1740">
        <v>43770</v>
      </c>
      <c r="E191" s="1747" t="s">
        <v>1631</v>
      </c>
      <c r="F191" s="1672">
        <v>0.45833333333333331</v>
      </c>
      <c r="G191" s="1672">
        <v>0.5</v>
      </c>
      <c r="H191" s="1672">
        <v>0.5</v>
      </c>
      <c r="I191" s="1651">
        <f>50*4.76+120*7</f>
        <v>1078</v>
      </c>
      <c r="J191" s="1615" t="s">
        <v>4954</v>
      </c>
      <c r="K191" s="1615" t="s">
        <v>15</v>
      </c>
      <c r="L191" s="1617" t="s">
        <v>17</v>
      </c>
    </row>
    <row r="192" spans="1:12" ht="58" x14ac:dyDescent="0.35">
      <c r="A192" s="825">
        <v>43769</v>
      </c>
      <c r="B192" s="826" t="s">
        <v>4987</v>
      </c>
      <c r="C192" s="826" t="s">
        <v>4988</v>
      </c>
      <c r="D192" s="827">
        <v>43770</v>
      </c>
      <c r="E192" s="872" t="s">
        <v>262</v>
      </c>
      <c r="F192" s="865">
        <v>0.45833333333333331</v>
      </c>
      <c r="G192" s="865">
        <v>0.54166666666666663</v>
      </c>
      <c r="H192" s="865">
        <v>0.54166666666666663</v>
      </c>
      <c r="I192" s="1386">
        <v>0</v>
      </c>
      <c r="J192" s="826" t="s">
        <v>289</v>
      </c>
      <c r="K192" s="826" t="s">
        <v>15</v>
      </c>
      <c r="L192" s="829" t="s">
        <v>17</v>
      </c>
    </row>
    <row r="193" spans="1:12" ht="87" x14ac:dyDescent="0.35">
      <c r="A193" s="1453">
        <v>43770</v>
      </c>
      <c r="B193" s="5" t="s">
        <v>4991</v>
      </c>
      <c r="C193" s="5" t="s">
        <v>4993</v>
      </c>
      <c r="D193" s="908">
        <v>43770</v>
      </c>
      <c r="E193" s="824" t="s">
        <v>4992</v>
      </c>
      <c r="F193" s="6">
        <v>0.33333333333333331</v>
      </c>
      <c r="G193" s="6">
        <v>0.35416666666666669</v>
      </c>
      <c r="H193" s="6">
        <v>0.35416666666666669</v>
      </c>
      <c r="I193" s="1100">
        <v>0</v>
      </c>
      <c r="J193" s="5" t="s">
        <v>16</v>
      </c>
      <c r="K193" s="5" t="s">
        <v>15</v>
      </c>
      <c r="L193" s="807" t="s">
        <v>17</v>
      </c>
    </row>
    <row r="194" spans="1:12" ht="153.65" customHeight="1" x14ac:dyDescent="0.35">
      <c r="A194" s="830">
        <v>43739</v>
      </c>
      <c r="B194" s="819" t="s">
        <v>4511</v>
      </c>
      <c r="C194" s="819" t="s">
        <v>4941</v>
      </c>
      <c r="D194" s="833">
        <v>43771</v>
      </c>
      <c r="E194" s="1493" t="s">
        <v>4971</v>
      </c>
      <c r="F194" s="819" t="s">
        <v>15</v>
      </c>
      <c r="G194" s="819" t="s">
        <v>49</v>
      </c>
      <c r="H194" s="819" t="s">
        <v>49</v>
      </c>
      <c r="I194" s="1386">
        <f>400+17.5*65+50*3.5*4.76</f>
        <v>2370.5</v>
      </c>
      <c r="J194" s="826" t="s">
        <v>4512</v>
      </c>
      <c r="K194" s="826" t="s">
        <v>15</v>
      </c>
      <c r="L194" s="829" t="s">
        <v>17</v>
      </c>
    </row>
    <row r="195" spans="1:12" ht="55.4" customHeight="1" x14ac:dyDescent="0.35">
      <c r="A195" s="1595">
        <v>43756</v>
      </c>
      <c r="B195" s="10" t="s">
        <v>4785</v>
      </c>
      <c r="C195" s="10" t="s">
        <v>4788</v>
      </c>
      <c r="D195" s="1801">
        <v>43771</v>
      </c>
      <c r="E195" s="1802" t="s">
        <v>4786</v>
      </c>
      <c r="F195" s="1803"/>
      <c r="G195" s="1804">
        <v>0.77083333333333337</v>
      </c>
      <c r="H195" s="1804">
        <v>0.83333333333333337</v>
      </c>
      <c r="I195" s="1648">
        <v>784</v>
      </c>
      <c r="J195" s="5" t="s">
        <v>4787</v>
      </c>
      <c r="K195" s="1573"/>
      <c r="L195" s="807" t="s">
        <v>22</v>
      </c>
    </row>
    <row r="196" spans="1:12" ht="262.64999999999998" customHeight="1" x14ac:dyDescent="0.35">
      <c r="A196" s="1795">
        <v>43766</v>
      </c>
      <c r="B196" s="1615" t="s">
        <v>4548</v>
      </c>
      <c r="C196" s="1615" t="s">
        <v>4949</v>
      </c>
      <c r="D196" s="1796">
        <v>43771</v>
      </c>
      <c r="E196" s="1805" t="s">
        <v>4950</v>
      </c>
      <c r="F196" s="1615" t="s">
        <v>15</v>
      </c>
      <c r="G196" s="1657">
        <v>0.60416666666666663</v>
      </c>
      <c r="H196" s="1657">
        <v>0.60416666666666663</v>
      </c>
      <c r="I196" s="1651">
        <f>70*3.5*4.76</f>
        <v>1166.2</v>
      </c>
      <c r="J196" s="1807" t="s">
        <v>4551</v>
      </c>
      <c r="K196" s="1615" t="s">
        <v>15</v>
      </c>
      <c r="L196" s="1617" t="s">
        <v>17</v>
      </c>
    </row>
    <row r="197" spans="1:12" ht="87" x14ac:dyDescent="0.35">
      <c r="A197" s="1687">
        <v>43766</v>
      </c>
      <c r="B197" s="1692" t="s">
        <v>4919</v>
      </c>
      <c r="C197" s="1692" t="s">
        <v>4923</v>
      </c>
      <c r="D197" s="1700">
        <v>43771</v>
      </c>
      <c r="E197" s="1378" t="s">
        <v>4962</v>
      </c>
      <c r="F197" s="1692" t="s">
        <v>15</v>
      </c>
      <c r="G197" s="1709"/>
      <c r="H197" s="1709"/>
      <c r="I197" s="1652">
        <v>300</v>
      </c>
      <c r="J197" s="1653" t="s">
        <v>4922</v>
      </c>
      <c r="K197" s="1653" t="s">
        <v>15</v>
      </c>
      <c r="L197" s="1654" t="s">
        <v>17</v>
      </c>
    </row>
    <row r="198" spans="1:12" ht="101.5" x14ac:dyDescent="0.35">
      <c r="A198" s="1659">
        <v>43766</v>
      </c>
      <c r="B198" s="1660" t="s">
        <v>4933</v>
      </c>
      <c r="C198" s="819" t="s">
        <v>4989</v>
      </c>
      <c r="D198" s="1662">
        <v>43771</v>
      </c>
      <c r="E198" s="1664" t="s">
        <v>4934</v>
      </c>
      <c r="F198" s="1660" t="s">
        <v>15</v>
      </c>
      <c r="G198" s="1665">
        <v>0.54166666666666663</v>
      </c>
      <c r="H198" s="1665">
        <v>0.58333333333333337</v>
      </c>
      <c r="I198" s="1652">
        <f>3*120</f>
        <v>360</v>
      </c>
      <c r="J198" s="1653" t="s">
        <v>4984</v>
      </c>
      <c r="K198" s="1653" t="s">
        <v>15</v>
      </c>
      <c r="L198" s="1654" t="s">
        <v>17</v>
      </c>
    </row>
    <row r="199" spans="1:12" ht="58" x14ac:dyDescent="0.35">
      <c r="A199" s="1658">
        <v>43766</v>
      </c>
      <c r="B199" s="1653" t="s">
        <v>20</v>
      </c>
      <c r="C199" s="1653" t="s">
        <v>4918</v>
      </c>
      <c r="D199" s="1661">
        <v>43772</v>
      </c>
      <c r="E199" s="1663" t="s">
        <v>15</v>
      </c>
      <c r="F199" s="1663" t="s">
        <v>15</v>
      </c>
      <c r="G199" s="1663" t="s">
        <v>15</v>
      </c>
      <c r="H199" s="1663" t="s">
        <v>15</v>
      </c>
      <c r="I199" s="1652">
        <v>0</v>
      </c>
      <c r="J199" s="1663" t="s">
        <v>15</v>
      </c>
      <c r="K199" s="1663" t="s">
        <v>15</v>
      </c>
      <c r="L199" s="1654" t="s">
        <v>17</v>
      </c>
    </row>
    <row r="200" spans="1:12" ht="159.5" x14ac:dyDescent="0.35">
      <c r="A200" s="1725">
        <v>43766</v>
      </c>
      <c r="B200" s="1667" t="s">
        <v>4912</v>
      </c>
      <c r="C200" s="1667" t="s">
        <v>4910</v>
      </c>
      <c r="D200" s="1740">
        <v>43772</v>
      </c>
      <c r="E200" s="1805" t="s">
        <v>4911</v>
      </c>
      <c r="F200" s="1747" t="s">
        <v>15</v>
      </c>
      <c r="G200" s="1747" t="s">
        <v>15</v>
      </c>
      <c r="H200" s="1747" t="s">
        <v>15</v>
      </c>
      <c r="I200" s="1651">
        <v>972</v>
      </c>
      <c r="J200" s="1616" t="s">
        <v>4913</v>
      </c>
      <c r="K200" s="1616" t="s">
        <v>15</v>
      </c>
      <c r="L200" s="1617" t="s">
        <v>17</v>
      </c>
    </row>
    <row r="201" spans="1:12" ht="87" x14ac:dyDescent="0.35">
      <c r="A201" s="1658">
        <v>43766</v>
      </c>
      <c r="B201" s="1653" t="s">
        <v>4951</v>
      </c>
      <c r="C201" s="1653" t="s">
        <v>4952</v>
      </c>
      <c r="D201" s="1661">
        <v>43772</v>
      </c>
      <c r="E201" s="1663" t="s">
        <v>1631</v>
      </c>
      <c r="F201" s="1653" t="s">
        <v>15</v>
      </c>
      <c r="G201" s="1677">
        <v>0.54166666666666663</v>
      </c>
      <c r="H201" s="1677">
        <v>0.58333333333333337</v>
      </c>
      <c r="I201" s="1652">
        <f>50*4.76</f>
        <v>238</v>
      </c>
      <c r="J201" s="1653" t="s">
        <v>4953</v>
      </c>
      <c r="K201" s="1653" t="s">
        <v>15</v>
      </c>
      <c r="L201" s="1654" t="s">
        <v>17</v>
      </c>
    </row>
    <row r="202" spans="1:12" ht="58" x14ac:dyDescent="0.35">
      <c r="A202" s="1399">
        <v>43766</v>
      </c>
      <c r="B202" s="1400" t="s">
        <v>4051</v>
      </c>
      <c r="C202" s="819" t="s">
        <v>4972</v>
      </c>
      <c r="D202" s="1401">
        <v>43772</v>
      </c>
      <c r="E202" s="1400" t="s">
        <v>290</v>
      </c>
      <c r="F202" s="1402"/>
      <c r="G202" s="1402">
        <v>0.5</v>
      </c>
      <c r="H202" s="1402">
        <v>0.83333333333333337</v>
      </c>
      <c r="I202" s="1619">
        <v>540</v>
      </c>
      <c r="J202" s="1277" t="s">
        <v>4973</v>
      </c>
      <c r="K202" s="826"/>
      <c r="L202" s="1348" t="s">
        <v>22</v>
      </c>
    </row>
    <row r="203" spans="1:12" ht="87" x14ac:dyDescent="0.35">
      <c r="A203" s="1659">
        <v>43767</v>
      </c>
      <c r="B203" s="1660" t="s">
        <v>4968</v>
      </c>
      <c r="C203" s="819" t="s">
        <v>4981</v>
      </c>
      <c r="D203" s="1662">
        <v>43772</v>
      </c>
      <c r="E203" s="1664" t="s">
        <v>4969</v>
      </c>
      <c r="F203" s="1660" t="s">
        <v>15</v>
      </c>
      <c r="G203" s="1665">
        <v>0.41666666666666669</v>
      </c>
      <c r="H203" s="1665">
        <v>0.45833333333333331</v>
      </c>
      <c r="I203" s="1652">
        <f>4*65</f>
        <v>260</v>
      </c>
      <c r="J203" s="1653" t="s">
        <v>4970</v>
      </c>
      <c r="K203" s="1653" t="s">
        <v>15</v>
      </c>
      <c r="L203" s="1654" t="s">
        <v>17</v>
      </c>
    </row>
    <row r="204" spans="1:12" ht="87" x14ac:dyDescent="0.35">
      <c r="A204" s="1687">
        <v>43766</v>
      </c>
      <c r="B204" s="1692" t="s">
        <v>4919</v>
      </c>
      <c r="C204" s="1692" t="s">
        <v>4924</v>
      </c>
      <c r="D204" s="1700">
        <v>43774</v>
      </c>
      <c r="E204" s="1378" t="s">
        <v>4963</v>
      </c>
      <c r="F204" s="1692" t="s">
        <v>15</v>
      </c>
      <c r="G204" s="1709"/>
      <c r="H204" s="1709"/>
      <c r="I204" s="1652">
        <v>0</v>
      </c>
      <c r="J204" s="1653" t="s">
        <v>4921</v>
      </c>
      <c r="K204" s="1653" t="s">
        <v>15</v>
      </c>
      <c r="L204" s="1654" t="s">
        <v>17</v>
      </c>
    </row>
    <row r="205" spans="1:12" ht="101.5" x14ac:dyDescent="0.35">
      <c r="A205" s="1659">
        <v>43766</v>
      </c>
      <c r="B205" s="1660" t="s">
        <v>4914</v>
      </c>
      <c r="C205" s="1660" t="s">
        <v>4917</v>
      </c>
      <c r="D205" s="1662">
        <v>43774</v>
      </c>
      <c r="E205" s="1664" t="s">
        <v>4915</v>
      </c>
      <c r="F205" s="1660" t="s">
        <v>15</v>
      </c>
      <c r="G205" s="1665">
        <v>0.375</v>
      </c>
      <c r="H205" s="1665">
        <v>0.41666666666666669</v>
      </c>
      <c r="I205" s="1652">
        <v>780</v>
      </c>
      <c r="J205" s="1653" t="s">
        <v>4916</v>
      </c>
      <c r="K205" s="1653" t="s">
        <v>15</v>
      </c>
      <c r="L205" s="1654" t="s">
        <v>17</v>
      </c>
    </row>
    <row r="206" spans="1:12" ht="145" x14ac:dyDescent="0.35">
      <c r="A206" s="825">
        <v>43669</v>
      </c>
      <c r="B206" s="927" t="s">
        <v>52</v>
      </c>
      <c r="C206" s="826" t="s">
        <v>13</v>
      </c>
      <c r="D206" s="827">
        <v>43775</v>
      </c>
      <c r="E206" s="826" t="s">
        <v>19</v>
      </c>
      <c r="F206" s="826" t="s">
        <v>15</v>
      </c>
      <c r="G206" s="826" t="s">
        <v>49</v>
      </c>
      <c r="H206" s="826" t="s">
        <v>49</v>
      </c>
      <c r="I206" s="1386">
        <v>0</v>
      </c>
      <c r="J206" s="826" t="s">
        <v>16</v>
      </c>
      <c r="K206" s="826" t="s">
        <v>15</v>
      </c>
      <c r="L206" s="829" t="s">
        <v>17</v>
      </c>
    </row>
    <row r="207" spans="1:12" ht="58" x14ac:dyDescent="0.35">
      <c r="A207" s="1302">
        <v>43730</v>
      </c>
      <c r="B207" s="5" t="s">
        <v>4356</v>
      </c>
      <c r="C207" s="5" t="s">
        <v>4822</v>
      </c>
      <c r="D207" s="1304">
        <v>43775</v>
      </c>
      <c r="E207" s="824" t="s">
        <v>49</v>
      </c>
      <c r="F207" s="1290" t="s">
        <v>15</v>
      </c>
      <c r="G207" s="1290" t="s">
        <v>49</v>
      </c>
      <c r="H207" s="1290" t="s">
        <v>49</v>
      </c>
      <c r="I207" s="1620">
        <v>192</v>
      </c>
      <c r="J207" s="1265" t="s">
        <v>257</v>
      </c>
      <c r="K207" s="1265" t="s">
        <v>15</v>
      </c>
      <c r="L207" s="1265" t="s">
        <v>17</v>
      </c>
    </row>
    <row r="208" spans="1:12" ht="29" x14ac:dyDescent="0.35">
      <c r="A208" s="1585">
        <v>43761</v>
      </c>
      <c r="B208" s="1586" t="s">
        <v>131</v>
      </c>
      <c r="C208" s="1586" t="s">
        <v>4856</v>
      </c>
      <c r="D208" s="1587">
        <v>43775</v>
      </c>
      <c r="E208" s="1588" t="s">
        <v>129</v>
      </c>
      <c r="F208" s="1688" t="s">
        <v>15</v>
      </c>
      <c r="G208" s="1705">
        <v>0.5</v>
      </c>
      <c r="H208" s="1590">
        <v>0.625</v>
      </c>
      <c r="I208" s="1593">
        <v>0</v>
      </c>
      <c r="J208" s="1586" t="s">
        <v>289</v>
      </c>
      <c r="K208" s="1586" t="s">
        <v>15</v>
      </c>
      <c r="L208" s="1589" t="s">
        <v>17</v>
      </c>
    </row>
    <row r="209" spans="1:12" ht="29" x14ac:dyDescent="0.35">
      <c r="A209" s="1560">
        <v>43759</v>
      </c>
      <c r="B209" s="1561" t="s">
        <v>20</v>
      </c>
      <c r="C209" s="1561" t="s">
        <v>4823</v>
      </c>
      <c r="D209" s="1562">
        <v>43776</v>
      </c>
      <c r="E209" s="1563" t="s">
        <v>20</v>
      </c>
      <c r="F209" s="1561" t="s">
        <v>15</v>
      </c>
      <c r="G209" s="1561" t="s">
        <v>15</v>
      </c>
      <c r="H209" s="1561" t="s">
        <v>15</v>
      </c>
      <c r="I209" s="1646">
        <v>0</v>
      </c>
      <c r="J209" s="1561" t="s">
        <v>15</v>
      </c>
      <c r="K209" s="1561" t="s">
        <v>15</v>
      </c>
      <c r="L209" s="1564" t="s">
        <v>17</v>
      </c>
    </row>
    <row r="210" spans="1:12" ht="29" x14ac:dyDescent="0.35">
      <c r="A210" s="1560">
        <v>43760</v>
      </c>
      <c r="B210" s="1561" t="s">
        <v>20</v>
      </c>
      <c r="C210" s="1561" t="s">
        <v>4825</v>
      </c>
      <c r="D210" s="1562">
        <v>43776</v>
      </c>
      <c r="E210" s="1563" t="s">
        <v>20</v>
      </c>
      <c r="F210" s="1561" t="s">
        <v>15</v>
      </c>
      <c r="G210" s="1561" t="s">
        <v>15</v>
      </c>
      <c r="H210" s="1561" t="s">
        <v>15</v>
      </c>
      <c r="I210" s="1646">
        <v>0</v>
      </c>
      <c r="J210" s="1561" t="s">
        <v>15</v>
      </c>
      <c r="K210" s="1561" t="s">
        <v>15</v>
      </c>
      <c r="L210" s="1564" t="s">
        <v>17</v>
      </c>
    </row>
    <row r="211" spans="1:12" ht="87" x14ac:dyDescent="0.35">
      <c r="A211" s="1658">
        <v>43766</v>
      </c>
      <c r="B211" s="1653" t="s">
        <v>4945</v>
      </c>
      <c r="C211" s="1653" t="s">
        <v>4946</v>
      </c>
      <c r="D211" s="1661">
        <v>43777</v>
      </c>
      <c r="E211" s="1663" t="s">
        <v>4947</v>
      </c>
      <c r="F211" s="1653" t="s">
        <v>15</v>
      </c>
      <c r="G211" s="1653" t="s">
        <v>49</v>
      </c>
      <c r="H211" s="1653" t="s">
        <v>49</v>
      </c>
      <c r="I211" s="1652">
        <f>6*(75+30)+30*8</f>
        <v>870</v>
      </c>
      <c r="J211" s="1653" t="s">
        <v>4948</v>
      </c>
      <c r="K211" s="1653"/>
      <c r="L211" s="1654"/>
    </row>
    <row r="212" spans="1:12" ht="217.5" x14ac:dyDescent="0.35">
      <c r="A212" s="830">
        <v>43759</v>
      </c>
      <c r="B212" s="819" t="s">
        <v>4909</v>
      </c>
      <c r="C212" s="819" t="s">
        <v>4819</v>
      </c>
      <c r="D212" s="833">
        <v>43778</v>
      </c>
      <c r="E212" s="867" t="s">
        <v>4683</v>
      </c>
      <c r="F212" s="819" t="s">
        <v>15</v>
      </c>
      <c r="G212" s="819" t="s">
        <v>15</v>
      </c>
      <c r="H212" s="819" t="s">
        <v>15</v>
      </c>
      <c r="I212" s="1386">
        <f>400+35*4.5*4.76+80*120/1000*85</f>
        <v>1965.6999999999998</v>
      </c>
      <c r="J212" s="826" t="s">
        <v>4684</v>
      </c>
      <c r="K212" s="826" t="s">
        <v>4685</v>
      </c>
      <c r="L212" s="829" t="s">
        <v>17</v>
      </c>
    </row>
    <row r="213" spans="1:12" ht="43.5" x14ac:dyDescent="0.35">
      <c r="A213" s="1453">
        <v>43770</v>
      </c>
      <c r="B213" s="5" t="s">
        <v>4052</v>
      </c>
      <c r="C213" s="5" t="s">
        <v>4990</v>
      </c>
      <c r="D213" s="908">
        <v>43778</v>
      </c>
      <c r="E213" s="824" t="s">
        <v>441</v>
      </c>
      <c r="F213" s="5" t="s">
        <v>15</v>
      </c>
      <c r="G213" s="6">
        <v>0.375</v>
      </c>
      <c r="H213" s="6">
        <v>0.375</v>
      </c>
      <c r="I213" s="1100">
        <v>300</v>
      </c>
      <c r="J213" s="5" t="s">
        <v>257</v>
      </c>
      <c r="K213" s="5" t="s">
        <v>15</v>
      </c>
      <c r="L213" s="807" t="s">
        <v>17</v>
      </c>
    </row>
    <row r="214" spans="1:12" ht="261" x14ac:dyDescent="0.35">
      <c r="A214" s="1566">
        <v>43760</v>
      </c>
      <c r="B214" s="1567" t="s">
        <v>4824</v>
      </c>
      <c r="C214" s="819" t="s">
        <v>4840</v>
      </c>
      <c r="D214" s="1568">
        <v>43779</v>
      </c>
      <c r="E214" s="1569" t="s">
        <v>4828</v>
      </c>
      <c r="F214" s="1567" t="s">
        <v>15</v>
      </c>
      <c r="G214" s="1567" t="s">
        <v>49</v>
      </c>
      <c r="H214" s="1567" t="s">
        <v>49</v>
      </c>
      <c r="I214" s="1646">
        <f>400+90*4*4.76+13*65</f>
        <v>2958.6</v>
      </c>
      <c r="J214" s="1561" t="s">
        <v>4827</v>
      </c>
      <c r="K214" s="1561" t="s">
        <v>15</v>
      </c>
      <c r="L214" s="1564" t="s">
        <v>17</v>
      </c>
    </row>
    <row r="215" spans="1:12" ht="232" x14ac:dyDescent="0.35">
      <c r="A215" s="1658">
        <v>43766</v>
      </c>
      <c r="B215" s="1653" t="s">
        <v>4938</v>
      </c>
      <c r="C215" s="1653" t="s">
        <v>4939</v>
      </c>
      <c r="D215" s="1661">
        <v>43779</v>
      </c>
      <c r="E215" s="1663" t="s">
        <v>49</v>
      </c>
      <c r="F215" s="1653" t="s">
        <v>15</v>
      </c>
      <c r="G215" s="1653" t="s">
        <v>49</v>
      </c>
      <c r="H215" s="1653" t="s">
        <v>49</v>
      </c>
      <c r="I215" s="1652">
        <f>80*3.5*4.76+300+85*12</f>
        <v>2652.8</v>
      </c>
      <c r="J215" s="1653" t="s">
        <v>4940</v>
      </c>
      <c r="K215" s="1653" t="s">
        <v>15</v>
      </c>
      <c r="L215" s="1653" t="s">
        <v>17</v>
      </c>
    </row>
    <row r="216" spans="1:12" ht="29" x14ac:dyDescent="0.35">
      <c r="A216" s="1465">
        <v>43745</v>
      </c>
      <c r="B216" s="1466" t="s">
        <v>20</v>
      </c>
      <c r="C216" s="1466" t="s">
        <v>4601</v>
      </c>
      <c r="D216" s="1467">
        <v>43790</v>
      </c>
      <c r="E216" s="1468" t="s">
        <v>15</v>
      </c>
      <c r="F216" s="1468" t="s">
        <v>15</v>
      </c>
      <c r="G216" s="1468" t="s">
        <v>15</v>
      </c>
      <c r="H216" s="1468" t="s">
        <v>15</v>
      </c>
      <c r="I216" s="1806" t="s">
        <v>15</v>
      </c>
      <c r="J216" s="1468" t="s">
        <v>15</v>
      </c>
      <c r="K216" s="1468" t="s">
        <v>15</v>
      </c>
      <c r="L216" s="1469" t="s">
        <v>17</v>
      </c>
    </row>
    <row r="217" spans="1:12" ht="43.5" x14ac:dyDescent="0.35">
      <c r="A217" s="1658">
        <v>43767</v>
      </c>
      <c r="B217" s="1653" t="s">
        <v>4974</v>
      </c>
      <c r="C217" s="1709" t="s">
        <v>4975</v>
      </c>
      <c r="D217" s="1661">
        <v>43790</v>
      </c>
      <c r="E217" s="1663" t="s">
        <v>15</v>
      </c>
      <c r="F217" s="1663" t="s">
        <v>15</v>
      </c>
      <c r="G217" s="1663" t="s">
        <v>15</v>
      </c>
      <c r="H217" s="1663" t="s">
        <v>15</v>
      </c>
      <c r="I217" s="1652">
        <v>0</v>
      </c>
      <c r="J217" s="1663" t="s">
        <v>15</v>
      </c>
      <c r="K217" s="1663" t="s">
        <v>15</v>
      </c>
      <c r="L217" s="1794" t="s">
        <v>15</v>
      </c>
    </row>
    <row r="218" spans="1:12" ht="72.5" x14ac:dyDescent="0.35">
      <c r="A218" s="1778">
        <v>43745</v>
      </c>
      <c r="B218" s="1779" t="s">
        <v>4598</v>
      </c>
      <c r="C218" s="1779" t="s">
        <v>4599</v>
      </c>
      <c r="D218" s="1780">
        <v>43792</v>
      </c>
      <c r="E218" s="867" t="s">
        <v>4964</v>
      </c>
      <c r="F218" s="1779" t="s">
        <v>15</v>
      </c>
      <c r="G218" s="1779" t="s">
        <v>49</v>
      </c>
      <c r="H218" s="1779" t="s">
        <v>49</v>
      </c>
      <c r="I218" s="1634">
        <f>105*4.5</f>
        <v>472.5</v>
      </c>
      <c r="J218" s="1466" t="s">
        <v>4600</v>
      </c>
      <c r="K218" s="1466" t="s">
        <v>15</v>
      </c>
      <c r="L218" s="829" t="s">
        <v>17</v>
      </c>
    </row>
    <row r="219" spans="1:12" ht="29" x14ac:dyDescent="0.35">
      <c r="A219" s="825">
        <v>43703</v>
      </c>
      <c r="B219" s="826" t="s">
        <v>3889</v>
      </c>
      <c r="C219" s="826" t="s">
        <v>3884</v>
      </c>
      <c r="D219" s="827">
        <v>43883</v>
      </c>
      <c r="E219" s="872" t="s">
        <v>49</v>
      </c>
      <c r="F219" s="826" t="s">
        <v>15</v>
      </c>
      <c r="G219" s="826" t="s">
        <v>49</v>
      </c>
      <c r="H219" s="826" t="s">
        <v>49</v>
      </c>
      <c r="I219" s="1386" t="s">
        <v>49</v>
      </c>
      <c r="J219" s="826" t="s">
        <v>49</v>
      </c>
      <c r="K219" s="826" t="s">
        <v>15</v>
      </c>
      <c r="L219" s="829" t="s">
        <v>17</v>
      </c>
    </row>
    <row r="264" spans="3:3" x14ac:dyDescent="0.35">
      <c r="C264" s="1895" t="s">
        <v>8</v>
      </c>
    </row>
    <row r="265" spans="3:3" x14ac:dyDescent="0.35">
      <c r="C265" s="1809">
        <v>350</v>
      </c>
    </row>
    <row r="266" spans="3:3" x14ac:dyDescent="0.35">
      <c r="C266" s="1678">
        <v>0</v>
      </c>
    </row>
    <row r="267" spans="3:3" x14ac:dyDescent="0.35">
      <c r="C267" s="1809">
        <v>0</v>
      </c>
    </row>
    <row r="268" spans="3:3" x14ac:dyDescent="0.35">
      <c r="C268" s="1813">
        <v>0</v>
      </c>
    </row>
    <row r="269" spans="3:3" x14ac:dyDescent="0.35">
      <c r="C269" s="1819">
        <v>0</v>
      </c>
    </row>
    <row r="270" spans="3:3" x14ac:dyDescent="0.35">
      <c r="C270" s="1678">
        <v>0</v>
      </c>
    </row>
    <row r="271" spans="3:3" x14ac:dyDescent="0.35">
      <c r="C271" s="1809">
        <v>0</v>
      </c>
    </row>
    <row r="272" spans="3:3" x14ac:dyDescent="0.35">
      <c r="C272" s="1678">
        <v>0</v>
      </c>
    </row>
    <row r="273" spans="3:3" x14ac:dyDescent="0.35">
      <c r="C273" s="1809">
        <v>0</v>
      </c>
    </row>
    <row r="274" spans="3:3" x14ac:dyDescent="0.35">
      <c r="C274" s="1678">
        <f>16.5*65+64*3*4.76</f>
        <v>1986.42</v>
      </c>
    </row>
    <row r="275" spans="3:3" x14ac:dyDescent="0.35">
      <c r="C275" s="1630">
        <v>360</v>
      </c>
    </row>
    <row r="276" spans="3:3" x14ac:dyDescent="0.35">
      <c r="C276" s="1678">
        <v>0</v>
      </c>
    </row>
    <row r="277" spans="3:3" x14ac:dyDescent="0.35">
      <c r="C277" s="1819">
        <v>350</v>
      </c>
    </row>
    <row r="278" spans="3:3" x14ac:dyDescent="0.35">
      <c r="C278" s="1678" t="s">
        <v>15</v>
      </c>
    </row>
    <row r="279" spans="3:3" x14ac:dyDescent="0.35">
      <c r="C279" s="1809">
        <v>0</v>
      </c>
    </row>
    <row r="280" spans="3:3" x14ac:dyDescent="0.35">
      <c r="C280" s="1813">
        <v>0</v>
      </c>
    </row>
    <row r="281" spans="3:3" x14ac:dyDescent="0.35">
      <c r="C281" s="1819">
        <f>64*3*4.76</f>
        <v>913.92</v>
      </c>
    </row>
    <row r="282" spans="3:3" x14ac:dyDescent="0.35">
      <c r="C282" s="2170">
        <v>80</v>
      </c>
    </row>
    <row r="283" spans="3:3" x14ac:dyDescent="0.35">
      <c r="C283" s="1809">
        <v>0</v>
      </c>
    </row>
    <row r="284" spans="3:3" x14ac:dyDescent="0.35">
      <c r="C284" s="1813" t="s">
        <v>15</v>
      </c>
    </row>
    <row r="285" spans="3:3" x14ac:dyDescent="0.35">
      <c r="C285" s="1819">
        <v>0</v>
      </c>
    </row>
    <row r="286" spans="3:3" x14ac:dyDescent="0.35">
      <c r="C286" s="1905">
        <f>750+100*3.5*4.76+120*1</f>
        <v>2536</v>
      </c>
    </row>
    <row r="287" spans="3:3" x14ac:dyDescent="0.35">
      <c r="C287" s="1819">
        <v>2905</v>
      </c>
    </row>
    <row r="288" spans="3:3" x14ac:dyDescent="0.35">
      <c r="C288" s="1905">
        <v>750</v>
      </c>
    </row>
    <row r="289" spans="3:3" x14ac:dyDescent="0.35">
      <c r="C289" s="2170">
        <v>100</v>
      </c>
    </row>
    <row r="290" spans="3:3" x14ac:dyDescent="0.35">
      <c r="C290" s="1813">
        <f>42.7 *65+750</f>
        <v>3525.5</v>
      </c>
    </row>
    <row r="291" spans="3:3" x14ac:dyDescent="0.35">
      <c r="C291" s="1905">
        <f>45*4*4.76+300</f>
        <v>1156.8</v>
      </c>
    </row>
    <row r="292" spans="3:3" x14ac:dyDescent="0.35">
      <c r="C292" s="1905">
        <f>3.5*90*4.76</f>
        <v>1499.3999999999999</v>
      </c>
    </row>
    <row r="293" spans="3:3" x14ac:dyDescent="0.35">
      <c r="C293" s="1809">
        <f>100*125/1000*65+400</f>
        <v>1212.5</v>
      </c>
    </row>
    <row r="294" spans="3:3" x14ac:dyDescent="0.35">
      <c r="C294" s="1991">
        <f>2*130*0.9</f>
        <v>234</v>
      </c>
    </row>
    <row r="295" spans="3:3" x14ac:dyDescent="0.35">
      <c r="C295" s="1905">
        <v>400</v>
      </c>
    </row>
    <row r="296" spans="3:3" x14ac:dyDescent="0.35">
      <c r="C296" s="1905">
        <f>3.5*90*4.76+80*15</f>
        <v>2699.3999999999996</v>
      </c>
    </row>
    <row r="297" spans="3:3" x14ac:dyDescent="0.35">
      <c r="C297" s="1809">
        <v>186.39</v>
      </c>
    </row>
    <row r="298" spans="3:3" x14ac:dyDescent="0.35">
      <c r="C298" s="1813">
        <v>0</v>
      </c>
    </row>
    <row r="299" spans="3:3" x14ac:dyDescent="0.35">
      <c r="C299" s="1809">
        <v>192</v>
      </c>
    </row>
    <row r="300" spans="3:3" x14ac:dyDescent="0.35">
      <c r="C300" s="1630">
        <f>80*3.5*4.76</f>
        <v>1332.8</v>
      </c>
    </row>
    <row r="301" spans="3:3" x14ac:dyDescent="0.35">
      <c r="C301" s="1819">
        <v>0</v>
      </c>
    </row>
    <row r="302" spans="3:3" x14ac:dyDescent="0.35">
      <c r="C302" s="2170">
        <v>120</v>
      </c>
    </row>
    <row r="303" spans="3:3" x14ac:dyDescent="0.35">
      <c r="C303" s="1991">
        <v>140</v>
      </c>
    </row>
    <row r="304" spans="3:3" x14ac:dyDescent="0.35">
      <c r="C304" s="1813">
        <f>8*120+240</f>
        <v>1200</v>
      </c>
    </row>
    <row r="305" spans="3:3" x14ac:dyDescent="0.35">
      <c r="C305" s="1991">
        <v>240</v>
      </c>
    </row>
    <row r="306" spans="3:3" x14ac:dyDescent="0.35">
      <c r="C306" s="1678">
        <v>315</v>
      </c>
    </row>
    <row r="307" spans="3:3" x14ac:dyDescent="0.35">
      <c r="C307" s="1809">
        <v>0</v>
      </c>
    </row>
    <row r="308" spans="3:3" x14ac:dyDescent="0.35">
      <c r="C308" s="1630">
        <v>200</v>
      </c>
    </row>
    <row r="309" spans="3:3" x14ac:dyDescent="0.35">
      <c r="C309" s="1819">
        <v>0</v>
      </c>
    </row>
    <row r="310" spans="3:3" x14ac:dyDescent="0.35">
      <c r="C310" s="1813" t="s">
        <v>15</v>
      </c>
    </row>
    <row r="311" spans="3:3" x14ac:dyDescent="0.35">
      <c r="C311" s="1809" t="s">
        <v>15</v>
      </c>
    </row>
    <row r="312" spans="3:3" x14ac:dyDescent="0.35">
      <c r="C312" s="1991">
        <v>160</v>
      </c>
    </row>
    <row r="313" spans="3:3" x14ac:dyDescent="0.35">
      <c r="C313" s="1819">
        <v>0</v>
      </c>
    </row>
    <row r="314" spans="3:3" x14ac:dyDescent="0.35">
      <c r="C314" s="1813">
        <v>0</v>
      </c>
    </row>
    <row r="315" spans="3:3" x14ac:dyDescent="0.35">
      <c r="C315" s="1819" t="s">
        <v>15</v>
      </c>
    </row>
    <row r="316" spans="3:3" x14ac:dyDescent="0.35">
      <c r="C316" s="1678">
        <v>327.5</v>
      </c>
    </row>
    <row r="317" spans="3:3" x14ac:dyDescent="0.35">
      <c r="C317" s="1819" t="s">
        <v>15</v>
      </c>
    </row>
    <row r="318" spans="3:3" x14ac:dyDescent="0.35">
      <c r="C318" s="1813" t="s">
        <v>15</v>
      </c>
    </row>
    <row r="319" spans="3:3" x14ac:dyDescent="0.35">
      <c r="C319" s="1819">
        <v>0</v>
      </c>
    </row>
    <row r="320" spans="3:3" x14ac:dyDescent="0.35">
      <c r="C320" s="1813">
        <f>15*65</f>
        <v>975</v>
      </c>
    </row>
    <row r="321" spans="3:3" x14ac:dyDescent="0.35">
      <c r="C321" s="1809" t="s">
        <v>15</v>
      </c>
    </row>
    <row r="322" spans="3:3" x14ac:dyDescent="0.35">
      <c r="C322" s="1813" t="s">
        <v>15</v>
      </c>
    </row>
    <row r="323" spans="3:3" x14ac:dyDescent="0.35">
      <c r="C323" s="1809" t="s">
        <v>15</v>
      </c>
    </row>
    <row r="324" spans="3:3" x14ac:dyDescent="0.35">
      <c r="C324" s="1678" t="s">
        <v>15</v>
      </c>
    </row>
    <row r="325" spans="3:3" x14ac:dyDescent="0.35">
      <c r="C325" s="1819">
        <v>192</v>
      </c>
    </row>
    <row r="326" spans="3:3" x14ac:dyDescent="0.35">
      <c r="C326" s="1813" t="s">
        <v>15</v>
      </c>
    </row>
    <row r="327" spans="3:3" x14ac:dyDescent="0.35">
      <c r="C327" s="1809">
        <v>1863.75</v>
      </c>
    </row>
    <row r="328" spans="3:3" x14ac:dyDescent="0.35">
      <c r="C328" s="1813">
        <v>0</v>
      </c>
    </row>
    <row r="329" spans="3:3" x14ac:dyDescent="0.35">
      <c r="C329" s="1991">
        <v>312</v>
      </c>
    </row>
    <row r="330" spans="3:3" x14ac:dyDescent="0.35">
      <c r="C330" s="2505">
        <v>0</v>
      </c>
    </row>
    <row r="331" spans="3:3" x14ac:dyDescent="0.35">
      <c r="C331" s="1819">
        <v>0</v>
      </c>
    </row>
    <row r="332" spans="3:3" x14ac:dyDescent="0.35">
      <c r="C332" s="1813">
        <v>0</v>
      </c>
    </row>
    <row r="333" spans="3:3" x14ac:dyDescent="0.35">
      <c r="C333" s="1809">
        <f>269+199</f>
        <v>468</v>
      </c>
    </row>
    <row r="334" spans="3:3" x14ac:dyDescent="0.35">
      <c r="C334" s="1991">
        <f>999.6+280+130*110/1000*70</f>
        <v>2280.6</v>
      </c>
    </row>
    <row r="335" spans="3:3" x14ac:dyDescent="0.35">
      <c r="C335" s="2506">
        <f>430*100*65/1000+100+400+50*3*4.76+200*3.5*4.76+32.5</f>
        <v>7373.5</v>
      </c>
    </row>
    <row r="336" spans="3:3" x14ac:dyDescent="0.35">
      <c r="C336" s="1813">
        <f>450*100/1000*75+400+200*3.5*4.76</f>
        <v>7107</v>
      </c>
    </row>
    <row r="337" spans="3:3" x14ac:dyDescent="0.35">
      <c r="C337" s="1809">
        <f>200+240*125/1000*65+1.5*65</f>
        <v>2247.5</v>
      </c>
    </row>
    <row r="338" spans="3:3" x14ac:dyDescent="0.35">
      <c r="C338" s="1678">
        <f>200+15*75</f>
        <v>1325</v>
      </c>
    </row>
    <row r="339" spans="3:3" x14ac:dyDescent="0.35">
      <c r="C339" s="1991">
        <v>120</v>
      </c>
    </row>
    <row r="340" spans="3:3" x14ac:dyDescent="0.35">
      <c r="C340" s="1991">
        <v>480</v>
      </c>
    </row>
    <row r="341" spans="3:3" x14ac:dyDescent="0.35">
      <c r="C341" s="1991">
        <v>360</v>
      </c>
    </row>
    <row r="342" spans="3:3" x14ac:dyDescent="0.35">
      <c r="C342" s="1991">
        <v>360</v>
      </c>
    </row>
    <row r="343" spans="3:3" x14ac:dyDescent="0.35">
      <c r="C343" s="1991">
        <f>450+105</f>
        <v>555</v>
      </c>
    </row>
    <row r="344" spans="3:3" x14ac:dyDescent="0.35">
      <c r="C344" s="1991">
        <v>300</v>
      </c>
    </row>
    <row r="345" spans="3:3" x14ac:dyDescent="0.35">
      <c r="C345" s="1991">
        <v>520</v>
      </c>
    </row>
    <row r="346" spans="3:3" x14ac:dyDescent="0.35">
      <c r="C346" s="1991">
        <v>40</v>
      </c>
    </row>
    <row r="347" spans="3:3" x14ac:dyDescent="0.35">
      <c r="C347" s="1809">
        <v>0</v>
      </c>
    </row>
    <row r="348" spans="3:3" x14ac:dyDescent="0.35">
      <c r="C348" s="1678">
        <v>0</v>
      </c>
    </row>
    <row r="349" spans="3:3" x14ac:dyDescent="0.35">
      <c r="C349" s="1819">
        <v>0</v>
      </c>
    </row>
    <row r="350" spans="3:3" x14ac:dyDescent="0.35">
      <c r="C350" s="1991">
        <v>200</v>
      </c>
    </row>
    <row r="351" spans="3:3" x14ac:dyDescent="0.35">
      <c r="C351" s="1819">
        <v>0</v>
      </c>
    </row>
    <row r="352" spans="3:3" x14ac:dyDescent="0.35">
      <c r="C352" s="1819">
        <v>0</v>
      </c>
    </row>
    <row r="353" spans="3:3" x14ac:dyDescent="0.35">
      <c r="C353" s="1819">
        <v>0</v>
      </c>
    </row>
    <row r="354" spans="3:3" x14ac:dyDescent="0.35">
      <c r="C354" s="1678">
        <v>0</v>
      </c>
    </row>
    <row r="355" spans="3:3" x14ac:dyDescent="0.35">
      <c r="C355" s="1809">
        <v>0</v>
      </c>
    </row>
    <row r="356" spans="3:3" x14ac:dyDescent="0.35">
      <c r="C356" s="1991">
        <v>480</v>
      </c>
    </row>
    <row r="357" spans="3:3" x14ac:dyDescent="0.35">
      <c r="C357" s="1809">
        <v>0</v>
      </c>
    </row>
    <row r="358" spans="3:3" x14ac:dyDescent="0.35">
      <c r="C358" s="1813">
        <f>1.6*120</f>
        <v>192</v>
      </c>
    </row>
    <row r="359" spans="3:3" x14ac:dyDescent="0.35">
      <c r="C359" s="1809">
        <f>12*9+45*3</f>
        <v>243</v>
      </c>
    </row>
    <row r="360" spans="3:3" x14ac:dyDescent="0.35">
      <c r="C360" s="1991">
        <v>660</v>
      </c>
    </row>
    <row r="361" spans="3:3" x14ac:dyDescent="0.35">
      <c r="C361" s="1819">
        <v>0</v>
      </c>
    </row>
    <row r="362" spans="3:3" x14ac:dyDescent="0.35">
      <c r="C362" s="1813">
        <v>0</v>
      </c>
    </row>
    <row r="363" spans="3:3" x14ac:dyDescent="0.35">
      <c r="C363" s="1819">
        <v>0</v>
      </c>
    </row>
    <row r="364" spans="3:3" x14ac:dyDescent="0.35">
      <c r="C364" s="1678">
        <v>0</v>
      </c>
    </row>
    <row r="365" spans="3:3" x14ac:dyDescent="0.35">
      <c r="C365" s="1809">
        <v>0</v>
      </c>
    </row>
    <row r="366" spans="3:3" x14ac:dyDescent="0.35">
      <c r="C366" s="1813">
        <v>2620</v>
      </c>
    </row>
    <row r="367" spans="3:3" x14ac:dyDescent="0.35">
      <c r="C367" s="1819">
        <f>2*120</f>
        <v>240</v>
      </c>
    </row>
    <row r="368" spans="3:3" x14ac:dyDescent="0.35">
      <c r="C368" s="1813">
        <v>0</v>
      </c>
    </row>
    <row r="369" spans="3:3" x14ac:dyDescent="0.35">
      <c r="C369" s="1819">
        <v>0</v>
      </c>
    </row>
    <row r="370" spans="3:3" x14ac:dyDescent="0.35">
      <c r="C370" s="1813">
        <v>0</v>
      </c>
    </row>
    <row r="371" spans="3:3" x14ac:dyDescent="0.35">
      <c r="C371" s="1819">
        <v>0</v>
      </c>
    </row>
    <row r="372" spans="3:3" x14ac:dyDescent="0.35">
      <c r="C372" s="1630">
        <v>300</v>
      </c>
    </row>
    <row r="373" spans="3:3" x14ac:dyDescent="0.35">
      <c r="C373" s="1809">
        <v>99</v>
      </c>
    </row>
    <row r="374" spans="3:3" x14ac:dyDescent="0.35">
      <c r="C374" s="1813" t="s">
        <v>15</v>
      </c>
    </row>
    <row r="375" spans="3:3" x14ac:dyDescent="0.35">
      <c r="C375" s="1819" t="s">
        <v>15</v>
      </c>
    </row>
    <row r="376" spans="3:3" x14ac:dyDescent="0.35">
      <c r="C376" s="1678">
        <f>181*65*100/1000+400+50*3*4.76+70*3.5*4.76</f>
        <v>3456.7</v>
      </c>
    </row>
    <row r="377" spans="3:3" ht="72.5" x14ac:dyDescent="0.35">
      <c r="C377" s="1819" t="s">
        <v>4721</v>
      </c>
    </row>
    <row r="378" spans="3:3" x14ac:dyDescent="0.35">
      <c r="C378" s="1813">
        <f>3.5*80*4.76</f>
        <v>1332.8</v>
      </c>
    </row>
    <row r="379" spans="3:3" x14ac:dyDescent="0.35">
      <c r="C379" s="1991">
        <v>1080</v>
      </c>
    </row>
    <row r="380" spans="3:3" x14ac:dyDescent="0.35">
      <c r="C380" s="1678">
        <f>40*4.5*4.67+300</f>
        <v>1140.5999999999999</v>
      </c>
    </row>
    <row r="381" spans="3:3" x14ac:dyDescent="0.35">
      <c r="C381" s="1819">
        <v>300</v>
      </c>
    </row>
    <row r="382" spans="3:3" x14ac:dyDescent="0.35">
      <c r="C382" s="1813">
        <v>0</v>
      </c>
    </row>
    <row r="383" spans="3:3" x14ac:dyDescent="0.35">
      <c r="C383" s="1819">
        <v>320</v>
      </c>
    </row>
    <row r="384" spans="3:3" x14ac:dyDescent="0.35">
      <c r="C384" s="1678">
        <f>4*80*4.76+65*10</f>
        <v>2173.1999999999998</v>
      </c>
    </row>
    <row r="385" spans="3:3" x14ac:dyDescent="0.35">
      <c r="C385" s="1819">
        <f>3*4*9</f>
        <v>108</v>
      </c>
    </row>
    <row r="386" spans="3:3" x14ac:dyDescent="0.35">
      <c r="C386" s="1991">
        <v>480</v>
      </c>
    </row>
    <row r="387" spans="3:3" x14ac:dyDescent="0.35">
      <c r="C387" s="1991">
        <f>65*3</f>
        <v>195</v>
      </c>
    </row>
    <row r="388" spans="3:3" x14ac:dyDescent="0.35">
      <c r="C388" s="1813">
        <v>0</v>
      </c>
    </row>
    <row r="389" spans="3:3" x14ac:dyDescent="0.35">
      <c r="C389" s="1991">
        <f>476*2</f>
        <v>952</v>
      </c>
    </row>
    <row r="390" spans="3:3" x14ac:dyDescent="0.35">
      <c r="C390" s="1991">
        <v>320</v>
      </c>
    </row>
    <row r="391" spans="3:3" x14ac:dyDescent="0.35">
      <c r="C391" s="1991">
        <v>300</v>
      </c>
    </row>
    <row r="392" spans="3:3" x14ac:dyDescent="0.35">
      <c r="C392" s="1813">
        <v>0</v>
      </c>
    </row>
    <row r="393" spans="3:3" x14ac:dyDescent="0.35">
      <c r="C393" s="1819">
        <f>1.6*75*3+20*3</f>
        <v>420</v>
      </c>
    </row>
    <row r="394" spans="3:3" x14ac:dyDescent="0.35">
      <c r="C394" s="1813">
        <v>0</v>
      </c>
    </row>
    <row r="395" spans="3:3" x14ac:dyDescent="0.35">
      <c r="C395" s="1991">
        <v>99</v>
      </c>
    </row>
    <row r="396" spans="3:3" x14ac:dyDescent="0.35">
      <c r="C396" s="1678">
        <v>0</v>
      </c>
    </row>
    <row r="397" spans="3:3" x14ac:dyDescent="0.35">
      <c r="C397" s="1819">
        <v>0</v>
      </c>
    </row>
    <row r="398" spans="3:3" x14ac:dyDescent="0.35">
      <c r="C398" s="1813">
        <v>0</v>
      </c>
    </row>
    <row r="399" spans="3:3" x14ac:dyDescent="0.35">
      <c r="C399" s="1819">
        <v>0</v>
      </c>
    </row>
    <row r="400" spans="3:3" x14ac:dyDescent="0.35">
      <c r="C400" s="1819">
        <v>0</v>
      </c>
    </row>
    <row r="401" spans="3:3" x14ac:dyDescent="0.35">
      <c r="C401" s="1819">
        <v>0</v>
      </c>
    </row>
    <row r="402" spans="3:3" x14ac:dyDescent="0.35">
      <c r="C402" s="1813">
        <v>1650</v>
      </c>
    </row>
    <row r="403" spans="3:3" x14ac:dyDescent="0.35">
      <c r="C403" s="1819">
        <f>118*125/1000*65</f>
        <v>958.75</v>
      </c>
    </row>
    <row r="404" spans="3:3" x14ac:dyDescent="0.35">
      <c r="C404" s="1678">
        <v>0</v>
      </c>
    </row>
    <row r="405" spans="3:3" x14ac:dyDescent="0.35">
      <c r="C405" s="1819">
        <v>0</v>
      </c>
    </row>
    <row r="406" spans="3:3" x14ac:dyDescent="0.35">
      <c r="C406" s="1991">
        <v>450</v>
      </c>
    </row>
    <row r="407" spans="3:3" x14ac:dyDescent="0.35">
      <c r="C407" s="1991">
        <v>525</v>
      </c>
    </row>
    <row r="408" spans="3:3" x14ac:dyDescent="0.35">
      <c r="C408" s="1678">
        <f>4*100*0.7</f>
        <v>280</v>
      </c>
    </row>
    <row r="409" spans="3:3" x14ac:dyDescent="0.35">
      <c r="C409" s="1819">
        <v>1000</v>
      </c>
    </row>
    <row r="410" spans="3:3" x14ac:dyDescent="0.35">
      <c r="C410" s="1991">
        <v>312</v>
      </c>
    </row>
    <row r="411" spans="3:3" x14ac:dyDescent="0.35">
      <c r="C411" s="1630">
        <v>568</v>
      </c>
    </row>
    <row r="412" spans="3:3" x14ac:dyDescent="0.35">
      <c r="C412" s="1991">
        <v>140</v>
      </c>
    </row>
    <row r="413" spans="3:3" x14ac:dyDescent="0.35">
      <c r="C413" s="1905">
        <v>368</v>
      </c>
    </row>
    <row r="414" spans="3:3" x14ac:dyDescent="0.35">
      <c r="C414" s="1630">
        <v>90</v>
      </c>
    </row>
    <row r="415" spans="3:3" x14ac:dyDescent="0.35">
      <c r="C415" s="1819">
        <v>199</v>
      </c>
    </row>
    <row r="416" spans="3:3" x14ac:dyDescent="0.35">
      <c r="C416" s="1813">
        <v>2579</v>
      </c>
    </row>
    <row r="417" spans="3:3" x14ac:dyDescent="0.35">
      <c r="C417" s="1809">
        <f>90*3.5*4.76</f>
        <v>1499.3999999999999</v>
      </c>
    </row>
    <row r="418" spans="3:3" x14ac:dyDescent="0.35">
      <c r="C418" s="1678">
        <v>753.75</v>
      </c>
    </row>
    <row r="419" spans="3:3" x14ac:dyDescent="0.35">
      <c r="C419" s="1819">
        <v>0</v>
      </c>
    </row>
    <row r="420" spans="3:3" x14ac:dyDescent="0.35">
      <c r="C420" s="1630">
        <v>120</v>
      </c>
    </row>
    <row r="421" spans="3:3" x14ac:dyDescent="0.35">
      <c r="C421" s="2507">
        <v>240</v>
      </c>
    </row>
    <row r="422" spans="3:3" x14ac:dyDescent="0.35">
      <c r="C422" s="1630">
        <v>800</v>
      </c>
    </row>
    <row r="423" spans="3:3" x14ac:dyDescent="0.35">
      <c r="C423" s="1809" t="s">
        <v>15</v>
      </c>
    </row>
    <row r="424" spans="3:3" x14ac:dyDescent="0.35">
      <c r="C424" s="1813">
        <v>821.59</v>
      </c>
    </row>
    <row r="425" spans="3:3" x14ac:dyDescent="0.35">
      <c r="C425" s="1819">
        <v>0</v>
      </c>
    </row>
    <row r="426" spans="3:3" x14ac:dyDescent="0.35">
      <c r="C426" s="1991">
        <v>360</v>
      </c>
    </row>
    <row r="427" spans="3:3" x14ac:dyDescent="0.35">
      <c r="C427" s="1819">
        <v>0</v>
      </c>
    </row>
    <row r="428" spans="3:3" x14ac:dyDescent="0.35">
      <c r="C428" s="1630">
        <v>100</v>
      </c>
    </row>
    <row r="429" spans="3:3" x14ac:dyDescent="0.35">
      <c r="C429" s="1819">
        <v>200</v>
      </c>
    </row>
    <row r="430" spans="3:3" x14ac:dyDescent="0.35">
      <c r="C430" s="1813">
        <v>0</v>
      </c>
    </row>
    <row r="431" spans="3:3" x14ac:dyDescent="0.35">
      <c r="C431" s="1819">
        <f>1.6*3*120*0.7</f>
        <v>403.20000000000005</v>
      </c>
    </row>
    <row r="432" spans="3:3" x14ac:dyDescent="0.35">
      <c r="C432" s="1678">
        <v>200</v>
      </c>
    </row>
    <row r="433" spans="3:3" x14ac:dyDescent="0.35">
      <c r="C433" s="1809">
        <f>2*100*0.7</f>
        <v>140</v>
      </c>
    </row>
    <row r="434" spans="3:3" x14ac:dyDescent="0.35">
      <c r="C434" s="1678">
        <v>156</v>
      </c>
    </row>
    <row r="435" spans="3:3" x14ac:dyDescent="0.35">
      <c r="C435" s="1809">
        <v>0</v>
      </c>
    </row>
    <row r="436" spans="3:3" x14ac:dyDescent="0.35">
      <c r="C436" s="1678" t="s">
        <v>455</v>
      </c>
    </row>
    <row r="437" spans="3:3" x14ac:dyDescent="0.35">
      <c r="C437" s="1809">
        <v>0</v>
      </c>
    </row>
    <row r="438" spans="3:3" x14ac:dyDescent="0.35">
      <c r="C438" s="1813">
        <f>65*1.2</f>
        <v>78</v>
      </c>
    </row>
    <row r="439" spans="3:3" x14ac:dyDescent="0.35">
      <c r="C439" s="1819">
        <v>0</v>
      </c>
    </row>
    <row r="440" spans="3:3" x14ac:dyDescent="0.35">
      <c r="C440" s="1813">
        <v>0</v>
      </c>
    </row>
    <row r="441" spans="3:3" x14ac:dyDescent="0.35">
      <c r="C441" s="1819">
        <f>3*3*9</f>
        <v>81</v>
      </c>
    </row>
    <row r="442" spans="3:3" x14ac:dyDescent="0.35">
      <c r="C442" s="1678">
        <f>2200*1.19+3375*1.09</f>
        <v>6296.75</v>
      </c>
    </row>
    <row r="443" spans="3:3" x14ac:dyDescent="0.35">
      <c r="C443" s="1819">
        <v>0</v>
      </c>
    </row>
    <row r="444" spans="3:3" x14ac:dyDescent="0.35">
      <c r="C444" s="1813">
        <v>0</v>
      </c>
    </row>
    <row r="445" spans="3:3" x14ac:dyDescent="0.35">
      <c r="C445" s="1819">
        <f>30*3</f>
        <v>90</v>
      </c>
    </row>
    <row r="446" spans="3:3" x14ac:dyDescent="0.35">
      <c r="C446" s="1813">
        <v>0</v>
      </c>
    </row>
    <row r="447" spans="3:3" x14ac:dyDescent="0.35">
      <c r="C447" s="1809">
        <v>0</v>
      </c>
    </row>
    <row r="448" spans="3:3" x14ac:dyDescent="0.35">
      <c r="C448" s="1991">
        <v>204</v>
      </c>
    </row>
    <row r="449" spans="3:3" x14ac:dyDescent="0.35">
      <c r="C449" s="1819">
        <v>199.8</v>
      </c>
    </row>
    <row r="450" spans="3:3" x14ac:dyDescent="0.35">
      <c r="C450" s="1678" t="s">
        <v>15</v>
      </c>
    </row>
    <row r="451" spans="3:3" x14ac:dyDescent="0.35">
      <c r="C451" s="1809" t="s">
        <v>15</v>
      </c>
    </row>
    <row r="452" spans="3:3" x14ac:dyDescent="0.35">
      <c r="C452" s="1678">
        <v>0</v>
      </c>
    </row>
    <row r="453" spans="3:3" x14ac:dyDescent="0.35">
      <c r="C453" s="1809">
        <v>0</v>
      </c>
    </row>
    <row r="454" spans="3:3" x14ac:dyDescent="0.35">
      <c r="C454" s="2508">
        <f>SUM(C265:C453)/4.8</f>
        <v>19151.358333333334</v>
      </c>
    </row>
  </sheetData>
  <conditionalFormatting sqref="B1:L1">
    <cfRule type="cellIs" dxfId="1692" priority="525" operator="equal">
      <formula>TODAY()</formula>
    </cfRule>
    <cfRule type="cellIs" dxfId="1691" priority="526" operator="equal">
      <formula>TODAY()</formula>
    </cfRule>
  </conditionalFormatting>
  <conditionalFormatting sqref="S138">
    <cfRule type="cellIs" dxfId="1690" priority="295" operator="equal">
      <formula>TODAY()</formula>
    </cfRule>
    <cfRule type="cellIs" dxfId="1689" priority="296" operator="equal">
      <formula>TODAY()</formula>
    </cfRule>
  </conditionalFormatting>
  <conditionalFormatting sqref="AB138">
    <cfRule type="cellIs" dxfId="1688" priority="281" operator="equal">
      <formula>TODAY()</formula>
    </cfRule>
    <cfRule type="cellIs" dxfId="1687" priority="282" operator="equal">
      <formula>TODAY()</formula>
    </cfRule>
  </conditionalFormatting>
  <conditionalFormatting sqref="AA138">
    <cfRule type="cellIs" dxfId="1686" priority="283" operator="equal">
      <formula>TODAY()</formula>
    </cfRule>
    <cfRule type="cellIs" dxfId="1685" priority="284" operator="equal">
      <formula>TODAY()</formula>
    </cfRule>
  </conditionalFormatting>
  <conditionalFormatting sqref="T138">
    <cfRule type="cellIs" dxfId="1684" priority="293" operator="equal">
      <formula>TODAY()</formula>
    </cfRule>
    <cfRule type="cellIs" dxfId="1683" priority="294" operator="equal">
      <formula>TODAY()</formula>
    </cfRule>
  </conditionalFormatting>
  <conditionalFormatting sqref="V138">
    <cfRule type="cellIs" dxfId="1682" priority="291" operator="equal">
      <formula>TODAY()</formula>
    </cfRule>
    <cfRule type="cellIs" dxfId="1681" priority="292" operator="equal">
      <formula>TODAY()</formula>
    </cfRule>
  </conditionalFormatting>
  <conditionalFormatting sqref="W138">
    <cfRule type="cellIs" dxfId="1680" priority="289" operator="equal">
      <formula>TODAY()</formula>
    </cfRule>
    <cfRule type="cellIs" dxfId="1679" priority="290" operator="equal">
      <formula>TODAY()</formula>
    </cfRule>
  </conditionalFormatting>
  <conditionalFormatting sqref="X138:Y138">
    <cfRule type="cellIs" dxfId="1678" priority="287" operator="equal">
      <formula>TODAY()</formula>
    </cfRule>
    <cfRule type="cellIs" dxfId="1677" priority="288" operator="equal">
      <formula>TODAY()</formula>
    </cfRule>
  </conditionalFormatting>
  <conditionalFormatting sqref="Z138">
    <cfRule type="cellIs" dxfId="1676" priority="285" operator="equal">
      <formula>TODAY()</formula>
    </cfRule>
    <cfRule type="cellIs" dxfId="1675" priority="286" operator="equal">
      <formula>TODAY()</formula>
    </cfRule>
  </conditionalFormatting>
  <conditionalFormatting sqref="AC138">
    <cfRule type="cellIs" dxfId="1674" priority="279" operator="equal">
      <formula>TODAY()</formula>
    </cfRule>
    <cfRule type="cellIs" dxfId="1673" priority="280" operator="equal">
      <formula>TODAY()</formula>
    </cfRule>
  </conditionalFormatting>
  <conditionalFormatting sqref="S139 S141">
    <cfRule type="cellIs" dxfId="1672" priority="277" operator="equal">
      <formula>TODAY()</formula>
    </cfRule>
    <cfRule type="cellIs" dxfId="1671" priority="278" operator="equal">
      <formula>TODAY()</formula>
    </cfRule>
  </conditionalFormatting>
  <conditionalFormatting sqref="AB139 AB141">
    <cfRule type="cellIs" dxfId="1670" priority="263" operator="equal">
      <formula>TODAY()</formula>
    </cfRule>
    <cfRule type="cellIs" dxfId="1669" priority="264" operator="equal">
      <formula>TODAY()</formula>
    </cfRule>
  </conditionalFormatting>
  <conditionalFormatting sqref="AA139 AA141">
    <cfRule type="cellIs" dxfId="1668" priority="265" operator="equal">
      <formula>TODAY()</formula>
    </cfRule>
    <cfRule type="cellIs" dxfId="1667" priority="266" operator="equal">
      <formula>TODAY()</formula>
    </cfRule>
  </conditionalFormatting>
  <conditionalFormatting sqref="T139 T141">
    <cfRule type="cellIs" dxfId="1666" priority="275" operator="equal">
      <formula>TODAY()</formula>
    </cfRule>
    <cfRule type="cellIs" dxfId="1665" priority="276" operator="equal">
      <formula>TODAY()</formula>
    </cfRule>
  </conditionalFormatting>
  <conditionalFormatting sqref="V139 V141">
    <cfRule type="cellIs" dxfId="1664" priority="273" operator="equal">
      <formula>TODAY()</formula>
    </cfRule>
    <cfRule type="cellIs" dxfId="1663" priority="274" operator="equal">
      <formula>TODAY()</formula>
    </cfRule>
  </conditionalFormatting>
  <conditionalFormatting sqref="W139 W141">
    <cfRule type="cellIs" dxfId="1662" priority="271" operator="equal">
      <formula>TODAY()</formula>
    </cfRule>
    <cfRule type="cellIs" dxfId="1661" priority="272" operator="equal">
      <formula>TODAY()</formula>
    </cfRule>
  </conditionalFormatting>
  <conditionalFormatting sqref="X139:Y139 X141:Y141">
    <cfRule type="cellIs" dxfId="1660" priority="269" operator="equal">
      <formula>TODAY()</formula>
    </cfRule>
    <cfRule type="cellIs" dxfId="1659" priority="270" operator="equal">
      <formula>TODAY()</formula>
    </cfRule>
  </conditionalFormatting>
  <conditionalFormatting sqref="Z139 Z141">
    <cfRule type="cellIs" dxfId="1658" priority="267" operator="equal">
      <formula>TODAY()</formula>
    </cfRule>
    <cfRule type="cellIs" dxfId="1657" priority="268" operator="equal">
      <formula>TODAY()</formula>
    </cfRule>
  </conditionalFormatting>
  <conditionalFormatting sqref="AC139 AC141">
    <cfRule type="cellIs" dxfId="1656" priority="261" operator="equal">
      <formula>TODAY()</formula>
    </cfRule>
    <cfRule type="cellIs" dxfId="1655" priority="262" operator="equal">
      <formula>TODAY()</formula>
    </cfRule>
  </conditionalFormatting>
  <conditionalFormatting sqref="E13">
    <cfRule type="cellIs" dxfId="1654" priority="69" operator="equal">
      <formula>TODAY()</formula>
    </cfRule>
    <cfRule type="cellIs" dxfId="1653" priority="70" operator="equal">
      <formula>TODAY()</formula>
    </cfRule>
  </conditionalFormatting>
  <conditionalFormatting sqref="E14:E16">
    <cfRule type="cellIs" dxfId="1652" priority="67" operator="equal">
      <formula>TODAY()</formula>
    </cfRule>
    <cfRule type="cellIs" dxfId="1651" priority="68" operator="equal">
      <formula>TODAY()</formula>
    </cfRule>
  </conditionalFormatting>
  <conditionalFormatting sqref="E12">
    <cfRule type="cellIs" dxfId="1650" priority="63" operator="equal">
      <formula>TODAY()</formula>
    </cfRule>
    <cfRule type="cellIs" dxfId="1649" priority="64" operator="equal">
      <formula>TODAY()</formula>
    </cfRule>
  </conditionalFormatting>
  <conditionalFormatting sqref="E7">
    <cfRule type="cellIs" dxfId="1648" priority="61" operator="equal">
      <formula>TODAY()</formula>
    </cfRule>
    <cfRule type="cellIs" dxfId="1647" priority="62" operator="equal">
      <formula>TODAY()</formula>
    </cfRule>
  </conditionalFormatting>
  <conditionalFormatting sqref="B121">
    <cfRule type="cellIs" dxfId="1646" priority="59" operator="equal">
      <formula>TODAY()</formula>
    </cfRule>
    <cfRule type="cellIs" dxfId="1645" priority="60" operator="equal">
      <formula>TODAY()</formula>
    </cfRule>
  </conditionalFormatting>
  <conditionalFormatting sqref="K121">
    <cfRule type="cellIs" dxfId="1644" priority="45" operator="equal">
      <formula>TODAY()</formula>
    </cfRule>
    <cfRule type="cellIs" dxfId="1643" priority="46" operator="equal">
      <formula>TODAY()</formula>
    </cfRule>
  </conditionalFormatting>
  <conditionalFormatting sqref="J121">
    <cfRule type="cellIs" dxfId="1642" priority="47" operator="equal">
      <formula>TODAY()</formula>
    </cfRule>
    <cfRule type="cellIs" dxfId="1641" priority="48" operator="equal">
      <formula>TODAY()</formula>
    </cfRule>
  </conditionalFormatting>
  <conditionalFormatting sqref="C121">
    <cfRule type="cellIs" dxfId="1640" priority="57" operator="equal">
      <formula>TODAY()</formula>
    </cfRule>
    <cfRule type="cellIs" dxfId="1639" priority="58" operator="equal">
      <formula>TODAY()</formula>
    </cfRule>
  </conditionalFormatting>
  <conditionalFormatting sqref="E121">
    <cfRule type="cellIs" dxfId="1638" priority="55" operator="equal">
      <formula>TODAY()</formula>
    </cfRule>
    <cfRule type="cellIs" dxfId="1637" priority="56" operator="equal">
      <formula>TODAY()</formula>
    </cfRule>
  </conditionalFormatting>
  <conditionalFormatting sqref="F121">
    <cfRule type="cellIs" dxfId="1636" priority="53" operator="equal">
      <formula>TODAY()</formula>
    </cfRule>
    <cfRule type="cellIs" dxfId="1635" priority="54" operator="equal">
      <formula>TODAY()</formula>
    </cfRule>
  </conditionalFormatting>
  <conditionalFormatting sqref="G121:H121">
    <cfRule type="cellIs" dxfId="1634" priority="51" operator="equal">
      <formula>TODAY()</formula>
    </cfRule>
    <cfRule type="cellIs" dxfId="1633" priority="52" operator="equal">
      <formula>TODAY()</formula>
    </cfRule>
  </conditionalFormatting>
  <conditionalFormatting sqref="I121">
    <cfRule type="cellIs" dxfId="1632" priority="49" operator="equal">
      <formula>TODAY()</formula>
    </cfRule>
    <cfRule type="cellIs" dxfId="1631" priority="50" operator="equal">
      <formula>TODAY()</formula>
    </cfRule>
  </conditionalFormatting>
  <conditionalFormatting sqref="L121">
    <cfRule type="cellIs" dxfId="1630" priority="43" operator="equal">
      <formula>TODAY()</formula>
    </cfRule>
    <cfRule type="cellIs" dxfId="1629" priority="44" operator="equal">
      <formula>TODAY()</formula>
    </cfRule>
  </conditionalFormatting>
  <conditionalFormatting sqref="K120">
    <cfRule type="cellIs" dxfId="1628" priority="39" operator="equal">
      <formula>TODAY()</formula>
    </cfRule>
    <cfRule type="cellIs" dxfId="1627" priority="40" operator="equal">
      <formula>TODAY()</formula>
    </cfRule>
  </conditionalFormatting>
  <conditionalFormatting sqref="J120">
    <cfRule type="cellIs" dxfId="1626" priority="41" operator="equal">
      <formula>TODAY()</formula>
    </cfRule>
    <cfRule type="cellIs" dxfId="1625" priority="42" operator="equal">
      <formula>TODAY()</formula>
    </cfRule>
  </conditionalFormatting>
  <conditionalFormatting sqref="L120">
    <cfRule type="cellIs" dxfId="1624" priority="37" operator="equal">
      <formula>TODAY()</formula>
    </cfRule>
    <cfRule type="cellIs" dxfId="1623" priority="38" operator="equal">
      <formula>TODAY()</formula>
    </cfRule>
  </conditionalFormatting>
  <conditionalFormatting sqref="K122">
    <cfRule type="cellIs" dxfId="1622" priority="35" operator="equal">
      <formula>TODAY()</formula>
    </cfRule>
    <cfRule type="cellIs" dxfId="1621" priority="36" operator="equal">
      <formula>TODAY()</formula>
    </cfRule>
  </conditionalFormatting>
  <conditionalFormatting sqref="L122">
    <cfRule type="cellIs" dxfId="1620" priority="33" operator="equal">
      <formula>TODAY()</formula>
    </cfRule>
    <cfRule type="cellIs" dxfId="1619" priority="34" operator="equal">
      <formula>TODAY()</formula>
    </cfRule>
  </conditionalFormatting>
  <conditionalFormatting sqref="K123">
    <cfRule type="cellIs" dxfId="1618" priority="31" operator="equal">
      <formula>TODAY()</formula>
    </cfRule>
    <cfRule type="cellIs" dxfId="1617" priority="32" operator="equal">
      <formula>TODAY()</formula>
    </cfRule>
  </conditionalFormatting>
  <conditionalFormatting sqref="L123">
    <cfRule type="cellIs" dxfId="1616" priority="29" operator="equal">
      <formula>TODAY()</formula>
    </cfRule>
    <cfRule type="cellIs" dxfId="1615" priority="30" operator="equal">
      <formula>TODAY()</formula>
    </cfRule>
  </conditionalFormatting>
  <conditionalFormatting sqref="S140">
    <cfRule type="cellIs" dxfId="1614" priority="27" operator="equal">
      <formula>TODAY()</formula>
    </cfRule>
    <cfRule type="cellIs" dxfId="1613" priority="28" operator="equal">
      <formula>TODAY()</formula>
    </cfRule>
  </conditionalFormatting>
  <conditionalFormatting sqref="AB140">
    <cfRule type="cellIs" dxfId="1612" priority="13" operator="equal">
      <formula>TODAY()</formula>
    </cfRule>
    <cfRule type="cellIs" dxfId="1611" priority="14" operator="equal">
      <formula>TODAY()</formula>
    </cfRule>
  </conditionalFormatting>
  <conditionalFormatting sqref="AA140">
    <cfRule type="cellIs" dxfId="1610" priority="15" operator="equal">
      <formula>TODAY()</formula>
    </cfRule>
    <cfRule type="cellIs" dxfId="1609" priority="16" operator="equal">
      <formula>TODAY()</formula>
    </cfRule>
  </conditionalFormatting>
  <conditionalFormatting sqref="T140">
    <cfRule type="cellIs" dxfId="1608" priority="25" operator="equal">
      <formula>TODAY()</formula>
    </cfRule>
    <cfRule type="cellIs" dxfId="1607" priority="26" operator="equal">
      <formula>TODAY()</formula>
    </cfRule>
  </conditionalFormatting>
  <conditionalFormatting sqref="V140">
    <cfRule type="cellIs" dxfId="1606" priority="23" operator="equal">
      <formula>TODAY()</formula>
    </cfRule>
    <cfRule type="cellIs" dxfId="1605" priority="24" operator="equal">
      <formula>TODAY()</formula>
    </cfRule>
  </conditionalFormatting>
  <conditionalFormatting sqref="W140">
    <cfRule type="cellIs" dxfId="1604" priority="21" operator="equal">
      <formula>TODAY()</formula>
    </cfRule>
    <cfRule type="cellIs" dxfId="1603" priority="22" operator="equal">
      <formula>TODAY()</formula>
    </cfRule>
  </conditionalFormatting>
  <conditionalFormatting sqref="X140:Y140">
    <cfRule type="cellIs" dxfId="1602" priority="19" operator="equal">
      <formula>TODAY()</formula>
    </cfRule>
    <cfRule type="cellIs" dxfId="1601" priority="20" operator="equal">
      <formula>TODAY()</formula>
    </cfRule>
  </conditionalFormatting>
  <conditionalFormatting sqref="Z140">
    <cfRule type="cellIs" dxfId="1600" priority="17" operator="equal">
      <formula>TODAY()</formula>
    </cfRule>
    <cfRule type="cellIs" dxfId="1599" priority="18" operator="equal">
      <formula>TODAY()</formula>
    </cfRule>
  </conditionalFormatting>
  <conditionalFormatting sqref="AC140">
    <cfRule type="cellIs" dxfId="1598" priority="11" operator="equal">
      <formula>TODAY()</formula>
    </cfRule>
    <cfRule type="cellIs" dxfId="1597" priority="12" operator="equal">
      <formula>TODAY()</formula>
    </cfRule>
  </conditionalFormatting>
  <conditionalFormatting sqref="A155:J155 L155:AMI155">
    <cfRule type="cellIs" dxfId="1596" priority="9" operator="equal">
      <formula>TODAY()</formula>
    </cfRule>
    <cfRule type="cellIs" dxfId="1595" priority="10" operator="equal">
      <formula>TODAY()</formula>
    </cfRule>
  </conditionalFormatting>
  <conditionalFormatting sqref="A200:J200 L200">
    <cfRule type="cellIs" dxfId="1594" priority="7" operator="equal">
      <formula>TODAY()</formula>
    </cfRule>
    <cfRule type="cellIs" dxfId="1593" priority="8" operator="equal">
      <formula>TODAY()</formula>
    </cfRule>
  </conditionalFormatting>
  <conditionalFormatting sqref="C264">
    <cfRule type="cellIs" dxfId="1592" priority="5" operator="equal">
      <formula>TODAY()</formula>
    </cfRule>
    <cfRule type="cellIs" dxfId="1591" priority="6" operator="equal">
      <formula>TODAY()</formula>
    </cfRule>
  </conditionalFormatting>
  <conditionalFormatting sqref="C384">
    <cfRule type="cellIs" dxfId="1590" priority="3" operator="equal">
      <formula>TODAY()</formula>
    </cfRule>
    <cfRule type="cellIs" dxfId="1589" priority="4" operator="equal">
      <formula>TODAY()</formula>
    </cfRule>
  </conditionalFormatting>
  <conditionalFormatting sqref="C418">
    <cfRule type="cellIs" dxfId="1588" priority="1" operator="equal">
      <formula>TODAY()</formula>
    </cfRule>
    <cfRule type="cellIs" dxfId="1587" priority="2" operator="equal">
      <formula>TODAY()</formula>
    </cfRule>
  </conditionalFormatting>
  <pageMargins left="0" right="0" top="0" bottom="0" header="0" footer="0"/>
  <pageSetup paperSize="9" scale="10" orientation="landscape" horizontalDpi="4294967293"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AMK185"/>
  <sheetViews>
    <sheetView zoomScale="55" zoomScaleNormal="55" workbookViewId="0">
      <pane ySplit="1" topLeftCell="A170" activePane="bottomLeft" state="frozen"/>
      <selection pane="bottomLeft" activeCell="H41" sqref="H41"/>
    </sheetView>
  </sheetViews>
  <sheetFormatPr defaultColWidth="8.453125" defaultRowHeight="14.5" x14ac:dyDescent="0.35"/>
  <cols>
    <col min="1" max="1" width="13.453125" style="15" customWidth="1"/>
    <col min="2" max="2" width="27" style="15" customWidth="1"/>
    <col min="3" max="3" width="64.453125" style="15" customWidth="1"/>
    <col min="4" max="4" width="13.453125" style="15" customWidth="1"/>
    <col min="5" max="5" width="18.54296875" style="15" customWidth="1"/>
    <col min="6" max="6" width="12.54296875" style="15" customWidth="1"/>
    <col min="7" max="8" width="17.453125" style="15" customWidth="1"/>
    <col min="9" max="9" width="16.453125" style="15" customWidth="1"/>
    <col min="10" max="10" width="15.453125" style="15" customWidth="1"/>
    <col min="11" max="11" width="11.54296875" style="15" customWidth="1"/>
    <col min="12" max="1020" width="8.453125" style="15" customWidth="1"/>
    <col min="1021" max="1025" width="8.453125" style="14" customWidth="1"/>
    <col min="1026" max="16384" width="8.453125" style="13"/>
  </cols>
  <sheetData>
    <row r="1" spans="1:1021" s="15" customFormat="1" ht="43.5" x14ac:dyDescent="0.35">
      <c r="A1" s="119" t="s">
        <v>0</v>
      </c>
      <c r="B1" s="117" t="s">
        <v>1</v>
      </c>
      <c r="C1" s="117" t="s">
        <v>2</v>
      </c>
      <c r="D1" s="119" t="s">
        <v>3</v>
      </c>
      <c r="E1" s="118" t="s">
        <v>4</v>
      </c>
      <c r="F1" s="118" t="s">
        <v>5</v>
      </c>
      <c r="G1" s="117" t="s">
        <v>6</v>
      </c>
      <c r="H1" s="117" t="s">
        <v>7</v>
      </c>
      <c r="I1" s="117" t="s">
        <v>8</v>
      </c>
      <c r="J1" s="117" t="s">
        <v>9</v>
      </c>
      <c r="K1" s="117" t="s">
        <v>10</v>
      </c>
      <c r="L1" s="17" t="s">
        <v>11</v>
      </c>
      <c r="O1" s="116"/>
      <c r="R1" s="115"/>
      <c r="T1" s="115"/>
      <c r="V1" s="115"/>
      <c r="AMF1" s="14"/>
      <c r="AMG1" s="14"/>
    </row>
    <row r="2" spans="1:1021" s="13" customFormat="1" hidden="1" x14ac:dyDescent="0.35">
      <c r="A2" s="61">
        <v>43646</v>
      </c>
      <c r="B2" s="57" t="s">
        <v>518</v>
      </c>
      <c r="C2" s="57" t="s">
        <v>517</v>
      </c>
      <c r="D2" s="60">
        <v>43647</v>
      </c>
      <c r="E2" s="57" t="s">
        <v>229</v>
      </c>
      <c r="F2" s="59">
        <v>0.41666666666666702</v>
      </c>
      <c r="G2" s="59">
        <v>0.41666666666666702</v>
      </c>
      <c r="H2" s="59">
        <v>0.41666666666666702</v>
      </c>
      <c r="I2" s="57" t="s">
        <v>15</v>
      </c>
      <c r="J2" s="57">
        <v>0</v>
      </c>
      <c r="K2" s="57" t="s">
        <v>119</v>
      </c>
      <c r="L2" s="56" t="s">
        <v>22</v>
      </c>
      <c r="M2" s="15" t="s">
        <v>516</v>
      </c>
      <c r="N2" s="114">
        <f>SUM(I2:I38)/4.76</f>
        <v>3322.5315126050423</v>
      </c>
      <c r="O2" s="15" t="s">
        <v>515</v>
      </c>
      <c r="P2" s="15">
        <f>SUM(I39:I66)/4.76</f>
        <v>3260.1050420168071</v>
      </c>
      <c r="Q2" s="15" t="s">
        <v>514</v>
      </c>
      <c r="R2" s="113">
        <f>SUM(I67:I103)/4.76</f>
        <v>3869.1911764705883</v>
      </c>
      <c r="S2" s="15" t="s">
        <v>513</v>
      </c>
      <c r="T2" s="15">
        <f>SUM(I104:I546)/4.76</f>
        <v>4474.9474789915967</v>
      </c>
      <c r="U2" s="15" t="s">
        <v>512</v>
      </c>
      <c r="V2" s="15">
        <f>SUM(I:I)/4.76</f>
        <v>14926.77521008403</v>
      </c>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15"/>
      <c r="CD2" s="15"/>
      <c r="CE2" s="15"/>
      <c r="CF2" s="15"/>
      <c r="CG2" s="15"/>
      <c r="CH2" s="15"/>
      <c r="CI2" s="15"/>
      <c r="CJ2" s="15"/>
      <c r="CK2" s="15"/>
      <c r="CL2" s="15"/>
      <c r="CM2" s="15"/>
      <c r="CN2" s="15"/>
      <c r="CO2" s="15"/>
      <c r="CP2" s="15"/>
      <c r="CQ2" s="15"/>
      <c r="CR2" s="15"/>
      <c r="CS2" s="15"/>
      <c r="CT2" s="15"/>
      <c r="CU2" s="15"/>
      <c r="CV2" s="15"/>
      <c r="CW2" s="15"/>
      <c r="CX2" s="15"/>
      <c r="CY2" s="15"/>
      <c r="CZ2" s="15"/>
      <c r="DA2" s="15"/>
      <c r="DB2" s="15"/>
      <c r="DC2" s="15"/>
      <c r="DD2" s="15"/>
      <c r="DE2" s="15"/>
      <c r="DF2" s="15"/>
      <c r="DG2" s="15"/>
      <c r="DH2" s="15"/>
      <c r="DI2" s="15"/>
      <c r="DJ2" s="15"/>
      <c r="DK2" s="15"/>
      <c r="DL2" s="15"/>
      <c r="DM2" s="15"/>
      <c r="DN2" s="15"/>
      <c r="DO2" s="15"/>
      <c r="DP2" s="15"/>
      <c r="DQ2" s="15"/>
      <c r="DR2" s="15"/>
      <c r="DS2" s="15"/>
      <c r="DT2" s="15"/>
      <c r="DU2" s="15"/>
      <c r="DV2" s="15"/>
      <c r="DW2" s="15"/>
      <c r="DX2" s="15"/>
      <c r="DY2" s="15"/>
      <c r="DZ2" s="15"/>
      <c r="EA2" s="15"/>
      <c r="EB2" s="15"/>
      <c r="EC2" s="15"/>
      <c r="ED2" s="15"/>
      <c r="EE2" s="15"/>
      <c r="EF2" s="15"/>
      <c r="EG2" s="15"/>
      <c r="EH2" s="15"/>
      <c r="EI2" s="15"/>
      <c r="EJ2" s="15"/>
      <c r="EK2" s="15"/>
      <c r="EL2" s="15"/>
      <c r="EM2" s="15"/>
      <c r="EN2" s="15"/>
      <c r="EO2" s="15"/>
      <c r="EP2" s="15"/>
      <c r="EQ2" s="15"/>
      <c r="ER2" s="15"/>
      <c r="ES2" s="15"/>
      <c r="ET2" s="15"/>
      <c r="EU2" s="15"/>
      <c r="EV2" s="15"/>
      <c r="EW2" s="15"/>
      <c r="EX2" s="15"/>
      <c r="EY2" s="15"/>
      <c r="EZ2" s="15"/>
      <c r="FA2" s="15"/>
      <c r="FB2" s="15"/>
      <c r="FC2" s="15"/>
      <c r="FD2" s="15"/>
      <c r="FE2" s="15"/>
      <c r="FF2" s="15"/>
      <c r="FG2" s="15"/>
      <c r="FH2" s="15"/>
      <c r="FI2" s="15"/>
      <c r="FJ2" s="15"/>
      <c r="FK2" s="15"/>
      <c r="FL2" s="15"/>
      <c r="FM2" s="15"/>
      <c r="FN2" s="15"/>
      <c r="FO2" s="15"/>
      <c r="FP2" s="15"/>
      <c r="FQ2" s="15"/>
      <c r="FR2" s="15"/>
      <c r="FS2" s="15"/>
      <c r="FT2" s="15"/>
      <c r="FU2" s="15"/>
      <c r="FV2" s="15"/>
      <c r="FW2" s="15"/>
      <c r="FX2" s="15"/>
      <c r="FY2" s="15"/>
      <c r="FZ2" s="15"/>
      <c r="GA2" s="15"/>
      <c r="GB2" s="15"/>
      <c r="GC2" s="15"/>
      <c r="GD2" s="15"/>
      <c r="GE2" s="15"/>
      <c r="GF2" s="15"/>
      <c r="GG2" s="15"/>
      <c r="GH2" s="15"/>
      <c r="GI2" s="15"/>
      <c r="GJ2" s="15"/>
      <c r="GK2" s="15"/>
      <c r="GL2" s="15"/>
      <c r="GM2" s="15"/>
      <c r="GN2" s="15"/>
      <c r="GO2" s="15"/>
      <c r="GP2" s="15"/>
      <c r="GQ2" s="15"/>
      <c r="GR2" s="15"/>
      <c r="GS2" s="15"/>
      <c r="GT2" s="15"/>
      <c r="GU2" s="15"/>
      <c r="GV2" s="15"/>
      <c r="GW2" s="15"/>
      <c r="GX2" s="15"/>
      <c r="GY2" s="15"/>
      <c r="GZ2" s="15"/>
      <c r="HA2" s="15"/>
      <c r="HB2" s="15"/>
      <c r="HC2" s="15"/>
      <c r="HD2" s="15"/>
      <c r="HE2" s="15"/>
      <c r="HF2" s="15"/>
      <c r="HG2" s="15"/>
      <c r="HH2" s="15"/>
      <c r="HI2" s="15"/>
      <c r="HJ2" s="15"/>
      <c r="HK2" s="15"/>
      <c r="HL2" s="15"/>
      <c r="HM2" s="15"/>
      <c r="HN2" s="15"/>
      <c r="HO2" s="15"/>
      <c r="HP2" s="15"/>
      <c r="HQ2" s="15"/>
      <c r="HR2" s="15"/>
      <c r="HS2" s="15"/>
      <c r="HT2" s="15"/>
      <c r="HU2" s="15"/>
      <c r="HV2" s="15"/>
      <c r="HW2" s="15"/>
      <c r="HX2" s="15"/>
      <c r="HY2" s="15"/>
      <c r="HZ2" s="15"/>
      <c r="IA2" s="15"/>
      <c r="IB2" s="15"/>
      <c r="IC2" s="15"/>
      <c r="ID2" s="15"/>
      <c r="IE2" s="15"/>
      <c r="IF2" s="15"/>
      <c r="IG2" s="15"/>
      <c r="IH2" s="15"/>
      <c r="II2" s="15"/>
      <c r="IJ2" s="15"/>
      <c r="IK2" s="15"/>
      <c r="IL2" s="15"/>
      <c r="IM2" s="15"/>
      <c r="IN2" s="15"/>
      <c r="IO2" s="15"/>
      <c r="IP2" s="15"/>
      <c r="IQ2" s="15"/>
      <c r="IR2" s="15"/>
      <c r="IS2" s="15"/>
      <c r="IT2" s="15"/>
      <c r="IU2" s="15"/>
      <c r="IV2" s="15"/>
      <c r="IW2" s="15"/>
      <c r="IX2" s="15"/>
      <c r="IY2" s="15"/>
      <c r="IZ2" s="15"/>
      <c r="JA2" s="15"/>
      <c r="JB2" s="15"/>
      <c r="JC2" s="15"/>
      <c r="JD2" s="15"/>
      <c r="JE2" s="15"/>
      <c r="JF2" s="15"/>
      <c r="JG2" s="15"/>
      <c r="JH2" s="15"/>
      <c r="JI2" s="15"/>
      <c r="JJ2" s="15"/>
      <c r="JK2" s="15"/>
      <c r="JL2" s="15"/>
      <c r="JM2" s="15"/>
      <c r="JN2" s="15"/>
      <c r="JO2" s="15"/>
      <c r="JP2" s="15"/>
      <c r="JQ2" s="15"/>
      <c r="JR2" s="15"/>
      <c r="JS2" s="15"/>
      <c r="JT2" s="15"/>
      <c r="JU2" s="15"/>
      <c r="JV2" s="15"/>
      <c r="JW2" s="15"/>
      <c r="JX2" s="15"/>
      <c r="JY2" s="15"/>
      <c r="JZ2" s="15"/>
      <c r="KA2" s="15"/>
      <c r="KB2" s="15"/>
      <c r="KC2" s="15"/>
      <c r="KD2" s="15"/>
      <c r="KE2" s="15"/>
      <c r="KF2" s="15"/>
      <c r="KG2" s="15"/>
      <c r="KH2" s="15"/>
      <c r="KI2" s="15"/>
      <c r="KJ2" s="15"/>
      <c r="KK2" s="15"/>
      <c r="KL2" s="15"/>
      <c r="KM2" s="15"/>
      <c r="KN2" s="15"/>
      <c r="KO2" s="15"/>
      <c r="KP2" s="15"/>
      <c r="KQ2" s="15"/>
      <c r="KR2" s="15"/>
      <c r="KS2" s="15"/>
      <c r="KT2" s="15"/>
      <c r="KU2" s="15"/>
      <c r="KV2" s="15"/>
      <c r="KW2" s="15"/>
      <c r="KX2" s="15"/>
      <c r="KY2" s="15"/>
      <c r="KZ2" s="15"/>
      <c r="LA2" s="15"/>
      <c r="LB2" s="15"/>
      <c r="LC2" s="15"/>
      <c r="LD2" s="15"/>
      <c r="LE2" s="15"/>
      <c r="LF2" s="15"/>
      <c r="LG2" s="15"/>
      <c r="LH2" s="15"/>
      <c r="LI2" s="15"/>
      <c r="LJ2" s="15"/>
      <c r="LK2" s="15"/>
      <c r="LL2" s="15"/>
      <c r="LM2" s="15"/>
      <c r="LN2" s="15"/>
      <c r="LO2" s="15"/>
      <c r="LP2" s="15"/>
      <c r="LQ2" s="15"/>
      <c r="LR2" s="15"/>
      <c r="LS2" s="15"/>
      <c r="LT2" s="15"/>
      <c r="LU2" s="15"/>
      <c r="LV2" s="15"/>
      <c r="LW2" s="15"/>
      <c r="LX2" s="15"/>
      <c r="LY2" s="15"/>
      <c r="LZ2" s="15"/>
      <c r="MA2" s="15"/>
      <c r="MB2" s="15"/>
      <c r="MC2" s="15"/>
      <c r="MD2" s="15"/>
      <c r="ME2" s="15"/>
      <c r="MF2" s="15"/>
      <c r="MG2" s="15"/>
      <c r="MH2" s="15"/>
      <c r="MI2" s="15"/>
      <c r="MJ2" s="15"/>
      <c r="MK2" s="15"/>
      <c r="ML2" s="15"/>
      <c r="MM2" s="15"/>
      <c r="MN2" s="15"/>
      <c r="MO2" s="15"/>
      <c r="MP2" s="15"/>
      <c r="MQ2" s="15"/>
      <c r="MR2" s="15"/>
      <c r="MS2" s="15"/>
      <c r="MT2" s="15"/>
      <c r="MU2" s="15"/>
      <c r="MV2" s="15"/>
      <c r="MW2" s="15"/>
      <c r="MX2" s="15"/>
      <c r="MY2" s="15"/>
      <c r="MZ2" s="15"/>
      <c r="NA2" s="15"/>
      <c r="NB2" s="15"/>
      <c r="NC2" s="15"/>
      <c r="ND2" s="15"/>
      <c r="NE2" s="15"/>
      <c r="NF2" s="15"/>
      <c r="NG2" s="15"/>
      <c r="NH2" s="15"/>
      <c r="NI2" s="15"/>
      <c r="NJ2" s="15"/>
      <c r="NK2" s="15"/>
      <c r="NL2" s="15"/>
      <c r="NM2" s="15"/>
      <c r="NN2" s="15"/>
      <c r="NO2" s="15"/>
      <c r="NP2" s="15"/>
      <c r="NQ2" s="15"/>
      <c r="NR2" s="15"/>
      <c r="NS2" s="15"/>
      <c r="NT2" s="15"/>
      <c r="NU2" s="15"/>
      <c r="NV2" s="15"/>
      <c r="NW2" s="15"/>
      <c r="NX2" s="15"/>
      <c r="NY2" s="15"/>
      <c r="NZ2" s="15"/>
      <c r="OA2" s="15"/>
      <c r="OB2" s="15"/>
      <c r="OC2" s="15"/>
      <c r="OD2" s="15"/>
      <c r="OE2" s="15"/>
      <c r="OF2" s="15"/>
      <c r="OG2" s="15"/>
      <c r="OH2" s="15"/>
      <c r="OI2" s="15"/>
      <c r="OJ2" s="15"/>
      <c r="OK2" s="15"/>
      <c r="OL2" s="15"/>
      <c r="OM2" s="15"/>
      <c r="ON2" s="15"/>
      <c r="OO2" s="15"/>
      <c r="OP2" s="15"/>
      <c r="OQ2" s="15"/>
      <c r="OR2" s="15"/>
      <c r="OS2" s="15"/>
      <c r="OT2" s="15"/>
      <c r="OU2" s="15"/>
      <c r="OV2" s="15"/>
      <c r="OW2" s="15"/>
      <c r="OX2" s="15"/>
      <c r="OY2" s="15"/>
      <c r="OZ2" s="15"/>
      <c r="PA2" s="15"/>
      <c r="PB2" s="15"/>
      <c r="PC2" s="15"/>
      <c r="PD2" s="15"/>
      <c r="PE2" s="15"/>
      <c r="PF2" s="15"/>
      <c r="PG2" s="15"/>
      <c r="PH2" s="15"/>
      <c r="PI2" s="15"/>
      <c r="PJ2" s="15"/>
      <c r="PK2" s="15"/>
      <c r="PL2" s="15"/>
      <c r="PM2" s="15"/>
      <c r="PN2" s="15"/>
      <c r="PO2" s="15"/>
      <c r="PP2" s="15"/>
      <c r="PQ2" s="15"/>
      <c r="PR2" s="15"/>
      <c r="PS2" s="15"/>
      <c r="PT2" s="15"/>
      <c r="PU2" s="15"/>
      <c r="PV2" s="15"/>
      <c r="PW2" s="15"/>
      <c r="PX2" s="15"/>
      <c r="PY2" s="15"/>
      <c r="PZ2" s="15"/>
      <c r="QA2" s="15"/>
      <c r="QB2" s="15"/>
      <c r="QC2" s="15"/>
      <c r="QD2" s="15"/>
      <c r="QE2" s="15"/>
      <c r="QF2" s="15"/>
      <c r="QG2" s="15"/>
      <c r="QH2" s="15"/>
      <c r="QI2" s="15"/>
      <c r="QJ2" s="15"/>
      <c r="QK2" s="15"/>
      <c r="QL2" s="15"/>
      <c r="QM2" s="15"/>
      <c r="QN2" s="15"/>
      <c r="QO2" s="15"/>
      <c r="QP2" s="15"/>
      <c r="QQ2" s="15"/>
      <c r="QR2" s="15"/>
      <c r="QS2" s="15"/>
      <c r="QT2" s="15"/>
      <c r="QU2" s="15"/>
      <c r="QV2" s="15"/>
      <c r="QW2" s="15"/>
      <c r="QX2" s="15"/>
      <c r="QY2" s="15"/>
      <c r="QZ2" s="15"/>
      <c r="RA2" s="15"/>
      <c r="RB2" s="15"/>
      <c r="RC2" s="15"/>
      <c r="RD2" s="15"/>
      <c r="RE2" s="15"/>
      <c r="RF2" s="15"/>
      <c r="RG2" s="15"/>
      <c r="RH2" s="15"/>
      <c r="RI2" s="15"/>
      <c r="RJ2" s="15"/>
      <c r="RK2" s="15"/>
      <c r="RL2" s="15"/>
      <c r="RM2" s="15"/>
      <c r="RN2" s="15"/>
      <c r="RO2" s="15"/>
      <c r="RP2" s="15"/>
      <c r="RQ2" s="15"/>
      <c r="RR2" s="15"/>
      <c r="RS2" s="15"/>
      <c r="RT2" s="15"/>
      <c r="RU2" s="15"/>
      <c r="RV2" s="15"/>
      <c r="RW2" s="15"/>
      <c r="RX2" s="15"/>
      <c r="RY2" s="15"/>
      <c r="RZ2" s="15"/>
      <c r="SA2" s="15"/>
      <c r="SB2" s="15"/>
      <c r="SC2" s="15"/>
      <c r="SD2" s="15"/>
      <c r="SE2" s="15"/>
      <c r="SF2" s="15"/>
      <c r="SG2" s="15"/>
      <c r="SH2" s="15"/>
      <c r="SI2" s="15"/>
      <c r="SJ2" s="15"/>
      <c r="SK2" s="15"/>
      <c r="SL2" s="15"/>
      <c r="SM2" s="15"/>
      <c r="SN2" s="15"/>
      <c r="SO2" s="15"/>
      <c r="SP2" s="15"/>
      <c r="SQ2" s="15"/>
      <c r="SR2" s="15"/>
      <c r="SS2" s="15"/>
      <c r="ST2" s="15"/>
      <c r="SU2" s="15"/>
      <c r="SV2" s="15"/>
      <c r="SW2" s="15"/>
      <c r="SX2" s="15"/>
      <c r="SY2" s="15"/>
      <c r="SZ2" s="15"/>
      <c r="TA2" s="15"/>
      <c r="TB2" s="15"/>
      <c r="TC2" s="15"/>
      <c r="TD2" s="15"/>
      <c r="TE2" s="15"/>
      <c r="TF2" s="15"/>
      <c r="TG2" s="15"/>
      <c r="TH2" s="15"/>
      <c r="TI2" s="15"/>
      <c r="TJ2" s="15"/>
      <c r="TK2" s="15"/>
      <c r="TL2" s="15"/>
      <c r="TM2" s="15"/>
      <c r="TN2" s="15"/>
      <c r="TO2" s="15"/>
      <c r="TP2" s="15"/>
      <c r="TQ2" s="15"/>
      <c r="TR2" s="15"/>
      <c r="TS2" s="15"/>
      <c r="TT2" s="15"/>
      <c r="TU2" s="15"/>
      <c r="TV2" s="15"/>
      <c r="TW2" s="15"/>
      <c r="TX2" s="15"/>
      <c r="TY2" s="15"/>
      <c r="TZ2" s="15"/>
      <c r="UA2" s="15"/>
      <c r="UB2" s="15"/>
      <c r="UC2" s="15"/>
      <c r="UD2" s="15"/>
      <c r="UE2" s="15"/>
      <c r="UF2" s="15"/>
      <c r="UG2" s="15"/>
      <c r="UH2" s="15"/>
      <c r="UI2" s="15"/>
      <c r="UJ2" s="15"/>
      <c r="UK2" s="15"/>
      <c r="UL2" s="15"/>
      <c r="UM2" s="15"/>
      <c r="UN2" s="15"/>
      <c r="UO2" s="15"/>
      <c r="UP2" s="15"/>
      <c r="UQ2" s="15"/>
      <c r="UR2" s="15"/>
      <c r="US2" s="15"/>
      <c r="UT2" s="15"/>
      <c r="UU2" s="15"/>
      <c r="UV2" s="15"/>
      <c r="UW2" s="15"/>
      <c r="UX2" s="15"/>
      <c r="UY2" s="15"/>
      <c r="UZ2" s="15"/>
      <c r="VA2" s="15"/>
      <c r="VB2" s="15"/>
      <c r="VC2" s="15"/>
      <c r="VD2" s="15"/>
      <c r="VE2" s="15"/>
      <c r="VF2" s="15"/>
      <c r="VG2" s="15"/>
      <c r="VH2" s="15"/>
      <c r="VI2" s="15"/>
      <c r="VJ2" s="15"/>
      <c r="VK2" s="15"/>
      <c r="VL2" s="15"/>
      <c r="VM2" s="15"/>
      <c r="VN2" s="15"/>
      <c r="VO2" s="15"/>
      <c r="VP2" s="15"/>
      <c r="VQ2" s="15"/>
      <c r="VR2" s="15"/>
      <c r="VS2" s="15"/>
      <c r="VT2" s="15"/>
      <c r="VU2" s="15"/>
      <c r="VV2" s="15"/>
      <c r="VW2" s="15"/>
      <c r="VX2" s="15"/>
      <c r="VY2" s="15"/>
      <c r="VZ2" s="15"/>
      <c r="WA2" s="15"/>
      <c r="WB2" s="15"/>
      <c r="WC2" s="15"/>
      <c r="WD2" s="15"/>
      <c r="WE2" s="15"/>
      <c r="WF2" s="15"/>
      <c r="WG2" s="15"/>
      <c r="WH2" s="15"/>
      <c r="WI2" s="15"/>
      <c r="WJ2" s="15"/>
      <c r="WK2" s="15"/>
      <c r="WL2" s="15"/>
      <c r="WM2" s="15"/>
      <c r="WN2" s="15"/>
      <c r="WO2" s="15"/>
      <c r="WP2" s="15"/>
      <c r="WQ2" s="15"/>
      <c r="WR2" s="15"/>
      <c r="WS2" s="15"/>
      <c r="WT2" s="15"/>
      <c r="WU2" s="15"/>
      <c r="WV2" s="15"/>
      <c r="WW2" s="15"/>
      <c r="WX2" s="15"/>
      <c r="WY2" s="15"/>
      <c r="WZ2" s="15"/>
      <c r="XA2" s="15"/>
      <c r="XB2" s="15"/>
      <c r="XC2" s="15"/>
      <c r="XD2" s="15"/>
      <c r="XE2" s="15"/>
      <c r="XF2" s="15"/>
      <c r="XG2" s="15"/>
      <c r="XH2" s="15"/>
      <c r="XI2" s="15"/>
      <c r="XJ2" s="15"/>
      <c r="XK2" s="15"/>
      <c r="XL2" s="15"/>
      <c r="XM2" s="15"/>
      <c r="XN2" s="15"/>
      <c r="XO2" s="15"/>
      <c r="XP2" s="15"/>
      <c r="XQ2" s="15"/>
      <c r="XR2" s="15"/>
      <c r="XS2" s="15"/>
      <c r="XT2" s="15"/>
      <c r="XU2" s="15"/>
      <c r="XV2" s="15"/>
      <c r="XW2" s="15"/>
      <c r="XX2" s="15"/>
      <c r="XY2" s="15"/>
      <c r="XZ2" s="15"/>
      <c r="YA2" s="15"/>
      <c r="YB2" s="15"/>
      <c r="YC2" s="15"/>
      <c r="YD2" s="15"/>
      <c r="YE2" s="15"/>
      <c r="YF2" s="15"/>
      <c r="YG2" s="15"/>
      <c r="YH2" s="15"/>
      <c r="YI2" s="15"/>
      <c r="YJ2" s="15"/>
      <c r="YK2" s="15"/>
      <c r="YL2" s="15"/>
      <c r="YM2" s="15"/>
      <c r="YN2" s="15"/>
      <c r="YO2" s="15"/>
      <c r="YP2" s="15"/>
      <c r="YQ2" s="15"/>
      <c r="YR2" s="15"/>
      <c r="YS2" s="15"/>
      <c r="YT2" s="15"/>
      <c r="YU2" s="15"/>
      <c r="YV2" s="15"/>
      <c r="YW2" s="15"/>
      <c r="YX2" s="15"/>
      <c r="YY2" s="15"/>
      <c r="YZ2" s="15"/>
      <c r="ZA2" s="15"/>
      <c r="ZB2" s="15"/>
      <c r="ZC2" s="15"/>
      <c r="ZD2" s="15"/>
      <c r="ZE2" s="15"/>
      <c r="ZF2" s="15"/>
      <c r="ZG2" s="15"/>
      <c r="ZH2" s="15"/>
      <c r="ZI2" s="15"/>
      <c r="ZJ2" s="15"/>
      <c r="ZK2" s="15"/>
      <c r="ZL2" s="15"/>
      <c r="ZM2" s="15"/>
      <c r="ZN2" s="15"/>
      <c r="ZO2" s="15"/>
      <c r="ZP2" s="15"/>
      <c r="ZQ2" s="15"/>
      <c r="ZR2" s="15"/>
      <c r="ZS2" s="15"/>
      <c r="ZT2" s="15"/>
      <c r="ZU2" s="15"/>
      <c r="ZV2" s="15"/>
      <c r="ZW2" s="15"/>
      <c r="ZX2" s="15"/>
      <c r="ZY2" s="15"/>
      <c r="ZZ2" s="15"/>
      <c r="AAA2" s="15"/>
      <c r="AAB2" s="15"/>
      <c r="AAC2" s="15"/>
      <c r="AAD2" s="15"/>
      <c r="AAE2" s="15"/>
      <c r="AAF2" s="15"/>
      <c r="AAG2" s="15"/>
      <c r="AAH2" s="15"/>
      <c r="AAI2" s="15"/>
      <c r="AAJ2" s="15"/>
      <c r="AAK2" s="15"/>
      <c r="AAL2" s="15"/>
      <c r="AAM2" s="15"/>
      <c r="AAN2" s="15"/>
      <c r="AAO2" s="15"/>
      <c r="AAP2" s="15"/>
      <c r="AAQ2" s="15"/>
      <c r="AAR2" s="15"/>
      <c r="AAS2" s="15"/>
      <c r="AAT2" s="15"/>
      <c r="AAU2" s="15"/>
      <c r="AAV2" s="15"/>
      <c r="AAW2" s="15"/>
      <c r="AAX2" s="15"/>
      <c r="AAY2" s="15"/>
      <c r="AAZ2" s="15"/>
      <c r="ABA2" s="15"/>
      <c r="ABB2" s="15"/>
      <c r="ABC2" s="15"/>
      <c r="ABD2" s="15"/>
      <c r="ABE2" s="15"/>
      <c r="ABF2" s="15"/>
      <c r="ABG2" s="15"/>
      <c r="ABH2" s="15"/>
      <c r="ABI2" s="15"/>
      <c r="ABJ2" s="15"/>
      <c r="ABK2" s="15"/>
      <c r="ABL2" s="15"/>
      <c r="ABM2" s="15"/>
      <c r="ABN2" s="15"/>
      <c r="ABO2" s="15"/>
      <c r="ABP2" s="15"/>
      <c r="ABQ2" s="15"/>
      <c r="ABR2" s="15"/>
      <c r="ABS2" s="15"/>
      <c r="ABT2" s="15"/>
      <c r="ABU2" s="15"/>
      <c r="ABV2" s="15"/>
      <c r="ABW2" s="15"/>
      <c r="ABX2" s="15"/>
      <c r="ABY2" s="15"/>
      <c r="ABZ2" s="15"/>
      <c r="ACA2" s="15"/>
      <c r="ACB2" s="15"/>
      <c r="ACC2" s="15"/>
      <c r="ACD2" s="15"/>
      <c r="ACE2" s="15"/>
      <c r="ACF2" s="15"/>
      <c r="ACG2" s="15"/>
      <c r="ACH2" s="15"/>
      <c r="ACI2" s="15"/>
      <c r="ACJ2" s="15"/>
      <c r="ACK2" s="15"/>
      <c r="ACL2" s="15"/>
      <c r="ACM2" s="15"/>
      <c r="ACN2" s="15"/>
      <c r="ACO2" s="15"/>
      <c r="ACP2" s="15"/>
      <c r="ACQ2" s="15"/>
      <c r="ACR2" s="15"/>
      <c r="ACS2" s="15"/>
      <c r="ACT2" s="15"/>
      <c r="ACU2" s="15"/>
      <c r="ACV2" s="15"/>
      <c r="ACW2" s="15"/>
      <c r="ACX2" s="15"/>
      <c r="ACY2" s="15"/>
      <c r="ACZ2" s="15"/>
      <c r="ADA2" s="15"/>
      <c r="ADB2" s="15"/>
      <c r="ADC2" s="15"/>
      <c r="ADD2" s="15"/>
      <c r="ADE2" s="15"/>
      <c r="ADF2" s="15"/>
      <c r="ADG2" s="15"/>
      <c r="ADH2" s="15"/>
      <c r="ADI2" s="15"/>
      <c r="ADJ2" s="15"/>
      <c r="ADK2" s="15"/>
      <c r="ADL2" s="15"/>
      <c r="ADM2" s="15"/>
      <c r="ADN2" s="15"/>
      <c r="ADO2" s="15"/>
      <c r="ADP2" s="15"/>
      <c r="ADQ2" s="15"/>
      <c r="ADR2" s="15"/>
      <c r="ADS2" s="15"/>
      <c r="ADT2" s="15"/>
      <c r="ADU2" s="15"/>
      <c r="ADV2" s="15"/>
      <c r="ADW2" s="15"/>
      <c r="ADX2" s="15"/>
      <c r="ADY2" s="15"/>
      <c r="ADZ2" s="15"/>
      <c r="AEA2" s="15"/>
      <c r="AEB2" s="15"/>
      <c r="AEC2" s="15"/>
      <c r="AED2" s="15"/>
      <c r="AEE2" s="15"/>
      <c r="AEF2" s="15"/>
      <c r="AEG2" s="15"/>
      <c r="AEH2" s="15"/>
      <c r="AEI2" s="15"/>
      <c r="AEJ2" s="15"/>
      <c r="AEK2" s="15"/>
      <c r="AEL2" s="15"/>
      <c r="AEM2" s="15"/>
      <c r="AEN2" s="15"/>
      <c r="AEO2" s="15"/>
      <c r="AEP2" s="15"/>
      <c r="AEQ2" s="15"/>
      <c r="AER2" s="15"/>
      <c r="AES2" s="15"/>
      <c r="AET2" s="15"/>
      <c r="AEU2" s="15"/>
      <c r="AEV2" s="15"/>
      <c r="AEW2" s="15"/>
      <c r="AEX2" s="15"/>
      <c r="AEY2" s="15"/>
      <c r="AEZ2" s="15"/>
      <c r="AFA2" s="15"/>
      <c r="AFB2" s="15"/>
      <c r="AFC2" s="15"/>
      <c r="AFD2" s="15"/>
      <c r="AFE2" s="15"/>
      <c r="AFF2" s="15"/>
      <c r="AFG2" s="15"/>
      <c r="AFH2" s="15"/>
      <c r="AFI2" s="15"/>
      <c r="AFJ2" s="15"/>
      <c r="AFK2" s="15"/>
      <c r="AFL2" s="15"/>
      <c r="AFM2" s="15"/>
      <c r="AFN2" s="15"/>
      <c r="AFO2" s="15"/>
      <c r="AFP2" s="15"/>
      <c r="AFQ2" s="15"/>
      <c r="AFR2" s="15"/>
      <c r="AFS2" s="15"/>
      <c r="AFT2" s="15"/>
      <c r="AFU2" s="15"/>
      <c r="AFV2" s="15"/>
      <c r="AFW2" s="15"/>
      <c r="AFX2" s="15"/>
      <c r="AFY2" s="15"/>
      <c r="AFZ2" s="15"/>
      <c r="AGA2" s="15"/>
      <c r="AGB2" s="15"/>
      <c r="AGC2" s="15"/>
      <c r="AGD2" s="15"/>
      <c r="AGE2" s="15"/>
      <c r="AGF2" s="15"/>
      <c r="AGG2" s="15"/>
      <c r="AGH2" s="15"/>
      <c r="AGI2" s="15"/>
      <c r="AGJ2" s="15"/>
      <c r="AGK2" s="15"/>
      <c r="AGL2" s="15"/>
      <c r="AGM2" s="15"/>
      <c r="AGN2" s="15"/>
      <c r="AGO2" s="15"/>
      <c r="AGP2" s="15"/>
      <c r="AGQ2" s="15"/>
      <c r="AGR2" s="15"/>
      <c r="AGS2" s="15"/>
      <c r="AGT2" s="15"/>
      <c r="AGU2" s="15"/>
      <c r="AGV2" s="15"/>
      <c r="AGW2" s="15"/>
      <c r="AGX2" s="15"/>
      <c r="AGY2" s="15"/>
      <c r="AGZ2" s="15"/>
      <c r="AHA2" s="15"/>
      <c r="AHB2" s="15"/>
      <c r="AHC2" s="15"/>
      <c r="AHD2" s="15"/>
      <c r="AHE2" s="15"/>
      <c r="AHF2" s="15"/>
      <c r="AHG2" s="15"/>
      <c r="AHH2" s="15"/>
      <c r="AHI2" s="15"/>
      <c r="AHJ2" s="15"/>
      <c r="AHK2" s="15"/>
      <c r="AHL2" s="15"/>
      <c r="AHM2" s="15"/>
      <c r="AHN2" s="15"/>
      <c r="AHO2" s="15"/>
      <c r="AHP2" s="15"/>
      <c r="AHQ2" s="15"/>
      <c r="AHR2" s="15"/>
      <c r="AHS2" s="15"/>
      <c r="AHT2" s="15"/>
      <c r="AHU2" s="15"/>
      <c r="AHV2" s="15"/>
      <c r="AHW2" s="15"/>
      <c r="AHX2" s="15"/>
      <c r="AHY2" s="15"/>
      <c r="AHZ2" s="15"/>
      <c r="AIA2" s="15"/>
      <c r="AIB2" s="15"/>
      <c r="AIC2" s="15"/>
      <c r="AID2" s="15"/>
      <c r="AIE2" s="15"/>
      <c r="AIF2" s="15"/>
      <c r="AIG2" s="15"/>
      <c r="AIH2" s="15"/>
      <c r="AII2" s="15"/>
      <c r="AIJ2" s="15"/>
      <c r="AIK2" s="15"/>
      <c r="AIL2" s="15"/>
      <c r="AIM2" s="15"/>
      <c r="AIN2" s="15"/>
      <c r="AIO2" s="15"/>
      <c r="AIP2" s="15"/>
      <c r="AIQ2" s="15"/>
      <c r="AIR2" s="15"/>
      <c r="AIS2" s="15"/>
      <c r="AIT2" s="15"/>
      <c r="AIU2" s="15"/>
      <c r="AIV2" s="15"/>
      <c r="AIW2" s="15"/>
      <c r="AIX2" s="15"/>
      <c r="AIY2" s="15"/>
      <c r="AIZ2" s="15"/>
      <c r="AJA2" s="15"/>
      <c r="AJB2" s="15"/>
      <c r="AJC2" s="15"/>
      <c r="AJD2" s="15"/>
      <c r="AJE2" s="15"/>
      <c r="AJF2" s="15"/>
      <c r="AJG2" s="15"/>
      <c r="AJH2" s="15"/>
      <c r="AJI2" s="15"/>
      <c r="AJJ2" s="15"/>
      <c r="AJK2" s="15"/>
      <c r="AJL2" s="15"/>
      <c r="AJM2" s="15"/>
      <c r="AJN2" s="15"/>
      <c r="AJO2" s="15"/>
      <c r="AJP2" s="15"/>
      <c r="AJQ2" s="15"/>
      <c r="AJR2" s="15"/>
      <c r="AJS2" s="15"/>
      <c r="AJT2" s="15"/>
      <c r="AJU2" s="15"/>
      <c r="AJV2" s="15"/>
      <c r="AJW2" s="15"/>
      <c r="AJX2" s="15"/>
      <c r="AJY2" s="15"/>
      <c r="AJZ2" s="15"/>
      <c r="AKA2" s="15"/>
      <c r="AKB2" s="15"/>
      <c r="AKC2" s="15"/>
      <c r="AKD2" s="15"/>
      <c r="AKE2" s="15"/>
      <c r="AKF2" s="15"/>
      <c r="AKG2" s="15"/>
      <c r="AKH2" s="15"/>
      <c r="AKI2" s="15"/>
      <c r="AKJ2" s="15"/>
      <c r="AKK2" s="15"/>
      <c r="AKL2" s="15"/>
      <c r="AKM2" s="15"/>
      <c r="AKN2" s="15"/>
      <c r="AKO2" s="15"/>
      <c r="AKP2" s="15"/>
      <c r="AKQ2" s="15"/>
      <c r="AKR2" s="15"/>
      <c r="AKS2" s="15"/>
      <c r="AKT2" s="15"/>
      <c r="AKU2" s="15"/>
      <c r="AKV2" s="15"/>
      <c r="AKW2" s="15"/>
      <c r="AKX2" s="15"/>
      <c r="AKY2" s="15"/>
      <c r="AKZ2" s="15"/>
      <c r="ALA2" s="15"/>
      <c r="ALB2" s="15"/>
      <c r="ALC2" s="15"/>
      <c r="ALD2" s="15"/>
      <c r="ALE2" s="15"/>
      <c r="ALF2" s="15"/>
      <c r="ALG2" s="15"/>
      <c r="ALH2" s="15"/>
      <c r="ALI2" s="15"/>
      <c r="ALJ2" s="15"/>
      <c r="ALK2" s="15"/>
      <c r="ALL2" s="15"/>
      <c r="ALM2" s="15"/>
      <c r="ALN2" s="15"/>
      <c r="ALO2" s="15"/>
      <c r="ALP2" s="15"/>
      <c r="ALQ2" s="15"/>
      <c r="ALR2" s="15"/>
      <c r="ALS2" s="15"/>
      <c r="ALT2" s="15"/>
      <c r="ALU2" s="15"/>
      <c r="ALV2" s="15"/>
      <c r="ALW2" s="15"/>
      <c r="ALX2" s="15"/>
      <c r="ALY2" s="15"/>
      <c r="ALZ2" s="15"/>
      <c r="AMA2" s="15"/>
      <c r="AMB2" s="15"/>
      <c r="AMC2" s="15"/>
      <c r="AMD2" s="15"/>
      <c r="AME2" s="15"/>
      <c r="AMF2" s="15"/>
      <c r="AMG2" s="14"/>
    </row>
    <row r="3" spans="1:1021" s="13" customFormat="1" ht="29" hidden="1" x14ac:dyDescent="0.35">
      <c r="A3" s="19">
        <v>43644</v>
      </c>
      <c r="B3" s="17" t="s">
        <v>152</v>
      </c>
      <c r="C3" s="17" t="s">
        <v>511</v>
      </c>
      <c r="D3" s="18">
        <v>43647</v>
      </c>
      <c r="E3" s="17" t="s">
        <v>510</v>
      </c>
      <c r="F3" s="26">
        <v>0.58333333333333304</v>
      </c>
      <c r="G3" s="26">
        <v>0.60416666666666696</v>
      </c>
      <c r="H3" s="26">
        <v>0.625</v>
      </c>
      <c r="I3" s="100">
        <v>0</v>
      </c>
      <c r="J3" s="42" t="s">
        <v>16</v>
      </c>
      <c r="K3" s="17" t="s">
        <v>119</v>
      </c>
      <c r="L3" s="16" t="s">
        <v>17</v>
      </c>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15"/>
      <c r="CR3" s="15"/>
      <c r="CS3" s="15"/>
      <c r="CT3" s="15"/>
      <c r="CU3" s="15"/>
      <c r="CV3" s="15"/>
      <c r="CW3" s="15"/>
      <c r="CX3" s="15"/>
      <c r="CY3" s="15"/>
      <c r="CZ3" s="15"/>
      <c r="DA3" s="15"/>
      <c r="DB3" s="15"/>
      <c r="DC3" s="15"/>
      <c r="DD3" s="15"/>
      <c r="DE3" s="15"/>
      <c r="DF3" s="15"/>
      <c r="DG3" s="15"/>
      <c r="DH3" s="15"/>
      <c r="DI3" s="15"/>
      <c r="DJ3" s="15"/>
      <c r="DK3" s="15"/>
      <c r="DL3" s="15"/>
      <c r="DM3" s="15"/>
      <c r="DN3" s="15"/>
      <c r="DO3" s="15"/>
      <c r="DP3" s="15"/>
      <c r="DQ3" s="15"/>
      <c r="DR3" s="15"/>
      <c r="DS3" s="15"/>
      <c r="DT3" s="15"/>
      <c r="DU3" s="15"/>
      <c r="DV3" s="15"/>
      <c r="DW3" s="15"/>
      <c r="DX3" s="15"/>
      <c r="DY3" s="15"/>
      <c r="DZ3" s="15"/>
      <c r="EA3" s="15"/>
      <c r="EB3" s="15"/>
      <c r="EC3" s="15"/>
      <c r="ED3" s="15"/>
      <c r="EE3" s="15"/>
      <c r="EF3" s="15"/>
      <c r="EG3" s="15"/>
      <c r="EH3" s="15"/>
      <c r="EI3" s="15"/>
      <c r="EJ3" s="15"/>
      <c r="EK3" s="15"/>
      <c r="EL3" s="15"/>
      <c r="EM3" s="15"/>
      <c r="EN3" s="15"/>
      <c r="EO3" s="15"/>
      <c r="EP3" s="15"/>
      <c r="EQ3" s="15"/>
      <c r="ER3" s="15"/>
      <c r="ES3" s="15"/>
      <c r="ET3" s="15"/>
      <c r="EU3" s="15"/>
      <c r="EV3" s="15"/>
      <c r="EW3" s="15"/>
      <c r="EX3" s="15"/>
      <c r="EY3" s="15"/>
      <c r="EZ3" s="15"/>
      <c r="FA3" s="15"/>
      <c r="FB3" s="15"/>
      <c r="FC3" s="15"/>
      <c r="FD3" s="15"/>
      <c r="FE3" s="15"/>
      <c r="FF3" s="15"/>
      <c r="FG3" s="15"/>
      <c r="FH3" s="15"/>
      <c r="FI3" s="15"/>
      <c r="FJ3" s="15"/>
      <c r="FK3" s="15"/>
      <c r="FL3" s="15"/>
      <c r="FM3" s="15"/>
      <c r="FN3" s="15"/>
      <c r="FO3" s="15"/>
      <c r="FP3" s="15"/>
      <c r="FQ3" s="15"/>
      <c r="FR3" s="15"/>
      <c r="FS3" s="15"/>
      <c r="FT3" s="15"/>
      <c r="FU3" s="15"/>
      <c r="FV3" s="15"/>
      <c r="FW3" s="15"/>
      <c r="FX3" s="15"/>
      <c r="FY3" s="15"/>
      <c r="FZ3" s="15"/>
      <c r="GA3" s="15"/>
      <c r="GB3" s="15"/>
      <c r="GC3" s="15"/>
      <c r="GD3" s="15"/>
      <c r="GE3" s="15"/>
      <c r="GF3" s="15"/>
      <c r="GG3" s="15"/>
      <c r="GH3" s="15"/>
      <c r="GI3" s="15"/>
      <c r="GJ3" s="15"/>
      <c r="GK3" s="15"/>
      <c r="GL3" s="15"/>
      <c r="GM3" s="15"/>
      <c r="GN3" s="15"/>
      <c r="GO3" s="15"/>
      <c r="GP3" s="15"/>
      <c r="GQ3" s="15"/>
      <c r="GR3" s="15"/>
      <c r="GS3" s="15"/>
      <c r="GT3" s="15"/>
      <c r="GU3" s="15"/>
      <c r="GV3" s="15"/>
      <c r="GW3" s="15"/>
      <c r="GX3" s="15"/>
      <c r="GY3" s="15"/>
      <c r="GZ3" s="15"/>
      <c r="HA3" s="15"/>
      <c r="HB3" s="15"/>
      <c r="HC3" s="15"/>
      <c r="HD3" s="15"/>
      <c r="HE3" s="15"/>
      <c r="HF3" s="15"/>
      <c r="HG3" s="15"/>
      <c r="HH3" s="15"/>
      <c r="HI3" s="15"/>
      <c r="HJ3" s="15"/>
      <c r="HK3" s="15"/>
      <c r="HL3" s="15"/>
      <c r="HM3" s="15"/>
      <c r="HN3" s="15"/>
      <c r="HO3" s="15"/>
      <c r="HP3" s="15"/>
      <c r="HQ3" s="15"/>
      <c r="HR3" s="15"/>
      <c r="HS3" s="15"/>
      <c r="HT3" s="15"/>
      <c r="HU3" s="15"/>
      <c r="HV3" s="15"/>
      <c r="HW3" s="15"/>
      <c r="HX3" s="15"/>
      <c r="HY3" s="15"/>
      <c r="HZ3" s="15"/>
      <c r="IA3" s="15"/>
      <c r="IB3" s="15"/>
      <c r="IC3" s="15"/>
      <c r="ID3" s="15"/>
      <c r="IE3" s="15"/>
      <c r="IF3" s="15"/>
      <c r="IG3" s="15"/>
      <c r="IH3" s="15"/>
      <c r="II3" s="15"/>
      <c r="IJ3" s="15"/>
      <c r="IK3" s="15"/>
      <c r="IL3" s="15"/>
      <c r="IM3" s="15"/>
      <c r="IN3" s="15"/>
      <c r="IO3" s="15"/>
      <c r="IP3" s="15"/>
      <c r="IQ3" s="15"/>
      <c r="IR3" s="15"/>
      <c r="IS3" s="15"/>
      <c r="IT3" s="15"/>
      <c r="IU3" s="15"/>
      <c r="IV3" s="15"/>
      <c r="IW3" s="15"/>
      <c r="IX3" s="15"/>
      <c r="IY3" s="15"/>
      <c r="IZ3" s="15"/>
      <c r="JA3" s="15"/>
      <c r="JB3" s="15"/>
      <c r="JC3" s="15"/>
      <c r="JD3" s="15"/>
      <c r="JE3" s="15"/>
      <c r="JF3" s="15"/>
      <c r="JG3" s="15"/>
      <c r="JH3" s="15"/>
      <c r="JI3" s="15"/>
      <c r="JJ3" s="15"/>
      <c r="JK3" s="15"/>
      <c r="JL3" s="15"/>
      <c r="JM3" s="15"/>
      <c r="JN3" s="15"/>
      <c r="JO3" s="15"/>
      <c r="JP3" s="15"/>
      <c r="JQ3" s="15"/>
      <c r="JR3" s="15"/>
      <c r="JS3" s="15"/>
      <c r="JT3" s="15"/>
      <c r="JU3" s="15"/>
      <c r="JV3" s="15"/>
      <c r="JW3" s="15"/>
      <c r="JX3" s="15"/>
      <c r="JY3" s="15"/>
      <c r="JZ3" s="15"/>
      <c r="KA3" s="15"/>
      <c r="KB3" s="15"/>
      <c r="KC3" s="15"/>
      <c r="KD3" s="15"/>
      <c r="KE3" s="15"/>
      <c r="KF3" s="15"/>
      <c r="KG3" s="15"/>
      <c r="KH3" s="15"/>
      <c r="KI3" s="15"/>
      <c r="KJ3" s="15"/>
      <c r="KK3" s="15"/>
      <c r="KL3" s="15"/>
      <c r="KM3" s="15"/>
      <c r="KN3" s="15"/>
      <c r="KO3" s="15"/>
      <c r="KP3" s="15"/>
      <c r="KQ3" s="15"/>
      <c r="KR3" s="15"/>
      <c r="KS3" s="15"/>
      <c r="KT3" s="15"/>
      <c r="KU3" s="15"/>
      <c r="KV3" s="15"/>
      <c r="KW3" s="15"/>
      <c r="KX3" s="15"/>
      <c r="KY3" s="15"/>
      <c r="KZ3" s="15"/>
      <c r="LA3" s="15"/>
      <c r="LB3" s="15"/>
      <c r="LC3" s="15"/>
      <c r="LD3" s="15"/>
      <c r="LE3" s="15"/>
      <c r="LF3" s="15"/>
      <c r="LG3" s="15"/>
      <c r="LH3" s="15"/>
      <c r="LI3" s="15"/>
      <c r="LJ3" s="15"/>
      <c r="LK3" s="15"/>
      <c r="LL3" s="15"/>
      <c r="LM3" s="15"/>
      <c r="LN3" s="15"/>
      <c r="LO3" s="15"/>
      <c r="LP3" s="15"/>
      <c r="LQ3" s="15"/>
      <c r="LR3" s="15"/>
      <c r="LS3" s="15"/>
      <c r="LT3" s="15"/>
      <c r="LU3" s="15"/>
      <c r="LV3" s="15"/>
      <c r="LW3" s="15"/>
      <c r="LX3" s="15"/>
      <c r="LY3" s="15"/>
      <c r="LZ3" s="15"/>
      <c r="MA3" s="15"/>
      <c r="MB3" s="15"/>
      <c r="MC3" s="15"/>
      <c r="MD3" s="15"/>
      <c r="ME3" s="15"/>
      <c r="MF3" s="15"/>
      <c r="MG3" s="15"/>
      <c r="MH3" s="15"/>
      <c r="MI3" s="15"/>
      <c r="MJ3" s="15"/>
      <c r="MK3" s="15"/>
      <c r="ML3" s="15"/>
      <c r="MM3" s="15"/>
      <c r="MN3" s="15"/>
      <c r="MO3" s="15"/>
      <c r="MP3" s="15"/>
      <c r="MQ3" s="15"/>
      <c r="MR3" s="15"/>
      <c r="MS3" s="15"/>
      <c r="MT3" s="15"/>
      <c r="MU3" s="15"/>
      <c r="MV3" s="15"/>
      <c r="MW3" s="15"/>
      <c r="MX3" s="15"/>
      <c r="MY3" s="15"/>
      <c r="MZ3" s="15"/>
      <c r="NA3" s="15"/>
      <c r="NB3" s="15"/>
      <c r="NC3" s="15"/>
      <c r="ND3" s="15"/>
      <c r="NE3" s="15"/>
      <c r="NF3" s="15"/>
      <c r="NG3" s="15"/>
      <c r="NH3" s="15"/>
      <c r="NI3" s="15"/>
      <c r="NJ3" s="15"/>
      <c r="NK3" s="15"/>
      <c r="NL3" s="15"/>
      <c r="NM3" s="15"/>
      <c r="NN3" s="15"/>
      <c r="NO3" s="15"/>
      <c r="NP3" s="15"/>
      <c r="NQ3" s="15"/>
      <c r="NR3" s="15"/>
      <c r="NS3" s="15"/>
      <c r="NT3" s="15"/>
      <c r="NU3" s="15"/>
      <c r="NV3" s="15"/>
      <c r="NW3" s="15"/>
      <c r="NX3" s="15"/>
      <c r="NY3" s="15"/>
      <c r="NZ3" s="15"/>
      <c r="OA3" s="15"/>
      <c r="OB3" s="15"/>
      <c r="OC3" s="15"/>
      <c r="OD3" s="15"/>
      <c r="OE3" s="15"/>
      <c r="OF3" s="15"/>
      <c r="OG3" s="15"/>
      <c r="OH3" s="15"/>
      <c r="OI3" s="15"/>
      <c r="OJ3" s="15"/>
      <c r="OK3" s="15"/>
      <c r="OL3" s="15"/>
      <c r="OM3" s="15"/>
      <c r="ON3" s="15"/>
      <c r="OO3" s="15"/>
      <c r="OP3" s="15"/>
      <c r="OQ3" s="15"/>
      <c r="OR3" s="15"/>
      <c r="OS3" s="15"/>
      <c r="OT3" s="15"/>
      <c r="OU3" s="15"/>
      <c r="OV3" s="15"/>
      <c r="OW3" s="15"/>
      <c r="OX3" s="15"/>
      <c r="OY3" s="15"/>
      <c r="OZ3" s="15"/>
      <c r="PA3" s="15"/>
      <c r="PB3" s="15"/>
      <c r="PC3" s="15"/>
      <c r="PD3" s="15"/>
      <c r="PE3" s="15"/>
      <c r="PF3" s="15"/>
      <c r="PG3" s="15"/>
      <c r="PH3" s="15"/>
      <c r="PI3" s="15"/>
      <c r="PJ3" s="15"/>
      <c r="PK3" s="15"/>
      <c r="PL3" s="15"/>
      <c r="PM3" s="15"/>
      <c r="PN3" s="15"/>
      <c r="PO3" s="15"/>
      <c r="PP3" s="15"/>
      <c r="PQ3" s="15"/>
      <c r="PR3" s="15"/>
      <c r="PS3" s="15"/>
      <c r="PT3" s="15"/>
      <c r="PU3" s="15"/>
      <c r="PV3" s="15"/>
      <c r="PW3" s="15"/>
      <c r="PX3" s="15"/>
      <c r="PY3" s="15"/>
      <c r="PZ3" s="15"/>
      <c r="QA3" s="15"/>
      <c r="QB3" s="15"/>
      <c r="QC3" s="15"/>
      <c r="QD3" s="15"/>
      <c r="QE3" s="15"/>
      <c r="QF3" s="15"/>
      <c r="QG3" s="15"/>
      <c r="QH3" s="15"/>
      <c r="QI3" s="15"/>
      <c r="QJ3" s="15"/>
      <c r="QK3" s="15"/>
      <c r="QL3" s="15"/>
      <c r="QM3" s="15"/>
      <c r="QN3" s="15"/>
      <c r="QO3" s="15"/>
      <c r="QP3" s="15"/>
      <c r="QQ3" s="15"/>
      <c r="QR3" s="15"/>
      <c r="QS3" s="15"/>
      <c r="QT3" s="15"/>
      <c r="QU3" s="15"/>
      <c r="QV3" s="15"/>
      <c r="QW3" s="15"/>
      <c r="QX3" s="15"/>
      <c r="QY3" s="15"/>
      <c r="QZ3" s="15"/>
      <c r="RA3" s="15"/>
      <c r="RB3" s="15"/>
      <c r="RC3" s="15"/>
      <c r="RD3" s="15"/>
      <c r="RE3" s="15"/>
      <c r="RF3" s="15"/>
      <c r="RG3" s="15"/>
      <c r="RH3" s="15"/>
      <c r="RI3" s="15"/>
      <c r="RJ3" s="15"/>
      <c r="RK3" s="15"/>
      <c r="RL3" s="15"/>
      <c r="RM3" s="15"/>
      <c r="RN3" s="15"/>
      <c r="RO3" s="15"/>
      <c r="RP3" s="15"/>
      <c r="RQ3" s="15"/>
      <c r="RR3" s="15"/>
      <c r="RS3" s="15"/>
      <c r="RT3" s="15"/>
      <c r="RU3" s="15"/>
      <c r="RV3" s="15"/>
      <c r="RW3" s="15"/>
      <c r="RX3" s="15"/>
      <c r="RY3" s="15"/>
      <c r="RZ3" s="15"/>
      <c r="SA3" s="15"/>
      <c r="SB3" s="15"/>
      <c r="SC3" s="15"/>
      <c r="SD3" s="15"/>
      <c r="SE3" s="15"/>
      <c r="SF3" s="15"/>
      <c r="SG3" s="15"/>
      <c r="SH3" s="15"/>
      <c r="SI3" s="15"/>
      <c r="SJ3" s="15"/>
      <c r="SK3" s="15"/>
      <c r="SL3" s="15"/>
      <c r="SM3" s="15"/>
      <c r="SN3" s="15"/>
      <c r="SO3" s="15"/>
      <c r="SP3" s="15"/>
      <c r="SQ3" s="15"/>
      <c r="SR3" s="15"/>
      <c r="SS3" s="15"/>
      <c r="ST3" s="15"/>
      <c r="SU3" s="15"/>
      <c r="SV3" s="15"/>
      <c r="SW3" s="15"/>
      <c r="SX3" s="15"/>
      <c r="SY3" s="15"/>
      <c r="SZ3" s="15"/>
      <c r="TA3" s="15"/>
      <c r="TB3" s="15"/>
      <c r="TC3" s="15"/>
      <c r="TD3" s="15"/>
      <c r="TE3" s="15"/>
      <c r="TF3" s="15"/>
      <c r="TG3" s="15"/>
      <c r="TH3" s="15"/>
      <c r="TI3" s="15"/>
      <c r="TJ3" s="15"/>
      <c r="TK3" s="15"/>
      <c r="TL3" s="15"/>
      <c r="TM3" s="15"/>
      <c r="TN3" s="15"/>
      <c r="TO3" s="15"/>
      <c r="TP3" s="15"/>
      <c r="TQ3" s="15"/>
      <c r="TR3" s="15"/>
      <c r="TS3" s="15"/>
      <c r="TT3" s="15"/>
      <c r="TU3" s="15"/>
      <c r="TV3" s="15"/>
      <c r="TW3" s="15"/>
      <c r="TX3" s="15"/>
      <c r="TY3" s="15"/>
      <c r="TZ3" s="15"/>
      <c r="UA3" s="15"/>
      <c r="UB3" s="15"/>
      <c r="UC3" s="15"/>
      <c r="UD3" s="15"/>
      <c r="UE3" s="15"/>
      <c r="UF3" s="15"/>
      <c r="UG3" s="15"/>
      <c r="UH3" s="15"/>
      <c r="UI3" s="15"/>
      <c r="UJ3" s="15"/>
      <c r="UK3" s="15"/>
      <c r="UL3" s="15"/>
      <c r="UM3" s="15"/>
      <c r="UN3" s="15"/>
      <c r="UO3" s="15"/>
      <c r="UP3" s="15"/>
      <c r="UQ3" s="15"/>
      <c r="UR3" s="15"/>
      <c r="US3" s="15"/>
      <c r="UT3" s="15"/>
      <c r="UU3" s="15"/>
      <c r="UV3" s="15"/>
      <c r="UW3" s="15"/>
      <c r="UX3" s="15"/>
      <c r="UY3" s="15"/>
      <c r="UZ3" s="15"/>
      <c r="VA3" s="15"/>
      <c r="VB3" s="15"/>
      <c r="VC3" s="15"/>
      <c r="VD3" s="15"/>
      <c r="VE3" s="15"/>
      <c r="VF3" s="15"/>
      <c r="VG3" s="15"/>
      <c r="VH3" s="15"/>
      <c r="VI3" s="15"/>
      <c r="VJ3" s="15"/>
      <c r="VK3" s="15"/>
      <c r="VL3" s="15"/>
      <c r="VM3" s="15"/>
      <c r="VN3" s="15"/>
      <c r="VO3" s="15"/>
      <c r="VP3" s="15"/>
      <c r="VQ3" s="15"/>
      <c r="VR3" s="15"/>
      <c r="VS3" s="15"/>
      <c r="VT3" s="15"/>
      <c r="VU3" s="15"/>
      <c r="VV3" s="15"/>
      <c r="VW3" s="15"/>
      <c r="VX3" s="15"/>
      <c r="VY3" s="15"/>
      <c r="VZ3" s="15"/>
      <c r="WA3" s="15"/>
      <c r="WB3" s="15"/>
      <c r="WC3" s="15"/>
      <c r="WD3" s="15"/>
      <c r="WE3" s="15"/>
      <c r="WF3" s="15"/>
      <c r="WG3" s="15"/>
      <c r="WH3" s="15"/>
      <c r="WI3" s="15"/>
      <c r="WJ3" s="15"/>
      <c r="WK3" s="15"/>
      <c r="WL3" s="15"/>
      <c r="WM3" s="15"/>
      <c r="WN3" s="15"/>
      <c r="WO3" s="15"/>
      <c r="WP3" s="15"/>
      <c r="WQ3" s="15"/>
      <c r="WR3" s="15"/>
      <c r="WS3" s="15"/>
      <c r="WT3" s="15"/>
      <c r="WU3" s="15"/>
      <c r="WV3" s="15"/>
      <c r="WW3" s="15"/>
      <c r="WX3" s="15"/>
      <c r="WY3" s="15"/>
      <c r="WZ3" s="15"/>
      <c r="XA3" s="15"/>
      <c r="XB3" s="15"/>
      <c r="XC3" s="15"/>
      <c r="XD3" s="15"/>
      <c r="XE3" s="15"/>
      <c r="XF3" s="15"/>
      <c r="XG3" s="15"/>
      <c r="XH3" s="15"/>
      <c r="XI3" s="15"/>
      <c r="XJ3" s="15"/>
      <c r="XK3" s="15"/>
      <c r="XL3" s="15"/>
      <c r="XM3" s="15"/>
      <c r="XN3" s="15"/>
      <c r="XO3" s="15"/>
      <c r="XP3" s="15"/>
      <c r="XQ3" s="15"/>
      <c r="XR3" s="15"/>
      <c r="XS3" s="15"/>
      <c r="XT3" s="15"/>
      <c r="XU3" s="15"/>
      <c r="XV3" s="15"/>
      <c r="XW3" s="15"/>
      <c r="XX3" s="15"/>
      <c r="XY3" s="15"/>
      <c r="XZ3" s="15"/>
      <c r="YA3" s="15"/>
      <c r="YB3" s="15"/>
      <c r="YC3" s="15"/>
      <c r="YD3" s="15"/>
      <c r="YE3" s="15"/>
      <c r="YF3" s="15"/>
      <c r="YG3" s="15"/>
      <c r="YH3" s="15"/>
      <c r="YI3" s="15"/>
      <c r="YJ3" s="15"/>
      <c r="YK3" s="15"/>
      <c r="YL3" s="15"/>
      <c r="YM3" s="15"/>
      <c r="YN3" s="15"/>
      <c r="YO3" s="15"/>
      <c r="YP3" s="15"/>
      <c r="YQ3" s="15"/>
      <c r="YR3" s="15"/>
      <c r="YS3" s="15"/>
      <c r="YT3" s="15"/>
      <c r="YU3" s="15"/>
      <c r="YV3" s="15"/>
      <c r="YW3" s="15"/>
      <c r="YX3" s="15"/>
      <c r="YY3" s="15"/>
      <c r="YZ3" s="15"/>
      <c r="ZA3" s="15"/>
      <c r="ZB3" s="15"/>
      <c r="ZC3" s="15"/>
      <c r="ZD3" s="15"/>
      <c r="ZE3" s="15"/>
      <c r="ZF3" s="15"/>
      <c r="ZG3" s="15"/>
      <c r="ZH3" s="15"/>
      <c r="ZI3" s="15"/>
      <c r="ZJ3" s="15"/>
      <c r="ZK3" s="15"/>
      <c r="ZL3" s="15"/>
      <c r="ZM3" s="15"/>
      <c r="ZN3" s="15"/>
      <c r="ZO3" s="15"/>
      <c r="ZP3" s="15"/>
      <c r="ZQ3" s="15"/>
      <c r="ZR3" s="15"/>
      <c r="ZS3" s="15"/>
      <c r="ZT3" s="15"/>
      <c r="ZU3" s="15"/>
      <c r="ZV3" s="15"/>
      <c r="ZW3" s="15"/>
      <c r="ZX3" s="15"/>
      <c r="ZY3" s="15"/>
      <c r="ZZ3" s="15"/>
      <c r="AAA3" s="15"/>
      <c r="AAB3" s="15"/>
      <c r="AAC3" s="15"/>
      <c r="AAD3" s="15"/>
      <c r="AAE3" s="15"/>
      <c r="AAF3" s="15"/>
      <c r="AAG3" s="15"/>
      <c r="AAH3" s="15"/>
      <c r="AAI3" s="15"/>
      <c r="AAJ3" s="15"/>
      <c r="AAK3" s="15"/>
      <c r="AAL3" s="15"/>
      <c r="AAM3" s="15"/>
      <c r="AAN3" s="15"/>
      <c r="AAO3" s="15"/>
      <c r="AAP3" s="15"/>
      <c r="AAQ3" s="15"/>
      <c r="AAR3" s="15"/>
      <c r="AAS3" s="15"/>
      <c r="AAT3" s="15"/>
      <c r="AAU3" s="15"/>
      <c r="AAV3" s="15"/>
      <c r="AAW3" s="15"/>
      <c r="AAX3" s="15"/>
      <c r="AAY3" s="15"/>
      <c r="AAZ3" s="15"/>
      <c r="ABA3" s="15"/>
      <c r="ABB3" s="15"/>
      <c r="ABC3" s="15"/>
      <c r="ABD3" s="15"/>
      <c r="ABE3" s="15"/>
      <c r="ABF3" s="15"/>
      <c r="ABG3" s="15"/>
      <c r="ABH3" s="15"/>
      <c r="ABI3" s="15"/>
      <c r="ABJ3" s="15"/>
      <c r="ABK3" s="15"/>
      <c r="ABL3" s="15"/>
      <c r="ABM3" s="15"/>
      <c r="ABN3" s="15"/>
      <c r="ABO3" s="15"/>
      <c r="ABP3" s="15"/>
      <c r="ABQ3" s="15"/>
      <c r="ABR3" s="15"/>
      <c r="ABS3" s="15"/>
      <c r="ABT3" s="15"/>
      <c r="ABU3" s="15"/>
      <c r="ABV3" s="15"/>
      <c r="ABW3" s="15"/>
      <c r="ABX3" s="15"/>
      <c r="ABY3" s="15"/>
      <c r="ABZ3" s="15"/>
      <c r="ACA3" s="15"/>
      <c r="ACB3" s="15"/>
      <c r="ACC3" s="15"/>
      <c r="ACD3" s="15"/>
      <c r="ACE3" s="15"/>
      <c r="ACF3" s="15"/>
      <c r="ACG3" s="15"/>
      <c r="ACH3" s="15"/>
      <c r="ACI3" s="15"/>
      <c r="ACJ3" s="15"/>
      <c r="ACK3" s="15"/>
      <c r="ACL3" s="15"/>
      <c r="ACM3" s="15"/>
      <c r="ACN3" s="15"/>
      <c r="ACO3" s="15"/>
      <c r="ACP3" s="15"/>
      <c r="ACQ3" s="15"/>
      <c r="ACR3" s="15"/>
      <c r="ACS3" s="15"/>
      <c r="ACT3" s="15"/>
      <c r="ACU3" s="15"/>
      <c r="ACV3" s="15"/>
      <c r="ACW3" s="15"/>
      <c r="ACX3" s="15"/>
      <c r="ACY3" s="15"/>
      <c r="ACZ3" s="15"/>
      <c r="ADA3" s="15"/>
      <c r="ADB3" s="15"/>
      <c r="ADC3" s="15"/>
      <c r="ADD3" s="15"/>
      <c r="ADE3" s="15"/>
      <c r="ADF3" s="15"/>
      <c r="ADG3" s="15"/>
      <c r="ADH3" s="15"/>
      <c r="ADI3" s="15"/>
      <c r="ADJ3" s="15"/>
      <c r="ADK3" s="15"/>
      <c r="ADL3" s="15"/>
      <c r="ADM3" s="15"/>
      <c r="ADN3" s="15"/>
      <c r="ADO3" s="15"/>
      <c r="ADP3" s="15"/>
      <c r="ADQ3" s="15"/>
      <c r="ADR3" s="15"/>
      <c r="ADS3" s="15"/>
      <c r="ADT3" s="15"/>
      <c r="ADU3" s="15"/>
      <c r="ADV3" s="15"/>
      <c r="ADW3" s="15"/>
      <c r="ADX3" s="15"/>
      <c r="ADY3" s="15"/>
      <c r="ADZ3" s="15"/>
      <c r="AEA3" s="15"/>
      <c r="AEB3" s="15"/>
      <c r="AEC3" s="15"/>
      <c r="AED3" s="15"/>
      <c r="AEE3" s="15"/>
      <c r="AEF3" s="15"/>
      <c r="AEG3" s="15"/>
      <c r="AEH3" s="15"/>
      <c r="AEI3" s="15"/>
      <c r="AEJ3" s="15"/>
      <c r="AEK3" s="15"/>
      <c r="AEL3" s="15"/>
      <c r="AEM3" s="15"/>
      <c r="AEN3" s="15"/>
      <c r="AEO3" s="15"/>
      <c r="AEP3" s="15"/>
      <c r="AEQ3" s="15"/>
      <c r="AER3" s="15"/>
      <c r="AES3" s="15"/>
      <c r="AET3" s="15"/>
      <c r="AEU3" s="15"/>
      <c r="AEV3" s="15"/>
      <c r="AEW3" s="15"/>
      <c r="AEX3" s="15"/>
      <c r="AEY3" s="15"/>
      <c r="AEZ3" s="15"/>
      <c r="AFA3" s="15"/>
      <c r="AFB3" s="15"/>
      <c r="AFC3" s="15"/>
      <c r="AFD3" s="15"/>
      <c r="AFE3" s="15"/>
      <c r="AFF3" s="15"/>
      <c r="AFG3" s="15"/>
      <c r="AFH3" s="15"/>
      <c r="AFI3" s="15"/>
      <c r="AFJ3" s="15"/>
      <c r="AFK3" s="15"/>
      <c r="AFL3" s="15"/>
      <c r="AFM3" s="15"/>
      <c r="AFN3" s="15"/>
      <c r="AFO3" s="15"/>
      <c r="AFP3" s="15"/>
      <c r="AFQ3" s="15"/>
      <c r="AFR3" s="15"/>
      <c r="AFS3" s="15"/>
      <c r="AFT3" s="15"/>
      <c r="AFU3" s="15"/>
      <c r="AFV3" s="15"/>
      <c r="AFW3" s="15"/>
      <c r="AFX3" s="15"/>
      <c r="AFY3" s="15"/>
      <c r="AFZ3" s="15"/>
      <c r="AGA3" s="15"/>
      <c r="AGB3" s="15"/>
      <c r="AGC3" s="15"/>
      <c r="AGD3" s="15"/>
      <c r="AGE3" s="15"/>
      <c r="AGF3" s="15"/>
      <c r="AGG3" s="15"/>
      <c r="AGH3" s="15"/>
      <c r="AGI3" s="15"/>
      <c r="AGJ3" s="15"/>
      <c r="AGK3" s="15"/>
      <c r="AGL3" s="15"/>
      <c r="AGM3" s="15"/>
      <c r="AGN3" s="15"/>
      <c r="AGO3" s="15"/>
      <c r="AGP3" s="15"/>
      <c r="AGQ3" s="15"/>
      <c r="AGR3" s="15"/>
      <c r="AGS3" s="15"/>
      <c r="AGT3" s="15"/>
      <c r="AGU3" s="15"/>
      <c r="AGV3" s="15"/>
      <c r="AGW3" s="15"/>
      <c r="AGX3" s="15"/>
      <c r="AGY3" s="15"/>
      <c r="AGZ3" s="15"/>
      <c r="AHA3" s="15"/>
      <c r="AHB3" s="15"/>
      <c r="AHC3" s="15"/>
      <c r="AHD3" s="15"/>
      <c r="AHE3" s="15"/>
      <c r="AHF3" s="15"/>
      <c r="AHG3" s="15"/>
      <c r="AHH3" s="15"/>
      <c r="AHI3" s="15"/>
      <c r="AHJ3" s="15"/>
      <c r="AHK3" s="15"/>
      <c r="AHL3" s="15"/>
      <c r="AHM3" s="15"/>
      <c r="AHN3" s="15"/>
      <c r="AHO3" s="15"/>
      <c r="AHP3" s="15"/>
      <c r="AHQ3" s="15"/>
      <c r="AHR3" s="15"/>
      <c r="AHS3" s="15"/>
      <c r="AHT3" s="15"/>
      <c r="AHU3" s="15"/>
      <c r="AHV3" s="15"/>
      <c r="AHW3" s="15"/>
      <c r="AHX3" s="15"/>
      <c r="AHY3" s="15"/>
      <c r="AHZ3" s="15"/>
      <c r="AIA3" s="15"/>
      <c r="AIB3" s="15"/>
      <c r="AIC3" s="15"/>
      <c r="AID3" s="15"/>
      <c r="AIE3" s="15"/>
      <c r="AIF3" s="15"/>
      <c r="AIG3" s="15"/>
      <c r="AIH3" s="15"/>
      <c r="AII3" s="15"/>
      <c r="AIJ3" s="15"/>
      <c r="AIK3" s="15"/>
      <c r="AIL3" s="15"/>
      <c r="AIM3" s="15"/>
      <c r="AIN3" s="15"/>
      <c r="AIO3" s="15"/>
      <c r="AIP3" s="15"/>
      <c r="AIQ3" s="15"/>
      <c r="AIR3" s="15"/>
      <c r="AIS3" s="15"/>
      <c r="AIT3" s="15"/>
      <c r="AIU3" s="15"/>
      <c r="AIV3" s="15"/>
      <c r="AIW3" s="15"/>
      <c r="AIX3" s="15"/>
      <c r="AIY3" s="15"/>
      <c r="AIZ3" s="15"/>
      <c r="AJA3" s="15"/>
      <c r="AJB3" s="15"/>
      <c r="AJC3" s="15"/>
      <c r="AJD3" s="15"/>
      <c r="AJE3" s="15"/>
      <c r="AJF3" s="15"/>
      <c r="AJG3" s="15"/>
      <c r="AJH3" s="15"/>
      <c r="AJI3" s="15"/>
      <c r="AJJ3" s="15"/>
      <c r="AJK3" s="15"/>
      <c r="AJL3" s="15"/>
      <c r="AJM3" s="15"/>
      <c r="AJN3" s="15"/>
      <c r="AJO3" s="15"/>
      <c r="AJP3" s="15"/>
      <c r="AJQ3" s="15"/>
      <c r="AJR3" s="15"/>
      <c r="AJS3" s="15"/>
      <c r="AJT3" s="15"/>
      <c r="AJU3" s="15"/>
      <c r="AJV3" s="15"/>
      <c r="AJW3" s="15"/>
      <c r="AJX3" s="15"/>
      <c r="AJY3" s="15"/>
      <c r="AJZ3" s="15"/>
      <c r="AKA3" s="15"/>
      <c r="AKB3" s="15"/>
      <c r="AKC3" s="15"/>
      <c r="AKD3" s="15"/>
      <c r="AKE3" s="15"/>
      <c r="AKF3" s="15"/>
      <c r="AKG3" s="15"/>
      <c r="AKH3" s="15"/>
      <c r="AKI3" s="15"/>
      <c r="AKJ3" s="15"/>
      <c r="AKK3" s="15"/>
      <c r="AKL3" s="15"/>
      <c r="AKM3" s="15"/>
      <c r="AKN3" s="15"/>
      <c r="AKO3" s="15"/>
      <c r="AKP3" s="15"/>
      <c r="AKQ3" s="15"/>
      <c r="AKR3" s="15"/>
      <c r="AKS3" s="15"/>
      <c r="AKT3" s="15"/>
      <c r="AKU3" s="15"/>
      <c r="AKV3" s="15"/>
      <c r="AKW3" s="15"/>
      <c r="AKX3" s="15"/>
      <c r="AKY3" s="15"/>
      <c r="AKZ3" s="15"/>
      <c r="ALA3" s="15"/>
      <c r="ALB3" s="15"/>
      <c r="ALC3" s="15"/>
      <c r="ALD3" s="15"/>
      <c r="ALE3" s="15"/>
      <c r="ALF3" s="15"/>
      <c r="ALG3" s="15"/>
      <c r="ALH3" s="15"/>
      <c r="ALI3" s="15"/>
      <c r="ALJ3" s="15"/>
      <c r="ALK3" s="15"/>
      <c r="ALL3" s="15"/>
      <c r="ALM3" s="15"/>
      <c r="ALN3" s="15"/>
      <c r="ALO3" s="15"/>
      <c r="ALP3" s="15"/>
      <c r="ALQ3" s="15"/>
      <c r="ALR3" s="15"/>
      <c r="ALS3" s="15"/>
      <c r="ALT3" s="15"/>
      <c r="ALU3" s="15"/>
      <c r="ALV3" s="15"/>
      <c r="ALW3" s="15"/>
      <c r="ALX3" s="15"/>
      <c r="ALY3" s="15"/>
      <c r="ALZ3" s="15"/>
      <c r="AMA3" s="15"/>
      <c r="AMB3" s="15"/>
      <c r="AMC3" s="15"/>
      <c r="AMD3" s="15"/>
      <c r="AME3" s="15"/>
      <c r="AMF3" s="15"/>
      <c r="AMG3" s="14"/>
    </row>
    <row r="4" spans="1:1021" s="13" customFormat="1" ht="101.5" hidden="1" x14ac:dyDescent="0.35">
      <c r="A4" s="19">
        <v>43644</v>
      </c>
      <c r="B4" s="17" t="s">
        <v>466</v>
      </c>
      <c r="C4" s="17" t="s">
        <v>509</v>
      </c>
      <c r="D4" s="18">
        <v>43647</v>
      </c>
      <c r="E4" s="17" t="s">
        <v>464</v>
      </c>
      <c r="F4" s="26">
        <v>0.58333333333333304</v>
      </c>
      <c r="G4" s="26">
        <v>0.64583333333333304</v>
      </c>
      <c r="H4" s="26">
        <v>0.61458333333333304</v>
      </c>
      <c r="I4" s="17">
        <v>272</v>
      </c>
      <c r="J4" s="42" t="s">
        <v>463</v>
      </c>
      <c r="K4" s="17" t="s">
        <v>119</v>
      </c>
      <c r="L4" s="16" t="s">
        <v>17</v>
      </c>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15"/>
      <c r="CR4" s="15"/>
      <c r="CS4" s="15"/>
      <c r="CT4" s="15"/>
      <c r="CU4" s="15"/>
      <c r="CV4" s="15"/>
      <c r="CW4" s="15"/>
      <c r="CX4" s="15"/>
      <c r="CY4" s="15"/>
      <c r="CZ4" s="15"/>
      <c r="DA4" s="15"/>
      <c r="DB4" s="15"/>
      <c r="DC4" s="15"/>
      <c r="DD4" s="15"/>
      <c r="DE4" s="15"/>
      <c r="DF4" s="15"/>
      <c r="DG4" s="15"/>
      <c r="DH4" s="15"/>
      <c r="DI4" s="15"/>
      <c r="DJ4" s="15"/>
      <c r="DK4" s="15"/>
      <c r="DL4" s="15"/>
      <c r="DM4" s="15"/>
      <c r="DN4" s="15"/>
      <c r="DO4" s="15"/>
      <c r="DP4" s="15"/>
      <c r="DQ4" s="15"/>
      <c r="DR4" s="15"/>
      <c r="DS4" s="15"/>
      <c r="DT4" s="15"/>
      <c r="DU4" s="15"/>
      <c r="DV4" s="15"/>
      <c r="DW4" s="15"/>
      <c r="DX4" s="15"/>
      <c r="DY4" s="15"/>
      <c r="DZ4" s="15"/>
      <c r="EA4" s="15"/>
      <c r="EB4" s="15"/>
      <c r="EC4" s="15"/>
      <c r="ED4" s="15"/>
      <c r="EE4" s="15"/>
      <c r="EF4" s="15"/>
      <c r="EG4" s="15"/>
      <c r="EH4" s="15"/>
      <c r="EI4" s="15"/>
      <c r="EJ4" s="15"/>
      <c r="EK4" s="15"/>
      <c r="EL4" s="15"/>
      <c r="EM4" s="15"/>
      <c r="EN4" s="15"/>
      <c r="EO4" s="15"/>
      <c r="EP4" s="15"/>
      <c r="EQ4" s="15"/>
      <c r="ER4" s="15"/>
      <c r="ES4" s="15"/>
      <c r="ET4" s="15"/>
      <c r="EU4" s="15"/>
      <c r="EV4" s="15"/>
      <c r="EW4" s="15"/>
      <c r="EX4" s="15"/>
      <c r="EY4" s="15"/>
      <c r="EZ4" s="15"/>
      <c r="FA4" s="15"/>
      <c r="FB4" s="15"/>
      <c r="FC4" s="15"/>
      <c r="FD4" s="15"/>
      <c r="FE4" s="15"/>
      <c r="FF4" s="15"/>
      <c r="FG4" s="15"/>
      <c r="FH4" s="15"/>
      <c r="FI4" s="15"/>
      <c r="FJ4" s="15"/>
      <c r="FK4" s="15"/>
      <c r="FL4" s="15"/>
      <c r="FM4" s="15"/>
      <c r="FN4" s="15"/>
      <c r="FO4" s="15"/>
      <c r="FP4" s="15"/>
      <c r="FQ4" s="15"/>
      <c r="FR4" s="15"/>
      <c r="FS4" s="15"/>
      <c r="FT4" s="15"/>
      <c r="FU4" s="15"/>
      <c r="FV4" s="15"/>
      <c r="FW4" s="15"/>
      <c r="FX4" s="15"/>
      <c r="FY4" s="15"/>
      <c r="FZ4" s="15"/>
      <c r="GA4" s="15"/>
      <c r="GB4" s="15"/>
      <c r="GC4" s="15"/>
      <c r="GD4" s="15"/>
      <c r="GE4" s="15"/>
      <c r="GF4" s="15"/>
      <c r="GG4" s="15"/>
      <c r="GH4" s="15"/>
      <c r="GI4" s="15"/>
      <c r="GJ4" s="15"/>
      <c r="GK4" s="15"/>
      <c r="GL4" s="15"/>
      <c r="GM4" s="15"/>
      <c r="GN4" s="15"/>
      <c r="GO4" s="15"/>
      <c r="GP4" s="15"/>
      <c r="GQ4" s="15"/>
      <c r="GR4" s="15"/>
      <c r="GS4" s="15"/>
      <c r="GT4" s="15"/>
      <c r="GU4" s="15"/>
      <c r="GV4" s="15"/>
      <c r="GW4" s="15"/>
      <c r="GX4" s="15"/>
      <c r="GY4" s="15"/>
      <c r="GZ4" s="15"/>
      <c r="HA4" s="15"/>
      <c r="HB4" s="15"/>
      <c r="HC4" s="15"/>
      <c r="HD4" s="15"/>
      <c r="HE4" s="15"/>
      <c r="HF4" s="15"/>
      <c r="HG4" s="15"/>
      <c r="HH4" s="15"/>
      <c r="HI4" s="15"/>
      <c r="HJ4" s="15"/>
      <c r="HK4" s="15"/>
      <c r="HL4" s="15"/>
      <c r="HM4" s="15"/>
      <c r="HN4" s="15"/>
      <c r="HO4" s="15"/>
      <c r="HP4" s="15"/>
      <c r="HQ4" s="15"/>
      <c r="HR4" s="15"/>
      <c r="HS4" s="15"/>
      <c r="HT4" s="15"/>
      <c r="HU4" s="15"/>
      <c r="HV4" s="15"/>
      <c r="HW4" s="15"/>
      <c r="HX4" s="15"/>
      <c r="HY4" s="15"/>
      <c r="HZ4" s="15"/>
      <c r="IA4" s="15"/>
      <c r="IB4" s="15"/>
      <c r="IC4" s="15"/>
      <c r="ID4" s="15"/>
      <c r="IE4" s="15"/>
      <c r="IF4" s="15"/>
      <c r="IG4" s="15"/>
      <c r="IH4" s="15"/>
      <c r="II4" s="15"/>
      <c r="IJ4" s="15"/>
      <c r="IK4" s="15"/>
      <c r="IL4" s="15"/>
      <c r="IM4" s="15"/>
      <c r="IN4" s="15"/>
      <c r="IO4" s="15"/>
      <c r="IP4" s="15"/>
      <c r="IQ4" s="15"/>
      <c r="IR4" s="15"/>
      <c r="IS4" s="15"/>
      <c r="IT4" s="15"/>
      <c r="IU4" s="15"/>
      <c r="IV4" s="15"/>
      <c r="IW4" s="15"/>
      <c r="IX4" s="15"/>
      <c r="IY4" s="15"/>
      <c r="IZ4" s="15"/>
      <c r="JA4" s="15"/>
      <c r="JB4" s="15"/>
      <c r="JC4" s="15"/>
      <c r="JD4" s="15"/>
      <c r="JE4" s="15"/>
      <c r="JF4" s="15"/>
      <c r="JG4" s="15"/>
      <c r="JH4" s="15"/>
      <c r="JI4" s="15"/>
      <c r="JJ4" s="15"/>
      <c r="JK4" s="15"/>
      <c r="JL4" s="15"/>
      <c r="JM4" s="15"/>
      <c r="JN4" s="15"/>
      <c r="JO4" s="15"/>
      <c r="JP4" s="15"/>
      <c r="JQ4" s="15"/>
      <c r="JR4" s="15"/>
      <c r="JS4" s="15"/>
      <c r="JT4" s="15"/>
      <c r="JU4" s="15"/>
      <c r="JV4" s="15"/>
      <c r="JW4" s="15"/>
      <c r="JX4" s="15"/>
      <c r="JY4" s="15"/>
      <c r="JZ4" s="15"/>
      <c r="KA4" s="15"/>
      <c r="KB4" s="15"/>
      <c r="KC4" s="15"/>
      <c r="KD4" s="15"/>
      <c r="KE4" s="15"/>
      <c r="KF4" s="15"/>
      <c r="KG4" s="15"/>
      <c r="KH4" s="15"/>
      <c r="KI4" s="15"/>
      <c r="KJ4" s="15"/>
      <c r="KK4" s="15"/>
      <c r="KL4" s="15"/>
      <c r="KM4" s="15"/>
      <c r="KN4" s="15"/>
      <c r="KO4" s="15"/>
      <c r="KP4" s="15"/>
      <c r="KQ4" s="15"/>
      <c r="KR4" s="15"/>
      <c r="KS4" s="15"/>
      <c r="KT4" s="15"/>
      <c r="KU4" s="15"/>
      <c r="KV4" s="15"/>
      <c r="KW4" s="15"/>
      <c r="KX4" s="15"/>
      <c r="KY4" s="15"/>
      <c r="KZ4" s="15"/>
      <c r="LA4" s="15"/>
      <c r="LB4" s="15"/>
      <c r="LC4" s="15"/>
      <c r="LD4" s="15"/>
      <c r="LE4" s="15"/>
      <c r="LF4" s="15"/>
      <c r="LG4" s="15"/>
      <c r="LH4" s="15"/>
      <c r="LI4" s="15"/>
      <c r="LJ4" s="15"/>
      <c r="LK4" s="15"/>
      <c r="LL4" s="15"/>
      <c r="LM4" s="15"/>
      <c r="LN4" s="15"/>
      <c r="LO4" s="15"/>
      <c r="LP4" s="15"/>
      <c r="LQ4" s="15"/>
      <c r="LR4" s="15"/>
      <c r="LS4" s="15"/>
      <c r="LT4" s="15"/>
      <c r="LU4" s="15"/>
      <c r="LV4" s="15"/>
      <c r="LW4" s="15"/>
      <c r="LX4" s="15"/>
      <c r="LY4" s="15"/>
      <c r="LZ4" s="15"/>
      <c r="MA4" s="15"/>
      <c r="MB4" s="15"/>
      <c r="MC4" s="15"/>
      <c r="MD4" s="15"/>
      <c r="ME4" s="15"/>
      <c r="MF4" s="15"/>
      <c r="MG4" s="15"/>
      <c r="MH4" s="15"/>
      <c r="MI4" s="15"/>
      <c r="MJ4" s="15"/>
      <c r="MK4" s="15"/>
      <c r="ML4" s="15"/>
      <c r="MM4" s="15"/>
      <c r="MN4" s="15"/>
      <c r="MO4" s="15"/>
      <c r="MP4" s="15"/>
      <c r="MQ4" s="15"/>
      <c r="MR4" s="15"/>
      <c r="MS4" s="15"/>
      <c r="MT4" s="15"/>
      <c r="MU4" s="15"/>
      <c r="MV4" s="15"/>
      <c r="MW4" s="15"/>
      <c r="MX4" s="15"/>
      <c r="MY4" s="15"/>
      <c r="MZ4" s="15"/>
      <c r="NA4" s="15"/>
      <c r="NB4" s="15"/>
      <c r="NC4" s="15"/>
      <c r="ND4" s="15"/>
      <c r="NE4" s="15"/>
      <c r="NF4" s="15"/>
      <c r="NG4" s="15"/>
      <c r="NH4" s="15"/>
      <c r="NI4" s="15"/>
      <c r="NJ4" s="15"/>
      <c r="NK4" s="15"/>
      <c r="NL4" s="15"/>
      <c r="NM4" s="15"/>
      <c r="NN4" s="15"/>
      <c r="NO4" s="15"/>
      <c r="NP4" s="15"/>
      <c r="NQ4" s="15"/>
      <c r="NR4" s="15"/>
      <c r="NS4" s="15"/>
      <c r="NT4" s="15"/>
      <c r="NU4" s="15"/>
      <c r="NV4" s="15"/>
      <c r="NW4" s="15"/>
      <c r="NX4" s="15"/>
      <c r="NY4" s="15"/>
      <c r="NZ4" s="15"/>
      <c r="OA4" s="15"/>
      <c r="OB4" s="15"/>
      <c r="OC4" s="15"/>
      <c r="OD4" s="15"/>
      <c r="OE4" s="15"/>
      <c r="OF4" s="15"/>
      <c r="OG4" s="15"/>
      <c r="OH4" s="15"/>
      <c r="OI4" s="15"/>
      <c r="OJ4" s="15"/>
      <c r="OK4" s="15"/>
      <c r="OL4" s="15"/>
      <c r="OM4" s="15"/>
      <c r="ON4" s="15"/>
      <c r="OO4" s="15"/>
      <c r="OP4" s="15"/>
      <c r="OQ4" s="15"/>
      <c r="OR4" s="15"/>
      <c r="OS4" s="15"/>
      <c r="OT4" s="15"/>
      <c r="OU4" s="15"/>
      <c r="OV4" s="15"/>
      <c r="OW4" s="15"/>
      <c r="OX4" s="15"/>
      <c r="OY4" s="15"/>
      <c r="OZ4" s="15"/>
      <c r="PA4" s="15"/>
      <c r="PB4" s="15"/>
      <c r="PC4" s="15"/>
      <c r="PD4" s="15"/>
      <c r="PE4" s="15"/>
      <c r="PF4" s="15"/>
      <c r="PG4" s="15"/>
      <c r="PH4" s="15"/>
      <c r="PI4" s="15"/>
      <c r="PJ4" s="15"/>
      <c r="PK4" s="15"/>
      <c r="PL4" s="15"/>
      <c r="PM4" s="15"/>
      <c r="PN4" s="15"/>
      <c r="PO4" s="15"/>
      <c r="PP4" s="15"/>
      <c r="PQ4" s="15"/>
      <c r="PR4" s="15"/>
      <c r="PS4" s="15"/>
      <c r="PT4" s="15"/>
      <c r="PU4" s="15"/>
      <c r="PV4" s="15"/>
      <c r="PW4" s="15"/>
      <c r="PX4" s="15"/>
      <c r="PY4" s="15"/>
      <c r="PZ4" s="15"/>
      <c r="QA4" s="15"/>
      <c r="QB4" s="15"/>
      <c r="QC4" s="15"/>
      <c r="QD4" s="15"/>
      <c r="QE4" s="15"/>
      <c r="QF4" s="15"/>
      <c r="QG4" s="15"/>
      <c r="QH4" s="15"/>
      <c r="QI4" s="15"/>
      <c r="QJ4" s="15"/>
      <c r="QK4" s="15"/>
      <c r="QL4" s="15"/>
      <c r="QM4" s="15"/>
      <c r="QN4" s="15"/>
      <c r="QO4" s="15"/>
      <c r="QP4" s="15"/>
      <c r="QQ4" s="15"/>
      <c r="QR4" s="15"/>
      <c r="QS4" s="15"/>
      <c r="QT4" s="15"/>
      <c r="QU4" s="15"/>
      <c r="QV4" s="15"/>
      <c r="QW4" s="15"/>
      <c r="QX4" s="15"/>
      <c r="QY4" s="15"/>
      <c r="QZ4" s="15"/>
      <c r="RA4" s="15"/>
      <c r="RB4" s="15"/>
      <c r="RC4" s="15"/>
      <c r="RD4" s="15"/>
      <c r="RE4" s="15"/>
      <c r="RF4" s="15"/>
      <c r="RG4" s="15"/>
      <c r="RH4" s="15"/>
      <c r="RI4" s="15"/>
      <c r="RJ4" s="15"/>
      <c r="RK4" s="15"/>
      <c r="RL4" s="15"/>
      <c r="RM4" s="15"/>
      <c r="RN4" s="15"/>
      <c r="RO4" s="15"/>
      <c r="RP4" s="15"/>
      <c r="RQ4" s="15"/>
      <c r="RR4" s="15"/>
      <c r="RS4" s="15"/>
      <c r="RT4" s="15"/>
      <c r="RU4" s="15"/>
      <c r="RV4" s="15"/>
      <c r="RW4" s="15"/>
      <c r="RX4" s="15"/>
      <c r="RY4" s="15"/>
      <c r="RZ4" s="15"/>
      <c r="SA4" s="15"/>
      <c r="SB4" s="15"/>
      <c r="SC4" s="15"/>
      <c r="SD4" s="15"/>
      <c r="SE4" s="15"/>
      <c r="SF4" s="15"/>
      <c r="SG4" s="15"/>
      <c r="SH4" s="15"/>
      <c r="SI4" s="15"/>
      <c r="SJ4" s="15"/>
      <c r="SK4" s="15"/>
      <c r="SL4" s="15"/>
      <c r="SM4" s="15"/>
      <c r="SN4" s="15"/>
      <c r="SO4" s="15"/>
      <c r="SP4" s="15"/>
      <c r="SQ4" s="15"/>
      <c r="SR4" s="15"/>
      <c r="SS4" s="15"/>
      <c r="ST4" s="15"/>
      <c r="SU4" s="15"/>
      <c r="SV4" s="15"/>
      <c r="SW4" s="15"/>
      <c r="SX4" s="15"/>
      <c r="SY4" s="15"/>
      <c r="SZ4" s="15"/>
      <c r="TA4" s="15"/>
      <c r="TB4" s="15"/>
      <c r="TC4" s="15"/>
      <c r="TD4" s="15"/>
      <c r="TE4" s="15"/>
      <c r="TF4" s="15"/>
      <c r="TG4" s="15"/>
      <c r="TH4" s="15"/>
      <c r="TI4" s="15"/>
      <c r="TJ4" s="15"/>
      <c r="TK4" s="15"/>
      <c r="TL4" s="15"/>
      <c r="TM4" s="15"/>
      <c r="TN4" s="15"/>
      <c r="TO4" s="15"/>
      <c r="TP4" s="15"/>
      <c r="TQ4" s="15"/>
      <c r="TR4" s="15"/>
      <c r="TS4" s="15"/>
      <c r="TT4" s="15"/>
      <c r="TU4" s="15"/>
      <c r="TV4" s="15"/>
      <c r="TW4" s="15"/>
      <c r="TX4" s="15"/>
      <c r="TY4" s="15"/>
      <c r="TZ4" s="15"/>
      <c r="UA4" s="15"/>
      <c r="UB4" s="15"/>
      <c r="UC4" s="15"/>
      <c r="UD4" s="15"/>
      <c r="UE4" s="15"/>
      <c r="UF4" s="15"/>
      <c r="UG4" s="15"/>
      <c r="UH4" s="15"/>
      <c r="UI4" s="15"/>
      <c r="UJ4" s="15"/>
      <c r="UK4" s="15"/>
      <c r="UL4" s="15"/>
      <c r="UM4" s="15"/>
      <c r="UN4" s="15"/>
      <c r="UO4" s="15"/>
      <c r="UP4" s="15"/>
      <c r="UQ4" s="15"/>
      <c r="UR4" s="15"/>
      <c r="US4" s="15"/>
      <c r="UT4" s="15"/>
      <c r="UU4" s="15"/>
      <c r="UV4" s="15"/>
      <c r="UW4" s="15"/>
      <c r="UX4" s="15"/>
      <c r="UY4" s="15"/>
      <c r="UZ4" s="15"/>
      <c r="VA4" s="15"/>
      <c r="VB4" s="15"/>
      <c r="VC4" s="15"/>
      <c r="VD4" s="15"/>
      <c r="VE4" s="15"/>
      <c r="VF4" s="15"/>
      <c r="VG4" s="15"/>
      <c r="VH4" s="15"/>
      <c r="VI4" s="15"/>
      <c r="VJ4" s="15"/>
      <c r="VK4" s="15"/>
      <c r="VL4" s="15"/>
      <c r="VM4" s="15"/>
      <c r="VN4" s="15"/>
      <c r="VO4" s="15"/>
      <c r="VP4" s="15"/>
      <c r="VQ4" s="15"/>
      <c r="VR4" s="15"/>
      <c r="VS4" s="15"/>
      <c r="VT4" s="15"/>
      <c r="VU4" s="15"/>
      <c r="VV4" s="15"/>
      <c r="VW4" s="15"/>
      <c r="VX4" s="15"/>
      <c r="VY4" s="15"/>
      <c r="VZ4" s="15"/>
      <c r="WA4" s="15"/>
      <c r="WB4" s="15"/>
      <c r="WC4" s="15"/>
      <c r="WD4" s="15"/>
      <c r="WE4" s="15"/>
      <c r="WF4" s="15"/>
      <c r="WG4" s="15"/>
      <c r="WH4" s="15"/>
      <c r="WI4" s="15"/>
      <c r="WJ4" s="15"/>
      <c r="WK4" s="15"/>
      <c r="WL4" s="15"/>
      <c r="WM4" s="15"/>
      <c r="WN4" s="15"/>
      <c r="WO4" s="15"/>
      <c r="WP4" s="15"/>
      <c r="WQ4" s="15"/>
      <c r="WR4" s="15"/>
      <c r="WS4" s="15"/>
      <c r="WT4" s="15"/>
      <c r="WU4" s="15"/>
      <c r="WV4" s="15"/>
      <c r="WW4" s="15"/>
      <c r="WX4" s="15"/>
      <c r="WY4" s="15"/>
      <c r="WZ4" s="15"/>
      <c r="XA4" s="15"/>
      <c r="XB4" s="15"/>
      <c r="XC4" s="15"/>
      <c r="XD4" s="15"/>
      <c r="XE4" s="15"/>
      <c r="XF4" s="15"/>
      <c r="XG4" s="15"/>
      <c r="XH4" s="15"/>
      <c r="XI4" s="15"/>
      <c r="XJ4" s="15"/>
      <c r="XK4" s="15"/>
      <c r="XL4" s="15"/>
      <c r="XM4" s="15"/>
      <c r="XN4" s="15"/>
      <c r="XO4" s="15"/>
      <c r="XP4" s="15"/>
      <c r="XQ4" s="15"/>
      <c r="XR4" s="15"/>
      <c r="XS4" s="15"/>
      <c r="XT4" s="15"/>
      <c r="XU4" s="15"/>
      <c r="XV4" s="15"/>
      <c r="XW4" s="15"/>
      <c r="XX4" s="15"/>
      <c r="XY4" s="15"/>
      <c r="XZ4" s="15"/>
      <c r="YA4" s="15"/>
      <c r="YB4" s="15"/>
      <c r="YC4" s="15"/>
      <c r="YD4" s="15"/>
      <c r="YE4" s="15"/>
      <c r="YF4" s="15"/>
      <c r="YG4" s="15"/>
      <c r="YH4" s="15"/>
      <c r="YI4" s="15"/>
      <c r="YJ4" s="15"/>
      <c r="YK4" s="15"/>
      <c r="YL4" s="15"/>
      <c r="YM4" s="15"/>
      <c r="YN4" s="15"/>
      <c r="YO4" s="15"/>
      <c r="YP4" s="15"/>
      <c r="YQ4" s="15"/>
      <c r="YR4" s="15"/>
      <c r="YS4" s="15"/>
      <c r="YT4" s="15"/>
      <c r="YU4" s="15"/>
      <c r="YV4" s="15"/>
      <c r="YW4" s="15"/>
      <c r="YX4" s="15"/>
      <c r="YY4" s="15"/>
      <c r="YZ4" s="15"/>
      <c r="ZA4" s="15"/>
      <c r="ZB4" s="15"/>
      <c r="ZC4" s="15"/>
      <c r="ZD4" s="15"/>
      <c r="ZE4" s="15"/>
      <c r="ZF4" s="15"/>
      <c r="ZG4" s="15"/>
      <c r="ZH4" s="15"/>
      <c r="ZI4" s="15"/>
      <c r="ZJ4" s="15"/>
      <c r="ZK4" s="15"/>
      <c r="ZL4" s="15"/>
      <c r="ZM4" s="15"/>
      <c r="ZN4" s="15"/>
      <c r="ZO4" s="15"/>
      <c r="ZP4" s="15"/>
      <c r="ZQ4" s="15"/>
      <c r="ZR4" s="15"/>
      <c r="ZS4" s="15"/>
      <c r="ZT4" s="15"/>
      <c r="ZU4" s="15"/>
      <c r="ZV4" s="15"/>
      <c r="ZW4" s="15"/>
      <c r="ZX4" s="15"/>
      <c r="ZY4" s="15"/>
      <c r="ZZ4" s="15"/>
      <c r="AAA4" s="15"/>
      <c r="AAB4" s="15"/>
      <c r="AAC4" s="15"/>
      <c r="AAD4" s="15"/>
      <c r="AAE4" s="15"/>
      <c r="AAF4" s="15"/>
      <c r="AAG4" s="15"/>
      <c r="AAH4" s="15"/>
      <c r="AAI4" s="15"/>
      <c r="AAJ4" s="15"/>
      <c r="AAK4" s="15"/>
      <c r="AAL4" s="15"/>
      <c r="AAM4" s="15"/>
      <c r="AAN4" s="15"/>
      <c r="AAO4" s="15"/>
      <c r="AAP4" s="15"/>
      <c r="AAQ4" s="15"/>
      <c r="AAR4" s="15"/>
      <c r="AAS4" s="15"/>
      <c r="AAT4" s="15"/>
      <c r="AAU4" s="15"/>
      <c r="AAV4" s="15"/>
      <c r="AAW4" s="15"/>
      <c r="AAX4" s="15"/>
      <c r="AAY4" s="15"/>
      <c r="AAZ4" s="15"/>
      <c r="ABA4" s="15"/>
      <c r="ABB4" s="15"/>
      <c r="ABC4" s="15"/>
      <c r="ABD4" s="15"/>
      <c r="ABE4" s="15"/>
      <c r="ABF4" s="15"/>
      <c r="ABG4" s="15"/>
      <c r="ABH4" s="15"/>
      <c r="ABI4" s="15"/>
      <c r="ABJ4" s="15"/>
      <c r="ABK4" s="15"/>
      <c r="ABL4" s="15"/>
      <c r="ABM4" s="15"/>
      <c r="ABN4" s="15"/>
      <c r="ABO4" s="15"/>
      <c r="ABP4" s="15"/>
      <c r="ABQ4" s="15"/>
      <c r="ABR4" s="15"/>
      <c r="ABS4" s="15"/>
      <c r="ABT4" s="15"/>
      <c r="ABU4" s="15"/>
      <c r="ABV4" s="15"/>
      <c r="ABW4" s="15"/>
      <c r="ABX4" s="15"/>
      <c r="ABY4" s="15"/>
      <c r="ABZ4" s="15"/>
      <c r="ACA4" s="15"/>
      <c r="ACB4" s="15"/>
      <c r="ACC4" s="15"/>
      <c r="ACD4" s="15"/>
      <c r="ACE4" s="15"/>
      <c r="ACF4" s="15"/>
      <c r="ACG4" s="15"/>
      <c r="ACH4" s="15"/>
      <c r="ACI4" s="15"/>
      <c r="ACJ4" s="15"/>
      <c r="ACK4" s="15"/>
      <c r="ACL4" s="15"/>
      <c r="ACM4" s="15"/>
      <c r="ACN4" s="15"/>
      <c r="ACO4" s="15"/>
      <c r="ACP4" s="15"/>
      <c r="ACQ4" s="15"/>
      <c r="ACR4" s="15"/>
      <c r="ACS4" s="15"/>
      <c r="ACT4" s="15"/>
      <c r="ACU4" s="15"/>
      <c r="ACV4" s="15"/>
      <c r="ACW4" s="15"/>
      <c r="ACX4" s="15"/>
      <c r="ACY4" s="15"/>
      <c r="ACZ4" s="15"/>
      <c r="ADA4" s="15"/>
      <c r="ADB4" s="15"/>
      <c r="ADC4" s="15"/>
      <c r="ADD4" s="15"/>
      <c r="ADE4" s="15"/>
      <c r="ADF4" s="15"/>
      <c r="ADG4" s="15"/>
      <c r="ADH4" s="15"/>
      <c r="ADI4" s="15"/>
      <c r="ADJ4" s="15"/>
      <c r="ADK4" s="15"/>
      <c r="ADL4" s="15"/>
      <c r="ADM4" s="15"/>
      <c r="ADN4" s="15"/>
      <c r="ADO4" s="15"/>
      <c r="ADP4" s="15"/>
      <c r="ADQ4" s="15"/>
      <c r="ADR4" s="15"/>
      <c r="ADS4" s="15"/>
      <c r="ADT4" s="15"/>
      <c r="ADU4" s="15"/>
      <c r="ADV4" s="15"/>
      <c r="ADW4" s="15"/>
      <c r="ADX4" s="15"/>
      <c r="ADY4" s="15"/>
      <c r="ADZ4" s="15"/>
      <c r="AEA4" s="15"/>
      <c r="AEB4" s="15"/>
      <c r="AEC4" s="15"/>
      <c r="AED4" s="15"/>
      <c r="AEE4" s="15"/>
      <c r="AEF4" s="15"/>
      <c r="AEG4" s="15"/>
      <c r="AEH4" s="15"/>
      <c r="AEI4" s="15"/>
      <c r="AEJ4" s="15"/>
      <c r="AEK4" s="15"/>
      <c r="AEL4" s="15"/>
      <c r="AEM4" s="15"/>
      <c r="AEN4" s="15"/>
      <c r="AEO4" s="15"/>
      <c r="AEP4" s="15"/>
      <c r="AEQ4" s="15"/>
      <c r="AER4" s="15"/>
      <c r="AES4" s="15"/>
      <c r="AET4" s="15"/>
      <c r="AEU4" s="15"/>
      <c r="AEV4" s="15"/>
      <c r="AEW4" s="15"/>
      <c r="AEX4" s="15"/>
      <c r="AEY4" s="15"/>
      <c r="AEZ4" s="15"/>
      <c r="AFA4" s="15"/>
      <c r="AFB4" s="15"/>
      <c r="AFC4" s="15"/>
      <c r="AFD4" s="15"/>
      <c r="AFE4" s="15"/>
      <c r="AFF4" s="15"/>
      <c r="AFG4" s="15"/>
      <c r="AFH4" s="15"/>
      <c r="AFI4" s="15"/>
      <c r="AFJ4" s="15"/>
      <c r="AFK4" s="15"/>
      <c r="AFL4" s="15"/>
      <c r="AFM4" s="15"/>
      <c r="AFN4" s="15"/>
      <c r="AFO4" s="15"/>
      <c r="AFP4" s="15"/>
      <c r="AFQ4" s="15"/>
      <c r="AFR4" s="15"/>
      <c r="AFS4" s="15"/>
      <c r="AFT4" s="15"/>
      <c r="AFU4" s="15"/>
      <c r="AFV4" s="15"/>
      <c r="AFW4" s="15"/>
      <c r="AFX4" s="15"/>
      <c r="AFY4" s="15"/>
      <c r="AFZ4" s="15"/>
      <c r="AGA4" s="15"/>
      <c r="AGB4" s="15"/>
      <c r="AGC4" s="15"/>
      <c r="AGD4" s="15"/>
      <c r="AGE4" s="15"/>
      <c r="AGF4" s="15"/>
      <c r="AGG4" s="15"/>
      <c r="AGH4" s="15"/>
      <c r="AGI4" s="15"/>
      <c r="AGJ4" s="15"/>
      <c r="AGK4" s="15"/>
      <c r="AGL4" s="15"/>
      <c r="AGM4" s="15"/>
      <c r="AGN4" s="15"/>
      <c r="AGO4" s="15"/>
      <c r="AGP4" s="15"/>
      <c r="AGQ4" s="15"/>
      <c r="AGR4" s="15"/>
      <c r="AGS4" s="15"/>
      <c r="AGT4" s="15"/>
      <c r="AGU4" s="15"/>
      <c r="AGV4" s="15"/>
      <c r="AGW4" s="15"/>
      <c r="AGX4" s="15"/>
      <c r="AGY4" s="15"/>
      <c r="AGZ4" s="15"/>
      <c r="AHA4" s="15"/>
      <c r="AHB4" s="15"/>
      <c r="AHC4" s="15"/>
      <c r="AHD4" s="15"/>
      <c r="AHE4" s="15"/>
      <c r="AHF4" s="15"/>
      <c r="AHG4" s="15"/>
      <c r="AHH4" s="15"/>
      <c r="AHI4" s="15"/>
      <c r="AHJ4" s="15"/>
      <c r="AHK4" s="15"/>
      <c r="AHL4" s="15"/>
      <c r="AHM4" s="15"/>
      <c r="AHN4" s="15"/>
      <c r="AHO4" s="15"/>
      <c r="AHP4" s="15"/>
      <c r="AHQ4" s="15"/>
      <c r="AHR4" s="15"/>
      <c r="AHS4" s="15"/>
      <c r="AHT4" s="15"/>
      <c r="AHU4" s="15"/>
      <c r="AHV4" s="15"/>
      <c r="AHW4" s="15"/>
      <c r="AHX4" s="15"/>
      <c r="AHY4" s="15"/>
      <c r="AHZ4" s="15"/>
      <c r="AIA4" s="15"/>
      <c r="AIB4" s="15"/>
      <c r="AIC4" s="15"/>
      <c r="AID4" s="15"/>
      <c r="AIE4" s="15"/>
      <c r="AIF4" s="15"/>
      <c r="AIG4" s="15"/>
      <c r="AIH4" s="15"/>
      <c r="AII4" s="15"/>
      <c r="AIJ4" s="15"/>
      <c r="AIK4" s="15"/>
      <c r="AIL4" s="15"/>
      <c r="AIM4" s="15"/>
      <c r="AIN4" s="15"/>
      <c r="AIO4" s="15"/>
      <c r="AIP4" s="15"/>
      <c r="AIQ4" s="15"/>
      <c r="AIR4" s="15"/>
      <c r="AIS4" s="15"/>
      <c r="AIT4" s="15"/>
      <c r="AIU4" s="15"/>
      <c r="AIV4" s="15"/>
      <c r="AIW4" s="15"/>
      <c r="AIX4" s="15"/>
      <c r="AIY4" s="15"/>
      <c r="AIZ4" s="15"/>
      <c r="AJA4" s="15"/>
      <c r="AJB4" s="15"/>
      <c r="AJC4" s="15"/>
      <c r="AJD4" s="15"/>
      <c r="AJE4" s="15"/>
      <c r="AJF4" s="15"/>
      <c r="AJG4" s="15"/>
      <c r="AJH4" s="15"/>
      <c r="AJI4" s="15"/>
      <c r="AJJ4" s="15"/>
      <c r="AJK4" s="15"/>
      <c r="AJL4" s="15"/>
      <c r="AJM4" s="15"/>
      <c r="AJN4" s="15"/>
      <c r="AJO4" s="15"/>
      <c r="AJP4" s="15"/>
      <c r="AJQ4" s="15"/>
      <c r="AJR4" s="15"/>
      <c r="AJS4" s="15"/>
      <c r="AJT4" s="15"/>
      <c r="AJU4" s="15"/>
      <c r="AJV4" s="15"/>
      <c r="AJW4" s="15"/>
      <c r="AJX4" s="15"/>
      <c r="AJY4" s="15"/>
      <c r="AJZ4" s="15"/>
      <c r="AKA4" s="15"/>
      <c r="AKB4" s="15"/>
      <c r="AKC4" s="15"/>
      <c r="AKD4" s="15"/>
      <c r="AKE4" s="15"/>
      <c r="AKF4" s="15"/>
      <c r="AKG4" s="15"/>
      <c r="AKH4" s="15"/>
      <c r="AKI4" s="15"/>
      <c r="AKJ4" s="15"/>
      <c r="AKK4" s="15"/>
      <c r="AKL4" s="15"/>
      <c r="AKM4" s="15"/>
      <c r="AKN4" s="15"/>
      <c r="AKO4" s="15"/>
      <c r="AKP4" s="15"/>
      <c r="AKQ4" s="15"/>
      <c r="AKR4" s="15"/>
      <c r="AKS4" s="15"/>
      <c r="AKT4" s="15"/>
      <c r="AKU4" s="15"/>
      <c r="AKV4" s="15"/>
      <c r="AKW4" s="15"/>
      <c r="AKX4" s="15"/>
      <c r="AKY4" s="15"/>
      <c r="AKZ4" s="15"/>
      <c r="ALA4" s="15"/>
      <c r="ALB4" s="15"/>
      <c r="ALC4" s="15"/>
      <c r="ALD4" s="15"/>
      <c r="ALE4" s="15"/>
      <c r="ALF4" s="15"/>
      <c r="ALG4" s="15"/>
      <c r="ALH4" s="15"/>
      <c r="ALI4" s="15"/>
      <c r="ALJ4" s="15"/>
      <c r="ALK4" s="15"/>
      <c r="ALL4" s="15"/>
      <c r="ALM4" s="15"/>
      <c r="ALN4" s="15"/>
      <c r="ALO4" s="15"/>
      <c r="ALP4" s="15"/>
      <c r="ALQ4" s="15"/>
      <c r="ALR4" s="15"/>
      <c r="ALS4" s="15"/>
      <c r="ALT4" s="15"/>
      <c r="ALU4" s="15"/>
      <c r="ALV4" s="15"/>
      <c r="ALW4" s="15"/>
      <c r="ALX4" s="15"/>
      <c r="ALY4" s="15"/>
      <c r="ALZ4" s="15"/>
      <c r="AMA4" s="15"/>
      <c r="AMB4" s="15"/>
      <c r="AMC4" s="15"/>
      <c r="AMD4" s="15"/>
      <c r="AME4" s="15"/>
      <c r="AMF4" s="15"/>
      <c r="AMG4" s="14"/>
    </row>
    <row r="5" spans="1:1021" s="13" customFormat="1" ht="29" hidden="1" x14ac:dyDescent="0.35">
      <c r="A5" s="19">
        <v>43643</v>
      </c>
      <c r="B5" s="29" t="s">
        <v>508</v>
      </c>
      <c r="C5" s="29" t="s">
        <v>507</v>
      </c>
      <c r="D5" s="30">
        <v>43647</v>
      </c>
      <c r="E5" s="29" t="s">
        <v>506</v>
      </c>
      <c r="F5" s="31">
        <v>0.58333333333333304</v>
      </c>
      <c r="G5" s="31">
        <v>0.66666666666666696</v>
      </c>
      <c r="H5" s="31">
        <v>0.75</v>
      </c>
      <c r="I5" s="17">
        <v>390</v>
      </c>
      <c r="J5" s="17" t="s">
        <v>257</v>
      </c>
      <c r="K5" s="17" t="s">
        <v>119</v>
      </c>
      <c r="L5" s="16" t="s">
        <v>22</v>
      </c>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15"/>
      <c r="CR5" s="15"/>
      <c r="CS5" s="15"/>
      <c r="CT5" s="15"/>
      <c r="CU5" s="15"/>
      <c r="CV5" s="15"/>
      <c r="CW5" s="15"/>
      <c r="CX5" s="15"/>
      <c r="CY5" s="15"/>
      <c r="CZ5" s="15"/>
      <c r="DA5" s="15"/>
      <c r="DB5" s="15"/>
      <c r="DC5" s="15"/>
      <c r="DD5" s="15"/>
      <c r="DE5" s="15"/>
      <c r="DF5" s="15"/>
      <c r="DG5" s="15"/>
      <c r="DH5" s="15"/>
      <c r="DI5" s="15"/>
      <c r="DJ5" s="15"/>
      <c r="DK5" s="15"/>
      <c r="DL5" s="15"/>
      <c r="DM5" s="15"/>
      <c r="DN5" s="15"/>
      <c r="DO5" s="15"/>
      <c r="DP5" s="15"/>
      <c r="DQ5" s="15"/>
      <c r="DR5" s="15"/>
      <c r="DS5" s="15"/>
      <c r="DT5" s="15"/>
      <c r="DU5" s="15"/>
      <c r="DV5" s="15"/>
      <c r="DW5" s="15"/>
      <c r="DX5" s="15"/>
      <c r="DY5" s="15"/>
      <c r="DZ5" s="15"/>
      <c r="EA5" s="15"/>
      <c r="EB5" s="15"/>
      <c r="EC5" s="15"/>
      <c r="ED5" s="15"/>
      <c r="EE5" s="15"/>
      <c r="EF5" s="15"/>
      <c r="EG5" s="15"/>
      <c r="EH5" s="15"/>
      <c r="EI5" s="15"/>
      <c r="EJ5" s="15"/>
      <c r="EK5" s="15"/>
      <c r="EL5" s="15"/>
      <c r="EM5" s="15"/>
      <c r="EN5" s="15"/>
      <c r="EO5" s="15"/>
      <c r="EP5" s="15"/>
      <c r="EQ5" s="15"/>
      <c r="ER5" s="15"/>
      <c r="ES5" s="15"/>
      <c r="ET5" s="15"/>
      <c r="EU5" s="15"/>
      <c r="EV5" s="15"/>
      <c r="EW5" s="15"/>
      <c r="EX5" s="15"/>
      <c r="EY5" s="15"/>
      <c r="EZ5" s="15"/>
      <c r="FA5" s="15"/>
      <c r="FB5" s="15"/>
      <c r="FC5" s="15"/>
      <c r="FD5" s="15"/>
      <c r="FE5" s="15"/>
      <c r="FF5" s="15"/>
      <c r="FG5" s="15"/>
      <c r="FH5" s="15"/>
      <c r="FI5" s="15"/>
      <c r="FJ5" s="15"/>
      <c r="FK5" s="15"/>
      <c r="FL5" s="15"/>
      <c r="FM5" s="15"/>
      <c r="FN5" s="15"/>
      <c r="FO5" s="15"/>
      <c r="FP5" s="15"/>
      <c r="FQ5" s="15"/>
      <c r="FR5" s="15"/>
      <c r="FS5" s="15"/>
      <c r="FT5" s="15"/>
      <c r="FU5" s="15"/>
      <c r="FV5" s="15"/>
      <c r="FW5" s="15"/>
      <c r="FX5" s="15"/>
      <c r="FY5" s="15"/>
      <c r="FZ5" s="15"/>
      <c r="GA5" s="15"/>
      <c r="GB5" s="15"/>
      <c r="GC5" s="15"/>
      <c r="GD5" s="15"/>
      <c r="GE5" s="15"/>
      <c r="GF5" s="15"/>
      <c r="GG5" s="15"/>
      <c r="GH5" s="15"/>
      <c r="GI5" s="15"/>
      <c r="GJ5" s="15"/>
      <c r="GK5" s="15"/>
      <c r="GL5" s="15"/>
      <c r="GM5" s="15"/>
      <c r="GN5" s="15"/>
      <c r="GO5" s="15"/>
      <c r="GP5" s="15"/>
      <c r="GQ5" s="15"/>
      <c r="GR5" s="15"/>
      <c r="GS5" s="15"/>
      <c r="GT5" s="15"/>
      <c r="GU5" s="15"/>
      <c r="GV5" s="15"/>
      <c r="GW5" s="15"/>
      <c r="GX5" s="15"/>
      <c r="GY5" s="15"/>
      <c r="GZ5" s="15"/>
      <c r="HA5" s="15"/>
      <c r="HB5" s="15"/>
      <c r="HC5" s="15"/>
      <c r="HD5" s="15"/>
      <c r="HE5" s="15"/>
      <c r="HF5" s="15"/>
      <c r="HG5" s="15"/>
      <c r="HH5" s="15"/>
      <c r="HI5" s="15"/>
      <c r="HJ5" s="15"/>
      <c r="HK5" s="15"/>
      <c r="HL5" s="15"/>
      <c r="HM5" s="15"/>
      <c r="HN5" s="15"/>
      <c r="HO5" s="15"/>
      <c r="HP5" s="15"/>
      <c r="HQ5" s="15"/>
      <c r="HR5" s="15"/>
      <c r="HS5" s="15"/>
      <c r="HT5" s="15"/>
      <c r="HU5" s="15"/>
      <c r="HV5" s="15"/>
      <c r="HW5" s="15"/>
      <c r="HX5" s="15"/>
      <c r="HY5" s="15"/>
      <c r="HZ5" s="15"/>
      <c r="IA5" s="15"/>
      <c r="IB5" s="15"/>
      <c r="IC5" s="15"/>
      <c r="ID5" s="15"/>
      <c r="IE5" s="15"/>
      <c r="IF5" s="15"/>
      <c r="IG5" s="15"/>
      <c r="IH5" s="15"/>
      <c r="II5" s="15"/>
      <c r="IJ5" s="15"/>
      <c r="IK5" s="15"/>
      <c r="IL5" s="15"/>
      <c r="IM5" s="15"/>
      <c r="IN5" s="15"/>
      <c r="IO5" s="15"/>
      <c r="IP5" s="15"/>
      <c r="IQ5" s="15"/>
      <c r="IR5" s="15"/>
      <c r="IS5" s="15"/>
      <c r="IT5" s="15"/>
      <c r="IU5" s="15"/>
      <c r="IV5" s="15"/>
      <c r="IW5" s="15"/>
      <c r="IX5" s="15"/>
      <c r="IY5" s="15"/>
      <c r="IZ5" s="15"/>
      <c r="JA5" s="15"/>
      <c r="JB5" s="15"/>
      <c r="JC5" s="15"/>
      <c r="JD5" s="15"/>
      <c r="JE5" s="15"/>
      <c r="JF5" s="15"/>
      <c r="JG5" s="15"/>
      <c r="JH5" s="15"/>
      <c r="JI5" s="15"/>
      <c r="JJ5" s="15"/>
      <c r="JK5" s="15"/>
      <c r="JL5" s="15"/>
      <c r="JM5" s="15"/>
      <c r="JN5" s="15"/>
      <c r="JO5" s="15"/>
      <c r="JP5" s="15"/>
      <c r="JQ5" s="15"/>
      <c r="JR5" s="15"/>
      <c r="JS5" s="15"/>
      <c r="JT5" s="15"/>
      <c r="JU5" s="15"/>
      <c r="JV5" s="15"/>
      <c r="JW5" s="15"/>
      <c r="JX5" s="15"/>
      <c r="JY5" s="15"/>
      <c r="JZ5" s="15"/>
      <c r="KA5" s="15"/>
      <c r="KB5" s="15"/>
      <c r="KC5" s="15"/>
      <c r="KD5" s="15"/>
      <c r="KE5" s="15"/>
      <c r="KF5" s="15"/>
      <c r="KG5" s="15"/>
      <c r="KH5" s="15"/>
      <c r="KI5" s="15"/>
      <c r="KJ5" s="15"/>
      <c r="KK5" s="15"/>
      <c r="KL5" s="15"/>
      <c r="KM5" s="15"/>
      <c r="KN5" s="15"/>
      <c r="KO5" s="15"/>
      <c r="KP5" s="15"/>
      <c r="KQ5" s="15"/>
      <c r="KR5" s="15"/>
      <c r="KS5" s="15"/>
      <c r="KT5" s="15"/>
      <c r="KU5" s="15"/>
      <c r="KV5" s="15"/>
      <c r="KW5" s="15"/>
      <c r="KX5" s="15"/>
      <c r="KY5" s="15"/>
      <c r="KZ5" s="15"/>
      <c r="LA5" s="15"/>
      <c r="LB5" s="15"/>
      <c r="LC5" s="15"/>
      <c r="LD5" s="15"/>
      <c r="LE5" s="15"/>
      <c r="LF5" s="15"/>
      <c r="LG5" s="15"/>
      <c r="LH5" s="15"/>
      <c r="LI5" s="15"/>
      <c r="LJ5" s="15"/>
      <c r="LK5" s="15"/>
      <c r="LL5" s="15"/>
      <c r="LM5" s="15"/>
      <c r="LN5" s="15"/>
      <c r="LO5" s="15"/>
      <c r="LP5" s="15"/>
      <c r="LQ5" s="15"/>
      <c r="LR5" s="15"/>
      <c r="LS5" s="15"/>
      <c r="LT5" s="15"/>
      <c r="LU5" s="15"/>
      <c r="LV5" s="15"/>
      <c r="LW5" s="15"/>
      <c r="LX5" s="15"/>
      <c r="LY5" s="15"/>
      <c r="LZ5" s="15"/>
      <c r="MA5" s="15"/>
      <c r="MB5" s="15"/>
      <c r="MC5" s="15"/>
      <c r="MD5" s="15"/>
      <c r="ME5" s="15"/>
      <c r="MF5" s="15"/>
      <c r="MG5" s="15"/>
      <c r="MH5" s="15"/>
      <c r="MI5" s="15"/>
      <c r="MJ5" s="15"/>
      <c r="MK5" s="15"/>
      <c r="ML5" s="15"/>
      <c r="MM5" s="15"/>
      <c r="MN5" s="15"/>
      <c r="MO5" s="15"/>
      <c r="MP5" s="15"/>
      <c r="MQ5" s="15"/>
      <c r="MR5" s="15"/>
      <c r="MS5" s="15"/>
      <c r="MT5" s="15"/>
      <c r="MU5" s="15"/>
      <c r="MV5" s="15"/>
      <c r="MW5" s="15"/>
      <c r="MX5" s="15"/>
      <c r="MY5" s="15"/>
      <c r="MZ5" s="15"/>
      <c r="NA5" s="15"/>
      <c r="NB5" s="15"/>
      <c r="NC5" s="15"/>
      <c r="ND5" s="15"/>
      <c r="NE5" s="15"/>
      <c r="NF5" s="15"/>
      <c r="NG5" s="15"/>
      <c r="NH5" s="15"/>
      <c r="NI5" s="15"/>
      <c r="NJ5" s="15"/>
      <c r="NK5" s="15"/>
      <c r="NL5" s="15"/>
      <c r="NM5" s="15"/>
      <c r="NN5" s="15"/>
      <c r="NO5" s="15"/>
      <c r="NP5" s="15"/>
      <c r="NQ5" s="15"/>
      <c r="NR5" s="15"/>
      <c r="NS5" s="15"/>
      <c r="NT5" s="15"/>
      <c r="NU5" s="15"/>
      <c r="NV5" s="15"/>
      <c r="NW5" s="15"/>
      <c r="NX5" s="15"/>
      <c r="NY5" s="15"/>
      <c r="NZ5" s="15"/>
      <c r="OA5" s="15"/>
      <c r="OB5" s="15"/>
      <c r="OC5" s="15"/>
      <c r="OD5" s="15"/>
      <c r="OE5" s="15"/>
      <c r="OF5" s="15"/>
      <c r="OG5" s="15"/>
      <c r="OH5" s="15"/>
      <c r="OI5" s="15"/>
      <c r="OJ5" s="15"/>
      <c r="OK5" s="15"/>
      <c r="OL5" s="15"/>
      <c r="OM5" s="15"/>
      <c r="ON5" s="15"/>
      <c r="OO5" s="15"/>
      <c r="OP5" s="15"/>
      <c r="OQ5" s="15"/>
      <c r="OR5" s="15"/>
      <c r="OS5" s="15"/>
      <c r="OT5" s="15"/>
      <c r="OU5" s="15"/>
      <c r="OV5" s="15"/>
      <c r="OW5" s="15"/>
      <c r="OX5" s="15"/>
      <c r="OY5" s="15"/>
      <c r="OZ5" s="15"/>
      <c r="PA5" s="15"/>
      <c r="PB5" s="15"/>
      <c r="PC5" s="15"/>
      <c r="PD5" s="15"/>
      <c r="PE5" s="15"/>
      <c r="PF5" s="15"/>
      <c r="PG5" s="15"/>
      <c r="PH5" s="15"/>
      <c r="PI5" s="15"/>
      <c r="PJ5" s="15"/>
      <c r="PK5" s="15"/>
      <c r="PL5" s="15"/>
      <c r="PM5" s="15"/>
      <c r="PN5" s="15"/>
      <c r="PO5" s="15"/>
      <c r="PP5" s="15"/>
      <c r="PQ5" s="15"/>
      <c r="PR5" s="15"/>
      <c r="PS5" s="15"/>
      <c r="PT5" s="15"/>
      <c r="PU5" s="15"/>
      <c r="PV5" s="15"/>
      <c r="PW5" s="15"/>
      <c r="PX5" s="15"/>
      <c r="PY5" s="15"/>
      <c r="PZ5" s="15"/>
      <c r="QA5" s="15"/>
      <c r="QB5" s="15"/>
      <c r="QC5" s="15"/>
      <c r="QD5" s="15"/>
      <c r="QE5" s="15"/>
      <c r="QF5" s="15"/>
      <c r="QG5" s="15"/>
      <c r="QH5" s="15"/>
      <c r="QI5" s="15"/>
      <c r="QJ5" s="15"/>
      <c r="QK5" s="15"/>
      <c r="QL5" s="15"/>
      <c r="QM5" s="15"/>
      <c r="QN5" s="15"/>
      <c r="QO5" s="15"/>
      <c r="QP5" s="15"/>
      <c r="QQ5" s="15"/>
      <c r="QR5" s="15"/>
      <c r="QS5" s="15"/>
      <c r="QT5" s="15"/>
      <c r="QU5" s="15"/>
      <c r="QV5" s="15"/>
      <c r="QW5" s="15"/>
      <c r="QX5" s="15"/>
      <c r="QY5" s="15"/>
      <c r="QZ5" s="15"/>
      <c r="RA5" s="15"/>
      <c r="RB5" s="15"/>
      <c r="RC5" s="15"/>
      <c r="RD5" s="15"/>
      <c r="RE5" s="15"/>
      <c r="RF5" s="15"/>
      <c r="RG5" s="15"/>
      <c r="RH5" s="15"/>
      <c r="RI5" s="15"/>
      <c r="RJ5" s="15"/>
      <c r="RK5" s="15"/>
      <c r="RL5" s="15"/>
      <c r="RM5" s="15"/>
      <c r="RN5" s="15"/>
      <c r="RO5" s="15"/>
      <c r="RP5" s="15"/>
      <c r="RQ5" s="15"/>
      <c r="RR5" s="15"/>
      <c r="RS5" s="15"/>
      <c r="RT5" s="15"/>
      <c r="RU5" s="15"/>
      <c r="RV5" s="15"/>
      <c r="RW5" s="15"/>
      <c r="RX5" s="15"/>
      <c r="RY5" s="15"/>
      <c r="RZ5" s="15"/>
      <c r="SA5" s="15"/>
      <c r="SB5" s="15"/>
      <c r="SC5" s="15"/>
      <c r="SD5" s="15"/>
      <c r="SE5" s="15"/>
      <c r="SF5" s="15"/>
      <c r="SG5" s="15"/>
      <c r="SH5" s="15"/>
      <c r="SI5" s="15"/>
      <c r="SJ5" s="15"/>
      <c r="SK5" s="15"/>
      <c r="SL5" s="15"/>
      <c r="SM5" s="15"/>
      <c r="SN5" s="15"/>
      <c r="SO5" s="15"/>
      <c r="SP5" s="15"/>
      <c r="SQ5" s="15"/>
      <c r="SR5" s="15"/>
      <c r="SS5" s="15"/>
      <c r="ST5" s="15"/>
      <c r="SU5" s="15"/>
      <c r="SV5" s="15"/>
      <c r="SW5" s="15"/>
      <c r="SX5" s="15"/>
      <c r="SY5" s="15"/>
      <c r="SZ5" s="15"/>
      <c r="TA5" s="15"/>
      <c r="TB5" s="15"/>
      <c r="TC5" s="15"/>
      <c r="TD5" s="15"/>
      <c r="TE5" s="15"/>
      <c r="TF5" s="15"/>
      <c r="TG5" s="15"/>
      <c r="TH5" s="15"/>
      <c r="TI5" s="15"/>
      <c r="TJ5" s="15"/>
      <c r="TK5" s="15"/>
      <c r="TL5" s="15"/>
      <c r="TM5" s="15"/>
      <c r="TN5" s="15"/>
      <c r="TO5" s="15"/>
      <c r="TP5" s="15"/>
      <c r="TQ5" s="15"/>
      <c r="TR5" s="15"/>
      <c r="TS5" s="15"/>
      <c r="TT5" s="15"/>
      <c r="TU5" s="15"/>
      <c r="TV5" s="15"/>
      <c r="TW5" s="15"/>
      <c r="TX5" s="15"/>
      <c r="TY5" s="15"/>
      <c r="TZ5" s="15"/>
      <c r="UA5" s="15"/>
      <c r="UB5" s="15"/>
      <c r="UC5" s="15"/>
      <c r="UD5" s="15"/>
      <c r="UE5" s="15"/>
      <c r="UF5" s="15"/>
      <c r="UG5" s="15"/>
      <c r="UH5" s="15"/>
      <c r="UI5" s="15"/>
      <c r="UJ5" s="15"/>
      <c r="UK5" s="15"/>
      <c r="UL5" s="15"/>
      <c r="UM5" s="15"/>
      <c r="UN5" s="15"/>
      <c r="UO5" s="15"/>
      <c r="UP5" s="15"/>
      <c r="UQ5" s="15"/>
      <c r="UR5" s="15"/>
      <c r="US5" s="15"/>
      <c r="UT5" s="15"/>
      <c r="UU5" s="15"/>
      <c r="UV5" s="15"/>
      <c r="UW5" s="15"/>
      <c r="UX5" s="15"/>
      <c r="UY5" s="15"/>
      <c r="UZ5" s="15"/>
      <c r="VA5" s="15"/>
      <c r="VB5" s="15"/>
      <c r="VC5" s="15"/>
      <c r="VD5" s="15"/>
      <c r="VE5" s="15"/>
      <c r="VF5" s="15"/>
      <c r="VG5" s="15"/>
      <c r="VH5" s="15"/>
      <c r="VI5" s="15"/>
      <c r="VJ5" s="15"/>
      <c r="VK5" s="15"/>
      <c r="VL5" s="15"/>
      <c r="VM5" s="15"/>
      <c r="VN5" s="15"/>
      <c r="VO5" s="15"/>
      <c r="VP5" s="15"/>
      <c r="VQ5" s="15"/>
      <c r="VR5" s="15"/>
      <c r="VS5" s="15"/>
      <c r="VT5" s="15"/>
      <c r="VU5" s="15"/>
      <c r="VV5" s="15"/>
      <c r="VW5" s="15"/>
      <c r="VX5" s="15"/>
      <c r="VY5" s="15"/>
      <c r="VZ5" s="15"/>
      <c r="WA5" s="15"/>
      <c r="WB5" s="15"/>
      <c r="WC5" s="15"/>
      <c r="WD5" s="15"/>
      <c r="WE5" s="15"/>
      <c r="WF5" s="15"/>
      <c r="WG5" s="15"/>
      <c r="WH5" s="15"/>
      <c r="WI5" s="15"/>
      <c r="WJ5" s="15"/>
      <c r="WK5" s="15"/>
      <c r="WL5" s="15"/>
      <c r="WM5" s="15"/>
      <c r="WN5" s="15"/>
      <c r="WO5" s="15"/>
      <c r="WP5" s="15"/>
      <c r="WQ5" s="15"/>
      <c r="WR5" s="15"/>
      <c r="WS5" s="15"/>
      <c r="WT5" s="15"/>
      <c r="WU5" s="15"/>
      <c r="WV5" s="15"/>
      <c r="WW5" s="15"/>
      <c r="WX5" s="15"/>
      <c r="WY5" s="15"/>
      <c r="WZ5" s="15"/>
      <c r="XA5" s="15"/>
      <c r="XB5" s="15"/>
      <c r="XC5" s="15"/>
      <c r="XD5" s="15"/>
      <c r="XE5" s="15"/>
      <c r="XF5" s="15"/>
      <c r="XG5" s="15"/>
      <c r="XH5" s="15"/>
      <c r="XI5" s="15"/>
      <c r="XJ5" s="15"/>
      <c r="XK5" s="15"/>
      <c r="XL5" s="15"/>
      <c r="XM5" s="15"/>
      <c r="XN5" s="15"/>
      <c r="XO5" s="15"/>
      <c r="XP5" s="15"/>
      <c r="XQ5" s="15"/>
      <c r="XR5" s="15"/>
      <c r="XS5" s="15"/>
      <c r="XT5" s="15"/>
      <c r="XU5" s="15"/>
      <c r="XV5" s="15"/>
      <c r="XW5" s="15"/>
      <c r="XX5" s="15"/>
      <c r="XY5" s="15"/>
      <c r="XZ5" s="15"/>
      <c r="YA5" s="15"/>
      <c r="YB5" s="15"/>
      <c r="YC5" s="15"/>
      <c r="YD5" s="15"/>
      <c r="YE5" s="15"/>
      <c r="YF5" s="15"/>
      <c r="YG5" s="15"/>
      <c r="YH5" s="15"/>
      <c r="YI5" s="15"/>
      <c r="YJ5" s="15"/>
      <c r="YK5" s="15"/>
      <c r="YL5" s="15"/>
      <c r="YM5" s="15"/>
      <c r="YN5" s="15"/>
      <c r="YO5" s="15"/>
      <c r="YP5" s="15"/>
      <c r="YQ5" s="15"/>
      <c r="YR5" s="15"/>
      <c r="YS5" s="15"/>
      <c r="YT5" s="15"/>
      <c r="YU5" s="15"/>
      <c r="YV5" s="15"/>
      <c r="YW5" s="15"/>
      <c r="YX5" s="15"/>
      <c r="YY5" s="15"/>
      <c r="YZ5" s="15"/>
      <c r="ZA5" s="15"/>
      <c r="ZB5" s="15"/>
      <c r="ZC5" s="15"/>
      <c r="ZD5" s="15"/>
      <c r="ZE5" s="15"/>
      <c r="ZF5" s="15"/>
      <c r="ZG5" s="15"/>
      <c r="ZH5" s="15"/>
      <c r="ZI5" s="15"/>
      <c r="ZJ5" s="15"/>
      <c r="ZK5" s="15"/>
      <c r="ZL5" s="15"/>
      <c r="ZM5" s="15"/>
      <c r="ZN5" s="15"/>
      <c r="ZO5" s="15"/>
      <c r="ZP5" s="15"/>
      <c r="ZQ5" s="15"/>
      <c r="ZR5" s="15"/>
      <c r="ZS5" s="15"/>
      <c r="ZT5" s="15"/>
      <c r="ZU5" s="15"/>
      <c r="ZV5" s="15"/>
      <c r="ZW5" s="15"/>
      <c r="ZX5" s="15"/>
      <c r="ZY5" s="15"/>
      <c r="ZZ5" s="15"/>
      <c r="AAA5" s="15"/>
      <c r="AAB5" s="15"/>
      <c r="AAC5" s="15"/>
      <c r="AAD5" s="15"/>
      <c r="AAE5" s="15"/>
      <c r="AAF5" s="15"/>
      <c r="AAG5" s="15"/>
      <c r="AAH5" s="15"/>
      <c r="AAI5" s="15"/>
      <c r="AAJ5" s="15"/>
      <c r="AAK5" s="15"/>
      <c r="AAL5" s="15"/>
      <c r="AAM5" s="15"/>
      <c r="AAN5" s="15"/>
      <c r="AAO5" s="15"/>
      <c r="AAP5" s="15"/>
      <c r="AAQ5" s="15"/>
      <c r="AAR5" s="15"/>
      <c r="AAS5" s="15"/>
      <c r="AAT5" s="15"/>
      <c r="AAU5" s="15"/>
      <c r="AAV5" s="15"/>
      <c r="AAW5" s="15"/>
      <c r="AAX5" s="15"/>
      <c r="AAY5" s="15"/>
      <c r="AAZ5" s="15"/>
      <c r="ABA5" s="15"/>
      <c r="ABB5" s="15"/>
      <c r="ABC5" s="15"/>
      <c r="ABD5" s="15"/>
      <c r="ABE5" s="15"/>
      <c r="ABF5" s="15"/>
      <c r="ABG5" s="15"/>
      <c r="ABH5" s="15"/>
      <c r="ABI5" s="15"/>
      <c r="ABJ5" s="15"/>
      <c r="ABK5" s="15"/>
      <c r="ABL5" s="15"/>
      <c r="ABM5" s="15"/>
      <c r="ABN5" s="15"/>
      <c r="ABO5" s="15"/>
      <c r="ABP5" s="15"/>
      <c r="ABQ5" s="15"/>
      <c r="ABR5" s="15"/>
      <c r="ABS5" s="15"/>
      <c r="ABT5" s="15"/>
      <c r="ABU5" s="15"/>
      <c r="ABV5" s="15"/>
      <c r="ABW5" s="15"/>
      <c r="ABX5" s="15"/>
      <c r="ABY5" s="15"/>
      <c r="ABZ5" s="15"/>
      <c r="ACA5" s="15"/>
      <c r="ACB5" s="15"/>
      <c r="ACC5" s="15"/>
      <c r="ACD5" s="15"/>
      <c r="ACE5" s="15"/>
      <c r="ACF5" s="15"/>
      <c r="ACG5" s="15"/>
      <c r="ACH5" s="15"/>
      <c r="ACI5" s="15"/>
      <c r="ACJ5" s="15"/>
      <c r="ACK5" s="15"/>
      <c r="ACL5" s="15"/>
      <c r="ACM5" s="15"/>
      <c r="ACN5" s="15"/>
      <c r="ACO5" s="15"/>
      <c r="ACP5" s="15"/>
      <c r="ACQ5" s="15"/>
      <c r="ACR5" s="15"/>
      <c r="ACS5" s="15"/>
      <c r="ACT5" s="15"/>
      <c r="ACU5" s="15"/>
      <c r="ACV5" s="15"/>
      <c r="ACW5" s="15"/>
      <c r="ACX5" s="15"/>
      <c r="ACY5" s="15"/>
      <c r="ACZ5" s="15"/>
      <c r="ADA5" s="15"/>
      <c r="ADB5" s="15"/>
      <c r="ADC5" s="15"/>
      <c r="ADD5" s="15"/>
      <c r="ADE5" s="15"/>
      <c r="ADF5" s="15"/>
      <c r="ADG5" s="15"/>
      <c r="ADH5" s="15"/>
      <c r="ADI5" s="15"/>
      <c r="ADJ5" s="15"/>
      <c r="ADK5" s="15"/>
      <c r="ADL5" s="15"/>
      <c r="ADM5" s="15"/>
      <c r="ADN5" s="15"/>
      <c r="ADO5" s="15"/>
      <c r="ADP5" s="15"/>
      <c r="ADQ5" s="15"/>
      <c r="ADR5" s="15"/>
      <c r="ADS5" s="15"/>
      <c r="ADT5" s="15"/>
      <c r="ADU5" s="15"/>
      <c r="ADV5" s="15"/>
      <c r="ADW5" s="15"/>
      <c r="ADX5" s="15"/>
      <c r="ADY5" s="15"/>
      <c r="ADZ5" s="15"/>
      <c r="AEA5" s="15"/>
      <c r="AEB5" s="15"/>
      <c r="AEC5" s="15"/>
      <c r="AED5" s="15"/>
      <c r="AEE5" s="15"/>
      <c r="AEF5" s="15"/>
      <c r="AEG5" s="15"/>
      <c r="AEH5" s="15"/>
      <c r="AEI5" s="15"/>
      <c r="AEJ5" s="15"/>
      <c r="AEK5" s="15"/>
      <c r="AEL5" s="15"/>
      <c r="AEM5" s="15"/>
      <c r="AEN5" s="15"/>
      <c r="AEO5" s="15"/>
      <c r="AEP5" s="15"/>
      <c r="AEQ5" s="15"/>
      <c r="AER5" s="15"/>
      <c r="AES5" s="15"/>
      <c r="AET5" s="15"/>
      <c r="AEU5" s="15"/>
      <c r="AEV5" s="15"/>
      <c r="AEW5" s="15"/>
      <c r="AEX5" s="15"/>
      <c r="AEY5" s="15"/>
      <c r="AEZ5" s="15"/>
      <c r="AFA5" s="15"/>
      <c r="AFB5" s="15"/>
      <c r="AFC5" s="15"/>
      <c r="AFD5" s="15"/>
      <c r="AFE5" s="15"/>
      <c r="AFF5" s="15"/>
      <c r="AFG5" s="15"/>
      <c r="AFH5" s="15"/>
      <c r="AFI5" s="15"/>
      <c r="AFJ5" s="15"/>
      <c r="AFK5" s="15"/>
      <c r="AFL5" s="15"/>
      <c r="AFM5" s="15"/>
      <c r="AFN5" s="15"/>
      <c r="AFO5" s="15"/>
      <c r="AFP5" s="15"/>
      <c r="AFQ5" s="15"/>
      <c r="AFR5" s="15"/>
      <c r="AFS5" s="15"/>
      <c r="AFT5" s="15"/>
      <c r="AFU5" s="15"/>
      <c r="AFV5" s="15"/>
      <c r="AFW5" s="15"/>
      <c r="AFX5" s="15"/>
      <c r="AFY5" s="15"/>
      <c r="AFZ5" s="15"/>
      <c r="AGA5" s="15"/>
      <c r="AGB5" s="15"/>
      <c r="AGC5" s="15"/>
      <c r="AGD5" s="15"/>
      <c r="AGE5" s="15"/>
      <c r="AGF5" s="15"/>
      <c r="AGG5" s="15"/>
      <c r="AGH5" s="15"/>
      <c r="AGI5" s="15"/>
      <c r="AGJ5" s="15"/>
      <c r="AGK5" s="15"/>
      <c r="AGL5" s="15"/>
      <c r="AGM5" s="15"/>
      <c r="AGN5" s="15"/>
      <c r="AGO5" s="15"/>
      <c r="AGP5" s="15"/>
      <c r="AGQ5" s="15"/>
      <c r="AGR5" s="15"/>
      <c r="AGS5" s="15"/>
      <c r="AGT5" s="15"/>
      <c r="AGU5" s="15"/>
      <c r="AGV5" s="15"/>
      <c r="AGW5" s="15"/>
      <c r="AGX5" s="15"/>
      <c r="AGY5" s="15"/>
      <c r="AGZ5" s="15"/>
      <c r="AHA5" s="15"/>
      <c r="AHB5" s="15"/>
      <c r="AHC5" s="15"/>
      <c r="AHD5" s="15"/>
      <c r="AHE5" s="15"/>
      <c r="AHF5" s="15"/>
      <c r="AHG5" s="15"/>
      <c r="AHH5" s="15"/>
      <c r="AHI5" s="15"/>
      <c r="AHJ5" s="15"/>
      <c r="AHK5" s="15"/>
      <c r="AHL5" s="15"/>
      <c r="AHM5" s="15"/>
      <c r="AHN5" s="15"/>
      <c r="AHO5" s="15"/>
      <c r="AHP5" s="15"/>
      <c r="AHQ5" s="15"/>
      <c r="AHR5" s="15"/>
      <c r="AHS5" s="15"/>
      <c r="AHT5" s="15"/>
      <c r="AHU5" s="15"/>
      <c r="AHV5" s="15"/>
      <c r="AHW5" s="15"/>
      <c r="AHX5" s="15"/>
      <c r="AHY5" s="15"/>
      <c r="AHZ5" s="15"/>
      <c r="AIA5" s="15"/>
      <c r="AIB5" s="15"/>
      <c r="AIC5" s="15"/>
      <c r="AID5" s="15"/>
      <c r="AIE5" s="15"/>
      <c r="AIF5" s="15"/>
      <c r="AIG5" s="15"/>
      <c r="AIH5" s="15"/>
      <c r="AII5" s="15"/>
      <c r="AIJ5" s="15"/>
      <c r="AIK5" s="15"/>
      <c r="AIL5" s="15"/>
      <c r="AIM5" s="15"/>
      <c r="AIN5" s="15"/>
      <c r="AIO5" s="15"/>
      <c r="AIP5" s="15"/>
      <c r="AIQ5" s="15"/>
      <c r="AIR5" s="15"/>
      <c r="AIS5" s="15"/>
      <c r="AIT5" s="15"/>
      <c r="AIU5" s="15"/>
      <c r="AIV5" s="15"/>
      <c r="AIW5" s="15"/>
      <c r="AIX5" s="15"/>
      <c r="AIY5" s="15"/>
      <c r="AIZ5" s="15"/>
      <c r="AJA5" s="15"/>
      <c r="AJB5" s="15"/>
      <c r="AJC5" s="15"/>
      <c r="AJD5" s="15"/>
      <c r="AJE5" s="15"/>
      <c r="AJF5" s="15"/>
      <c r="AJG5" s="15"/>
      <c r="AJH5" s="15"/>
      <c r="AJI5" s="15"/>
      <c r="AJJ5" s="15"/>
      <c r="AJK5" s="15"/>
      <c r="AJL5" s="15"/>
      <c r="AJM5" s="15"/>
      <c r="AJN5" s="15"/>
      <c r="AJO5" s="15"/>
      <c r="AJP5" s="15"/>
      <c r="AJQ5" s="15"/>
      <c r="AJR5" s="15"/>
      <c r="AJS5" s="15"/>
      <c r="AJT5" s="15"/>
      <c r="AJU5" s="15"/>
      <c r="AJV5" s="15"/>
      <c r="AJW5" s="15"/>
      <c r="AJX5" s="15"/>
      <c r="AJY5" s="15"/>
      <c r="AJZ5" s="15"/>
      <c r="AKA5" s="15"/>
      <c r="AKB5" s="15"/>
      <c r="AKC5" s="15"/>
      <c r="AKD5" s="15"/>
      <c r="AKE5" s="15"/>
      <c r="AKF5" s="15"/>
      <c r="AKG5" s="15"/>
      <c r="AKH5" s="15"/>
      <c r="AKI5" s="15"/>
      <c r="AKJ5" s="15"/>
      <c r="AKK5" s="15"/>
      <c r="AKL5" s="15"/>
      <c r="AKM5" s="15"/>
      <c r="AKN5" s="15"/>
      <c r="AKO5" s="15"/>
      <c r="AKP5" s="15"/>
      <c r="AKQ5" s="15"/>
      <c r="AKR5" s="15"/>
      <c r="AKS5" s="15"/>
      <c r="AKT5" s="15"/>
      <c r="AKU5" s="15"/>
      <c r="AKV5" s="15"/>
      <c r="AKW5" s="15"/>
      <c r="AKX5" s="15"/>
      <c r="AKY5" s="15"/>
      <c r="AKZ5" s="15"/>
      <c r="ALA5" s="15"/>
      <c r="ALB5" s="15"/>
      <c r="ALC5" s="15"/>
      <c r="ALD5" s="15"/>
      <c r="ALE5" s="15"/>
      <c r="ALF5" s="15"/>
      <c r="ALG5" s="15"/>
      <c r="ALH5" s="15"/>
      <c r="ALI5" s="15"/>
      <c r="ALJ5" s="15"/>
      <c r="ALK5" s="15"/>
      <c r="ALL5" s="15"/>
      <c r="ALM5" s="15"/>
      <c r="ALN5" s="15"/>
      <c r="ALO5" s="15"/>
      <c r="ALP5" s="15"/>
      <c r="ALQ5" s="15"/>
      <c r="ALR5" s="15"/>
      <c r="ALS5" s="15"/>
      <c r="ALT5" s="15"/>
      <c r="ALU5" s="15"/>
      <c r="ALV5" s="15"/>
      <c r="ALW5" s="15"/>
      <c r="ALX5" s="15"/>
      <c r="ALY5" s="15"/>
      <c r="ALZ5" s="15"/>
      <c r="AMA5" s="15"/>
      <c r="AMB5" s="15"/>
      <c r="AMC5" s="15"/>
      <c r="AMD5" s="15"/>
      <c r="AME5" s="15"/>
      <c r="AMF5" s="15"/>
      <c r="AMG5" s="14"/>
    </row>
    <row r="6" spans="1:1021" s="13" customFormat="1" ht="72.5" hidden="1" x14ac:dyDescent="0.35">
      <c r="A6" s="19">
        <v>43644</v>
      </c>
      <c r="B6" s="17" t="s">
        <v>131</v>
      </c>
      <c r="C6" s="17" t="s">
        <v>505</v>
      </c>
      <c r="D6" s="18">
        <v>43648</v>
      </c>
      <c r="E6" s="17" t="s">
        <v>129</v>
      </c>
      <c r="F6" s="26">
        <v>0.5</v>
      </c>
      <c r="G6" s="26">
        <v>0.5</v>
      </c>
      <c r="H6" s="26">
        <v>0.58333333333333304</v>
      </c>
      <c r="I6" s="17">
        <v>706</v>
      </c>
      <c r="J6" s="42" t="s">
        <v>504</v>
      </c>
      <c r="K6" s="17" t="s">
        <v>140</v>
      </c>
      <c r="L6" s="16" t="s">
        <v>17</v>
      </c>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15"/>
      <c r="CR6" s="15"/>
      <c r="CS6" s="15"/>
      <c r="CT6" s="15"/>
      <c r="CU6" s="15"/>
      <c r="CV6" s="15"/>
      <c r="CW6" s="15"/>
      <c r="CX6" s="15"/>
      <c r="CY6" s="15"/>
      <c r="CZ6" s="15"/>
      <c r="DA6" s="15"/>
      <c r="DB6" s="15"/>
      <c r="DC6" s="15"/>
      <c r="DD6" s="15"/>
      <c r="DE6" s="15"/>
      <c r="DF6" s="15"/>
      <c r="DG6" s="15"/>
      <c r="DH6" s="15"/>
      <c r="DI6" s="15"/>
      <c r="DJ6" s="15"/>
      <c r="DK6" s="15"/>
      <c r="DL6" s="15"/>
      <c r="DM6" s="15"/>
      <c r="DN6" s="15"/>
      <c r="DO6" s="15"/>
      <c r="DP6" s="15"/>
      <c r="DQ6" s="15"/>
      <c r="DR6" s="15"/>
      <c r="DS6" s="15"/>
      <c r="DT6" s="15"/>
      <c r="DU6" s="15"/>
      <c r="DV6" s="15"/>
      <c r="DW6" s="15"/>
      <c r="DX6" s="15"/>
      <c r="DY6" s="15"/>
      <c r="DZ6" s="15"/>
      <c r="EA6" s="15"/>
      <c r="EB6" s="15"/>
      <c r="EC6" s="15"/>
      <c r="ED6" s="15"/>
      <c r="EE6" s="15"/>
      <c r="EF6" s="15"/>
      <c r="EG6" s="15"/>
      <c r="EH6" s="15"/>
      <c r="EI6" s="15"/>
      <c r="EJ6" s="15"/>
      <c r="EK6" s="15"/>
      <c r="EL6" s="15"/>
      <c r="EM6" s="15"/>
      <c r="EN6" s="15"/>
      <c r="EO6" s="15"/>
      <c r="EP6" s="15"/>
      <c r="EQ6" s="15"/>
      <c r="ER6" s="15"/>
      <c r="ES6" s="15"/>
      <c r="ET6" s="15"/>
      <c r="EU6" s="15"/>
      <c r="EV6" s="15"/>
      <c r="EW6" s="15"/>
      <c r="EX6" s="15"/>
      <c r="EY6" s="15"/>
      <c r="EZ6" s="15"/>
      <c r="FA6" s="15"/>
      <c r="FB6" s="15"/>
      <c r="FC6" s="15"/>
      <c r="FD6" s="15"/>
      <c r="FE6" s="15"/>
      <c r="FF6" s="15"/>
      <c r="FG6" s="15"/>
      <c r="FH6" s="15"/>
      <c r="FI6" s="15"/>
      <c r="FJ6" s="15"/>
      <c r="FK6" s="15"/>
      <c r="FL6" s="15"/>
      <c r="FM6" s="15"/>
      <c r="FN6" s="15"/>
      <c r="FO6" s="15"/>
      <c r="FP6" s="15"/>
      <c r="FQ6" s="15"/>
      <c r="FR6" s="15"/>
      <c r="FS6" s="15"/>
      <c r="FT6" s="15"/>
      <c r="FU6" s="15"/>
      <c r="FV6" s="15"/>
      <c r="FW6" s="15"/>
      <c r="FX6" s="15"/>
      <c r="FY6" s="15"/>
      <c r="FZ6" s="15"/>
      <c r="GA6" s="15"/>
      <c r="GB6" s="15"/>
      <c r="GC6" s="15"/>
      <c r="GD6" s="15"/>
      <c r="GE6" s="15"/>
      <c r="GF6" s="15"/>
      <c r="GG6" s="15"/>
      <c r="GH6" s="15"/>
      <c r="GI6" s="15"/>
      <c r="GJ6" s="15"/>
      <c r="GK6" s="15"/>
      <c r="GL6" s="15"/>
      <c r="GM6" s="15"/>
      <c r="GN6" s="15"/>
      <c r="GO6" s="15"/>
      <c r="GP6" s="15"/>
      <c r="GQ6" s="15"/>
      <c r="GR6" s="15"/>
      <c r="GS6" s="15"/>
      <c r="GT6" s="15"/>
      <c r="GU6" s="15"/>
      <c r="GV6" s="15"/>
      <c r="GW6" s="15"/>
      <c r="GX6" s="15"/>
      <c r="GY6" s="15"/>
      <c r="GZ6" s="15"/>
      <c r="HA6" s="15"/>
      <c r="HB6" s="15"/>
      <c r="HC6" s="15"/>
      <c r="HD6" s="15"/>
      <c r="HE6" s="15"/>
      <c r="HF6" s="15"/>
      <c r="HG6" s="15"/>
      <c r="HH6" s="15"/>
      <c r="HI6" s="15"/>
      <c r="HJ6" s="15"/>
      <c r="HK6" s="15"/>
      <c r="HL6" s="15"/>
      <c r="HM6" s="15"/>
      <c r="HN6" s="15"/>
      <c r="HO6" s="15"/>
      <c r="HP6" s="15"/>
      <c r="HQ6" s="15"/>
      <c r="HR6" s="15"/>
      <c r="HS6" s="15"/>
      <c r="HT6" s="15"/>
      <c r="HU6" s="15"/>
      <c r="HV6" s="15"/>
      <c r="HW6" s="15"/>
      <c r="HX6" s="15"/>
      <c r="HY6" s="15"/>
      <c r="HZ6" s="15"/>
      <c r="IA6" s="15"/>
      <c r="IB6" s="15"/>
      <c r="IC6" s="15"/>
      <c r="ID6" s="15"/>
      <c r="IE6" s="15"/>
      <c r="IF6" s="15"/>
      <c r="IG6" s="15"/>
      <c r="IH6" s="15"/>
      <c r="II6" s="15"/>
      <c r="IJ6" s="15"/>
      <c r="IK6" s="15"/>
      <c r="IL6" s="15"/>
      <c r="IM6" s="15"/>
      <c r="IN6" s="15"/>
      <c r="IO6" s="15"/>
      <c r="IP6" s="15"/>
      <c r="IQ6" s="15"/>
      <c r="IR6" s="15"/>
      <c r="IS6" s="15"/>
      <c r="IT6" s="15"/>
      <c r="IU6" s="15"/>
      <c r="IV6" s="15"/>
      <c r="IW6" s="15"/>
      <c r="IX6" s="15"/>
      <c r="IY6" s="15"/>
      <c r="IZ6" s="15"/>
      <c r="JA6" s="15"/>
      <c r="JB6" s="15"/>
      <c r="JC6" s="15"/>
      <c r="JD6" s="15"/>
      <c r="JE6" s="15"/>
      <c r="JF6" s="15"/>
      <c r="JG6" s="15"/>
      <c r="JH6" s="15"/>
      <c r="JI6" s="15"/>
      <c r="JJ6" s="15"/>
      <c r="JK6" s="15"/>
      <c r="JL6" s="15"/>
      <c r="JM6" s="15"/>
      <c r="JN6" s="15"/>
      <c r="JO6" s="15"/>
      <c r="JP6" s="15"/>
      <c r="JQ6" s="15"/>
      <c r="JR6" s="15"/>
      <c r="JS6" s="15"/>
      <c r="JT6" s="15"/>
      <c r="JU6" s="15"/>
      <c r="JV6" s="15"/>
      <c r="JW6" s="15"/>
      <c r="JX6" s="15"/>
      <c r="JY6" s="15"/>
      <c r="JZ6" s="15"/>
      <c r="KA6" s="15"/>
      <c r="KB6" s="15"/>
      <c r="KC6" s="15"/>
      <c r="KD6" s="15"/>
      <c r="KE6" s="15"/>
      <c r="KF6" s="15"/>
      <c r="KG6" s="15"/>
      <c r="KH6" s="15"/>
      <c r="KI6" s="15"/>
      <c r="KJ6" s="15"/>
      <c r="KK6" s="15"/>
      <c r="KL6" s="15"/>
      <c r="KM6" s="15"/>
      <c r="KN6" s="15"/>
      <c r="KO6" s="15"/>
      <c r="KP6" s="15"/>
      <c r="KQ6" s="15"/>
      <c r="KR6" s="15"/>
      <c r="KS6" s="15"/>
      <c r="KT6" s="15"/>
      <c r="KU6" s="15"/>
      <c r="KV6" s="15"/>
      <c r="KW6" s="15"/>
      <c r="KX6" s="15"/>
      <c r="KY6" s="15"/>
      <c r="KZ6" s="15"/>
      <c r="LA6" s="15"/>
      <c r="LB6" s="15"/>
      <c r="LC6" s="15"/>
      <c r="LD6" s="15"/>
      <c r="LE6" s="15"/>
      <c r="LF6" s="15"/>
      <c r="LG6" s="15"/>
      <c r="LH6" s="15"/>
      <c r="LI6" s="15"/>
      <c r="LJ6" s="15"/>
      <c r="LK6" s="15"/>
      <c r="LL6" s="15"/>
      <c r="LM6" s="15"/>
      <c r="LN6" s="15"/>
      <c r="LO6" s="15"/>
      <c r="LP6" s="15"/>
      <c r="LQ6" s="15"/>
      <c r="LR6" s="15"/>
      <c r="LS6" s="15"/>
      <c r="LT6" s="15"/>
      <c r="LU6" s="15"/>
      <c r="LV6" s="15"/>
      <c r="LW6" s="15"/>
      <c r="LX6" s="15"/>
      <c r="LY6" s="15"/>
      <c r="LZ6" s="15"/>
      <c r="MA6" s="15"/>
      <c r="MB6" s="15"/>
      <c r="MC6" s="15"/>
      <c r="MD6" s="15"/>
      <c r="ME6" s="15"/>
      <c r="MF6" s="15"/>
      <c r="MG6" s="15"/>
      <c r="MH6" s="15"/>
      <c r="MI6" s="15"/>
      <c r="MJ6" s="15"/>
      <c r="MK6" s="15"/>
      <c r="ML6" s="15"/>
      <c r="MM6" s="15"/>
      <c r="MN6" s="15"/>
      <c r="MO6" s="15"/>
      <c r="MP6" s="15"/>
      <c r="MQ6" s="15"/>
      <c r="MR6" s="15"/>
      <c r="MS6" s="15"/>
      <c r="MT6" s="15"/>
      <c r="MU6" s="15"/>
      <c r="MV6" s="15"/>
      <c r="MW6" s="15"/>
      <c r="MX6" s="15"/>
      <c r="MY6" s="15"/>
      <c r="MZ6" s="15"/>
      <c r="NA6" s="15"/>
      <c r="NB6" s="15"/>
      <c r="NC6" s="15"/>
      <c r="ND6" s="15"/>
      <c r="NE6" s="15"/>
      <c r="NF6" s="15"/>
      <c r="NG6" s="15"/>
      <c r="NH6" s="15"/>
      <c r="NI6" s="15"/>
      <c r="NJ6" s="15"/>
      <c r="NK6" s="15"/>
      <c r="NL6" s="15"/>
      <c r="NM6" s="15"/>
      <c r="NN6" s="15"/>
      <c r="NO6" s="15"/>
      <c r="NP6" s="15"/>
      <c r="NQ6" s="15"/>
      <c r="NR6" s="15"/>
      <c r="NS6" s="15"/>
      <c r="NT6" s="15"/>
      <c r="NU6" s="15"/>
      <c r="NV6" s="15"/>
      <c r="NW6" s="15"/>
      <c r="NX6" s="15"/>
      <c r="NY6" s="15"/>
      <c r="NZ6" s="15"/>
      <c r="OA6" s="15"/>
      <c r="OB6" s="15"/>
      <c r="OC6" s="15"/>
      <c r="OD6" s="15"/>
      <c r="OE6" s="15"/>
      <c r="OF6" s="15"/>
      <c r="OG6" s="15"/>
      <c r="OH6" s="15"/>
      <c r="OI6" s="15"/>
      <c r="OJ6" s="15"/>
      <c r="OK6" s="15"/>
      <c r="OL6" s="15"/>
      <c r="OM6" s="15"/>
      <c r="ON6" s="15"/>
      <c r="OO6" s="15"/>
      <c r="OP6" s="15"/>
      <c r="OQ6" s="15"/>
      <c r="OR6" s="15"/>
      <c r="OS6" s="15"/>
      <c r="OT6" s="15"/>
      <c r="OU6" s="15"/>
      <c r="OV6" s="15"/>
      <c r="OW6" s="15"/>
      <c r="OX6" s="15"/>
      <c r="OY6" s="15"/>
      <c r="OZ6" s="15"/>
      <c r="PA6" s="15"/>
      <c r="PB6" s="15"/>
      <c r="PC6" s="15"/>
      <c r="PD6" s="15"/>
      <c r="PE6" s="15"/>
      <c r="PF6" s="15"/>
      <c r="PG6" s="15"/>
      <c r="PH6" s="15"/>
      <c r="PI6" s="15"/>
      <c r="PJ6" s="15"/>
      <c r="PK6" s="15"/>
      <c r="PL6" s="15"/>
      <c r="PM6" s="15"/>
      <c r="PN6" s="15"/>
      <c r="PO6" s="15"/>
      <c r="PP6" s="15"/>
      <c r="PQ6" s="15"/>
      <c r="PR6" s="15"/>
      <c r="PS6" s="15"/>
      <c r="PT6" s="15"/>
      <c r="PU6" s="15"/>
      <c r="PV6" s="15"/>
      <c r="PW6" s="15"/>
      <c r="PX6" s="15"/>
      <c r="PY6" s="15"/>
      <c r="PZ6" s="15"/>
      <c r="QA6" s="15"/>
      <c r="QB6" s="15"/>
      <c r="QC6" s="15"/>
      <c r="QD6" s="15"/>
      <c r="QE6" s="15"/>
      <c r="QF6" s="15"/>
      <c r="QG6" s="15"/>
      <c r="QH6" s="15"/>
      <c r="QI6" s="15"/>
      <c r="QJ6" s="15"/>
      <c r="QK6" s="15"/>
      <c r="QL6" s="15"/>
      <c r="QM6" s="15"/>
      <c r="QN6" s="15"/>
      <c r="QO6" s="15"/>
      <c r="QP6" s="15"/>
      <c r="QQ6" s="15"/>
      <c r="QR6" s="15"/>
      <c r="QS6" s="15"/>
      <c r="QT6" s="15"/>
      <c r="QU6" s="15"/>
      <c r="QV6" s="15"/>
      <c r="QW6" s="15"/>
      <c r="QX6" s="15"/>
      <c r="QY6" s="15"/>
      <c r="QZ6" s="15"/>
      <c r="RA6" s="15"/>
      <c r="RB6" s="15"/>
      <c r="RC6" s="15"/>
      <c r="RD6" s="15"/>
      <c r="RE6" s="15"/>
      <c r="RF6" s="15"/>
      <c r="RG6" s="15"/>
      <c r="RH6" s="15"/>
      <c r="RI6" s="15"/>
      <c r="RJ6" s="15"/>
      <c r="RK6" s="15"/>
      <c r="RL6" s="15"/>
      <c r="RM6" s="15"/>
      <c r="RN6" s="15"/>
      <c r="RO6" s="15"/>
      <c r="RP6" s="15"/>
      <c r="RQ6" s="15"/>
      <c r="RR6" s="15"/>
      <c r="RS6" s="15"/>
      <c r="RT6" s="15"/>
      <c r="RU6" s="15"/>
      <c r="RV6" s="15"/>
      <c r="RW6" s="15"/>
      <c r="RX6" s="15"/>
      <c r="RY6" s="15"/>
      <c r="RZ6" s="15"/>
      <c r="SA6" s="15"/>
      <c r="SB6" s="15"/>
      <c r="SC6" s="15"/>
      <c r="SD6" s="15"/>
      <c r="SE6" s="15"/>
      <c r="SF6" s="15"/>
      <c r="SG6" s="15"/>
      <c r="SH6" s="15"/>
      <c r="SI6" s="15"/>
      <c r="SJ6" s="15"/>
      <c r="SK6" s="15"/>
      <c r="SL6" s="15"/>
      <c r="SM6" s="15"/>
      <c r="SN6" s="15"/>
      <c r="SO6" s="15"/>
      <c r="SP6" s="15"/>
      <c r="SQ6" s="15"/>
      <c r="SR6" s="15"/>
      <c r="SS6" s="15"/>
      <c r="ST6" s="15"/>
      <c r="SU6" s="15"/>
      <c r="SV6" s="15"/>
      <c r="SW6" s="15"/>
      <c r="SX6" s="15"/>
      <c r="SY6" s="15"/>
      <c r="SZ6" s="15"/>
      <c r="TA6" s="15"/>
      <c r="TB6" s="15"/>
      <c r="TC6" s="15"/>
      <c r="TD6" s="15"/>
      <c r="TE6" s="15"/>
      <c r="TF6" s="15"/>
      <c r="TG6" s="15"/>
      <c r="TH6" s="15"/>
      <c r="TI6" s="15"/>
      <c r="TJ6" s="15"/>
      <c r="TK6" s="15"/>
      <c r="TL6" s="15"/>
      <c r="TM6" s="15"/>
      <c r="TN6" s="15"/>
      <c r="TO6" s="15"/>
      <c r="TP6" s="15"/>
      <c r="TQ6" s="15"/>
      <c r="TR6" s="15"/>
      <c r="TS6" s="15"/>
      <c r="TT6" s="15"/>
      <c r="TU6" s="15"/>
      <c r="TV6" s="15"/>
      <c r="TW6" s="15"/>
      <c r="TX6" s="15"/>
      <c r="TY6" s="15"/>
      <c r="TZ6" s="15"/>
      <c r="UA6" s="15"/>
      <c r="UB6" s="15"/>
      <c r="UC6" s="15"/>
      <c r="UD6" s="15"/>
      <c r="UE6" s="15"/>
      <c r="UF6" s="15"/>
      <c r="UG6" s="15"/>
      <c r="UH6" s="15"/>
      <c r="UI6" s="15"/>
      <c r="UJ6" s="15"/>
      <c r="UK6" s="15"/>
      <c r="UL6" s="15"/>
      <c r="UM6" s="15"/>
      <c r="UN6" s="15"/>
      <c r="UO6" s="15"/>
      <c r="UP6" s="15"/>
      <c r="UQ6" s="15"/>
      <c r="UR6" s="15"/>
      <c r="US6" s="15"/>
      <c r="UT6" s="15"/>
      <c r="UU6" s="15"/>
      <c r="UV6" s="15"/>
      <c r="UW6" s="15"/>
      <c r="UX6" s="15"/>
      <c r="UY6" s="15"/>
      <c r="UZ6" s="15"/>
      <c r="VA6" s="15"/>
      <c r="VB6" s="15"/>
      <c r="VC6" s="15"/>
      <c r="VD6" s="15"/>
      <c r="VE6" s="15"/>
      <c r="VF6" s="15"/>
      <c r="VG6" s="15"/>
      <c r="VH6" s="15"/>
      <c r="VI6" s="15"/>
      <c r="VJ6" s="15"/>
      <c r="VK6" s="15"/>
      <c r="VL6" s="15"/>
      <c r="VM6" s="15"/>
      <c r="VN6" s="15"/>
      <c r="VO6" s="15"/>
      <c r="VP6" s="15"/>
      <c r="VQ6" s="15"/>
      <c r="VR6" s="15"/>
      <c r="VS6" s="15"/>
      <c r="VT6" s="15"/>
      <c r="VU6" s="15"/>
      <c r="VV6" s="15"/>
      <c r="VW6" s="15"/>
      <c r="VX6" s="15"/>
      <c r="VY6" s="15"/>
      <c r="VZ6" s="15"/>
      <c r="WA6" s="15"/>
      <c r="WB6" s="15"/>
      <c r="WC6" s="15"/>
      <c r="WD6" s="15"/>
      <c r="WE6" s="15"/>
      <c r="WF6" s="15"/>
      <c r="WG6" s="15"/>
      <c r="WH6" s="15"/>
      <c r="WI6" s="15"/>
      <c r="WJ6" s="15"/>
      <c r="WK6" s="15"/>
      <c r="WL6" s="15"/>
      <c r="WM6" s="15"/>
      <c r="WN6" s="15"/>
      <c r="WO6" s="15"/>
      <c r="WP6" s="15"/>
      <c r="WQ6" s="15"/>
      <c r="WR6" s="15"/>
      <c r="WS6" s="15"/>
      <c r="WT6" s="15"/>
      <c r="WU6" s="15"/>
      <c r="WV6" s="15"/>
      <c r="WW6" s="15"/>
      <c r="WX6" s="15"/>
      <c r="WY6" s="15"/>
      <c r="WZ6" s="15"/>
      <c r="XA6" s="15"/>
      <c r="XB6" s="15"/>
      <c r="XC6" s="15"/>
      <c r="XD6" s="15"/>
      <c r="XE6" s="15"/>
      <c r="XF6" s="15"/>
      <c r="XG6" s="15"/>
      <c r="XH6" s="15"/>
      <c r="XI6" s="15"/>
      <c r="XJ6" s="15"/>
      <c r="XK6" s="15"/>
      <c r="XL6" s="15"/>
      <c r="XM6" s="15"/>
      <c r="XN6" s="15"/>
      <c r="XO6" s="15"/>
      <c r="XP6" s="15"/>
      <c r="XQ6" s="15"/>
      <c r="XR6" s="15"/>
      <c r="XS6" s="15"/>
      <c r="XT6" s="15"/>
      <c r="XU6" s="15"/>
      <c r="XV6" s="15"/>
      <c r="XW6" s="15"/>
      <c r="XX6" s="15"/>
      <c r="XY6" s="15"/>
      <c r="XZ6" s="15"/>
      <c r="YA6" s="15"/>
      <c r="YB6" s="15"/>
      <c r="YC6" s="15"/>
      <c r="YD6" s="15"/>
      <c r="YE6" s="15"/>
      <c r="YF6" s="15"/>
      <c r="YG6" s="15"/>
      <c r="YH6" s="15"/>
      <c r="YI6" s="15"/>
      <c r="YJ6" s="15"/>
      <c r="YK6" s="15"/>
      <c r="YL6" s="15"/>
      <c r="YM6" s="15"/>
      <c r="YN6" s="15"/>
      <c r="YO6" s="15"/>
      <c r="YP6" s="15"/>
      <c r="YQ6" s="15"/>
      <c r="YR6" s="15"/>
      <c r="YS6" s="15"/>
      <c r="YT6" s="15"/>
      <c r="YU6" s="15"/>
      <c r="YV6" s="15"/>
      <c r="YW6" s="15"/>
      <c r="YX6" s="15"/>
      <c r="YY6" s="15"/>
      <c r="YZ6" s="15"/>
      <c r="ZA6" s="15"/>
      <c r="ZB6" s="15"/>
      <c r="ZC6" s="15"/>
      <c r="ZD6" s="15"/>
      <c r="ZE6" s="15"/>
      <c r="ZF6" s="15"/>
      <c r="ZG6" s="15"/>
      <c r="ZH6" s="15"/>
      <c r="ZI6" s="15"/>
      <c r="ZJ6" s="15"/>
      <c r="ZK6" s="15"/>
      <c r="ZL6" s="15"/>
      <c r="ZM6" s="15"/>
      <c r="ZN6" s="15"/>
      <c r="ZO6" s="15"/>
      <c r="ZP6" s="15"/>
      <c r="ZQ6" s="15"/>
      <c r="ZR6" s="15"/>
      <c r="ZS6" s="15"/>
      <c r="ZT6" s="15"/>
      <c r="ZU6" s="15"/>
      <c r="ZV6" s="15"/>
      <c r="ZW6" s="15"/>
      <c r="ZX6" s="15"/>
      <c r="ZY6" s="15"/>
      <c r="ZZ6" s="15"/>
      <c r="AAA6" s="15"/>
      <c r="AAB6" s="15"/>
      <c r="AAC6" s="15"/>
      <c r="AAD6" s="15"/>
      <c r="AAE6" s="15"/>
      <c r="AAF6" s="15"/>
      <c r="AAG6" s="15"/>
      <c r="AAH6" s="15"/>
      <c r="AAI6" s="15"/>
      <c r="AAJ6" s="15"/>
      <c r="AAK6" s="15"/>
      <c r="AAL6" s="15"/>
      <c r="AAM6" s="15"/>
      <c r="AAN6" s="15"/>
      <c r="AAO6" s="15"/>
      <c r="AAP6" s="15"/>
      <c r="AAQ6" s="15"/>
      <c r="AAR6" s="15"/>
      <c r="AAS6" s="15"/>
      <c r="AAT6" s="15"/>
      <c r="AAU6" s="15"/>
      <c r="AAV6" s="15"/>
      <c r="AAW6" s="15"/>
      <c r="AAX6" s="15"/>
      <c r="AAY6" s="15"/>
      <c r="AAZ6" s="15"/>
      <c r="ABA6" s="15"/>
      <c r="ABB6" s="15"/>
      <c r="ABC6" s="15"/>
      <c r="ABD6" s="15"/>
      <c r="ABE6" s="15"/>
      <c r="ABF6" s="15"/>
      <c r="ABG6" s="15"/>
      <c r="ABH6" s="15"/>
      <c r="ABI6" s="15"/>
      <c r="ABJ6" s="15"/>
      <c r="ABK6" s="15"/>
      <c r="ABL6" s="15"/>
      <c r="ABM6" s="15"/>
      <c r="ABN6" s="15"/>
      <c r="ABO6" s="15"/>
      <c r="ABP6" s="15"/>
      <c r="ABQ6" s="15"/>
      <c r="ABR6" s="15"/>
      <c r="ABS6" s="15"/>
      <c r="ABT6" s="15"/>
      <c r="ABU6" s="15"/>
      <c r="ABV6" s="15"/>
      <c r="ABW6" s="15"/>
      <c r="ABX6" s="15"/>
      <c r="ABY6" s="15"/>
      <c r="ABZ6" s="15"/>
      <c r="ACA6" s="15"/>
      <c r="ACB6" s="15"/>
      <c r="ACC6" s="15"/>
      <c r="ACD6" s="15"/>
      <c r="ACE6" s="15"/>
      <c r="ACF6" s="15"/>
      <c r="ACG6" s="15"/>
      <c r="ACH6" s="15"/>
      <c r="ACI6" s="15"/>
      <c r="ACJ6" s="15"/>
      <c r="ACK6" s="15"/>
      <c r="ACL6" s="15"/>
      <c r="ACM6" s="15"/>
      <c r="ACN6" s="15"/>
      <c r="ACO6" s="15"/>
      <c r="ACP6" s="15"/>
      <c r="ACQ6" s="15"/>
      <c r="ACR6" s="15"/>
      <c r="ACS6" s="15"/>
      <c r="ACT6" s="15"/>
      <c r="ACU6" s="15"/>
      <c r="ACV6" s="15"/>
      <c r="ACW6" s="15"/>
      <c r="ACX6" s="15"/>
      <c r="ACY6" s="15"/>
      <c r="ACZ6" s="15"/>
      <c r="ADA6" s="15"/>
      <c r="ADB6" s="15"/>
      <c r="ADC6" s="15"/>
      <c r="ADD6" s="15"/>
      <c r="ADE6" s="15"/>
      <c r="ADF6" s="15"/>
      <c r="ADG6" s="15"/>
      <c r="ADH6" s="15"/>
      <c r="ADI6" s="15"/>
      <c r="ADJ6" s="15"/>
      <c r="ADK6" s="15"/>
      <c r="ADL6" s="15"/>
      <c r="ADM6" s="15"/>
      <c r="ADN6" s="15"/>
      <c r="ADO6" s="15"/>
      <c r="ADP6" s="15"/>
      <c r="ADQ6" s="15"/>
      <c r="ADR6" s="15"/>
      <c r="ADS6" s="15"/>
      <c r="ADT6" s="15"/>
      <c r="ADU6" s="15"/>
      <c r="ADV6" s="15"/>
      <c r="ADW6" s="15"/>
      <c r="ADX6" s="15"/>
      <c r="ADY6" s="15"/>
      <c r="ADZ6" s="15"/>
      <c r="AEA6" s="15"/>
      <c r="AEB6" s="15"/>
      <c r="AEC6" s="15"/>
      <c r="AED6" s="15"/>
      <c r="AEE6" s="15"/>
      <c r="AEF6" s="15"/>
      <c r="AEG6" s="15"/>
      <c r="AEH6" s="15"/>
      <c r="AEI6" s="15"/>
      <c r="AEJ6" s="15"/>
      <c r="AEK6" s="15"/>
      <c r="AEL6" s="15"/>
      <c r="AEM6" s="15"/>
      <c r="AEN6" s="15"/>
      <c r="AEO6" s="15"/>
      <c r="AEP6" s="15"/>
      <c r="AEQ6" s="15"/>
      <c r="AER6" s="15"/>
      <c r="AES6" s="15"/>
      <c r="AET6" s="15"/>
      <c r="AEU6" s="15"/>
      <c r="AEV6" s="15"/>
      <c r="AEW6" s="15"/>
      <c r="AEX6" s="15"/>
      <c r="AEY6" s="15"/>
      <c r="AEZ6" s="15"/>
      <c r="AFA6" s="15"/>
      <c r="AFB6" s="15"/>
      <c r="AFC6" s="15"/>
      <c r="AFD6" s="15"/>
      <c r="AFE6" s="15"/>
      <c r="AFF6" s="15"/>
      <c r="AFG6" s="15"/>
      <c r="AFH6" s="15"/>
      <c r="AFI6" s="15"/>
      <c r="AFJ6" s="15"/>
      <c r="AFK6" s="15"/>
      <c r="AFL6" s="15"/>
      <c r="AFM6" s="15"/>
      <c r="AFN6" s="15"/>
      <c r="AFO6" s="15"/>
      <c r="AFP6" s="15"/>
      <c r="AFQ6" s="15"/>
      <c r="AFR6" s="15"/>
      <c r="AFS6" s="15"/>
      <c r="AFT6" s="15"/>
      <c r="AFU6" s="15"/>
      <c r="AFV6" s="15"/>
      <c r="AFW6" s="15"/>
      <c r="AFX6" s="15"/>
      <c r="AFY6" s="15"/>
      <c r="AFZ6" s="15"/>
      <c r="AGA6" s="15"/>
      <c r="AGB6" s="15"/>
      <c r="AGC6" s="15"/>
      <c r="AGD6" s="15"/>
      <c r="AGE6" s="15"/>
      <c r="AGF6" s="15"/>
      <c r="AGG6" s="15"/>
      <c r="AGH6" s="15"/>
      <c r="AGI6" s="15"/>
      <c r="AGJ6" s="15"/>
      <c r="AGK6" s="15"/>
      <c r="AGL6" s="15"/>
      <c r="AGM6" s="15"/>
      <c r="AGN6" s="15"/>
      <c r="AGO6" s="15"/>
      <c r="AGP6" s="15"/>
      <c r="AGQ6" s="15"/>
      <c r="AGR6" s="15"/>
      <c r="AGS6" s="15"/>
      <c r="AGT6" s="15"/>
      <c r="AGU6" s="15"/>
      <c r="AGV6" s="15"/>
      <c r="AGW6" s="15"/>
      <c r="AGX6" s="15"/>
      <c r="AGY6" s="15"/>
      <c r="AGZ6" s="15"/>
      <c r="AHA6" s="15"/>
      <c r="AHB6" s="15"/>
      <c r="AHC6" s="15"/>
      <c r="AHD6" s="15"/>
      <c r="AHE6" s="15"/>
      <c r="AHF6" s="15"/>
      <c r="AHG6" s="15"/>
      <c r="AHH6" s="15"/>
      <c r="AHI6" s="15"/>
      <c r="AHJ6" s="15"/>
      <c r="AHK6" s="15"/>
      <c r="AHL6" s="15"/>
      <c r="AHM6" s="15"/>
      <c r="AHN6" s="15"/>
      <c r="AHO6" s="15"/>
      <c r="AHP6" s="15"/>
      <c r="AHQ6" s="15"/>
      <c r="AHR6" s="15"/>
      <c r="AHS6" s="15"/>
      <c r="AHT6" s="15"/>
      <c r="AHU6" s="15"/>
      <c r="AHV6" s="15"/>
      <c r="AHW6" s="15"/>
      <c r="AHX6" s="15"/>
      <c r="AHY6" s="15"/>
      <c r="AHZ6" s="15"/>
      <c r="AIA6" s="15"/>
      <c r="AIB6" s="15"/>
      <c r="AIC6" s="15"/>
      <c r="AID6" s="15"/>
      <c r="AIE6" s="15"/>
      <c r="AIF6" s="15"/>
      <c r="AIG6" s="15"/>
      <c r="AIH6" s="15"/>
      <c r="AII6" s="15"/>
      <c r="AIJ6" s="15"/>
      <c r="AIK6" s="15"/>
      <c r="AIL6" s="15"/>
      <c r="AIM6" s="15"/>
      <c r="AIN6" s="15"/>
      <c r="AIO6" s="15"/>
      <c r="AIP6" s="15"/>
      <c r="AIQ6" s="15"/>
      <c r="AIR6" s="15"/>
      <c r="AIS6" s="15"/>
      <c r="AIT6" s="15"/>
      <c r="AIU6" s="15"/>
      <c r="AIV6" s="15"/>
      <c r="AIW6" s="15"/>
      <c r="AIX6" s="15"/>
      <c r="AIY6" s="15"/>
      <c r="AIZ6" s="15"/>
      <c r="AJA6" s="15"/>
      <c r="AJB6" s="15"/>
      <c r="AJC6" s="15"/>
      <c r="AJD6" s="15"/>
      <c r="AJE6" s="15"/>
      <c r="AJF6" s="15"/>
      <c r="AJG6" s="15"/>
      <c r="AJH6" s="15"/>
      <c r="AJI6" s="15"/>
      <c r="AJJ6" s="15"/>
      <c r="AJK6" s="15"/>
      <c r="AJL6" s="15"/>
      <c r="AJM6" s="15"/>
      <c r="AJN6" s="15"/>
      <c r="AJO6" s="15"/>
      <c r="AJP6" s="15"/>
      <c r="AJQ6" s="15"/>
      <c r="AJR6" s="15"/>
      <c r="AJS6" s="15"/>
      <c r="AJT6" s="15"/>
      <c r="AJU6" s="15"/>
      <c r="AJV6" s="15"/>
      <c r="AJW6" s="15"/>
      <c r="AJX6" s="15"/>
      <c r="AJY6" s="15"/>
      <c r="AJZ6" s="15"/>
      <c r="AKA6" s="15"/>
      <c r="AKB6" s="15"/>
      <c r="AKC6" s="15"/>
      <c r="AKD6" s="15"/>
      <c r="AKE6" s="15"/>
      <c r="AKF6" s="15"/>
      <c r="AKG6" s="15"/>
      <c r="AKH6" s="15"/>
      <c r="AKI6" s="15"/>
      <c r="AKJ6" s="15"/>
      <c r="AKK6" s="15"/>
      <c r="AKL6" s="15"/>
      <c r="AKM6" s="15"/>
      <c r="AKN6" s="15"/>
      <c r="AKO6" s="15"/>
      <c r="AKP6" s="15"/>
      <c r="AKQ6" s="15"/>
      <c r="AKR6" s="15"/>
      <c r="AKS6" s="15"/>
      <c r="AKT6" s="15"/>
      <c r="AKU6" s="15"/>
      <c r="AKV6" s="15"/>
      <c r="AKW6" s="15"/>
      <c r="AKX6" s="15"/>
      <c r="AKY6" s="15"/>
      <c r="AKZ6" s="15"/>
      <c r="ALA6" s="15"/>
      <c r="ALB6" s="15"/>
      <c r="ALC6" s="15"/>
      <c r="ALD6" s="15"/>
      <c r="ALE6" s="15"/>
      <c r="ALF6" s="15"/>
      <c r="ALG6" s="15"/>
      <c r="ALH6" s="15"/>
      <c r="ALI6" s="15"/>
      <c r="ALJ6" s="15"/>
      <c r="ALK6" s="15"/>
      <c r="ALL6" s="15"/>
      <c r="ALM6" s="15"/>
      <c r="ALN6" s="15"/>
      <c r="ALO6" s="15"/>
      <c r="ALP6" s="15"/>
      <c r="ALQ6" s="15"/>
      <c r="ALR6" s="15"/>
      <c r="ALS6" s="15"/>
      <c r="ALT6" s="15"/>
      <c r="ALU6" s="15"/>
      <c r="ALV6" s="15"/>
      <c r="ALW6" s="15"/>
      <c r="ALX6" s="15"/>
      <c r="ALY6" s="15"/>
      <c r="ALZ6" s="15"/>
      <c r="AMA6" s="15"/>
      <c r="AMB6" s="15"/>
      <c r="AMC6" s="15"/>
      <c r="AMD6" s="15"/>
      <c r="AME6" s="15"/>
      <c r="AMF6" s="15"/>
      <c r="AMG6" s="14"/>
    </row>
    <row r="7" spans="1:1021" s="13" customFormat="1" ht="29" hidden="1" x14ac:dyDescent="0.35">
      <c r="A7" s="19">
        <v>43647</v>
      </c>
      <c r="B7" s="17" t="s">
        <v>503</v>
      </c>
      <c r="C7" s="17" t="s">
        <v>502</v>
      </c>
      <c r="D7" s="18">
        <v>43648</v>
      </c>
      <c r="E7" s="17" t="s">
        <v>478</v>
      </c>
      <c r="F7" s="26">
        <v>0.58333333333333304</v>
      </c>
      <c r="G7" s="26">
        <v>0.58333333333333304</v>
      </c>
      <c r="H7" s="26">
        <v>0.58333333333333304</v>
      </c>
      <c r="I7" s="17">
        <v>0</v>
      </c>
      <c r="J7" s="17" t="s">
        <v>16</v>
      </c>
      <c r="K7" s="17" t="s">
        <v>17</v>
      </c>
      <c r="L7" s="16" t="s">
        <v>17</v>
      </c>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c r="CK7" s="15"/>
      <c r="CL7" s="15"/>
      <c r="CM7" s="15"/>
      <c r="CN7" s="15"/>
      <c r="CO7" s="15"/>
      <c r="CP7" s="15"/>
      <c r="CQ7" s="15"/>
      <c r="CR7" s="15"/>
      <c r="CS7" s="15"/>
      <c r="CT7" s="15"/>
      <c r="CU7" s="15"/>
      <c r="CV7" s="15"/>
      <c r="CW7" s="15"/>
      <c r="CX7" s="15"/>
      <c r="CY7" s="15"/>
      <c r="CZ7" s="15"/>
      <c r="DA7" s="15"/>
      <c r="DB7" s="15"/>
      <c r="DC7" s="15"/>
      <c r="DD7" s="15"/>
      <c r="DE7" s="15"/>
      <c r="DF7" s="15"/>
      <c r="DG7" s="15"/>
      <c r="DH7" s="15"/>
      <c r="DI7" s="15"/>
      <c r="DJ7" s="15"/>
      <c r="DK7" s="15"/>
      <c r="DL7" s="15"/>
      <c r="DM7" s="15"/>
      <c r="DN7" s="15"/>
      <c r="DO7" s="15"/>
      <c r="DP7" s="15"/>
      <c r="DQ7" s="15"/>
      <c r="DR7" s="15"/>
      <c r="DS7" s="15"/>
      <c r="DT7" s="15"/>
      <c r="DU7" s="15"/>
      <c r="DV7" s="15"/>
      <c r="DW7" s="15"/>
      <c r="DX7" s="15"/>
      <c r="DY7" s="15"/>
      <c r="DZ7" s="15"/>
      <c r="EA7" s="15"/>
      <c r="EB7" s="15"/>
      <c r="EC7" s="15"/>
      <c r="ED7" s="15"/>
      <c r="EE7" s="15"/>
      <c r="EF7" s="15"/>
      <c r="EG7" s="15"/>
      <c r="EH7" s="15"/>
      <c r="EI7" s="15"/>
      <c r="EJ7" s="15"/>
      <c r="EK7" s="15"/>
      <c r="EL7" s="15"/>
      <c r="EM7" s="15"/>
      <c r="EN7" s="15"/>
      <c r="EO7" s="15"/>
      <c r="EP7" s="15"/>
      <c r="EQ7" s="15"/>
      <c r="ER7" s="15"/>
      <c r="ES7" s="15"/>
      <c r="ET7" s="15"/>
      <c r="EU7" s="15"/>
      <c r="EV7" s="15"/>
      <c r="EW7" s="15"/>
      <c r="EX7" s="15"/>
      <c r="EY7" s="15"/>
      <c r="EZ7" s="15"/>
      <c r="FA7" s="15"/>
      <c r="FB7" s="15"/>
      <c r="FC7" s="15"/>
      <c r="FD7" s="15"/>
      <c r="FE7" s="15"/>
      <c r="FF7" s="15"/>
      <c r="FG7" s="15"/>
      <c r="FH7" s="15"/>
      <c r="FI7" s="15"/>
      <c r="FJ7" s="15"/>
      <c r="FK7" s="15"/>
      <c r="FL7" s="15"/>
      <c r="FM7" s="15"/>
      <c r="FN7" s="15"/>
      <c r="FO7" s="15"/>
      <c r="FP7" s="15"/>
      <c r="FQ7" s="15"/>
      <c r="FR7" s="15"/>
      <c r="FS7" s="15"/>
      <c r="FT7" s="15"/>
      <c r="FU7" s="15"/>
      <c r="FV7" s="15"/>
      <c r="FW7" s="15"/>
      <c r="FX7" s="15"/>
      <c r="FY7" s="15"/>
      <c r="FZ7" s="15"/>
      <c r="GA7" s="15"/>
      <c r="GB7" s="15"/>
      <c r="GC7" s="15"/>
      <c r="GD7" s="15"/>
      <c r="GE7" s="15"/>
      <c r="GF7" s="15"/>
      <c r="GG7" s="15"/>
      <c r="GH7" s="15"/>
      <c r="GI7" s="15"/>
      <c r="GJ7" s="15"/>
      <c r="GK7" s="15"/>
      <c r="GL7" s="15"/>
      <c r="GM7" s="15"/>
      <c r="GN7" s="15"/>
      <c r="GO7" s="15"/>
      <c r="GP7" s="15"/>
      <c r="GQ7" s="15"/>
      <c r="GR7" s="15"/>
      <c r="GS7" s="15"/>
      <c r="GT7" s="15"/>
      <c r="GU7" s="15"/>
      <c r="GV7" s="15"/>
      <c r="GW7" s="15"/>
      <c r="GX7" s="15"/>
      <c r="GY7" s="15"/>
      <c r="GZ7" s="15"/>
      <c r="HA7" s="15"/>
      <c r="HB7" s="15"/>
      <c r="HC7" s="15"/>
      <c r="HD7" s="15"/>
      <c r="HE7" s="15"/>
      <c r="HF7" s="15"/>
      <c r="HG7" s="15"/>
      <c r="HH7" s="15"/>
      <c r="HI7" s="15"/>
      <c r="HJ7" s="15"/>
      <c r="HK7" s="15"/>
      <c r="HL7" s="15"/>
      <c r="HM7" s="15"/>
      <c r="HN7" s="15"/>
      <c r="HO7" s="15"/>
      <c r="HP7" s="15"/>
      <c r="HQ7" s="15"/>
      <c r="HR7" s="15"/>
      <c r="HS7" s="15"/>
      <c r="HT7" s="15"/>
      <c r="HU7" s="15"/>
      <c r="HV7" s="15"/>
      <c r="HW7" s="15"/>
      <c r="HX7" s="15"/>
      <c r="HY7" s="15"/>
      <c r="HZ7" s="15"/>
      <c r="IA7" s="15"/>
      <c r="IB7" s="15"/>
      <c r="IC7" s="15"/>
      <c r="ID7" s="15"/>
      <c r="IE7" s="15"/>
      <c r="IF7" s="15"/>
      <c r="IG7" s="15"/>
      <c r="IH7" s="15"/>
      <c r="II7" s="15"/>
      <c r="IJ7" s="15"/>
      <c r="IK7" s="15"/>
      <c r="IL7" s="15"/>
      <c r="IM7" s="15"/>
      <c r="IN7" s="15"/>
      <c r="IO7" s="15"/>
      <c r="IP7" s="15"/>
      <c r="IQ7" s="15"/>
      <c r="IR7" s="15"/>
      <c r="IS7" s="15"/>
      <c r="IT7" s="15"/>
      <c r="IU7" s="15"/>
      <c r="IV7" s="15"/>
      <c r="IW7" s="15"/>
      <c r="IX7" s="15"/>
      <c r="IY7" s="15"/>
      <c r="IZ7" s="15"/>
      <c r="JA7" s="15"/>
      <c r="JB7" s="15"/>
      <c r="JC7" s="15"/>
      <c r="JD7" s="15"/>
      <c r="JE7" s="15"/>
      <c r="JF7" s="15"/>
      <c r="JG7" s="15"/>
      <c r="JH7" s="15"/>
      <c r="JI7" s="15"/>
      <c r="JJ7" s="15"/>
      <c r="JK7" s="15"/>
      <c r="JL7" s="15"/>
      <c r="JM7" s="15"/>
      <c r="JN7" s="15"/>
      <c r="JO7" s="15"/>
      <c r="JP7" s="15"/>
      <c r="JQ7" s="15"/>
      <c r="JR7" s="15"/>
      <c r="JS7" s="15"/>
      <c r="JT7" s="15"/>
      <c r="JU7" s="15"/>
      <c r="JV7" s="15"/>
      <c r="JW7" s="15"/>
      <c r="JX7" s="15"/>
      <c r="JY7" s="15"/>
      <c r="JZ7" s="15"/>
      <c r="KA7" s="15"/>
      <c r="KB7" s="15"/>
      <c r="KC7" s="15"/>
      <c r="KD7" s="15"/>
      <c r="KE7" s="15"/>
      <c r="KF7" s="15"/>
      <c r="KG7" s="15"/>
      <c r="KH7" s="15"/>
      <c r="KI7" s="15"/>
      <c r="KJ7" s="15"/>
      <c r="KK7" s="15"/>
      <c r="KL7" s="15"/>
      <c r="KM7" s="15"/>
      <c r="KN7" s="15"/>
      <c r="KO7" s="15"/>
      <c r="KP7" s="15"/>
      <c r="KQ7" s="15"/>
      <c r="KR7" s="15"/>
      <c r="KS7" s="15"/>
      <c r="KT7" s="15"/>
      <c r="KU7" s="15"/>
      <c r="KV7" s="15"/>
      <c r="KW7" s="15"/>
      <c r="KX7" s="15"/>
      <c r="KY7" s="15"/>
      <c r="KZ7" s="15"/>
      <c r="LA7" s="15"/>
      <c r="LB7" s="15"/>
      <c r="LC7" s="15"/>
      <c r="LD7" s="15"/>
      <c r="LE7" s="15"/>
      <c r="LF7" s="15"/>
      <c r="LG7" s="15"/>
      <c r="LH7" s="15"/>
      <c r="LI7" s="15"/>
      <c r="LJ7" s="15"/>
      <c r="LK7" s="15"/>
      <c r="LL7" s="15"/>
      <c r="LM7" s="15"/>
      <c r="LN7" s="15"/>
      <c r="LO7" s="15"/>
      <c r="LP7" s="15"/>
      <c r="LQ7" s="15"/>
      <c r="LR7" s="15"/>
      <c r="LS7" s="15"/>
      <c r="LT7" s="15"/>
      <c r="LU7" s="15"/>
      <c r="LV7" s="15"/>
      <c r="LW7" s="15"/>
      <c r="LX7" s="15"/>
      <c r="LY7" s="15"/>
      <c r="LZ7" s="15"/>
      <c r="MA7" s="15"/>
      <c r="MB7" s="15"/>
      <c r="MC7" s="15"/>
      <c r="MD7" s="15"/>
      <c r="ME7" s="15"/>
      <c r="MF7" s="15"/>
      <c r="MG7" s="15"/>
      <c r="MH7" s="15"/>
      <c r="MI7" s="15"/>
      <c r="MJ7" s="15"/>
      <c r="MK7" s="15"/>
      <c r="ML7" s="15"/>
      <c r="MM7" s="15"/>
      <c r="MN7" s="15"/>
      <c r="MO7" s="15"/>
      <c r="MP7" s="15"/>
      <c r="MQ7" s="15"/>
      <c r="MR7" s="15"/>
      <c r="MS7" s="15"/>
      <c r="MT7" s="15"/>
      <c r="MU7" s="15"/>
      <c r="MV7" s="15"/>
      <c r="MW7" s="15"/>
      <c r="MX7" s="15"/>
      <c r="MY7" s="15"/>
      <c r="MZ7" s="15"/>
      <c r="NA7" s="15"/>
      <c r="NB7" s="15"/>
      <c r="NC7" s="15"/>
      <c r="ND7" s="15"/>
      <c r="NE7" s="15"/>
      <c r="NF7" s="15"/>
      <c r="NG7" s="15"/>
      <c r="NH7" s="15"/>
      <c r="NI7" s="15"/>
      <c r="NJ7" s="15"/>
      <c r="NK7" s="15"/>
      <c r="NL7" s="15"/>
      <c r="NM7" s="15"/>
      <c r="NN7" s="15"/>
      <c r="NO7" s="15"/>
      <c r="NP7" s="15"/>
      <c r="NQ7" s="15"/>
      <c r="NR7" s="15"/>
      <c r="NS7" s="15"/>
      <c r="NT7" s="15"/>
      <c r="NU7" s="15"/>
      <c r="NV7" s="15"/>
      <c r="NW7" s="15"/>
      <c r="NX7" s="15"/>
      <c r="NY7" s="15"/>
      <c r="NZ7" s="15"/>
      <c r="OA7" s="15"/>
      <c r="OB7" s="15"/>
      <c r="OC7" s="15"/>
      <c r="OD7" s="15"/>
      <c r="OE7" s="15"/>
      <c r="OF7" s="15"/>
      <c r="OG7" s="15"/>
      <c r="OH7" s="15"/>
      <c r="OI7" s="15"/>
      <c r="OJ7" s="15"/>
      <c r="OK7" s="15"/>
      <c r="OL7" s="15"/>
      <c r="OM7" s="15"/>
      <c r="ON7" s="15"/>
      <c r="OO7" s="15"/>
      <c r="OP7" s="15"/>
      <c r="OQ7" s="15"/>
      <c r="OR7" s="15"/>
      <c r="OS7" s="15"/>
      <c r="OT7" s="15"/>
      <c r="OU7" s="15"/>
      <c r="OV7" s="15"/>
      <c r="OW7" s="15"/>
      <c r="OX7" s="15"/>
      <c r="OY7" s="15"/>
      <c r="OZ7" s="15"/>
      <c r="PA7" s="15"/>
      <c r="PB7" s="15"/>
      <c r="PC7" s="15"/>
      <c r="PD7" s="15"/>
      <c r="PE7" s="15"/>
      <c r="PF7" s="15"/>
      <c r="PG7" s="15"/>
      <c r="PH7" s="15"/>
      <c r="PI7" s="15"/>
      <c r="PJ7" s="15"/>
      <c r="PK7" s="15"/>
      <c r="PL7" s="15"/>
      <c r="PM7" s="15"/>
      <c r="PN7" s="15"/>
      <c r="PO7" s="15"/>
      <c r="PP7" s="15"/>
      <c r="PQ7" s="15"/>
      <c r="PR7" s="15"/>
      <c r="PS7" s="15"/>
      <c r="PT7" s="15"/>
      <c r="PU7" s="15"/>
      <c r="PV7" s="15"/>
      <c r="PW7" s="15"/>
      <c r="PX7" s="15"/>
      <c r="PY7" s="15"/>
      <c r="PZ7" s="15"/>
      <c r="QA7" s="15"/>
      <c r="QB7" s="15"/>
      <c r="QC7" s="15"/>
      <c r="QD7" s="15"/>
      <c r="QE7" s="15"/>
      <c r="QF7" s="15"/>
      <c r="QG7" s="15"/>
      <c r="QH7" s="15"/>
      <c r="QI7" s="15"/>
      <c r="QJ7" s="15"/>
      <c r="QK7" s="15"/>
      <c r="QL7" s="15"/>
      <c r="QM7" s="15"/>
      <c r="QN7" s="15"/>
      <c r="QO7" s="15"/>
      <c r="QP7" s="15"/>
      <c r="QQ7" s="15"/>
      <c r="QR7" s="15"/>
      <c r="QS7" s="15"/>
      <c r="QT7" s="15"/>
      <c r="QU7" s="15"/>
      <c r="QV7" s="15"/>
      <c r="QW7" s="15"/>
      <c r="QX7" s="15"/>
      <c r="QY7" s="15"/>
      <c r="QZ7" s="15"/>
      <c r="RA7" s="15"/>
      <c r="RB7" s="15"/>
      <c r="RC7" s="15"/>
      <c r="RD7" s="15"/>
      <c r="RE7" s="15"/>
      <c r="RF7" s="15"/>
      <c r="RG7" s="15"/>
      <c r="RH7" s="15"/>
      <c r="RI7" s="15"/>
      <c r="RJ7" s="15"/>
      <c r="RK7" s="15"/>
      <c r="RL7" s="15"/>
      <c r="RM7" s="15"/>
      <c r="RN7" s="15"/>
      <c r="RO7" s="15"/>
      <c r="RP7" s="15"/>
      <c r="RQ7" s="15"/>
      <c r="RR7" s="15"/>
      <c r="RS7" s="15"/>
      <c r="RT7" s="15"/>
      <c r="RU7" s="15"/>
      <c r="RV7" s="15"/>
      <c r="RW7" s="15"/>
      <c r="RX7" s="15"/>
      <c r="RY7" s="15"/>
      <c r="RZ7" s="15"/>
      <c r="SA7" s="15"/>
      <c r="SB7" s="15"/>
      <c r="SC7" s="15"/>
      <c r="SD7" s="15"/>
      <c r="SE7" s="15"/>
      <c r="SF7" s="15"/>
      <c r="SG7" s="15"/>
      <c r="SH7" s="15"/>
      <c r="SI7" s="15"/>
      <c r="SJ7" s="15"/>
      <c r="SK7" s="15"/>
      <c r="SL7" s="15"/>
      <c r="SM7" s="15"/>
      <c r="SN7" s="15"/>
      <c r="SO7" s="15"/>
      <c r="SP7" s="15"/>
      <c r="SQ7" s="15"/>
      <c r="SR7" s="15"/>
      <c r="SS7" s="15"/>
      <c r="ST7" s="15"/>
      <c r="SU7" s="15"/>
      <c r="SV7" s="15"/>
      <c r="SW7" s="15"/>
      <c r="SX7" s="15"/>
      <c r="SY7" s="15"/>
      <c r="SZ7" s="15"/>
      <c r="TA7" s="15"/>
      <c r="TB7" s="15"/>
      <c r="TC7" s="15"/>
      <c r="TD7" s="15"/>
      <c r="TE7" s="15"/>
      <c r="TF7" s="15"/>
      <c r="TG7" s="15"/>
      <c r="TH7" s="15"/>
      <c r="TI7" s="15"/>
      <c r="TJ7" s="15"/>
      <c r="TK7" s="15"/>
      <c r="TL7" s="15"/>
      <c r="TM7" s="15"/>
      <c r="TN7" s="15"/>
      <c r="TO7" s="15"/>
      <c r="TP7" s="15"/>
      <c r="TQ7" s="15"/>
      <c r="TR7" s="15"/>
      <c r="TS7" s="15"/>
      <c r="TT7" s="15"/>
      <c r="TU7" s="15"/>
      <c r="TV7" s="15"/>
      <c r="TW7" s="15"/>
      <c r="TX7" s="15"/>
      <c r="TY7" s="15"/>
      <c r="TZ7" s="15"/>
      <c r="UA7" s="15"/>
      <c r="UB7" s="15"/>
      <c r="UC7" s="15"/>
      <c r="UD7" s="15"/>
      <c r="UE7" s="15"/>
      <c r="UF7" s="15"/>
      <c r="UG7" s="15"/>
      <c r="UH7" s="15"/>
      <c r="UI7" s="15"/>
      <c r="UJ7" s="15"/>
      <c r="UK7" s="15"/>
      <c r="UL7" s="15"/>
      <c r="UM7" s="15"/>
      <c r="UN7" s="15"/>
      <c r="UO7" s="15"/>
      <c r="UP7" s="15"/>
      <c r="UQ7" s="15"/>
      <c r="UR7" s="15"/>
      <c r="US7" s="15"/>
      <c r="UT7" s="15"/>
      <c r="UU7" s="15"/>
      <c r="UV7" s="15"/>
      <c r="UW7" s="15"/>
      <c r="UX7" s="15"/>
      <c r="UY7" s="15"/>
      <c r="UZ7" s="15"/>
      <c r="VA7" s="15"/>
      <c r="VB7" s="15"/>
      <c r="VC7" s="15"/>
      <c r="VD7" s="15"/>
      <c r="VE7" s="15"/>
      <c r="VF7" s="15"/>
      <c r="VG7" s="15"/>
      <c r="VH7" s="15"/>
      <c r="VI7" s="15"/>
      <c r="VJ7" s="15"/>
      <c r="VK7" s="15"/>
      <c r="VL7" s="15"/>
      <c r="VM7" s="15"/>
      <c r="VN7" s="15"/>
      <c r="VO7" s="15"/>
      <c r="VP7" s="15"/>
      <c r="VQ7" s="15"/>
      <c r="VR7" s="15"/>
      <c r="VS7" s="15"/>
      <c r="VT7" s="15"/>
      <c r="VU7" s="15"/>
      <c r="VV7" s="15"/>
      <c r="VW7" s="15"/>
      <c r="VX7" s="15"/>
      <c r="VY7" s="15"/>
      <c r="VZ7" s="15"/>
      <c r="WA7" s="15"/>
      <c r="WB7" s="15"/>
      <c r="WC7" s="15"/>
      <c r="WD7" s="15"/>
      <c r="WE7" s="15"/>
      <c r="WF7" s="15"/>
      <c r="WG7" s="15"/>
      <c r="WH7" s="15"/>
      <c r="WI7" s="15"/>
      <c r="WJ7" s="15"/>
      <c r="WK7" s="15"/>
      <c r="WL7" s="15"/>
      <c r="WM7" s="15"/>
      <c r="WN7" s="15"/>
      <c r="WO7" s="15"/>
      <c r="WP7" s="15"/>
      <c r="WQ7" s="15"/>
      <c r="WR7" s="15"/>
      <c r="WS7" s="15"/>
      <c r="WT7" s="15"/>
      <c r="WU7" s="15"/>
      <c r="WV7" s="15"/>
      <c r="WW7" s="15"/>
      <c r="WX7" s="15"/>
      <c r="WY7" s="15"/>
      <c r="WZ7" s="15"/>
      <c r="XA7" s="15"/>
      <c r="XB7" s="15"/>
      <c r="XC7" s="15"/>
      <c r="XD7" s="15"/>
      <c r="XE7" s="15"/>
      <c r="XF7" s="15"/>
      <c r="XG7" s="15"/>
      <c r="XH7" s="15"/>
      <c r="XI7" s="15"/>
      <c r="XJ7" s="15"/>
      <c r="XK7" s="15"/>
      <c r="XL7" s="15"/>
      <c r="XM7" s="15"/>
      <c r="XN7" s="15"/>
      <c r="XO7" s="15"/>
      <c r="XP7" s="15"/>
      <c r="XQ7" s="15"/>
      <c r="XR7" s="15"/>
      <c r="XS7" s="15"/>
      <c r="XT7" s="15"/>
      <c r="XU7" s="15"/>
      <c r="XV7" s="15"/>
      <c r="XW7" s="15"/>
      <c r="XX7" s="15"/>
      <c r="XY7" s="15"/>
      <c r="XZ7" s="15"/>
      <c r="YA7" s="15"/>
      <c r="YB7" s="15"/>
      <c r="YC7" s="15"/>
      <c r="YD7" s="15"/>
      <c r="YE7" s="15"/>
      <c r="YF7" s="15"/>
      <c r="YG7" s="15"/>
      <c r="YH7" s="15"/>
      <c r="YI7" s="15"/>
      <c r="YJ7" s="15"/>
      <c r="YK7" s="15"/>
      <c r="YL7" s="15"/>
      <c r="YM7" s="15"/>
      <c r="YN7" s="15"/>
      <c r="YO7" s="15"/>
      <c r="YP7" s="15"/>
      <c r="YQ7" s="15"/>
      <c r="YR7" s="15"/>
      <c r="YS7" s="15"/>
      <c r="YT7" s="15"/>
      <c r="YU7" s="15"/>
      <c r="YV7" s="15"/>
      <c r="YW7" s="15"/>
      <c r="YX7" s="15"/>
      <c r="YY7" s="15"/>
      <c r="YZ7" s="15"/>
      <c r="ZA7" s="15"/>
      <c r="ZB7" s="15"/>
      <c r="ZC7" s="15"/>
      <c r="ZD7" s="15"/>
      <c r="ZE7" s="15"/>
      <c r="ZF7" s="15"/>
      <c r="ZG7" s="15"/>
      <c r="ZH7" s="15"/>
      <c r="ZI7" s="15"/>
      <c r="ZJ7" s="15"/>
      <c r="ZK7" s="15"/>
      <c r="ZL7" s="15"/>
      <c r="ZM7" s="15"/>
      <c r="ZN7" s="15"/>
      <c r="ZO7" s="15"/>
      <c r="ZP7" s="15"/>
      <c r="ZQ7" s="15"/>
      <c r="ZR7" s="15"/>
      <c r="ZS7" s="15"/>
      <c r="ZT7" s="15"/>
      <c r="ZU7" s="15"/>
      <c r="ZV7" s="15"/>
      <c r="ZW7" s="15"/>
      <c r="ZX7" s="15"/>
      <c r="ZY7" s="15"/>
      <c r="ZZ7" s="15"/>
      <c r="AAA7" s="15"/>
      <c r="AAB7" s="15"/>
      <c r="AAC7" s="15"/>
      <c r="AAD7" s="15"/>
      <c r="AAE7" s="15"/>
      <c r="AAF7" s="15"/>
      <c r="AAG7" s="15"/>
      <c r="AAH7" s="15"/>
      <c r="AAI7" s="15"/>
      <c r="AAJ7" s="15"/>
      <c r="AAK7" s="15"/>
      <c r="AAL7" s="15"/>
      <c r="AAM7" s="15"/>
      <c r="AAN7" s="15"/>
      <c r="AAO7" s="15"/>
      <c r="AAP7" s="15"/>
      <c r="AAQ7" s="15"/>
      <c r="AAR7" s="15"/>
      <c r="AAS7" s="15"/>
      <c r="AAT7" s="15"/>
      <c r="AAU7" s="15"/>
      <c r="AAV7" s="15"/>
      <c r="AAW7" s="15"/>
      <c r="AAX7" s="15"/>
      <c r="AAY7" s="15"/>
      <c r="AAZ7" s="15"/>
      <c r="ABA7" s="15"/>
      <c r="ABB7" s="15"/>
      <c r="ABC7" s="15"/>
      <c r="ABD7" s="15"/>
      <c r="ABE7" s="15"/>
      <c r="ABF7" s="15"/>
      <c r="ABG7" s="15"/>
      <c r="ABH7" s="15"/>
      <c r="ABI7" s="15"/>
      <c r="ABJ7" s="15"/>
      <c r="ABK7" s="15"/>
      <c r="ABL7" s="15"/>
      <c r="ABM7" s="15"/>
      <c r="ABN7" s="15"/>
      <c r="ABO7" s="15"/>
      <c r="ABP7" s="15"/>
      <c r="ABQ7" s="15"/>
      <c r="ABR7" s="15"/>
      <c r="ABS7" s="15"/>
      <c r="ABT7" s="15"/>
      <c r="ABU7" s="15"/>
      <c r="ABV7" s="15"/>
      <c r="ABW7" s="15"/>
      <c r="ABX7" s="15"/>
      <c r="ABY7" s="15"/>
      <c r="ABZ7" s="15"/>
      <c r="ACA7" s="15"/>
      <c r="ACB7" s="15"/>
      <c r="ACC7" s="15"/>
      <c r="ACD7" s="15"/>
      <c r="ACE7" s="15"/>
      <c r="ACF7" s="15"/>
      <c r="ACG7" s="15"/>
      <c r="ACH7" s="15"/>
      <c r="ACI7" s="15"/>
      <c r="ACJ7" s="15"/>
      <c r="ACK7" s="15"/>
      <c r="ACL7" s="15"/>
      <c r="ACM7" s="15"/>
      <c r="ACN7" s="15"/>
      <c r="ACO7" s="15"/>
      <c r="ACP7" s="15"/>
      <c r="ACQ7" s="15"/>
      <c r="ACR7" s="15"/>
      <c r="ACS7" s="15"/>
      <c r="ACT7" s="15"/>
      <c r="ACU7" s="15"/>
      <c r="ACV7" s="15"/>
      <c r="ACW7" s="15"/>
      <c r="ACX7" s="15"/>
      <c r="ACY7" s="15"/>
      <c r="ACZ7" s="15"/>
      <c r="ADA7" s="15"/>
      <c r="ADB7" s="15"/>
      <c r="ADC7" s="15"/>
      <c r="ADD7" s="15"/>
      <c r="ADE7" s="15"/>
      <c r="ADF7" s="15"/>
      <c r="ADG7" s="15"/>
      <c r="ADH7" s="15"/>
      <c r="ADI7" s="15"/>
      <c r="ADJ7" s="15"/>
      <c r="ADK7" s="15"/>
      <c r="ADL7" s="15"/>
      <c r="ADM7" s="15"/>
      <c r="ADN7" s="15"/>
      <c r="ADO7" s="15"/>
      <c r="ADP7" s="15"/>
      <c r="ADQ7" s="15"/>
      <c r="ADR7" s="15"/>
      <c r="ADS7" s="15"/>
      <c r="ADT7" s="15"/>
      <c r="ADU7" s="15"/>
      <c r="ADV7" s="15"/>
      <c r="ADW7" s="15"/>
      <c r="ADX7" s="15"/>
      <c r="ADY7" s="15"/>
      <c r="ADZ7" s="15"/>
      <c r="AEA7" s="15"/>
      <c r="AEB7" s="15"/>
      <c r="AEC7" s="15"/>
      <c r="AED7" s="15"/>
      <c r="AEE7" s="15"/>
      <c r="AEF7" s="15"/>
      <c r="AEG7" s="15"/>
      <c r="AEH7" s="15"/>
      <c r="AEI7" s="15"/>
      <c r="AEJ7" s="15"/>
      <c r="AEK7" s="15"/>
      <c r="AEL7" s="15"/>
      <c r="AEM7" s="15"/>
      <c r="AEN7" s="15"/>
      <c r="AEO7" s="15"/>
      <c r="AEP7" s="15"/>
      <c r="AEQ7" s="15"/>
      <c r="AER7" s="15"/>
      <c r="AES7" s="15"/>
      <c r="AET7" s="15"/>
      <c r="AEU7" s="15"/>
      <c r="AEV7" s="15"/>
      <c r="AEW7" s="15"/>
      <c r="AEX7" s="15"/>
      <c r="AEY7" s="15"/>
      <c r="AEZ7" s="15"/>
      <c r="AFA7" s="15"/>
      <c r="AFB7" s="15"/>
      <c r="AFC7" s="15"/>
      <c r="AFD7" s="15"/>
      <c r="AFE7" s="15"/>
      <c r="AFF7" s="15"/>
      <c r="AFG7" s="15"/>
      <c r="AFH7" s="15"/>
      <c r="AFI7" s="15"/>
      <c r="AFJ7" s="15"/>
      <c r="AFK7" s="15"/>
      <c r="AFL7" s="15"/>
      <c r="AFM7" s="15"/>
      <c r="AFN7" s="15"/>
      <c r="AFO7" s="15"/>
      <c r="AFP7" s="15"/>
      <c r="AFQ7" s="15"/>
      <c r="AFR7" s="15"/>
      <c r="AFS7" s="15"/>
      <c r="AFT7" s="15"/>
      <c r="AFU7" s="15"/>
      <c r="AFV7" s="15"/>
      <c r="AFW7" s="15"/>
      <c r="AFX7" s="15"/>
      <c r="AFY7" s="15"/>
      <c r="AFZ7" s="15"/>
      <c r="AGA7" s="15"/>
      <c r="AGB7" s="15"/>
      <c r="AGC7" s="15"/>
      <c r="AGD7" s="15"/>
      <c r="AGE7" s="15"/>
      <c r="AGF7" s="15"/>
      <c r="AGG7" s="15"/>
      <c r="AGH7" s="15"/>
      <c r="AGI7" s="15"/>
      <c r="AGJ7" s="15"/>
      <c r="AGK7" s="15"/>
      <c r="AGL7" s="15"/>
      <c r="AGM7" s="15"/>
      <c r="AGN7" s="15"/>
      <c r="AGO7" s="15"/>
      <c r="AGP7" s="15"/>
      <c r="AGQ7" s="15"/>
      <c r="AGR7" s="15"/>
      <c r="AGS7" s="15"/>
      <c r="AGT7" s="15"/>
      <c r="AGU7" s="15"/>
      <c r="AGV7" s="15"/>
      <c r="AGW7" s="15"/>
      <c r="AGX7" s="15"/>
      <c r="AGY7" s="15"/>
      <c r="AGZ7" s="15"/>
      <c r="AHA7" s="15"/>
      <c r="AHB7" s="15"/>
      <c r="AHC7" s="15"/>
      <c r="AHD7" s="15"/>
      <c r="AHE7" s="15"/>
      <c r="AHF7" s="15"/>
      <c r="AHG7" s="15"/>
      <c r="AHH7" s="15"/>
      <c r="AHI7" s="15"/>
      <c r="AHJ7" s="15"/>
      <c r="AHK7" s="15"/>
      <c r="AHL7" s="15"/>
      <c r="AHM7" s="15"/>
      <c r="AHN7" s="15"/>
      <c r="AHO7" s="15"/>
      <c r="AHP7" s="15"/>
      <c r="AHQ7" s="15"/>
      <c r="AHR7" s="15"/>
      <c r="AHS7" s="15"/>
      <c r="AHT7" s="15"/>
      <c r="AHU7" s="15"/>
      <c r="AHV7" s="15"/>
      <c r="AHW7" s="15"/>
      <c r="AHX7" s="15"/>
      <c r="AHY7" s="15"/>
      <c r="AHZ7" s="15"/>
      <c r="AIA7" s="15"/>
      <c r="AIB7" s="15"/>
      <c r="AIC7" s="15"/>
      <c r="AID7" s="15"/>
      <c r="AIE7" s="15"/>
      <c r="AIF7" s="15"/>
      <c r="AIG7" s="15"/>
      <c r="AIH7" s="15"/>
      <c r="AII7" s="15"/>
      <c r="AIJ7" s="15"/>
      <c r="AIK7" s="15"/>
      <c r="AIL7" s="15"/>
      <c r="AIM7" s="15"/>
      <c r="AIN7" s="15"/>
      <c r="AIO7" s="15"/>
      <c r="AIP7" s="15"/>
      <c r="AIQ7" s="15"/>
      <c r="AIR7" s="15"/>
      <c r="AIS7" s="15"/>
      <c r="AIT7" s="15"/>
      <c r="AIU7" s="15"/>
      <c r="AIV7" s="15"/>
      <c r="AIW7" s="15"/>
      <c r="AIX7" s="15"/>
      <c r="AIY7" s="15"/>
      <c r="AIZ7" s="15"/>
      <c r="AJA7" s="15"/>
      <c r="AJB7" s="15"/>
      <c r="AJC7" s="15"/>
      <c r="AJD7" s="15"/>
      <c r="AJE7" s="15"/>
      <c r="AJF7" s="15"/>
      <c r="AJG7" s="15"/>
      <c r="AJH7" s="15"/>
      <c r="AJI7" s="15"/>
      <c r="AJJ7" s="15"/>
      <c r="AJK7" s="15"/>
      <c r="AJL7" s="15"/>
      <c r="AJM7" s="15"/>
      <c r="AJN7" s="15"/>
      <c r="AJO7" s="15"/>
      <c r="AJP7" s="15"/>
      <c r="AJQ7" s="15"/>
      <c r="AJR7" s="15"/>
      <c r="AJS7" s="15"/>
      <c r="AJT7" s="15"/>
      <c r="AJU7" s="15"/>
      <c r="AJV7" s="15"/>
      <c r="AJW7" s="15"/>
      <c r="AJX7" s="15"/>
      <c r="AJY7" s="15"/>
      <c r="AJZ7" s="15"/>
      <c r="AKA7" s="15"/>
      <c r="AKB7" s="15"/>
      <c r="AKC7" s="15"/>
      <c r="AKD7" s="15"/>
      <c r="AKE7" s="15"/>
      <c r="AKF7" s="15"/>
      <c r="AKG7" s="15"/>
      <c r="AKH7" s="15"/>
      <c r="AKI7" s="15"/>
      <c r="AKJ7" s="15"/>
      <c r="AKK7" s="15"/>
      <c r="AKL7" s="15"/>
      <c r="AKM7" s="15"/>
      <c r="AKN7" s="15"/>
      <c r="AKO7" s="15"/>
      <c r="AKP7" s="15"/>
      <c r="AKQ7" s="15"/>
      <c r="AKR7" s="15"/>
      <c r="AKS7" s="15"/>
      <c r="AKT7" s="15"/>
      <c r="AKU7" s="15"/>
      <c r="AKV7" s="15"/>
      <c r="AKW7" s="15"/>
      <c r="AKX7" s="15"/>
      <c r="AKY7" s="15"/>
      <c r="AKZ7" s="15"/>
      <c r="ALA7" s="15"/>
      <c r="ALB7" s="15"/>
      <c r="ALC7" s="15"/>
      <c r="ALD7" s="15"/>
      <c r="ALE7" s="15"/>
      <c r="ALF7" s="15"/>
      <c r="ALG7" s="15"/>
      <c r="ALH7" s="15"/>
      <c r="ALI7" s="15"/>
      <c r="ALJ7" s="15"/>
      <c r="ALK7" s="15"/>
      <c r="ALL7" s="15"/>
      <c r="ALM7" s="15"/>
      <c r="ALN7" s="15"/>
      <c r="ALO7" s="15"/>
      <c r="ALP7" s="15"/>
      <c r="ALQ7" s="15"/>
      <c r="ALR7" s="15"/>
      <c r="ALS7" s="15"/>
      <c r="ALT7" s="15"/>
      <c r="ALU7" s="15"/>
      <c r="ALV7" s="15"/>
      <c r="ALW7" s="15"/>
      <c r="ALX7" s="15"/>
      <c r="ALY7" s="15"/>
      <c r="ALZ7" s="15"/>
      <c r="AMA7" s="15"/>
      <c r="AMB7" s="15"/>
      <c r="AMC7" s="15"/>
      <c r="AMD7" s="15"/>
      <c r="AME7" s="15"/>
      <c r="AMF7" s="15"/>
      <c r="AMG7" s="14"/>
    </row>
    <row r="8" spans="1:1021" s="13" customFormat="1" ht="43.5" hidden="1" x14ac:dyDescent="0.35">
      <c r="A8" s="19">
        <v>43646</v>
      </c>
      <c r="B8" s="29" t="s">
        <v>501</v>
      </c>
      <c r="C8" s="29" t="s">
        <v>500</v>
      </c>
      <c r="D8" s="30">
        <v>43648</v>
      </c>
      <c r="E8" s="29" t="s">
        <v>499</v>
      </c>
      <c r="F8" s="31">
        <v>0.66666666666666696</v>
      </c>
      <c r="G8" s="26">
        <v>0.66666666666666696</v>
      </c>
      <c r="H8" s="26">
        <v>0.66666666666666696</v>
      </c>
      <c r="I8" s="17">
        <v>240</v>
      </c>
      <c r="J8" s="17" t="s">
        <v>498</v>
      </c>
      <c r="K8" s="17" t="s">
        <v>140</v>
      </c>
      <c r="L8" s="16" t="s">
        <v>22</v>
      </c>
      <c r="M8" s="15"/>
      <c r="N8" s="15"/>
      <c r="O8" s="15"/>
      <c r="P8" s="15"/>
      <c r="Q8" s="15"/>
      <c r="R8" s="15"/>
      <c r="S8" s="15"/>
      <c r="T8" s="15"/>
      <c r="U8" s="15"/>
      <c r="V8" s="15"/>
      <c r="W8" s="15"/>
      <c r="X8" s="15"/>
      <c r="Y8" s="15"/>
      <c r="Z8" s="15"/>
      <c r="AA8" s="15"/>
      <c r="AB8" s="15"/>
      <c r="AC8" s="15"/>
      <c r="AD8" s="15"/>
      <c r="AE8" s="15"/>
      <c r="AF8" s="15"/>
      <c r="AG8" s="15"/>
      <c r="AH8" s="15"/>
      <c r="AI8" s="15"/>
      <c r="AJ8" s="15"/>
      <c r="AK8" s="15"/>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15"/>
      <c r="CR8" s="15"/>
      <c r="CS8" s="15"/>
      <c r="CT8" s="15"/>
      <c r="CU8" s="15"/>
      <c r="CV8" s="15"/>
      <c r="CW8" s="15"/>
      <c r="CX8" s="15"/>
      <c r="CY8" s="15"/>
      <c r="CZ8" s="15"/>
      <c r="DA8" s="15"/>
      <c r="DB8" s="15"/>
      <c r="DC8" s="15"/>
      <c r="DD8" s="15"/>
      <c r="DE8" s="15"/>
      <c r="DF8" s="15"/>
      <c r="DG8" s="15"/>
      <c r="DH8" s="15"/>
      <c r="DI8" s="15"/>
      <c r="DJ8" s="15"/>
      <c r="DK8" s="15"/>
      <c r="DL8" s="15"/>
      <c r="DM8" s="15"/>
      <c r="DN8" s="15"/>
      <c r="DO8" s="15"/>
      <c r="DP8" s="15"/>
      <c r="DQ8" s="15"/>
      <c r="DR8" s="15"/>
      <c r="DS8" s="15"/>
      <c r="DT8" s="15"/>
      <c r="DU8" s="15"/>
      <c r="DV8" s="15"/>
      <c r="DW8" s="15"/>
      <c r="DX8" s="15"/>
      <c r="DY8" s="15"/>
      <c r="DZ8" s="15"/>
      <c r="EA8" s="15"/>
      <c r="EB8" s="15"/>
      <c r="EC8" s="15"/>
      <c r="ED8" s="15"/>
      <c r="EE8" s="15"/>
      <c r="EF8" s="15"/>
      <c r="EG8" s="15"/>
      <c r="EH8" s="15"/>
      <c r="EI8" s="15"/>
      <c r="EJ8" s="15"/>
      <c r="EK8" s="15"/>
      <c r="EL8" s="15"/>
      <c r="EM8" s="15"/>
      <c r="EN8" s="15"/>
      <c r="EO8" s="15"/>
      <c r="EP8" s="15"/>
      <c r="EQ8" s="15"/>
      <c r="ER8" s="15"/>
      <c r="ES8" s="15"/>
      <c r="ET8" s="15"/>
      <c r="EU8" s="15"/>
      <c r="EV8" s="15"/>
      <c r="EW8" s="15"/>
      <c r="EX8" s="15"/>
      <c r="EY8" s="15"/>
      <c r="EZ8" s="15"/>
      <c r="FA8" s="15"/>
      <c r="FB8" s="15"/>
      <c r="FC8" s="15"/>
      <c r="FD8" s="15"/>
      <c r="FE8" s="15"/>
      <c r="FF8" s="15"/>
      <c r="FG8" s="15"/>
      <c r="FH8" s="15"/>
      <c r="FI8" s="15"/>
      <c r="FJ8" s="15"/>
      <c r="FK8" s="15"/>
      <c r="FL8" s="15"/>
      <c r="FM8" s="15"/>
      <c r="FN8" s="15"/>
      <c r="FO8" s="15"/>
      <c r="FP8" s="15"/>
      <c r="FQ8" s="15"/>
      <c r="FR8" s="15"/>
      <c r="FS8" s="15"/>
      <c r="FT8" s="15"/>
      <c r="FU8" s="15"/>
      <c r="FV8" s="15"/>
      <c r="FW8" s="15"/>
      <c r="FX8" s="15"/>
      <c r="FY8" s="15"/>
      <c r="FZ8" s="15"/>
      <c r="GA8" s="15"/>
      <c r="GB8" s="15"/>
      <c r="GC8" s="15"/>
      <c r="GD8" s="15"/>
      <c r="GE8" s="15"/>
      <c r="GF8" s="15"/>
      <c r="GG8" s="15"/>
      <c r="GH8" s="15"/>
      <c r="GI8" s="15"/>
      <c r="GJ8" s="15"/>
      <c r="GK8" s="15"/>
      <c r="GL8" s="15"/>
      <c r="GM8" s="15"/>
      <c r="GN8" s="15"/>
      <c r="GO8" s="15"/>
      <c r="GP8" s="15"/>
      <c r="GQ8" s="15"/>
      <c r="GR8" s="15"/>
      <c r="GS8" s="15"/>
      <c r="GT8" s="15"/>
      <c r="GU8" s="15"/>
      <c r="GV8" s="15"/>
      <c r="GW8" s="15"/>
      <c r="GX8" s="15"/>
      <c r="GY8" s="15"/>
      <c r="GZ8" s="15"/>
      <c r="HA8" s="15"/>
      <c r="HB8" s="15"/>
      <c r="HC8" s="15"/>
      <c r="HD8" s="15"/>
      <c r="HE8" s="15"/>
      <c r="HF8" s="15"/>
      <c r="HG8" s="15"/>
      <c r="HH8" s="15"/>
      <c r="HI8" s="15"/>
      <c r="HJ8" s="15"/>
      <c r="HK8" s="15"/>
      <c r="HL8" s="15"/>
      <c r="HM8" s="15"/>
      <c r="HN8" s="15"/>
      <c r="HO8" s="15"/>
      <c r="HP8" s="15"/>
      <c r="HQ8" s="15"/>
      <c r="HR8" s="15"/>
      <c r="HS8" s="15"/>
      <c r="HT8" s="15"/>
      <c r="HU8" s="15"/>
      <c r="HV8" s="15"/>
      <c r="HW8" s="15"/>
      <c r="HX8" s="15"/>
      <c r="HY8" s="15"/>
      <c r="HZ8" s="15"/>
      <c r="IA8" s="15"/>
      <c r="IB8" s="15"/>
      <c r="IC8" s="15"/>
      <c r="ID8" s="15"/>
      <c r="IE8" s="15"/>
      <c r="IF8" s="15"/>
      <c r="IG8" s="15"/>
      <c r="IH8" s="15"/>
      <c r="II8" s="15"/>
      <c r="IJ8" s="15"/>
      <c r="IK8" s="15"/>
      <c r="IL8" s="15"/>
      <c r="IM8" s="15"/>
      <c r="IN8" s="15"/>
      <c r="IO8" s="15"/>
      <c r="IP8" s="15"/>
      <c r="IQ8" s="15"/>
      <c r="IR8" s="15"/>
      <c r="IS8" s="15"/>
      <c r="IT8" s="15"/>
      <c r="IU8" s="15"/>
      <c r="IV8" s="15"/>
      <c r="IW8" s="15"/>
      <c r="IX8" s="15"/>
      <c r="IY8" s="15"/>
      <c r="IZ8" s="15"/>
      <c r="JA8" s="15"/>
      <c r="JB8" s="15"/>
      <c r="JC8" s="15"/>
      <c r="JD8" s="15"/>
      <c r="JE8" s="15"/>
      <c r="JF8" s="15"/>
      <c r="JG8" s="15"/>
      <c r="JH8" s="15"/>
      <c r="JI8" s="15"/>
      <c r="JJ8" s="15"/>
      <c r="JK8" s="15"/>
      <c r="JL8" s="15"/>
      <c r="JM8" s="15"/>
      <c r="JN8" s="15"/>
      <c r="JO8" s="15"/>
      <c r="JP8" s="15"/>
      <c r="JQ8" s="15"/>
      <c r="JR8" s="15"/>
      <c r="JS8" s="15"/>
      <c r="JT8" s="15"/>
      <c r="JU8" s="15"/>
      <c r="JV8" s="15"/>
      <c r="JW8" s="15"/>
      <c r="JX8" s="15"/>
      <c r="JY8" s="15"/>
      <c r="JZ8" s="15"/>
      <c r="KA8" s="15"/>
      <c r="KB8" s="15"/>
      <c r="KC8" s="15"/>
      <c r="KD8" s="15"/>
      <c r="KE8" s="15"/>
      <c r="KF8" s="15"/>
      <c r="KG8" s="15"/>
      <c r="KH8" s="15"/>
      <c r="KI8" s="15"/>
      <c r="KJ8" s="15"/>
      <c r="KK8" s="15"/>
      <c r="KL8" s="15"/>
      <c r="KM8" s="15"/>
      <c r="KN8" s="15"/>
      <c r="KO8" s="15"/>
      <c r="KP8" s="15"/>
      <c r="KQ8" s="15"/>
      <c r="KR8" s="15"/>
      <c r="KS8" s="15"/>
      <c r="KT8" s="15"/>
      <c r="KU8" s="15"/>
      <c r="KV8" s="15"/>
      <c r="KW8" s="15"/>
      <c r="KX8" s="15"/>
      <c r="KY8" s="15"/>
      <c r="KZ8" s="15"/>
      <c r="LA8" s="15"/>
      <c r="LB8" s="15"/>
      <c r="LC8" s="15"/>
      <c r="LD8" s="15"/>
      <c r="LE8" s="15"/>
      <c r="LF8" s="15"/>
      <c r="LG8" s="15"/>
      <c r="LH8" s="15"/>
      <c r="LI8" s="15"/>
      <c r="LJ8" s="15"/>
      <c r="LK8" s="15"/>
      <c r="LL8" s="15"/>
      <c r="LM8" s="15"/>
      <c r="LN8" s="15"/>
      <c r="LO8" s="15"/>
      <c r="LP8" s="15"/>
      <c r="LQ8" s="15"/>
      <c r="LR8" s="15"/>
      <c r="LS8" s="15"/>
      <c r="LT8" s="15"/>
      <c r="LU8" s="15"/>
      <c r="LV8" s="15"/>
      <c r="LW8" s="15"/>
      <c r="LX8" s="15"/>
      <c r="LY8" s="15"/>
      <c r="LZ8" s="15"/>
      <c r="MA8" s="15"/>
      <c r="MB8" s="15"/>
      <c r="MC8" s="15"/>
      <c r="MD8" s="15"/>
      <c r="ME8" s="15"/>
      <c r="MF8" s="15"/>
      <c r="MG8" s="15"/>
      <c r="MH8" s="15"/>
      <c r="MI8" s="15"/>
      <c r="MJ8" s="15"/>
      <c r="MK8" s="15"/>
      <c r="ML8" s="15"/>
      <c r="MM8" s="15"/>
      <c r="MN8" s="15"/>
      <c r="MO8" s="15"/>
      <c r="MP8" s="15"/>
      <c r="MQ8" s="15"/>
      <c r="MR8" s="15"/>
      <c r="MS8" s="15"/>
      <c r="MT8" s="15"/>
      <c r="MU8" s="15"/>
      <c r="MV8" s="15"/>
      <c r="MW8" s="15"/>
      <c r="MX8" s="15"/>
      <c r="MY8" s="15"/>
      <c r="MZ8" s="15"/>
      <c r="NA8" s="15"/>
      <c r="NB8" s="15"/>
      <c r="NC8" s="15"/>
      <c r="ND8" s="15"/>
      <c r="NE8" s="15"/>
      <c r="NF8" s="15"/>
      <c r="NG8" s="15"/>
      <c r="NH8" s="15"/>
      <c r="NI8" s="15"/>
      <c r="NJ8" s="15"/>
      <c r="NK8" s="15"/>
      <c r="NL8" s="15"/>
      <c r="NM8" s="15"/>
      <c r="NN8" s="15"/>
      <c r="NO8" s="15"/>
      <c r="NP8" s="15"/>
      <c r="NQ8" s="15"/>
      <c r="NR8" s="15"/>
      <c r="NS8" s="15"/>
      <c r="NT8" s="15"/>
      <c r="NU8" s="15"/>
      <c r="NV8" s="15"/>
      <c r="NW8" s="15"/>
      <c r="NX8" s="15"/>
      <c r="NY8" s="15"/>
      <c r="NZ8" s="15"/>
      <c r="OA8" s="15"/>
      <c r="OB8" s="15"/>
      <c r="OC8" s="15"/>
      <c r="OD8" s="15"/>
      <c r="OE8" s="15"/>
      <c r="OF8" s="15"/>
      <c r="OG8" s="15"/>
      <c r="OH8" s="15"/>
      <c r="OI8" s="15"/>
      <c r="OJ8" s="15"/>
      <c r="OK8" s="15"/>
      <c r="OL8" s="15"/>
      <c r="OM8" s="15"/>
      <c r="ON8" s="15"/>
      <c r="OO8" s="15"/>
      <c r="OP8" s="15"/>
      <c r="OQ8" s="15"/>
      <c r="OR8" s="15"/>
      <c r="OS8" s="15"/>
      <c r="OT8" s="15"/>
      <c r="OU8" s="15"/>
      <c r="OV8" s="15"/>
      <c r="OW8" s="15"/>
      <c r="OX8" s="15"/>
      <c r="OY8" s="15"/>
      <c r="OZ8" s="15"/>
      <c r="PA8" s="15"/>
      <c r="PB8" s="15"/>
      <c r="PC8" s="15"/>
      <c r="PD8" s="15"/>
      <c r="PE8" s="15"/>
      <c r="PF8" s="15"/>
      <c r="PG8" s="15"/>
      <c r="PH8" s="15"/>
      <c r="PI8" s="15"/>
      <c r="PJ8" s="15"/>
      <c r="PK8" s="15"/>
      <c r="PL8" s="15"/>
      <c r="PM8" s="15"/>
      <c r="PN8" s="15"/>
      <c r="PO8" s="15"/>
      <c r="PP8" s="15"/>
      <c r="PQ8" s="15"/>
      <c r="PR8" s="15"/>
      <c r="PS8" s="15"/>
      <c r="PT8" s="15"/>
      <c r="PU8" s="15"/>
      <c r="PV8" s="15"/>
      <c r="PW8" s="15"/>
      <c r="PX8" s="15"/>
      <c r="PY8" s="15"/>
      <c r="PZ8" s="15"/>
      <c r="QA8" s="15"/>
      <c r="QB8" s="15"/>
      <c r="QC8" s="15"/>
      <c r="QD8" s="15"/>
      <c r="QE8" s="15"/>
      <c r="QF8" s="15"/>
      <c r="QG8" s="15"/>
      <c r="QH8" s="15"/>
      <c r="QI8" s="15"/>
      <c r="QJ8" s="15"/>
      <c r="QK8" s="15"/>
      <c r="QL8" s="15"/>
      <c r="QM8" s="15"/>
      <c r="QN8" s="15"/>
      <c r="QO8" s="15"/>
      <c r="QP8" s="15"/>
      <c r="QQ8" s="15"/>
      <c r="QR8" s="15"/>
      <c r="QS8" s="15"/>
      <c r="QT8" s="15"/>
      <c r="QU8" s="15"/>
      <c r="QV8" s="15"/>
      <c r="QW8" s="15"/>
      <c r="QX8" s="15"/>
      <c r="QY8" s="15"/>
      <c r="QZ8" s="15"/>
      <c r="RA8" s="15"/>
      <c r="RB8" s="15"/>
      <c r="RC8" s="15"/>
      <c r="RD8" s="15"/>
      <c r="RE8" s="15"/>
      <c r="RF8" s="15"/>
      <c r="RG8" s="15"/>
      <c r="RH8" s="15"/>
      <c r="RI8" s="15"/>
      <c r="RJ8" s="15"/>
      <c r="RK8" s="15"/>
      <c r="RL8" s="15"/>
      <c r="RM8" s="15"/>
      <c r="RN8" s="15"/>
      <c r="RO8" s="15"/>
      <c r="RP8" s="15"/>
      <c r="RQ8" s="15"/>
      <c r="RR8" s="15"/>
      <c r="RS8" s="15"/>
      <c r="RT8" s="15"/>
      <c r="RU8" s="15"/>
      <c r="RV8" s="15"/>
      <c r="RW8" s="15"/>
      <c r="RX8" s="15"/>
      <c r="RY8" s="15"/>
      <c r="RZ8" s="15"/>
      <c r="SA8" s="15"/>
      <c r="SB8" s="15"/>
      <c r="SC8" s="15"/>
      <c r="SD8" s="15"/>
      <c r="SE8" s="15"/>
      <c r="SF8" s="15"/>
      <c r="SG8" s="15"/>
      <c r="SH8" s="15"/>
      <c r="SI8" s="15"/>
      <c r="SJ8" s="15"/>
      <c r="SK8" s="15"/>
      <c r="SL8" s="15"/>
      <c r="SM8" s="15"/>
      <c r="SN8" s="15"/>
      <c r="SO8" s="15"/>
      <c r="SP8" s="15"/>
      <c r="SQ8" s="15"/>
      <c r="SR8" s="15"/>
      <c r="SS8" s="15"/>
      <c r="ST8" s="15"/>
      <c r="SU8" s="15"/>
      <c r="SV8" s="15"/>
      <c r="SW8" s="15"/>
      <c r="SX8" s="15"/>
      <c r="SY8" s="15"/>
      <c r="SZ8" s="15"/>
      <c r="TA8" s="15"/>
      <c r="TB8" s="15"/>
      <c r="TC8" s="15"/>
      <c r="TD8" s="15"/>
      <c r="TE8" s="15"/>
      <c r="TF8" s="15"/>
      <c r="TG8" s="15"/>
      <c r="TH8" s="15"/>
      <c r="TI8" s="15"/>
      <c r="TJ8" s="15"/>
      <c r="TK8" s="15"/>
      <c r="TL8" s="15"/>
      <c r="TM8" s="15"/>
      <c r="TN8" s="15"/>
      <c r="TO8" s="15"/>
      <c r="TP8" s="15"/>
      <c r="TQ8" s="15"/>
      <c r="TR8" s="15"/>
      <c r="TS8" s="15"/>
      <c r="TT8" s="15"/>
      <c r="TU8" s="15"/>
      <c r="TV8" s="15"/>
      <c r="TW8" s="15"/>
      <c r="TX8" s="15"/>
      <c r="TY8" s="15"/>
      <c r="TZ8" s="15"/>
      <c r="UA8" s="15"/>
      <c r="UB8" s="15"/>
      <c r="UC8" s="15"/>
      <c r="UD8" s="15"/>
      <c r="UE8" s="15"/>
      <c r="UF8" s="15"/>
      <c r="UG8" s="15"/>
      <c r="UH8" s="15"/>
      <c r="UI8" s="15"/>
      <c r="UJ8" s="15"/>
      <c r="UK8" s="15"/>
      <c r="UL8" s="15"/>
      <c r="UM8" s="15"/>
      <c r="UN8" s="15"/>
      <c r="UO8" s="15"/>
      <c r="UP8" s="15"/>
      <c r="UQ8" s="15"/>
      <c r="UR8" s="15"/>
      <c r="US8" s="15"/>
      <c r="UT8" s="15"/>
      <c r="UU8" s="15"/>
      <c r="UV8" s="15"/>
      <c r="UW8" s="15"/>
      <c r="UX8" s="15"/>
      <c r="UY8" s="15"/>
      <c r="UZ8" s="15"/>
      <c r="VA8" s="15"/>
      <c r="VB8" s="15"/>
      <c r="VC8" s="15"/>
      <c r="VD8" s="15"/>
      <c r="VE8" s="15"/>
      <c r="VF8" s="15"/>
      <c r="VG8" s="15"/>
      <c r="VH8" s="15"/>
      <c r="VI8" s="15"/>
      <c r="VJ8" s="15"/>
      <c r="VK8" s="15"/>
      <c r="VL8" s="15"/>
      <c r="VM8" s="15"/>
      <c r="VN8" s="15"/>
      <c r="VO8" s="15"/>
      <c r="VP8" s="15"/>
      <c r="VQ8" s="15"/>
      <c r="VR8" s="15"/>
      <c r="VS8" s="15"/>
      <c r="VT8" s="15"/>
      <c r="VU8" s="15"/>
      <c r="VV8" s="15"/>
      <c r="VW8" s="15"/>
      <c r="VX8" s="15"/>
      <c r="VY8" s="15"/>
      <c r="VZ8" s="15"/>
      <c r="WA8" s="15"/>
      <c r="WB8" s="15"/>
      <c r="WC8" s="15"/>
      <c r="WD8" s="15"/>
      <c r="WE8" s="15"/>
      <c r="WF8" s="15"/>
      <c r="WG8" s="15"/>
      <c r="WH8" s="15"/>
      <c r="WI8" s="15"/>
      <c r="WJ8" s="15"/>
      <c r="WK8" s="15"/>
      <c r="WL8" s="15"/>
      <c r="WM8" s="15"/>
      <c r="WN8" s="15"/>
      <c r="WO8" s="15"/>
      <c r="WP8" s="15"/>
      <c r="WQ8" s="15"/>
      <c r="WR8" s="15"/>
      <c r="WS8" s="15"/>
      <c r="WT8" s="15"/>
      <c r="WU8" s="15"/>
      <c r="WV8" s="15"/>
      <c r="WW8" s="15"/>
      <c r="WX8" s="15"/>
      <c r="WY8" s="15"/>
      <c r="WZ8" s="15"/>
      <c r="XA8" s="15"/>
      <c r="XB8" s="15"/>
      <c r="XC8" s="15"/>
      <c r="XD8" s="15"/>
      <c r="XE8" s="15"/>
      <c r="XF8" s="15"/>
      <c r="XG8" s="15"/>
      <c r="XH8" s="15"/>
      <c r="XI8" s="15"/>
      <c r="XJ8" s="15"/>
      <c r="XK8" s="15"/>
      <c r="XL8" s="15"/>
      <c r="XM8" s="15"/>
      <c r="XN8" s="15"/>
      <c r="XO8" s="15"/>
      <c r="XP8" s="15"/>
      <c r="XQ8" s="15"/>
      <c r="XR8" s="15"/>
      <c r="XS8" s="15"/>
      <c r="XT8" s="15"/>
      <c r="XU8" s="15"/>
      <c r="XV8" s="15"/>
      <c r="XW8" s="15"/>
      <c r="XX8" s="15"/>
      <c r="XY8" s="15"/>
      <c r="XZ8" s="15"/>
      <c r="YA8" s="15"/>
      <c r="YB8" s="15"/>
      <c r="YC8" s="15"/>
      <c r="YD8" s="15"/>
      <c r="YE8" s="15"/>
      <c r="YF8" s="15"/>
      <c r="YG8" s="15"/>
      <c r="YH8" s="15"/>
      <c r="YI8" s="15"/>
      <c r="YJ8" s="15"/>
      <c r="YK8" s="15"/>
      <c r="YL8" s="15"/>
      <c r="YM8" s="15"/>
      <c r="YN8" s="15"/>
      <c r="YO8" s="15"/>
      <c r="YP8" s="15"/>
      <c r="YQ8" s="15"/>
      <c r="YR8" s="15"/>
      <c r="YS8" s="15"/>
      <c r="YT8" s="15"/>
      <c r="YU8" s="15"/>
      <c r="YV8" s="15"/>
      <c r="YW8" s="15"/>
      <c r="YX8" s="15"/>
      <c r="YY8" s="15"/>
      <c r="YZ8" s="15"/>
      <c r="ZA8" s="15"/>
      <c r="ZB8" s="15"/>
      <c r="ZC8" s="15"/>
      <c r="ZD8" s="15"/>
      <c r="ZE8" s="15"/>
      <c r="ZF8" s="15"/>
      <c r="ZG8" s="15"/>
      <c r="ZH8" s="15"/>
      <c r="ZI8" s="15"/>
      <c r="ZJ8" s="15"/>
      <c r="ZK8" s="15"/>
      <c r="ZL8" s="15"/>
      <c r="ZM8" s="15"/>
      <c r="ZN8" s="15"/>
      <c r="ZO8" s="15"/>
      <c r="ZP8" s="15"/>
      <c r="ZQ8" s="15"/>
      <c r="ZR8" s="15"/>
      <c r="ZS8" s="15"/>
      <c r="ZT8" s="15"/>
      <c r="ZU8" s="15"/>
      <c r="ZV8" s="15"/>
      <c r="ZW8" s="15"/>
      <c r="ZX8" s="15"/>
      <c r="ZY8" s="15"/>
      <c r="ZZ8" s="15"/>
      <c r="AAA8" s="15"/>
      <c r="AAB8" s="15"/>
      <c r="AAC8" s="15"/>
      <c r="AAD8" s="15"/>
      <c r="AAE8" s="15"/>
      <c r="AAF8" s="15"/>
      <c r="AAG8" s="15"/>
      <c r="AAH8" s="15"/>
      <c r="AAI8" s="15"/>
      <c r="AAJ8" s="15"/>
      <c r="AAK8" s="15"/>
      <c r="AAL8" s="15"/>
      <c r="AAM8" s="15"/>
      <c r="AAN8" s="15"/>
      <c r="AAO8" s="15"/>
      <c r="AAP8" s="15"/>
      <c r="AAQ8" s="15"/>
      <c r="AAR8" s="15"/>
      <c r="AAS8" s="15"/>
      <c r="AAT8" s="15"/>
      <c r="AAU8" s="15"/>
      <c r="AAV8" s="15"/>
      <c r="AAW8" s="15"/>
      <c r="AAX8" s="15"/>
      <c r="AAY8" s="15"/>
      <c r="AAZ8" s="15"/>
      <c r="ABA8" s="15"/>
      <c r="ABB8" s="15"/>
      <c r="ABC8" s="15"/>
      <c r="ABD8" s="15"/>
      <c r="ABE8" s="15"/>
      <c r="ABF8" s="15"/>
      <c r="ABG8" s="15"/>
      <c r="ABH8" s="15"/>
      <c r="ABI8" s="15"/>
      <c r="ABJ8" s="15"/>
      <c r="ABK8" s="15"/>
      <c r="ABL8" s="15"/>
      <c r="ABM8" s="15"/>
      <c r="ABN8" s="15"/>
      <c r="ABO8" s="15"/>
      <c r="ABP8" s="15"/>
      <c r="ABQ8" s="15"/>
      <c r="ABR8" s="15"/>
      <c r="ABS8" s="15"/>
      <c r="ABT8" s="15"/>
      <c r="ABU8" s="15"/>
      <c r="ABV8" s="15"/>
      <c r="ABW8" s="15"/>
      <c r="ABX8" s="15"/>
      <c r="ABY8" s="15"/>
      <c r="ABZ8" s="15"/>
      <c r="ACA8" s="15"/>
      <c r="ACB8" s="15"/>
      <c r="ACC8" s="15"/>
      <c r="ACD8" s="15"/>
      <c r="ACE8" s="15"/>
      <c r="ACF8" s="15"/>
      <c r="ACG8" s="15"/>
      <c r="ACH8" s="15"/>
      <c r="ACI8" s="15"/>
      <c r="ACJ8" s="15"/>
      <c r="ACK8" s="15"/>
      <c r="ACL8" s="15"/>
      <c r="ACM8" s="15"/>
      <c r="ACN8" s="15"/>
      <c r="ACO8" s="15"/>
      <c r="ACP8" s="15"/>
      <c r="ACQ8" s="15"/>
      <c r="ACR8" s="15"/>
      <c r="ACS8" s="15"/>
      <c r="ACT8" s="15"/>
      <c r="ACU8" s="15"/>
      <c r="ACV8" s="15"/>
      <c r="ACW8" s="15"/>
      <c r="ACX8" s="15"/>
      <c r="ACY8" s="15"/>
      <c r="ACZ8" s="15"/>
      <c r="ADA8" s="15"/>
      <c r="ADB8" s="15"/>
      <c r="ADC8" s="15"/>
      <c r="ADD8" s="15"/>
      <c r="ADE8" s="15"/>
      <c r="ADF8" s="15"/>
      <c r="ADG8" s="15"/>
      <c r="ADH8" s="15"/>
      <c r="ADI8" s="15"/>
      <c r="ADJ8" s="15"/>
      <c r="ADK8" s="15"/>
      <c r="ADL8" s="15"/>
      <c r="ADM8" s="15"/>
      <c r="ADN8" s="15"/>
      <c r="ADO8" s="15"/>
      <c r="ADP8" s="15"/>
      <c r="ADQ8" s="15"/>
      <c r="ADR8" s="15"/>
      <c r="ADS8" s="15"/>
      <c r="ADT8" s="15"/>
      <c r="ADU8" s="15"/>
      <c r="ADV8" s="15"/>
      <c r="ADW8" s="15"/>
      <c r="ADX8" s="15"/>
      <c r="ADY8" s="15"/>
      <c r="ADZ8" s="15"/>
      <c r="AEA8" s="15"/>
      <c r="AEB8" s="15"/>
      <c r="AEC8" s="15"/>
      <c r="AED8" s="15"/>
      <c r="AEE8" s="15"/>
      <c r="AEF8" s="15"/>
      <c r="AEG8" s="15"/>
      <c r="AEH8" s="15"/>
      <c r="AEI8" s="15"/>
      <c r="AEJ8" s="15"/>
      <c r="AEK8" s="15"/>
      <c r="AEL8" s="15"/>
      <c r="AEM8" s="15"/>
      <c r="AEN8" s="15"/>
      <c r="AEO8" s="15"/>
      <c r="AEP8" s="15"/>
      <c r="AEQ8" s="15"/>
      <c r="AER8" s="15"/>
      <c r="AES8" s="15"/>
      <c r="AET8" s="15"/>
      <c r="AEU8" s="15"/>
      <c r="AEV8" s="15"/>
      <c r="AEW8" s="15"/>
      <c r="AEX8" s="15"/>
      <c r="AEY8" s="15"/>
      <c r="AEZ8" s="15"/>
      <c r="AFA8" s="15"/>
      <c r="AFB8" s="15"/>
      <c r="AFC8" s="15"/>
      <c r="AFD8" s="15"/>
      <c r="AFE8" s="15"/>
      <c r="AFF8" s="15"/>
      <c r="AFG8" s="15"/>
      <c r="AFH8" s="15"/>
      <c r="AFI8" s="15"/>
      <c r="AFJ8" s="15"/>
      <c r="AFK8" s="15"/>
      <c r="AFL8" s="15"/>
      <c r="AFM8" s="15"/>
      <c r="AFN8" s="15"/>
      <c r="AFO8" s="15"/>
      <c r="AFP8" s="15"/>
      <c r="AFQ8" s="15"/>
      <c r="AFR8" s="15"/>
      <c r="AFS8" s="15"/>
      <c r="AFT8" s="15"/>
      <c r="AFU8" s="15"/>
      <c r="AFV8" s="15"/>
      <c r="AFW8" s="15"/>
      <c r="AFX8" s="15"/>
      <c r="AFY8" s="15"/>
      <c r="AFZ8" s="15"/>
      <c r="AGA8" s="15"/>
      <c r="AGB8" s="15"/>
      <c r="AGC8" s="15"/>
      <c r="AGD8" s="15"/>
      <c r="AGE8" s="15"/>
      <c r="AGF8" s="15"/>
      <c r="AGG8" s="15"/>
      <c r="AGH8" s="15"/>
      <c r="AGI8" s="15"/>
      <c r="AGJ8" s="15"/>
      <c r="AGK8" s="15"/>
      <c r="AGL8" s="15"/>
      <c r="AGM8" s="15"/>
      <c r="AGN8" s="15"/>
      <c r="AGO8" s="15"/>
      <c r="AGP8" s="15"/>
      <c r="AGQ8" s="15"/>
      <c r="AGR8" s="15"/>
      <c r="AGS8" s="15"/>
      <c r="AGT8" s="15"/>
      <c r="AGU8" s="15"/>
      <c r="AGV8" s="15"/>
      <c r="AGW8" s="15"/>
      <c r="AGX8" s="15"/>
      <c r="AGY8" s="15"/>
      <c r="AGZ8" s="15"/>
      <c r="AHA8" s="15"/>
      <c r="AHB8" s="15"/>
      <c r="AHC8" s="15"/>
      <c r="AHD8" s="15"/>
      <c r="AHE8" s="15"/>
      <c r="AHF8" s="15"/>
      <c r="AHG8" s="15"/>
      <c r="AHH8" s="15"/>
      <c r="AHI8" s="15"/>
      <c r="AHJ8" s="15"/>
      <c r="AHK8" s="15"/>
      <c r="AHL8" s="15"/>
      <c r="AHM8" s="15"/>
      <c r="AHN8" s="15"/>
      <c r="AHO8" s="15"/>
      <c r="AHP8" s="15"/>
      <c r="AHQ8" s="15"/>
      <c r="AHR8" s="15"/>
      <c r="AHS8" s="15"/>
      <c r="AHT8" s="15"/>
      <c r="AHU8" s="15"/>
      <c r="AHV8" s="15"/>
      <c r="AHW8" s="15"/>
      <c r="AHX8" s="15"/>
      <c r="AHY8" s="15"/>
      <c r="AHZ8" s="15"/>
      <c r="AIA8" s="15"/>
      <c r="AIB8" s="15"/>
      <c r="AIC8" s="15"/>
      <c r="AID8" s="15"/>
      <c r="AIE8" s="15"/>
      <c r="AIF8" s="15"/>
      <c r="AIG8" s="15"/>
      <c r="AIH8" s="15"/>
      <c r="AII8" s="15"/>
      <c r="AIJ8" s="15"/>
      <c r="AIK8" s="15"/>
      <c r="AIL8" s="15"/>
      <c r="AIM8" s="15"/>
      <c r="AIN8" s="15"/>
      <c r="AIO8" s="15"/>
      <c r="AIP8" s="15"/>
      <c r="AIQ8" s="15"/>
      <c r="AIR8" s="15"/>
      <c r="AIS8" s="15"/>
      <c r="AIT8" s="15"/>
      <c r="AIU8" s="15"/>
      <c r="AIV8" s="15"/>
      <c r="AIW8" s="15"/>
      <c r="AIX8" s="15"/>
      <c r="AIY8" s="15"/>
      <c r="AIZ8" s="15"/>
      <c r="AJA8" s="15"/>
      <c r="AJB8" s="15"/>
      <c r="AJC8" s="15"/>
      <c r="AJD8" s="15"/>
      <c r="AJE8" s="15"/>
      <c r="AJF8" s="15"/>
      <c r="AJG8" s="15"/>
      <c r="AJH8" s="15"/>
      <c r="AJI8" s="15"/>
      <c r="AJJ8" s="15"/>
      <c r="AJK8" s="15"/>
      <c r="AJL8" s="15"/>
      <c r="AJM8" s="15"/>
      <c r="AJN8" s="15"/>
      <c r="AJO8" s="15"/>
      <c r="AJP8" s="15"/>
      <c r="AJQ8" s="15"/>
      <c r="AJR8" s="15"/>
      <c r="AJS8" s="15"/>
      <c r="AJT8" s="15"/>
      <c r="AJU8" s="15"/>
      <c r="AJV8" s="15"/>
      <c r="AJW8" s="15"/>
      <c r="AJX8" s="15"/>
      <c r="AJY8" s="15"/>
      <c r="AJZ8" s="15"/>
      <c r="AKA8" s="15"/>
      <c r="AKB8" s="15"/>
      <c r="AKC8" s="15"/>
      <c r="AKD8" s="15"/>
      <c r="AKE8" s="15"/>
      <c r="AKF8" s="15"/>
      <c r="AKG8" s="15"/>
      <c r="AKH8" s="15"/>
      <c r="AKI8" s="15"/>
      <c r="AKJ8" s="15"/>
      <c r="AKK8" s="15"/>
      <c r="AKL8" s="15"/>
      <c r="AKM8" s="15"/>
      <c r="AKN8" s="15"/>
      <c r="AKO8" s="15"/>
      <c r="AKP8" s="15"/>
      <c r="AKQ8" s="15"/>
      <c r="AKR8" s="15"/>
      <c r="AKS8" s="15"/>
      <c r="AKT8" s="15"/>
      <c r="AKU8" s="15"/>
      <c r="AKV8" s="15"/>
      <c r="AKW8" s="15"/>
      <c r="AKX8" s="15"/>
      <c r="AKY8" s="15"/>
      <c r="AKZ8" s="15"/>
      <c r="ALA8" s="15"/>
      <c r="ALB8" s="15"/>
      <c r="ALC8" s="15"/>
      <c r="ALD8" s="15"/>
      <c r="ALE8" s="15"/>
      <c r="ALF8" s="15"/>
      <c r="ALG8" s="15"/>
      <c r="ALH8" s="15"/>
      <c r="ALI8" s="15"/>
      <c r="ALJ8" s="15"/>
      <c r="ALK8" s="15"/>
      <c r="ALL8" s="15"/>
      <c r="ALM8" s="15"/>
      <c r="ALN8" s="15"/>
      <c r="ALO8" s="15"/>
      <c r="ALP8" s="15"/>
      <c r="ALQ8" s="15"/>
      <c r="ALR8" s="15"/>
      <c r="ALS8" s="15"/>
      <c r="ALT8" s="15"/>
      <c r="ALU8" s="15"/>
      <c r="ALV8" s="15"/>
      <c r="ALW8" s="15"/>
      <c r="ALX8" s="15"/>
      <c r="ALY8" s="15"/>
      <c r="ALZ8" s="15"/>
      <c r="AMA8" s="15"/>
      <c r="AMB8" s="15"/>
      <c r="AMC8" s="15"/>
      <c r="AMD8" s="15"/>
      <c r="AME8" s="15"/>
      <c r="AMF8" s="15"/>
      <c r="AMG8" s="14"/>
    </row>
    <row r="9" spans="1:1021" s="13" customFormat="1" ht="72.5" hidden="1" x14ac:dyDescent="0.35">
      <c r="A9" s="19">
        <v>43648</v>
      </c>
      <c r="B9" s="17" t="s">
        <v>340</v>
      </c>
      <c r="C9" s="17" t="s">
        <v>497</v>
      </c>
      <c r="D9" s="18">
        <v>43649</v>
      </c>
      <c r="E9" s="17" t="s">
        <v>496</v>
      </c>
      <c r="F9" s="26">
        <v>0.5</v>
      </c>
      <c r="G9" s="26">
        <v>0.5</v>
      </c>
      <c r="H9" s="26">
        <v>0.52083333333333304</v>
      </c>
      <c r="I9" s="17">
        <v>0</v>
      </c>
      <c r="J9" s="17" t="s">
        <v>16</v>
      </c>
      <c r="K9" s="17" t="s">
        <v>15</v>
      </c>
      <c r="L9" s="16" t="s">
        <v>17</v>
      </c>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15"/>
      <c r="CR9" s="15"/>
      <c r="CS9" s="15"/>
      <c r="CT9" s="15"/>
      <c r="CU9" s="15"/>
      <c r="CV9" s="15"/>
      <c r="CW9" s="15"/>
      <c r="CX9" s="15"/>
      <c r="CY9" s="15"/>
      <c r="CZ9" s="15"/>
      <c r="DA9" s="15"/>
      <c r="DB9" s="15"/>
      <c r="DC9" s="15"/>
      <c r="DD9" s="15"/>
      <c r="DE9" s="15"/>
      <c r="DF9" s="15"/>
      <c r="DG9" s="15"/>
      <c r="DH9" s="15"/>
      <c r="DI9" s="15"/>
      <c r="DJ9" s="15"/>
      <c r="DK9" s="15"/>
      <c r="DL9" s="15"/>
      <c r="DM9" s="15"/>
      <c r="DN9" s="15"/>
      <c r="DO9" s="15"/>
      <c r="DP9" s="15"/>
      <c r="DQ9" s="15"/>
      <c r="DR9" s="15"/>
      <c r="DS9" s="15"/>
      <c r="DT9" s="15"/>
      <c r="DU9" s="15"/>
      <c r="DV9" s="15"/>
      <c r="DW9" s="15"/>
      <c r="DX9" s="15"/>
      <c r="DY9" s="15"/>
      <c r="DZ9" s="15"/>
      <c r="EA9" s="15"/>
      <c r="EB9" s="15"/>
      <c r="EC9" s="15"/>
      <c r="ED9" s="15"/>
      <c r="EE9" s="15"/>
      <c r="EF9" s="15"/>
      <c r="EG9" s="15"/>
      <c r="EH9" s="15"/>
      <c r="EI9" s="15"/>
      <c r="EJ9" s="15"/>
      <c r="EK9" s="15"/>
      <c r="EL9" s="15"/>
      <c r="EM9" s="15"/>
      <c r="EN9" s="15"/>
      <c r="EO9" s="15"/>
      <c r="EP9" s="15"/>
      <c r="EQ9" s="15"/>
      <c r="ER9" s="15"/>
      <c r="ES9" s="15"/>
      <c r="ET9" s="15"/>
      <c r="EU9" s="15"/>
      <c r="EV9" s="15"/>
      <c r="EW9" s="15"/>
      <c r="EX9" s="15"/>
      <c r="EY9" s="15"/>
      <c r="EZ9" s="15"/>
      <c r="FA9" s="15"/>
      <c r="FB9" s="15"/>
      <c r="FC9" s="15"/>
      <c r="FD9" s="15"/>
      <c r="FE9" s="15"/>
      <c r="FF9" s="15"/>
      <c r="FG9" s="15"/>
      <c r="FH9" s="15"/>
      <c r="FI9" s="15"/>
      <c r="FJ9" s="15"/>
      <c r="FK9" s="15"/>
      <c r="FL9" s="15"/>
      <c r="FM9" s="15"/>
      <c r="FN9" s="15"/>
      <c r="FO9" s="15"/>
      <c r="FP9" s="15"/>
      <c r="FQ9" s="15"/>
      <c r="FR9" s="15"/>
      <c r="FS9" s="15"/>
      <c r="FT9" s="15"/>
      <c r="FU9" s="15"/>
      <c r="FV9" s="15"/>
      <c r="FW9" s="15"/>
      <c r="FX9" s="15"/>
      <c r="FY9" s="15"/>
      <c r="FZ9" s="15"/>
      <c r="GA9" s="15"/>
      <c r="GB9" s="15"/>
      <c r="GC9" s="15"/>
      <c r="GD9" s="15"/>
      <c r="GE9" s="15"/>
      <c r="GF9" s="15"/>
      <c r="GG9" s="15"/>
      <c r="GH9" s="15"/>
      <c r="GI9" s="15"/>
      <c r="GJ9" s="15"/>
      <c r="GK9" s="15"/>
      <c r="GL9" s="15"/>
      <c r="GM9" s="15"/>
      <c r="GN9" s="15"/>
      <c r="GO9" s="15"/>
      <c r="GP9" s="15"/>
      <c r="GQ9" s="15"/>
      <c r="GR9" s="15"/>
      <c r="GS9" s="15"/>
      <c r="GT9" s="15"/>
      <c r="GU9" s="15"/>
      <c r="GV9" s="15"/>
      <c r="GW9" s="15"/>
      <c r="GX9" s="15"/>
      <c r="GY9" s="15"/>
      <c r="GZ9" s="15"/>
      <c r="HA9" s="15"/>
      <c r="HB9" s="15"/>
      <c r="HC9" s="15"/>
      <c r="HD9" s="15"/>
      <c r="HE9" s="15"/>
      <c r="HF9" s="15"/>
      <c r="HG9" s="15"/>
      <c r="HH9" s="15"/>
      <c r="HI9" s="15"/>
      <c r="HJ9" s="15"/>
      <c r="HK9" s="15"/>
      <c r="HL9" s="15"/>
      <c r="HM9" s="15"/>
      <c r="HN9" s="15"/>
      <c r="HO9" s="15"/>
      <c r="HP9" s="15"/>
      <c r="HQ9" s="15"/>
      <c r="HR9" s="15"/>
      <c r="HS9" s="15"/>
      <c r="HT9" s="15"/>
      <c r="HU9" s="15"/>
      <c r="HV9" s="15"/>
      <c r="HW9" s="15"/>
      <c r="HX9" s="15"/>
      <c r="HY9" s="15"/>
      <c r="HZ9" s="15"/>
      <c r="IA9" s="15"/>
      <c r="IB9" s="15"/>
      <c r="IC9" s="15"/>
      <c r="ID9" s="15"/>
      <c r="IE9" s="15"/>
      <c r="IF9" s="15"/>
      <c r="IG9" s="15"/>
      <c r="IH9" s="15"/>
      <c r="II9" s="15"/>
      <c r="IJ9" s="15"/>
      <c r="IK9" s="15"/>
      <c r="IL9" s="15"/>
      <c r="IM9" s="15"/>
      <c r="IN9" s="15"/>
      <c r="IO9" s="15"/>
      <c r="IP9" s="15"/>
      <c r="IQ9" s="15"/>
      <c r="IR9" s="15"/>
      <c r="IS9" s="15"/>
      <c r="IT9" s="15"/>
      <c r="IU9" s="15"/>
      <c r="IV9" s="15"/>
      <c r="IW9" s="15"/>
      <c r="IX9" s="15"/>
      <c r="IY9" s="15"/>
      <c r="IZ9" s="15"/>
      <c r="JA9" s="15"/>
      <c r="JB9" s="15"/>
      <c r="JC9" s="15"/>
      <c r="JD9" s="15"/>
      <c r="JE9" s="15"/>
      <c r="JF9" s="15"/>
      <c r="JG9" s="15"/>
      <c r="JH9" s="15"/>
      <c r="JI9" s="15"/>
      <c r="JJ9" s="15"/>
      <c r="JK9" s="15"/>
      <c r="JL9" s="15"/>
      <c r="JM9" s="15"/>
      <c r="JN9" s="15"/>
      <c r="JO9" s="15"/>
      <c r="JP9" s="15"/>
      <c r="JQ9" s="15"/>
      <c r="JR9" s="15"/>
      <c r="JS9" s="15"/>
      <c r="JT9" s="15"/>
      <c r="JU9" s="15"/>
      <c r="JV9" s="15"/>
      <c r="JW9" s="15"/>
      <c r="JX9" s="15"/>
      <c r="JY9" s="15"/>
      <c r="JZ9" s="15"/>
      <c r="KA9" s="15"/>
      <c r="KB9" s="15"/>
      <c r="KC9" s="15"/>
      <c r="KD9" s="15"/>
      <c r="KE9" s="15"/>
      <c r="KF9" s="15"/>
      <c r="KG9" s="15"/>
      <c r="KH9" s="15"/>
      <c r="KI9" s="15"/>
      <c r="KJ9" s="15"/>
      <c r="KK9" s="15"/>
      <c r="KL9" s="15"/>
      <c r="KM9" s="15"/>
      <c r="KN9" s="15"/>
      <c r="KO9" s="15"/>
      <c r="KP9" s="15"/>
      <c r="KQ9" s="15"/>
      <c r="KR9" s="15"/>
      <c r="KS9" s="15"/>
      <c r="KT9" s="15"/>
      <c r="KU9" s="15"/>
      <c r="KV9" s="15"/>
      <c r="KW9" s="15"/>
      <c r="KX9" s="15"/>
      <c r="KY9" s="15"/>
      <c r="KZ9" s="15"/>
      <c r="LA9" s="15"/>
      <c r="LB9" s="15"/>
      <c r="LC9" s="15"/>
      <c r="LD9" s="15"/>
      <c r="LE9" s="15"/>
      <c r="LF9" s="15"/>
      <c r="LG9" s="15"/>
      <c r="LH9" s="15"/>
      <c r="LI9" s="15"/>
      <c r="LJ9" s="15"/>
      <c r="LK9" s="15"/>
      <c r="LL9" s="15"/>
      <c r="LM9" s="15"/>
      <c r="LN9" s="15"/>
      <c r="LO9" s="15"/>
      <c r="LP9" s="15"/>
      <c r="LQ9" s="15"/>
      <c r="LR9" s="15"/>
      <c r="LS9" s="15"/>
      <c r="LT9" s="15"/>
      <c r="LU9" s="15"/>
      <c r="LV9" s="15"/>
      <c r="LW9" s="15"/>
      <c r="LX9" s="15"/>
      <c r="LY9" s="15"/>
      <c r="LZ9" s="15"/>
      <c r="MA9" s="15"/>
      <c r="MB9" s="15"/>
      <c r="MC9" s="15"/>
      <c r="MD9" s="15"/>
      <c r="ME9" s="15"/>
      <c r="MF9" s="15"/>
      <c r="MG9" s="15"/>
      <c r="MH9" s="15"/>
      <c r="MI9" s="15"/>
      <c r="MJ9" s="15"/>
      <c r="MK9" s="15"/>
      <c r="ML9" s="15"/>
      <c r="MM9" s="15"/>
      <c r="MN9" s="15"/>
      <c r="MO9" s="15"/>
      <c r="MP9" s="15"/>
      <c r="MQ9" s="15"/>
      <c r="MR9" s="15"/>
      <c r="MS9" s="15"/>
      <c r="MT9" s="15"/>
      <c r="MU9" s="15"/>
      <c r="MV9" s="15"/>
      <c r="MW9" s="15"/>
      <c r="MX9" s="15"/>
      <c r="MY9" s="15"/>
      <c r="MZ9" s="15"/>
      <c r="NA9" s="15"/>
      <c r="NB9" s="15"/>
      <c r="NC9" s="15"/>
      <c r="ND9" s="15"/>
      <c r="NE9" s="15"/>
      <c r="NF9" s="15"/>
      <c r="NG9" s="15"/>
      <c r="NH9" s="15"/>
      <c r="NI9" s="15"/>
      <c r="NJ9" s="15"/>
      <c r="NK9" s="15"/>
      <c r="NL9" s="15"/>
      <c r="NM9" s="15"/>
      <c r="NN9" s="15"/>
      <c r="NO9" s="15"/>
      <c r="NP9" s="15"/>
      <c r="NQ9" s="15"/>
      <c r="NR9" s="15"/>
      <c r="NS9" s="15"/>
      <c r="NT9" s="15"/>
      <c r="NU9" s="15"/>
      <c r="NV9" s="15"/>
      <c r="NW9" s="15"/>
      <c r="NX9" s="15"/>
      <c r="NY9" s="15"/>
      <c r="NZ9" s="15"/>
      <c r="OA9" s="15"/>
      <c r="OB9" s="15"/>
      <c r="OC9" s="15"/>
      <c r="OD9" s="15"/>
      <c r="OE9" s="15"/>
      <c r="OF9" s="15"/>
      <c r="OG9" s="15"/>
      <c r="OH9" s="15"/>
      <c r="OI9" s="15"/>
      <c r="OJ9" s="15"/>
      <c r="OK9" s="15"/>
      <c r="OL9" s="15"/>
      <c r="OM9" s="15"/>
      <c r="ON9" s="15"/>
      <c r="OO9" s="15"/>
      <c r="OP9" s="15"/>
      <c r="OQ9" s="15"/>
      <c r="OR9" s="15"/>
      <c r="OS9" s="15"/>
      <c r="OT9" s="15"/>
      <c r="OU9" s="15"/>
      <c r="OV9" s="15"/>
      <c r="OW9" s="15"/>
      <c r="OX9" s="15"/>
      <c r="OY9" s="15"/>
      <c r="OZ9" s="15"/>
      <c r="PA9" s="15"/>
      <c r="PB9" s="15"/>
      <c r="PC9" s="15"/>
      <c r="PD9" s="15"/>
      <c r="PE9" s="15"/>
      <c r="PF9" s="15"/>
      <c r="PG9" s="15"/>
      <c r="PH9" s="15"/>
      <c r="PI9" s="15"/>
      <c r="PJ9" s="15"/>
      <c r="PK9" s="15"/>
      <c r="PL9" s="15"/>
      <c r="PM9" s="15"/>
      <c r="PN9" s="15"/>
      <c r="PO9" s="15"/>
      <c r="PP9" s="15"/>
      <c r="PQ9" s="15"/>
      <c r="PR9" s="15"/>
      <c r="PS9" s="15"/>
      <c r="PT9" s="15"/>
      <c r="PU9" s="15"/>
      <c r="PV9" s="15"/>
      <c r="PW9" s="15"/>
      <c r="PX9" s="15"/>
      <c r="PY9" s="15"/>
      <c r="PZ9" s="15"/>
      <c r="QA9" s="15"/>
      <c r="QB9" s="15"/>
      <c r="QC9" s="15"/>
      <c r="QD9" s="15"/>
      <c r="QE9" s="15"/>
      <c r="QF9" s="15"/>
      <c r="QG9" s="15"/>
      <c r="QH9" s="15"/>
      <c r="QI9" s="15"/>
      <c r="QJ9" s="15"/>
      <c r="QK9" s="15"/>
      <c r="QL9" s="15"/>
      <c r="QM9" s="15"/>
      <c r="QN9" s="15"/>
      <c r="QO9" s="15"/>
      <c r="QP9" s="15"/>
      <c r="QQ9" s="15"/>
      <c r="QR9" s="15"/>
      <c r="QS9" s="15"/>
      <c r="QT9" s="15"/>
      <c r="QU9" s="15"/>
      <c r="QV9" s="15"/>
      <c r="QW9" s="15"/>
      <c r="QX9" s="15"/>
      <c r="QY9" s="15"/>
      <c r="QZ9" s="15"/>
      <c r="RA9" s="15"/>
      <c r="RB9" s="15"/>
      <c r="RC9" s="15"/>
      <c r="RD9" s="15"/>
      <c r="RE9" s="15"/>
      <c r="RF9" s="15"/>
      <c r="RG9" s="15"/>
      <c r="RH9" s="15"/>
      <c r="RI9" s="15"/>
      <c r="RJ9" s="15"/>
      <c r="RK9" s="15"/>
      <c r="RL9" s="15"/>
      <c r="RM9" s="15"/>
      <c r="RN9" s="15"/>
      <c r="RO9" s="15"/>
      <c r="RP9" s="15"/>
      <c r="RQ9" s="15"/>
      <c r="RR9" s="15"/>
      <c r="RS9" s="15"/>
      <c r="RT9" s="15"/>
      <c r="RU9" s="15"/>
      <c r="RV9" s="15"/>
      <c r="RW9" s="15"/>
      <c r="RX9" s="15"/>
      <c r="RY9" s="15"/>
      <c r="RZ9" s="15"/>
      <c r="SA9" s="15"/>
      <c r="SB9" s="15"/>
      <c r="SC9" s="15"/>
      <c r="SD9" s="15"/>
      <c r="SE9" s="15"/>
      <c r="SF9" s="15"/>
      <c r="SG9" s="15"/>
      <c r="SH9" s="15"/>
      <c r="SI9" s="15"/>
      <c r="SJ9" s="15"/>
      <c r="SK9" s="15"/>
      <c r="SL9" s="15"/>
      <c r="SM9" s="15"/>
      <c r="SN9" s="15"/>
      <c r="SO9" s="15"/>
      <c r="SP9" s="15"/>
      <c r="SQ9" s="15"/>
      <c r="SR9" s="15"/>
      <c r="SS9" s="15"/>
      <c r="ST9" s="15"/>
      <c r="SU9" s="15"/>
      <c r="SV9" s="15"/>
      <c r="SW9" s="15"/>
      <c r="SX9" s="15"/>
      <c r="SY9" s="15"/>
      <c r="SZ9" s="15"/>
      <c r="TA9" s="15"/>
      <c r="TB9" s="15"/>
      <c r="TC9" s="15"/>
      <c r="TD9" s="15"/>
      <c r="TE9" s="15"/>
      <c r="TF9" s="15"/>
      <c r="TG9" s="15"/>
      <c r="TH9" s="15"/>
      <c r="TI9" s="15"/>
      <c r="TJ9" s="15"/>
      <c r="TK9" s="15"/>
      <c r="TL9" s="15"/>
      <c r="TM9" s="15"/>
      <c r="TN9" s="15"/>
      <c r="TO9" s="15"/>
      <c r="TP9" s="15"/>
      <c r="TQ9" s="15"/>
      <c r="TR9" s="15"/>
      <c r="TS9" s="15"/>
      <c r="TT9" s="15"/>
      <c r="TU9" s="15"/>
      <c r="TV9" s="15"/>
      <c r="TW9" s="15"/>
      <c r="TX9" s="15"/>
      <c r="TY9" s="15"/>
      <c r="TZ9" s="15"/>
      <c r="UA9" s="15"/>
      <c r="UB9" s="15"/>
      <c r="UC9" s="15"/>
      <c r="UD9" s="15"/>
      <c r="UE9" s="15"/>
      <c r="UF9" s="15"/>
      <c r="UG9" s="15"/>
      <c r="UH9" s="15"/>
      <c r="UI9" s="15"/>
      <c r="UJ9" s="15"/>
      <c r="UK9" s="15"/>
      <c r="UL9" s="15"/>
      <c r="UM9" s="15"/>
      <c r="UN9" s="15"/>
      <c r="UO9" s="15"/>
      <c r="UP9" s="15"/>
      <c r="UQ9" s="15"/>
      <c r="UR9" s="15"/>
      <c r="US9" s="15"/>
      <c r="UT9" s="15"/>
      <c r="UU9" s="15"/>
      <c r="UV9" s="15"/>
      <c r="UW9" s="15"/>
      <c r="UX9" s="15"/>
      <c r="UY9" s="15"/>
      <c r="UZ9" s="15"/>
      <c r="VA9" s="15"/>
      <c r="VB9" s="15"/>
      <c r="VC9" s="15"/>
      <c r="VD9" s="15"/>
      <c r="VE9" s="15"/>
      <c r="VF9" s="15"/>
      <c r="VG9" s="15"/>
      <c r="VH9" s="15"/>
      <c r="VI9" s="15"/>
      <c r="VJ9" s="15"/>
      <c r="VK9" s="15"/>
      <c r="VL9" s="15"/>
      <c r="VM9" s="15"/>
      <c r="VN9" s="15"/>
      <c r="VO9" s="15"/>
      <c r="VP9" s="15"/>
      <c r="VQ9" s="15"/>
      <c r="VR9" s="15"/>
      <c r="VS9" s="15"/>
      <c r="VT9" s="15"/>
      <c r="VU9" s="15"/>
      <c r="VV9" s="15"/>
      <c r="VW9" s="15"/>
      <c r="VX9" s="15"/>
      <c r="VY9" s="15"/>
      <c r="VZ9" s="15"/>
      <c r="WA9" s="15"/>
      <c r="WB9" s="15"/>
      <c r="WC9" s="15"/>
      <c r="WD9" s="15"/>
      <c r="WE9" s="15"/>
      <c r="WF9" s="15"/>
      <c r="WG9" s="15"/>
      <c r="WH9" s="15"/>
      <c r="WI9" s="15"/>
      <c r="WJ9" s="15"/>
      <c r="WK9" s="15"/>
      <c r="WL9" s="15"/>
      <c r="WM9" s="15"/>
      <c r="WN9" s="15"/>
      <c r="WO9" s="15"/>
      <c r="WP9" s="15"/>
      <c r="WQ9" s="15"/>
      <c r="WR9" s="15"/>
      <c r="WS9" s="15"/>
      <c r="WT9" s="15"/>
      <c r="WU9" s="15"/>
      <c r="WV9" s="15"/>
      <c r="WW9" s="15"/>
      <c r="WX9" s="15"/>
      <c r="WY9" s="15"/>
      <c r="WZ9" s="15"/>
      <c r="XA9" s="15"/>
      <c r="XB9" s="15"/>
      <c r="XC9" s="15"/>
      <c r="XD9" s="15"/>
      <c r="XE9" s="15"/>
      <c r="XF9" s="15"/>
      <c r="XG9" s="15"/>
      <c r="XH9" s="15"/>
      <c r="XI9" s="15"/>
      <c r="XJ9" s="15"/>
      <c r="XK9" s="15"/>
      <c r="XL9" s="15"/>
      <c r="XM9" s="15"/>
      <c r="XN9" s="15"/>
      <c r="XO9" s="15"/>
      <c r="XP9" s="15"/>
      <c r="XQ9" s="15"/>
      <c r="XR9" s="15"/>
      <c r="XS9" s="15"/>
      <c r="XT9" s="15"/>
      <c r="XU9" s="15"/>
      <c r="XV9" s="15"/>
      <c r="XW9" s="15"/>
      <c r="XX9" s="15"/>
      <c r="XY9" s="15"/>
      <c r="XZ9" s="15"/>
      <c r="YA9" s="15"/>
      <c r="YB9" s="15"/>
      <c r="YC9" s="15"/>
      <c r="YD9" s="15"/>
      <c r="YE9" s="15"/>
      <c r="YF9" s="15"/>
      <c r="YG9" s="15"/>
      <c r="YH9" s="15"/>
      <c r="YI9" s="15"/>
      <c r="YJ9" s="15"/>
      <c r="YK9" s="15"/>
      <c r="YL9" s="15"/>
      <c r="YM9" s="15"/>
      <c r="YN9" s="15"/>
      <c r="YO9" s="15"/>
      <c r="YP9" s="15"/>
      <c r="YQ9" s="15"/>
      <c r="YR9" s="15"/>
      <c r="YS9" s="15"/>
      <c r="YT9" s="15"/>
      <c r="YU9" s="15"/>
      <c r="YV9" s="15"/>
      <c r="YW9" s="15"/>
      <c r="YX9" s="15"/>
      <c r="YY9" s="15"/>
      <c r="YZ9" s="15"/>
      <c r="ZA9" s="15"/>
      <c r="ZB9" s="15"/>
      <c r="ZC9" s="15"/>
      <c r="ZD9" s="15"/>
      <c r="ZE9" s="15"/>
      <c r="ZF9" s="15"/>
      <c r="ZG9" s="15"/>
      <c r="ZH9" s="15"/>
      <c r="ZI9" s="15"/>
      <c r="ZJ9" s="15"/>
      <c r="ZK9" s="15"/>
      <c r="ZL9" s="15"/>
      <c r="ZM9" s="15"/>
      <c r="ZN9" s="15"/>
      <c r="ZO9" s="15"/>
      <c r="ZP9" s="15"/>
      <c r="ZQ9" s="15"/>
      <c r="ZR9" s="15"/>
      <c r="ZS9" s="15"/>
      <c r="ZT9" s="15"/>
      <c r="ZU9" s="15"/>
      <c r="ZV9" s="15"/>
      <c r="ZW9" s="15"/>
      <c r="ZX9" s="15"/>
      <c r="ZY9" s="15"/>
      <c r="ZZ9" s="15"/>
      <c r="AAA9" s="15"/>
      <c r="AAB9" s="15"/>
      <c r="AAC9" s="15"/>
      <c r="AAD9" s="15"/>
      <c r="AAE9" s="15"/>
      <c r="AAF9" s="15"/>
      <c r="AAG9" s="15"/>
      <c r="AAH9" s="15"/>
      <c r="AAI9" s="15"/>
      <c r="AAJ9" s="15"/>
      <c r="AAK9" s="15"/>
      <c r="AAL9" s="15"/>
      <c r="AAM9" s="15"/>
      <c r="AAN9" s="15"/>
      <c r="AAO9" s="15"/>
      <c r="AAP9" s="15"/>
      <c r="AAQ9" s="15"/>
      <c r="AAR9" s="15"/>
      <c r="AAS9" s="15"/>
      <c r="AAT9" s="15"/>
      <c r="AAU9" s="15"/>
      <c r="AAV9" s="15"/>
      <c r="AAW9" s="15"/>
      <c r="AAX9" s="15"/>
      <c r="AAY9" s="15"/>
      <c r="AAZ9" s="15"/>
      <c r="ABA9" s="15"/>
      <c r="ABB9" s="15"/>
      <c r="ABC9" s="15"/>
      <c r="ABD9" s="15"/>
      <c r="ABE9" s="15"/>
      <c r="ABF9" s="15"/>
      <c r="ABG9" s="15"/>
      <c r="ABH9" s="15"/>
      <c r="ABI9" s="15"/>
      <c r="ABJ9" s="15"/>
      <c r="ABK9" s="15"/>
      <c r="ABL9" s="15"/>
      <c r="ABM9" s="15"/>
      <c r="ABN9" s="15"/>
      <c r="ABO9" s="15"/>
      <c r="ABP9" s="15"/>
      <c r="ABQ9" s="15"/>
      <c r="ABR9" s="15"/>
      <c r="ABS9" s="15"/>
      <c r="ABT9" s="15"/>
      <c r="ABU9" s="15"/>
      <c r="ABV9" s="15"/>
      <c r="ABW9" s="15"/>
      <c r="ABX9" s="15"/>
      <c r="ABY9" s="15"/>
      <c r="ABZ9" s="15"/>
      <c r="ACA9" s="15"/>
      <c r="ACB9" s="15"/>
      <c r="ACC9" s="15"/>
      <c r="ACD9" s="15"/>
      <c r="ACE9" s="15"/>
      <c r="ACF9" s="15"/>
      <c r="ACG9" s="15"/>
      <c r="ACH9" s="15"/>
      <c r="ACI9" s="15"/>
      <c r="ACJ9" s="15"/>
      <c r="ACK9" s="15"/>
      <c r="ACL9" s="15"/>
      <c r="ACM9" s="15"/>
      <c r="ACN9" s="15"/>
      <c r="ACO9" s="15"/>
      <c r="ACP9" s="15"/>
      <c r="ACQ9" s="15"/>
      <c r="ACR9" s="15"/>
      <c r="ACS9" s="15"/>
      <c r="ACT9" s="15"/>
      <c r="ACU9" s="15"/>
      <c r="ACV9" s="15"/>
      <c r="ACW9" s="15"/>
      <c r="ACX9" s="15"/>
      <c r="ACY9" s="15"/>
      <c r="ACZ9" s="15"/>
      <c r="ADA9" s="15"/>
      <c r="ADB9" s="15"/>
      <c r="ADC9" s="15"/>
      <c r="ADD9" s="15"/>
      <c r="ADE9" s="15"/>
      <c r="ADF9" s="15"/>
      <c r="ADG9" s="15"/>
      <c r="ADH9" s="15"/>
      <c r="ADI9" s="15"/>
      <c r="ADJ9" s="15"/>
      <c r="ADK9" s="15"/>
      <c r="ADL9" s="15"/>
      <c r="ADM9" s="15"/>
      <c r="ADN9" s="15"/>
      <c r="ADO9" s="15"/>
      <c r="ADP9" s="15"/>
      <c r="ADQ9" s="15"/>
      <c r="ADR9" s="15"/>
      <c r="ADS9" s="15"/>
      <c r="ADT9" s="15"/>
      <c r="ADU9" s="15"/>
      <c r="ADV9" s="15"/>
      <c r="ADW9" s="15"/>
      <c r="ADX9" s="15"/>
      <c r="ADY9" s="15"/>
      <c r="ADZ9" s="15"/>
      <c r="AEA9" s="15"/>
      <c r="AEB9" s="15"/>
      <c r="AEC9" s="15"/>
      <c r="AED9" s="15"/>
      <c r="AEE9" s="15"/>
      <c r="AEF9" s="15"/>
      <c r="AEG9" s="15"/>
      <c r="AEH9" s="15"/>
      <c r="AEI9" s="15"/>
      <c r="AEJ9" s="15"/>
      <c r="AEK9" s="15"/>
      <c r="AEL9" s="15"/>
      <c r="AEM9" s="15"/>
      <c r="AEN9" s="15"/>
      <c r="AEO9" s="15"/>
      <c r="AEP9" s="15"/>
      <c r="AEQ9" s="15"/>
      <c r="AER9" s="15"/>
      <c r="AES9" s="15"/>
      <c r="AET9" s="15"/>
      <c r="AEU9" s="15"/>
      <c r="AEV9" s="15"/>
      <c r="AEW9" s="15"/>
      <c r="AEX9" s="15"/>
      <c r="AEY9" s="15"/>
      <c r="AEZ9" s="15"/>
      <c r="AFA9" s="15"/>
      <c r="AFB9" s="15"/>
      <c r="AFC9" s="15"/>
      <c r="AFD9" s="15"/>
      <c r="AFE9" s="15"/>
      <c r="AFF9" s="15"/>
      <c r="AFG9" s="15"/>
      <c r="AFH9" s="15"/>
      <c r="AFI9" s="15"/>
      <c r="AFJ9" s="15"/>
      <c r="AFK9" s="15"/>
      <c r="AFL9" s="15"/>
      <c r="AFM9" s="15"/>
      <c r="AFN9" s="15"/>
      <c r="AFO9" s="15"/>
      <c r="AFP9" s="15"/>
      <c r="AFQ9" s="15"/>
      <c r="AFR9" s="15"/>
      <c r="AFS9" s="15"/>
      <c r="AFT9" s="15"/>
      <c r="AFU9" s="15"/>
      <c r="AFV9" s="15"/>
      <c r="AFW9" s="15"/>
      <c r="AFX9" s="15"/>
      <c r="AFY9" s="15"/>
      <c r="AFZ9" s="15"/>
      <c r="AGA9" s="15"/>
      <c r="AGB9" s="15"/>
      <c r="AGC9" s="15"/>
      <c r="AGD9" s="15"/>
      <c r="AGE9" s="15"/>
      <c r="AGF9" s="15"/>
      <c r="AGG9" s="15"/>
      <c r="AGH9" s="15"/>
      <c r="AGI9" s="15"/>
      <c r="AGJ9" s="15"/>
      <c r="AGK9" s="15"/>
      <c r="AGL9" s="15"/>
      <c r="AGM9" s="15"/>
      <c r="AGN9" s="15"/>
      <c r="AGO9" s="15"/>
      <c r="AGP9" s="15"/>
      <c r="AGQ9" s="15"/>
      <c r="AGR9" s="15"/>
      <c r="AGS9" s="15"/>
      <c r="AGT9" s="15"/>
      <c r="AGU9" s="15"/>
      <c r="AGV9" s="15"/>
      <c r="AGW9" s="15"/>
      <c r="AGX9" s="15"/>
      <c r="AGY9" s="15"/>
      <c r="AGZ9" s="15"/>
      <c r="AHA9" s="15"/>
      <c r="AHB9" s="15"/>
      <c r="AHC9" s="15"/>
      <c r="AHD9" s="15"/>
      <c r="AHE9" s="15"/>
      <c r="AHF9" s="15"/>
      <c r="AHG9" s="15"/>
      <c r="AHH9" s="15"/>
      <c r="AHI9" s="15"/>
      <c r="AHJ9" s="15"/>
      <c r="AHK9" s="15"/>
      <c r="AHL9" s="15"/>
      <c r="AHM9" s="15"/>
      <c r="AHN9" s="15"/>
      <c r="AHO9" s="15"/>
      <c r="AHP9" s="15"/>
      <c r="AHQ9" s="15"/>
      <c r="AHR9" s="15"/>
      <c r="AHS9" s="15"/>
      <c r="AHT9" s="15"/>
      <c r="AHU9" s="15"/>
      <c r="AHV9" s="15"/>
      <c r="AHW9" s="15"/>
      <c r="AHX9" s="15"/>
      <c r="AHY9" s="15"/>
      <c r="AHZ9" s="15"/>
      <c r="AIA9" s="15"/>
      <c r="AIB9" s="15"/>
      <c r="AIC9" s="15"/>
      <c r="AID9" s="15"/>
      <c r="AIE9" s="15"/>
      <c r="AIF9" s="15"/>
      <c r="AIG9" s="15"/>
      <c r="AIH9" s="15"/>
      <c r="AII9" s="15"/>
      <c r="AIJ9" s="15"/>
      <c r="AIK9" s="15"/>
      <c r="AIL9" s="15"/>
      <c r="AIM9" s="15"/>
      <c r="AIN9" s="15"/>
      <c r="AIO9" s="15"/>
      <c r="AIP9" s="15"/>
      <c r="AIQ9" s="15"/>
      <c r="AIR9" s="15"/>
      <c r="AIS9" s="15"/>
      <c r="AIT9" s="15"/>
      <c r="AIU9" s="15"/>
      <c r="AIV9" s="15"/>
      <c r="AIW9" s="15"/>
      <c r="AIX9" s="15"/>
      <c r="AIY9" s="15"/>
      <c r="AIZ9" s="15"/>
      <c r="AJA9" s="15"/>
      <c r="AJB9" s="15"/>
      <c r="AJC9" s="15"/>
      <c r="AJD9" s="15"/>
      <c r="AJE9" s="15"/>
      <c r="AJF9" s="15"/>
      <c r="AJG9" s="15"/>
      <c r="AJH9" s="15"/>
      <c r="AJI9" s="15"/>
      <c r="AJJ9" s="15"/>
      <c r="AJK9" s="15"/>
      <c r="AJL9" s="15"/>
      <c r="AJM9" s="15"/>
      <c r="AJN9" s="15"/>
      <c r="AJO9" s="15"/>
      <c r="AJP9" s="15"/>
      <c r="AJQ9" s="15"/>
      <c r="AJR9" s="15"/>
      <c r="AJS9" s="15"/>
      <c r="AJT9" s="15"/>
      <c r="AJU9" s="15"/>
      <c r="AJV9" s="15"/>
      <c r="AJW9" s="15"/>
      <c r="AJX9" s="15"/>
      <c r="AJY9" s="15"/>
      <c r="AJZ9" s="15"/>
      <c r="AKA9" s="15"/>
      <c r="AKB9" s="15"/>
      <c r="AKC9" s="15"/>
      <c r="AKD9" s="15"/>
      <c r="AKE9" s="15"/>
      <c r="AKF9" s="15"/>
      <c r="AKG9" s="15"/>
      <c r="AKH9" s="15"/>
      <c r="AKI9" s="15"/>
      <c r="AKJ9" s="15"/>
      <c r="AKK9" s="15"/>
      <c r="AKL9" s="15"/>
      <c r="AKM9" s="15"/>
      <c r="AKN9" s="15"/>
      <c r="AKO9" s="15"/>
      <c r="AKP9" s="15"/>
      <c r="AKQ9" s="15"/>
      <c r="AKR9" s="15"/>
      <c r="AKS9" s="15"/>
      <c r="AKT9" s="15"/>
      <c r="AKU9" s="15"/>
      <c r="AKV9" s="15"/>
      <c r="AKW9" s="15"/>
      <c r="AKX9" s="15"/>
      <c r="AKY9" s="15"/>
      <c r="AKZ9" s="15"/>
      <c r="ALA9" s="15"/>
      <c r="ALB9" s="15"/>
      <c r="ALC9" s="15"/>
      <c r="ALD9" s="15"/>
      <c r="ALE9" s="15"/>
      <c r="ALF9" s="15"/>
      <c r="ALG9" s="15"/>
      <c r="ALH9" s="15"/>
      <c r="ALI9" s="15"/>
      <c r="ALJ9" s="15"/>
      <c r="ALK9" s="15"/>
      <c r="ALL9" s="15"/>
      <c r="ALM9" s="15"/>
      <c r="ALN9" s="15"/>
      <c r="ALO9" s="15"/>
      <c r="ALP9" s="15"/>
      <c r="ALQ9" s="15"/>
      <c r="ALR9" s="15"/>
      <c r="ALS9" s="15"/>
      <c r="ALT9" s="15"/>
      <c r="ALU9" s="15"/>
      <c r="ALV9" s="15"/>
      <c r="ALW9" s="15"/>
      <c r="ALX9" s="15"/>
      <c r="ALY9" s="15"/>
      <c r="ALZ9" s="15"/>
      <c r="AMA9" s="15"/>
      <c r="AMB9" s="15"/>
      <c r="AMC9" s="15"/>
      <c r="AMD9" s="15"/>
      <c r="AME9" s="15"/>
      <c r="AMF9" s="15"/>
      <c r="AMG9" s="14"/>
    </row>
    <row r="10" spans="1:1021" s="13" customFormat="1" ht="29" hidden="1" x14ac:dyDescent="0.35">
      <c r="A10" s="19">
        <v>43647</v>
      </c>
      <c r="B10" s="17" t="s">
        <v>495</v>
      </c>
      <c r="C10" s="17" t="s">
        <v>494</v>
      </c>
      <c r="D10" s="18">
        <v>43649</v>
      </c>
      <c r="E10" s="17" t="s">
        <v>493</v>
      </c>
      <c r="F10" s="26">
        <v>0.5</v>
      </c>
      <c r="G10" s="26">
        <v>0.54166666666666696</v>
      </c>
      <c r="H10" s="26">
        <v>0.5625</v>
      </c>
      <c r="I10" s="17">
        <v>0</v>
      </c>
      <c r="J10" s="17" t="s">
        <v>16</v>
      </c>
      <c r="K10" s="17" t="s">
        <v>15</v>
      </c>
      <c r="L10" s="16" t="s">
        <v>17</v>
      </c>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15"/>
      <c r="CR10" s="15"/>
      <c r="CS10" s="15"/>
      <c r="CT10" s="15"/>
      <c r="CU10" s="15"/>
      <c r="CV10" s="15"/>
      <c r="CW10" s="15"/>
      <c r="CX10" s="15"/>
      <c r="CY10" s="15"/>
      <c r="CZ10" s="15"/>
      <c r="DA10" s="15"/>
      <c r="DB10" s="15"/>
      <c r="DC10" s="15"/>
      <c r="DD10" s="15"/>
      <c r="DE10" s="15"/>
      <c r="DF10" s="15"/>
      <c r="DG10" s="15"/>
      <c r="DH10" s="15"/>
      <c r="DI10" s="15"/>
      <c r="DJ10" s="15"/>
      <c r="DK10" s="15"/>
      <c r="DL10" s="15"/>
      <c r="DM10" s="15"/>
      <c r="DN10" s="15"/>
      <c r="DO10" s="15"/>
      <c r="DP10" s="15"/>
      <c r="DQ10" s="15"/>
      <c r="DR10" s="15"/>
      <c r="DS10" s="15"/>
      <c r="DT10" s="15"/>
      <c r="DU10" s="15"/>
      <c r="DV10" s="15"/>
      <c r="DW10" s="15"/>
      <c r="DX10" s="15"/>
      <c r="DY10" s="15"/>
      <c r="DZ10" s="15"/>
      <c r="EA10" s="15"/>
      <c r="EB10" s="15"/>
      <c r="EC10" s="15"/>
      <c r="ED10" s="15"/>
      <c r="EE10" s="15"/>
      <c r="EF10" s="15"/>
      <c r="EG10" s="15"/>
      <c r="EH10" s="15"/>
      <c r="EI10" s="15"/>
      <c r="EJ10" s="15"/>
      <c r="EK10" s="15"/>
      <c r="EL10" s="15"/>
      <c r="EM10" s="15"/>
      <c r="EN10" s="15"/>
      <c r="EO10" s="15"/>
      <c r="EP10" s="15"/>
      <c r="EQ10" s="15"/>
      <c r="ER10" s="15"/>
      <c r="ES10" s="15"/>
      <c r="ET10" s="15"/>
      <c r="EU10" s="15"/>
      <c r="EV10" s="15"/>
      <c r="EW10" s="15"/>
      <c r="EX10" s="15"/>
      <c r="EY10" s="15"/>
      <c r="EZ10" s="15"/>
      <c r="FA10" s="15"/>
      <c r="FB10" s="15"/>
      <c r="FC10" s="15"/>
      <c r="FD10" s="15"/>
      <c r="FE10" s="15"/>
      <c r="FF10" s="15"/>
      <c r="FG10" s="15"/>
      <c r="FH10" s="15"/>
      <c r="FI10" s="15"/>
      <c r="FJ10" s="15"/>
      <c r="FK10" s="15"/>
      <c r="FL10" s="15"/>
      <c r="FM10" s="15"/>
      <c r="FN10" s="15"/>
      <c r="FO10" s="15"/>
      <c r="FP10" s="15"/>
      <c r="FQ10" s="15"/>
      <c r="FR10" s="15"/>
      <c r="FS10" s="15"/>
      <c r="FT10" s="15"/>
      <c r="FU10" s="15"/>
      <c r="FV10" s="15"/>
      <c r="FW10" s="15"/>
      <c r="FX10" s="15"/>
      <c r="FY10" s="15"/>
      <c r="FZ10" s="15"/>
      <c r="GA10" s="15"/>
      <c r="GB10" s="15"/>
      <c r="GC10" s="15"/>
      <c r="GD10" s="15"/>
      <c r="GE10" s="15"/>
      <c r="GF10" s="15"/>
      <c r="GG10" s="15"/>
      <c r="GH10" s="15"/>
      <c r="GI10" s="15"/>
      <c r="GJ10" s="15"/>
      <c r="GK10" s="15"/>
      <c r="GL10" s="15"/>
      <c r="GM10" s="15"/>
      <c r="GN10" s="15"/>
      <c r="GO10" s="15"/>
      <c r="GP10" s="15"/>
      <c r="GQ10" s="15"/>
      <c r="GR10" s="15"/>
      <c r="GS10" s="15"/>
      <c r="GT10" s="15"/>
      <c r="GU10" s="15"/>
      <c r="GV10" s="15"/>
      <c r="GW10" s="15"/>
      <c r="GX10" s="15"/>
      <c r="GY10" s="15"/>
      <c r="GZ10" s="15"/>
      <c r="HA10" s="15"/>
      <c r="HB10" s="15"/>
      <c r="HC10" s="15"/>
      <c r="HD10" s="15"/>
      <c r="HE10" s="15"/>
      <c r="HF10" s="15"/>
      <c r="HG10" s="15"/>
      <c r="HH10" s="15"/>
      <c r="HI10" s="15"/>
      <c r="HJ10" s="15"/>
      <c r="HK10" s="15"/>
      <c r="HL10" s="15"/>
      <c r="HM10" s="15"/>
      <c r="HN10" s="15"/>
      <c r="HO10" s="15"/>
      <c r="HP10" s="15"/>
      <c r="HQ10" s="15"/>
      <c r="HR10" s="15"/>
      <c r="HS10" s="15"/>
      <c r="HT10" s="15"/>
      <c r="HU10" s="15"/>
      <c r="HV10" s="15"/>
      <c r="HW10" s="15"/>
      <c r="HX10" s="15"/>
      <c r="HY10" s="15"/>
      <c r="HZ10" s="15"/>
      <c r="IA10" s="15"/>
      <c r="IB10" s="15"/>
      <c r="IC10" s="15"/>
      <c r="ID10" s="15"/>
      <c r="IE10" s="15"/>
      <c r="IF10" s="15"/>
      <c r="IG10" s="15"/>
      <c r="IH10" s="15"/>
      <c r="II10" s="15"/>
      <c r="IJ10" s="15"/>
      <c r="IK10" s="15"/>
      <c r="IL10" s="15"/>
      <c r="IM10" s="15"/>
      <c r="IN10" s="15"/>
      <c r="IO10" s="15"/>
      <c r="IP10" s="15"/>
      <c r="IQ10" s="15"/>
      <c r="IR10" s="15"/>
      <c r="IS10" s="15"/>
      <c r="IT10" s="15"/>
      <c r="IU10" s="15"/>
      <c r="IV10" s="15"/>
      <c r="IW10" s="15"/>
      <c r="IX10" s="15"/>
      <c r="IY10" s="15"/>
      <c r="IZ10" s="15"/>
      <c r="JA10" s="15"/>
      <c r="JB10" s="15"/>
      <c r="JC10" s="15"/>
      <c r="JD10" s="15"/>
      <c r="JE10" s="15"/>
      <c r="JF10" s="15"/>
      <c r="JG10" s="15"/>
      <c r="JH10" s="15"/>
      <c r="JI10" s="15"/>
      <c r="JJ10" s="15"/>
      <c r="JK10" s="15"/>
      <c r="JL10" s="15"/>
      <c r="JM10" s="15"/>
      <c r="JN10" s="15"/>
      <c r="JO10" s="15"/>
      <c r="JP10" s="15"/>
      <c r="JQ10" s="15"/>
      <c r="JR10" s="15"/>
      <c r="JS10" s="15"/>
      <c r="JT10" s="15"/>
      <c r="JU10" s="15"/>
      <c r="JV10" s="15"/>
      <c r="JW10" s="15"/>
      <c r="JX10" s="15"/>
      <c r="JY10" s="15"/>
      <c r="JZ10" s="15"/>
      <c r="KA10" s="15"/>
      <c r="KB10" s="15"/>
      <c r="KC10" s="15"/>
      <c r="KD10" s="15"/>
      <c r="KE10" s="15"/>
      <c r="KF10" s="15"/>
      <c r="KG10" s="15"/>
      <c r="KH10" s="15"/>
      <c r="KI10" s="15"/>
      <c r="KJ10" s="15"/>
      <c r="KK10" s="15"/>
      <c r="KL10" s="15"/>
      <c r="KM10" s="15"/>
      <c r="KN10" s="15"/>
      <c r="KO10" s="15"/>
      <c r="KP10" s="15"/>
      <c r="KQ10" s="15"/>
      <c r="KR10" s="15"/>
      <c r="KS10" s="15"/>
      <c r="KT10" s="15"/>
      <c r="KU10" s="15"/>
      <c r="KV10" s="15"/>
      <c r="KW10" s="15"/>
      <c r="KX10" s="15"/>
      <c r="KY10" s="15"/>
      <c r="KZ10" s="15"/>
      <c r="LA10" s="15"/>
      <c r="LB10" s="15"/>
      <c r="LC10" s="15"/>
      <c r="LD10" s="15"/>
      <c r="LE10" s="15"/>
      <c r="LF10" s="15"/>
      <c r="LG10" s="15"/>
      <c r="LH10" s="15"/>
      <c r="LI10" s="15"/>
      <c r="LJ10" s="15"/>
      <c r="LK10" s="15"/>
      <c r="LL10" s="15"/>
      <c r="LM10" s="15"/>
      <c r="LN10" s="15"/>
      <c r="LO10" s="15"/>
      <c r="LP10" s="15"/>
      <c r="LQ10" s="15"/>
      <c r="LR10" s="15"/>
      <c r="LS10" s="15"/>
      <c r="LT10" s="15"/>
      <c r="LU10" s="15"/>
      <c r="LV10" s="15"/>
      <c r="LW10" s="15"/>
      <c r="LX10" s="15"/>
      <c r="LY10" s="15"/>
      <c r="LZ10" s="15"/>
      <c r="MA10" s="15"/>
      <c r="MB10" s="15"/>
      <c r="MC10" s="15"/>
      <c r="MD10" s="15"/>
      <c r="ME10" s="15"/>
      <c r="MF10" s="15"/>
      <c r="MG10" s="15"/>
      <c r="MH10" s="15"/>
      <c r="MI10" s="15"/>
      <c r="MJ10" s="15"/>
      <c r="MK10" s="15"/>
      <c r="ML10" s="15"/>
      <c r="MM10" s="15"/>
      <c r="MN10" s="15"/>
      <c r="MO10" s="15"/>
      <c r="MP10" s="15"/>
      <c r="MQ10" s="15"/>
      <c r="MR10" s="15"/>
      <c r="MS10" s="15"/>
      <c r="MT10" s="15"/>
      <c r="MU10" s="15"/>
      <c r="MV10" s="15"/>
      <c r="MW10" s="15"/>
      <c r="MX10" s="15"/>
      <c r="MY10" s="15"/>
      <c r="MZ10" s="15"/>
      <c r="NA10" s="15"/>
      <c r="NB10" s="15"/>
      <c r="NC10" s="15"/>
      <c r="ND10" s="15"/>
      <c r="NE10" s="15"/>
      <c r="NF10" s="15"/>
      <c r="NG10" s="15"/>
      <c r="NH10" s="15"/>
      <c r="NI10" s="15"/>
      <c r="NJ10" s="15"/>
      <c r="NK10" s="15"/>
      <c r="NL10" s="15"/>
      <c r="NM10" s="15"/>
      <c r="NN10" s="15"/>
      <c r="NO10" s="15"/>
      <c r="NP10" s="15"/>
      <c r="NQ10" s="15"/>
      <c r="NR10" s="15"/>
      <c r="NS10" s="15"/>
      <c r="NT10" s="15"/>
      <c r="NU10" s="15"/>
      <c r="NV10" s="15"/>
      <c r="NW10" s="15"/>
      <c r="NX10" s="15"/>
      <c r="NY10" s="15"/>
      <c r="NZ10" s="15"/>
      <c r="OA10" s="15"/>
      <c r="OB10" s="15"/>
      <c r="OC10" s="15"/>
      <c r="OD10" s="15"/>
      <c r="OE10" s="15"/>
      <c r="OF10" s="15"/>
      <c r="OG10" s="15"/>
      <c r="OH10" s="15"/>
      <c r="OI10" s="15"/>
      <c r="OJ10" s="15"/>
      <c r="OK10" s="15"/>
      <c r="OL10" s="15"/>
      <c r="OM10" s="15"/>
      <c r="ON10" s="15"/>
      <c r="OO10" s="15"/>
      <c r="OP10" s="15"/>
      <c r="OQ10" s="15"/>
      <c r="OR10" s="15"/>
      <c r="OS10" s="15"/>
      <c r="OT10" s="15"/>
      <c r="OU10" s="15"/>
      <c r="OV10" s="15"/>
      <c r="OW10" s="15"/>
      <c r="OX10" s="15"/>
      <c r="OY10" s="15"/>
      <c r="OZ10" s="15"/>
      <c r="PA10" s="15"/>
      <c r="PB10" s="15"/>
      <c r="PC10" s="15"/>
      <c r="PD10" s="15"/>
      <c r="PE10" s="15"/>
      <c r="PF10" s="15"/>
      <c r="PG10" s="15"/>
      <c r="PH10" s="15"/>
      <c r="PI10" s="15"/>
      <c r="PJ10" s="15"/>
      <c r="PK10" s="15"/>
      <c r="PL10" s="15"/>
      <c r="PM10" s="15"/>
      <c r="PN10" s="15"/>
      <c r="PO10" s="15"/>
      <c r="PP10" s="15"/>
      <c r="PQ10" s="15"/>
      <c r="PR10" s="15"/>
      <c r="PS10" s="15"/>
      <c r="PT10" s="15"/>
      <c r="PU10" s="15"/>
      <c r="PV10" s="15"/>
      <c r="PW10" s="15"/>
      <c r="PX10" s="15"/>
      <c r="PY10" s="15"/>
      <c r="PZ10" s="15"/>
      <c r="QA10" s="15"/>
      <c r="QB10" s="15"/>
      <c r="QC10" s="15"/>
      <c r="QD10" s="15"/>
      <c r="QE10" s="15"/>
      <c r="QF10" s="15"/>
      <c r="QG10" s="15"/>
      <c r="QH10" s="15"/>
      <c r="QI10" s="15"/>
      <c r="QJ10" s="15"/>
      <c r="QK10" s="15"/>
      <c r="QL10" s="15"/>
      <c r="QM10" s="15"/>
      <c r="QN10" s="15"/>
      <c r="QO10" s="15"/>
      <c r="QP10" s="15"/>
      <c r="QQ10" s="15"/>
      <c r="QR10" s="15"/>
      <c r="QS10" s="15"/>
      <c r="QT10" s="15"/>
      <c r="QU10" s="15"/>
      <c r="QV10" s="15"/>
      <c r="QW10" s="15"/>
      <c r="QX10" s="15"/>
      <c r="QY10" s="15"/>
      <c r="QZ10" s="15"/>
      <c r="RA10" s="15"/>
      <c r="RB10" s="15"/>
      <c r="RC10" s="15"/>
      <c r="RD10" s="15"/>
      <c r="RE10" s="15"/>
      <c r="RF10" s="15"/>
      <c r="RG10" s="15"/>
      <c r="RH10" s="15"/>
      <c r="RI10" s="15"/>
      <c r="RJ10" s="15"/>
      <c r="RK10" s="15"/>
      <c r="RL10" s="15"/>
      <c r="RM10" s="15"/>
      <c r="RN10" s="15"/>
      <c r="RO10" s="15"/>
      <c r="RP10" s="15"/>
      <c r="RQ10" s="15"/>
      <c r="RR10" s="15"/>
      <c r="RS10" s="15"/>
      <c r="RT10" s="15"/>
      <c r="RU10" s="15"/>
      <c r="RV10" s="15"/>
      <c r="RW10" s="15"/>
      <c r="RX10" s="15"/>
      <c r="RY10" s="15"/>
      <c r="RZ10" s="15"/>
      <c r="SA10" s="15"/>
      <c r="SB10" s="15"/>
      <c r="SC10" s="15"/>
      <c r="SD10" s="15"/>
      <c r="SE10" s="15"/>
      <c r="SF10" s="15"/>
      <c r="SG10" s="15"/>
      <c r="SH10" s="15"/>
      <c r="SI10" s="15"/>
      <c r="SJ10" s="15"/>
      <c r="SK10" s="15"/>
      <c r="SL10" s="15"/>
      <c r="SM10" s="15"/>
      <c r="SN10" s="15"/>
      <c r="SO10" s="15"/>
      <c r="SP10" s="15"/>
      <c r="SQ10" s="15"/>
      <c r="SR10" s="15"/>
      <c r="SS10" s="15"/>
      <c r="ST10" s="15"/>
      <c r="SU10" s="15"/>
      <c r="SV10" s="15"/>
      <c r="SW10" s="15"/>
      <c r="SX10" s="15"/>
      <c r="SY10" s="15"/>
      <c r="SZ10" s="15"/>
      <c r="TA10" s="15"/>
      <c r="TB10" s="15"/>
      <c r="TC10" s="15"/>
      <c r="TD10" s="15"/>
      <c r="TE10" s="15"/>
      <c r="TF10" s="15"/>
      <c r="TG10" s="15"/>
      <c r="TH10" s="15"/>
      <c r="TI10" s="15"/>
      <c r="TJ10" s="15"/>
      <c r="TK10" s="15"/>
      <c r="TL10" s="15"/>
      <c r="TM10" s="15"/>
      <c r="TN10" s="15"/>
      <c r="TO10" s="15"/>
      <c r="TP10" s="15"/>
      <c r="TQ10" s="15"/>
      <c r="TR10" s="15"/>
      <c r="TS10" s="15"/>
      <c r="TT10" s="15"/>
      <c r="TU10" s="15"/>
      <c r="TV10" s="15"/>
      <c r="TW10" s="15"/>
      <c r="TX10" s="15"/>
      <c r="TY10" s="15"/>
      <c r="TZ10" s="15"/>
      <c r="UA10" s="15"/>
      <c r="UB10" s="15"/>
      <c r="UC10" s="15"/>
      <c r="UD10" s="15"/>
      <c r="UE10" s="15"/>
      <c r="UF10" s="15"/>
      <c r="UG10" s="15"/>
      <c r="UH10" s="15"/>
      <c r="UI10" s="15"/>
      <c r="UJ10" s="15"/>
      <c r="UK10" s="15"/>
      <c r="UL10" s="15"/>
      <c r="UM10" s="15"/>
      <c r="UN10" s="15"/>
      <c r="UO10" s="15"/>
      <c r="UP10" s="15"/>
      <c r="UQ10" s="15"/>
      <c r="UR10" s="15"/>
      <c r="US10" s="15"/>
      <c r="UT10" s="15"/>
      <c r="UU10" s="15"/>
      <c r="UV10" s="15"/>
      <c r="UW10" s="15"/>
      <c r="UX10" s="15"/>
      <c r="UY10" s="15"/>
      <c r="UZ10" s="15"/>
      <c r="VA10" s="15"/>
      <c r="VB10" s="15"/>
      <c r="VC10" s="15"/>
      <c r="VD10" s="15"/>
      <c r="VE10" s="15"/>
      <c r="VF10" s="15"/>
      <c r="VG10" s="15"/>
      <c r="VH10" s="15"/>
      <c r="VI10" s="15"/>
      <c r="VJ10" s="15"/>
      <c r="VK10" s="15"/>
      <c r="VL10" s="15"/>
      <c r="VM10" s="15"/>
      <c r="VN10" s="15"/>
      <c r="VO10" s="15"/>
      <c r="VP10" s="15"/>
      <c r="VQ10" s="15"/>
      <c r="VR10" s="15"/>
      <c r="VS10" s="15"/>
      <c r="VT10" s="15"/>
      <c r="VU10" s="15"/>
      <c r="VV10" s="15"/>
      <c r="VW10" s="15"/>
      <c r="VX10" s="15"/>
      <c r="VY10" s="15"/>
      <c r="VZ10" s="15"/>
      <c r="WA10" s="15"/>
      <c r="WB10" s="15"/>
      <c r="WC10" s="15"/>
      <c r="WD10" s="15"/>
      <c r="WE10" s="15"/>
      <c r="WF10" s="15"/>
      <c r="WG10" s="15"/>
      <c r="WH10" s="15"/>
      <c r="WI10" s="15"/>
      <c r="WJ10" s="15"/>
      <c r="WK10" s="15"/>
      <c r="WL10" s="15"/>
      <c r="WM10" s="15"/>
      <c r="WN10" s="15"/>
      <c r="WO10" s="15"/>
      <c r="WP10" s="15"/>
      <c r="WQ10" s="15"/>
      <c r="WR10" s="15"/>
      <c r="WS10" s="15"/>
      <c r="WT10" s="15"/>
      <c r="WU10" s="15"/>
      <c r="WV10" s="15"/>
      <c r="WW10" s="15"/>
      <c r="WX10" s="15"/>
      <c r="WY10" s="15"/>
      <c r="WZ10" s="15"/>
      <c r="XA10" s="15"/>
      <c r="XB10" s="15"/>
      <c r="XC10" s="15"/>
      <c r="XD10" s="15"/>
      <c r="XE10" s="15"/>
      <c r="XF10" s="15"/>
      <c r="XG10" s="15"/>
      <c r="XH10" s="15"/>
      <c r="XI10" s="15"/>
      <c r="XJ10" s="15"/>
      <c r="XK10" s="15"/>
      <c r="XL10" s="15"/>
      <c r="XM10" s="15"/>
      <c r="XN10" s="15"/>
      <c r="XO10" s="15"/>
      <c r="XP10" s="15"/>
      <c r="XQ10" s="15"/>
      <c r="XR10" s="15"/>
      <c r="XS10" s="15"/>
      <c r="XT10" s="15"/>
      <c r="XU10" s="15"/>
      <c r="XV10" s="15"/>
      <c r="XW10" s="15"/>
      <c r="XX10" s="15"/>
      <c r="XY10" s="15"/>
      <c r="XZ10" s="15"/>
      <c r="YA10" s="15"/>
      <c r="YB10" s="15"/>
      <c r="YC10" s="15"/>
      <c r="YD10" s="15"/>
      <c r="YE10" s="15"/>
      <c r="YF10" s="15"/>
      <c r="YG10" s="15"/>
      <c r="YH10" s="15"/>
      <c r="YI10" s="15"/>
      <c r="YJ10" s="15"/>
      <c r="YK10" s="15"/>
      <c r="YL10" s="15"/>
      <c r="YM10" s="15"/>
      <c r="YN10" s="15"/>
      <c r="YO10" s="15"/>
      <c r="YP10" s="15"/>
      <c r="YQ10" s="15"/>
      <c r="YR10" s="15"/>
      <c r="YS10" s="15"/>
      <c r="YT10" s="15"/>
      <c r="YU10" s="15"/>
      <c r="YV10" s="15"/>
      <c r="YW10" s="15"/>
      <c r="YX10" s="15"/>
      <c r="YY10" s="15"/>
      <c r="YZ10" s="15"/>
      <c r="ZA10" s="15"/>
      <c r="ZB10" s="15"/>
      <c r="ZC10" s="15"/>
      <c r="ZD10" s="15"/>
      <c r="ZE10" s="15"/>
      <c r="ZF10" s="15"/>
      <c r="ZG10" s="15"/>
      <c r="ZH10" s="15"/>
      <c r="ZI10" s="15"/>
      <c r="ZJ10" s="15"/>
      <c r="ZK10" s="15"/>
      <c r="ZL10" s="15"/>
      <c r="ZM10" s="15"/>
      <c r="ZN10" s="15"/>
      <c r="ZO10" s="15"/>
      <c r="ZP10" s="15"/>
      <c r="ZQ10" s="15"/>
      <c r="ZR10" s="15"/>
      <c r="ZS10" s="15"/>
      <c r="ZT10" s="15"/>
      <c r="ZU10" s="15"/>
      <c r="ZV10" s="15"/>
      <c r="ZW10" s="15"/>
      <c r="ZX10" s="15"/>
      <c r="ZY10" s="15"/>
      <c r="ZZ10" s="15"/>
      <c r="AAA10" s="15"/>
      <c r="AAB10" s="15"/>
      <c r="AAC10" s="15"/>
      <c r="AAD10" s="15"/>
      <c r="AAE10" s="15"/>
      <c r="AAF10" s="15"/>
      <c r="AAG10" s="15"/>
      <c r="AAH10" s="15"/>
      <c r="AAI10" s="15"/>
      <c r="AAJ10" s="15"/>
      <c r="AAK10" s="15"/>
      <c r="AAL10" s="15"/>
      <c r="AAM10" s="15"/>
      <c r="AAN10" s="15"/>
      <c r="AAO10" s="15"/>
      <c r="AAP10" s="15"/>
      <c r="AAQ10" s="15"/>
      <c r="AAR10" s="15"/>
      <c r="AAS10" s="15"/>
      <c r="AAT10" s="15"/>
      <c r="AAU10" s="15"/>
      <c r="AAV10" s="15"/>
      <c r="AAW10" s="15"/>
      <c r="AAX10" s="15"/>
      <c r="AAY10" s="15"/>
      <c r="AAZ10" s="15"/>
      <c r="ABA10" s="15"/>
      <c r="ABB10" s="15"/>
      <c r="ABC10" s="15"/>
      <c r="ABD10" s="15"/>
      <c r="ABE10" s="15"/>
      <c r="ABF10" s="15"/>
      <c r="ABG10" s="15"/>
      <c r="ABH10" s="15"/>
      <c r="ABI10" s="15"/>
      <c r="ABJ10" s="15"/>
      <c r="ABK10" s="15"/>
      <c r="ABL10" s="15"/>
      <c r="ABM10" s="15"/>
      <c r="ABN10" s="15"/>
      <c r="ABO10" s="15"/>
      <c r="ABP10" s="15"/>
      <c r="ABQ10" s="15"/>
      <c r="ABR10" s="15"/>
      <c r="ABS10" s="15"/>
      <c r="ABT10" s="15"/>
      <c r="ABU10" s="15"/>
      <c r="ABV10" s="15"/>
      <c r="ABW10" s="15"/>
      <c r="ABX10" s="15"/>
      <c r="ABY10" s="15"/>
      <c r="ABZ10" s="15"/>
      <c r="ACA10" s="15"/>
      <c r="ACB10" s="15"/>
      <c r="ACC10" s="15"/>
      <c r="ACD10" s="15"/>
      <c r="ACE10" s="15"/>
      <c r="ACF10" s="15"/>
      <c r="ACG10" s="15"/>
      <c r="ACH10" s="15"/>
      <c r="ACI10" s="15"/>
      <c r="ACJ10" s="15"/>
      <c r="ACK10" s="15"/>
      <c r="ACL10" s="15"/>
      <c r="ACM10" s="15"/>
      <c r="ACN10" s="15"/>
      <c r="ACO10" s="15"/>
      <c r="ACP10" s="15"/>
      <c r="ACQ10" s="15"/>
      <c r="ACR10" s="15"/>
      <c r="ACS10" s="15"/>
      <c r="ACT10" s="15"/>
      <c r="ACU10" s="15"/>
      <c r="ACV10" s="15"/>
      <c r="ACW10" s="15"/>
      <c r="ACX10" s="15"/>
      <c r="ACY10" s="15"/>
      <c r="ACZ10" s="15"/>
      <c r="ADA10" s="15"/>
      <c r="ADB10" s="15"/>
      <c r="ADC10" s="15"/>
      <c r="ADD10" s="15"/>
      <c r="ADE10" s="15"/>
      <c r="ADF10" s="15"/>
      <c r="ADG10" s="15"/>
      <c r="ADH10" s="15"/>
      <c r="ADI10" s="15"/>
      <c r="ADJ10" s="15"/>
      <c r="ADK10" s="15"/>
      <c r="ADL10" s="15"/>
      <c r="ADM10" s="15"/>
      <c r="ADN10" s="15"/>
      <c r="ADO10" s="15"/>
      <c r="ADP10" s="15"/>
      <c r="ADQ10" s="15"/>
      <c r="ADR10" s="15"/>
      <c r="ADS10" s="15"/>
      <c r="ADT10" s="15"/>
      <c r="ADU10" s="15"/>
      <c r="ADV10" s="15"/>
      <c r="ADW10" s="15"/>
      <c r="ADX10" s="15"/>
      <c r="ADY10" s="15"/>
      <c r="ADZ10" s="15"/>
      <c r="AEA10" s="15"/>
      <c r="AEB10" s="15"/>
      <c r="AEC10" s="15"/>
      <c r="AED10" s="15"/>
      <c r="AEE10" s="15"/>
      <c r="AEF10" s="15"/>
      <c r="AEG10" s="15"/>
      <c r="AEH10" s="15"/>
      <c r="AEI10" s="15"/>
      <c r="AEJ10" s="15"/>
      <c r="AEK10" s="15"/>
      <c r="AEL10" s="15"/>
      <c r="AEM10" s="15"/>
      <c r="AEN10" s="15"/>
      <c r="AEO10" s="15"/>
      <c r="AEP10" s="15"/>
      <c r="AEQ10" s="15"/>
      <c r="AER10" s="15"/>
      <c r="AES10" s="15"/>
      <c r="AET10" s="15"/>
      <c r="AEU10" s="15"/>
      <c r="AEV10" s="15"/>
      <c r="AEW10" s="15"/>
      <c r="AEX10" s="15"/>
      <c r="AEY10" s="15"/>
      <c r="AEZ10" s="15"/>
      <c r="AFA10" s="15"/>
      <c r="AFB10" s="15"/>
      <c r="AFC10" s="15"/>
      <c r="AFD10" s="15"/>
      <c r="AFE10" s="15"/>
      <c r="AFF10" s="15"/>
      <c r="AFG10" s="15"/>
      <c r="AFH10" s="15"/>
      <c r="AFI10" s="15"/>
      <c r="AFJ10" s="15"/>
      <c r="AFK10" s="15"/>
      <c r="AFL10" s="15"/>
      <c r="AFM10" s="15"/>
      <c r="AFN10" s="15"/>
      <c r="AFO10" s="15"/>
      <c r="AFP10" s="15"/>
      <c r="AFQ10" s="15"/>
      <c r="AFR10" s="15"/>
      <c r="AFS10" s="15"/>
      <c r="AFT10" s="15"/>
      <c r="AFU10" s="15"/>
      <c r="AFV10" s="15"/>
      <c r="AFW10" s="15"/>
      <c r="AFX10" s="15"/>
      <c r="AFY10" s="15"/>
      <c r="AFZ10" s="15"/>
      <c r="AGA10" s="15"/>
      <c r="AGB10" s="15"/>
      <c r="AGC10" s="15"/>
      <c r="AGD10" s="15"/>
      <c r="AGE10" s="15"/>
      <c r="AGF10" s="15"/>
      <c r="AGG10" s="15"/>
      <c r="AGH10" s="15"/>
      <c r="AGI10" s="15"/>
      <c r="AGJ10" s="15"/>
      <c r="AGK10" s="15"/>
      <c r="AGL10" s="15"/>
      <c r="AGM10" s="15"/>
      <c r="AGN10" s="15"/>
      <c r="AGO10" s="15"/>
      <c r="AGP10" s="15"/>
      <c r="AGQ10" s="15"/>
      <c r="AGR10" s="15"/>
      <c r="AGS10" s="15"/>
      <c r="AGT10" s="15"/>
      <c r="AGU10" s="15"/>
      <c r="AGV10" s="15"/>
      <c r="AGW10" s="15"/>
      <c r="AGX10" s="15"/>
      <c r="AGY10" s="15"/>
      <c r="AGZ10" s="15"/>
      <c r="AHA10" s="15"/>
      <c r="AHB10" s="15"/>
      <c r="AHC10" s="15"/>
      <c r="AHD10" s="15"/>
      <c r="AHE10" s="15"/>
      <c r="AHF10" s="15"/>
      <c r="AHG10" s="15"/>
      <c r="AHH10" s="15"/>
      <c r="AHI10" s="15"/>
      <c r="AHJ10" s="15"/>
      <c r="AHK10" s="15"/>
      <c r="AHL10" s="15"/>
      <c r="AHM10" s="15"/>
      <c r="AHN10" s="15"/>
      <c r="AHO10" s="15"/>
      <c r="AHP10" s="15"/>
      <c r="AHQ10" s="15"/>
      <c r="AHR10" s="15"/>
      <c r="AHS10" s="15"/>
      <c r="AHT10" s="15"/>
      <c r="AHU10" s="15"/>
      <c r="AHV10" s="15"/>
      <c r="AHW10" s="15"/>
      <c r="AHX10" s="15"/>
      <c r="AHY10" s="15"/>
      <c r="AHZ10" s="15"/>
      <c r="AIA10" s="15"/>
      <c r="AIB10" s="15"/>
      <c r="AIC10" s="15"/>
      <c r="AID10" s="15"/>
      <c r="AIE10" s="15"/>
      <c r="AIF10" s="15"/>
      <c r="AIG10" s="15"/>
      <c r="AIH10" s="15"/>
      <c r="AII10" s="15"/>
      <c r="AIJ10" s="15"/>
      <c r="AIK10" s="15"/>
      <c r="AIL10" s="15"/>
      <c r="AIM10" s="15"/>
      <c r="AIN10" s="15"/>
      <c r="AIO10" s="15"/>
      <c r="AIP10" s="15"/>
      <c r="AIQ10" s="15"/>
      <c r="AIR10" s="15"/>
      <c r="AIS10" s="15"/>
      <c r="AIT10" s="15"/>
      <c r="AIU10" s="15"/>
      <c r="AIV10" s="15"/>
      <c r="AIW10" s="15"/>
      <c r="AIX10" s="15"/>
      <c r="AIY10" s="15"/>
      <c r="AIZ10" s="15"/>
      <c r="AJA10" s="15"/>
      <c r="AJB10" s="15"/>
      <c r="AJC10" s="15"/>
      <c r="AJD10" s="15"/>
      <c r="AJE10" s="15"/>
      <c r="AJF10" s="15"/>
      <c r="AJG10" s="15"/>
      <c r="AJH10" s="15"/>
      <c r="AJI10" s="15"/>
      <c r="AJJ10" s="15"/>
      <c r="AJK10" s="15"/>
      <c r="AJL10" s="15"/>
      <c r="AJM10" s="15"/>
      <c r="AJN10" s="15"/>
      <c r="AJO10" s="15"/>
      <c r="AJP10" s="15"/>
      <c r="AJQ10" s="15"/>
      <c r="AJR10" s="15"/>
      <c r="AJS10" s="15"/>
      <c r="AJT10" s="15"/>
      <c r="AJU10" s="15"/>
      <c r="AJV10" s="15"/>
      <c r="AJW10" s="15"/>
      <c r="AJX10" s="15"/>
      <c r="AJY10" s="15"/>
      <c r="AJZ10" s="15"/>
      <c r="AKA10" s="15"/>
      <c r="AKB10" s="15"/>
      <c r="AKC10" s="15"/>
      <c r="AKD10" s="15"/>
      <c r="AKE10" s="15"/>
      <c r="AKF10" s="15"/>
      <c r="AKG10" s="15"/>
      <c r="AKH10" s="15"/>
      <c r="AKI10" s="15"/>
      <c r="AKJ10" s="15"/>
      <c r="AKK10" s="15"/>
      <c r="AKL10" s="15"/>
      <c r="AKM10" s="15"/>
      <c r="AKN10" s="15"/>
      <c r="AKO10" s="15"/>
      <c r="AKP10" s="15"/>
      <c r="AKQ10" s="15"/>
      <c r="AKR10" s="15"/>
      <c r="AKS10" s="15"/>
      <c r="AKT10" s="15"/>
      <c r="AKU10" s="15"/>
      <c r="AKV10" s="15"/>
      <c r="AKW10" s="15"/>
      <c r="AKX10" s="15"/>
      <c r="AKY10" s="15"/>
      <c r="AKZ10" s="15"/>
      <c r="ALA10" s="15"/>
      <c r="ALB10" s="15"/>
      <c r="ALC10" s="15"/>
      <c r="ALD10" s="15"/>
      <c r="ALE10" s="15"/>
      <c r="ALF10" s="15"/>
      <c r="ALG10" s="15"/>
      <c r="ALH10" s="15"/>
      <c r="ALI10" s="15"/>
      <c r="ALJ10" s="15"/>
      <c r="ALK10" s="15"/>
      <c r="ALL10" s="15"/>
      <c r="ALM10" s="15"/>
      <c r="ALN10" s="15"/>
      <c r="ALO10" s="15"/>
      <c r="ALP10" s="15"/>
      <c r="ALQ10" s="15"/>
      <c r="ALR10" s="15"/>
      <c r="ALS10" s="15"/>
      <c r="ALT10" s="15"/>
      <c r="ALU10" s="15"/>
      <c r="ALV10" s="15"/>
      <c r="ALW10" s="15"/>
      <c r="ALX10" s="15"/>
      <c r="ALY10" s="15"/>
      <c r="ALZ10" s="15"/>
      <c r="AMA10" s="15"/>
      <c r="AMB10" s="15"/>
      <c r="AMC10" s="15"/>
      <c r="AMD10" s="15"/>
      <c r="AME10" s="15"/>
      <c r="AMF10" s="15"/>
      <c r="AMG10" s="14"/>
    </row>
    <row r="11" spans="1:1021" s="13" customFormat="1" ht="43.5" hidden="1" x14ac:dyDescent="0.35">
      <c r="A11" s="19">
        <v>43647</v>
      </c>
      <c r="B11" s="17" t="s">
        <v>492</v>
      </c>
      <c r="C11" s="17" t="s">
        <v>491</v>
      </c>
      <c r="D11" s="18">
        <v>43649</v>
      </c>
      <c r="E11" s="17" t="s">
        <v>490</v>
      </c>
      <c r="F11" s="26">
        <v>0.64583333333333304</v>
      </c>
      <c r="G11" s="26">
        <v>0.66666666666666696</v>
      </c>
      <c r="H11" s="26">
        <v>0.6875</v>
      </c>
      <c r="I11" s="17">
        <v>173</v>
      </c>
      <c r="J11" s="17" t="s">
        <v>489</v>
      </c>
      <c r="K11" s="17" t="s">
        <v>15</v>
      </c>
      <c r="L11" s="16" t="s">
        <v>17</v>
      </c>
      <c r="M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15"/>
      <c r="CR11" s="15"/>
      <c r="CS11" s="15"/>
      <c r="CT11" s="15"/>
      <c r="CU11" s="15"/>
      <c r="CV11" s="15"/>
      <c r="CW11" s="15"/>
      <c r="CX11" s="15"/>
      <c r="CY11" s="15"/>
      <c r="CZ11" s="15"/>
      <c r="DA11" s="15"/>
      <c r="DB11" s="15"/>
      <c r="DC11" s="15"/>
      <c r="DD11" s="15"/>
      <c r="DE11" s="15"/>
      <c r="DF11" s="15"/>
      <c r="DG11" s="15"/>
      <c r="DH11" s="15"/>
      <c r="DI11" s="15"/>
      <c r="DJ11" s="15"/>
      <c r="DK11" s="15"/>
      <c r="DL11" s="15"/>
      <c r="DM11" s="15"/>
      <c r="DN11" s="15"/>
      <c r="DO11" s="15"/>
      <c r="DP11" s="15"/>
      <c r="DQ11" s="15"/>
      <c r="DR11" s="15"/>
      <c r="DS11" s="15"/>
      <c r="DT11" s="15"/>
      <c r="DU11" s="15"/>
      <c r="DV11" s="15"/>
      <c r="DW11" s="15"/>
      <c r="DX11" s="15"/>
      <c r="DY11" s="15"/>
      <c r="DZ11" s="15"/>
      <c r="EA11" s="15"/>
      <c r="EB11" s="15"/>
      <c r="EC11" s="15"/>
      <c r="ED11" s="15"/>
      <c r="EE11" s="15"/>
      <c r="EF11" s="15"/>
      <c r="EG11" s="15"/>
      <c r="EH11" s="15"/>
      <c r="EI11" s="15"/>
      <c r="EJ11" s="15"/>
      <c r="EK11" s="15"/>
      <c r="EL11" s="15"/>
      <c r="EM11" s="15"/>
      <c r="EN11" s="15"/>
      <c r="EO11" s="15"/>
      <c r="EP11" s="15"/>
      <c r="EQ11" s="15"/>
      <c r="ER11" s="15"/>
      <c r="ES11" s="15"/>
      <c r="ET11" s="15"/>
      <c r="EU11" s="15"/>
      <c r="EV11" s="15"/>
      <c r="EW11" s="15"/>
      <c r="EX11" s="15"/>
      <c r="EY11" s="15"/>
      <c r="EZ11" s="15"/>
      <c r="FA11" s="15"/>
      <c r="FB11" s="15"/>
      <c r="FC11" s="15"/>
      <c r="FD11" s="15"/>
      <c r="FE11" s="15"/>
      <c r="FF11" s="15"/>
      <c r="FG11" s="15"/>
      <c r="FH11" s="15"/>
      <c r="FI11" s="15"/>
      <c r="FJ11" s="15"/>
      <c r="FK11" s="15"/>
      <c r="FL11" s="15"/>
      <c r="FM11" s="15"/>
      <c r="FN11" s="15"/>
      <c r="FO11" s="15"/>
      <c r="FP11" s="15"/>
      <c r="FQ11" s="15"/>
      <c r="FR11" s="15"/>
      <c r="FS11" s="15"/>
      <c r="FT11" s="15"/>
      <c r="FU11" s="15"/>
      <c r="FV11" s="15"/>
      <c r="FW11" s="15"/>
      <c r="FX11" s="15"/>
      <c r="FY11" s="15"/>
      <c r="FZ11" s="15"/>
      <c r="GA11" s="15"/>
      <c r="GB11" s="15"/>
      <c r="GC11" s="15"/>
      <c r="GD11" s="15"/>
      <c r="GE11" s="15"/>
      <c r="GF11" s="15"/>
      <c r="GG11" s="15"/>
      <c r="GH11" s="15"/>
      <c r="GI11" s="15"/>
      <c r="GJ11" s="15"/>
      <c r="GK11" s="15"/>
      <c r="GL11" s="15"/>
      <c r="GM11" s="15"/>
      <c r="GN11" s="15"/>
      <c r="GO11" s="15"/>
      <c r="GP11" s="15"/>
      <c r="GQ11" s="15"/>
      <c r="GR11" s="15"/>
      <c r="GS11" s="15"/>
      <c r="GT11" s="15"/>
      <c r="GU11" s="15"/>
      <c r="GV11" s="15"/>
      <c r="GW11" s="15"/>
      <c r="GX11" s="15"/>
      <c r="GY11" s="15"/>
      <c r="GZ11" s="15"/>
      <c r="HA11" s="15"/>
      <c r="HB11" s="15"/>
      <c r="HC11" s="15"/>
      <c r="HD11" s="15"/>
      <c r="HE11" s="15"/>
      <c r="HF11" s="15"/>
      <c r="HG11" s="15"/>
      <c r="HH11" s="15"/>
      <c r="HI11" s="15"/>
      <c r="HJ11" s="15"/>
      <c r="HK11" s="15"/>
      <c r="HL11" s="15"/>
      <c r="HM11" s="15"/>
      <c r="HN11" s="15"/>
      <c r="HO11" s="15"/>
      <c r="HP11" s="15"/>
      <c r="HQ11" s="15"/>
      <c r="HR11" s="15"/>
      <c r="HS11" s="15"/>
      <c r="HT11" s="15"/>
      <c r="HU11" s="15"/>
      <c r="HV11" s="15"/>
      <c r="HW11" s="15"/>
      <c r="HX11" s="15"/>
      <c r="HY11" s="15"/>
      <c r="HZ11" s="15"/>
      <c r="IA11" s="15"/>
      <c r="IB11" s="15"/>
      <c r="IC11" s="15"/>
      <c r="ID11" s="15"/>
      <c r="IE11" s="15"/>
      <c r="IF11" s="15"/>
      <c r="IG11" s="15"/>
      <c r="IH11" s="15"/>
      <c r="II11" s="15"/>
      <c r="IJ11" s="15"/>
      <c r="IK11" s="15"/>
      <c r="IL11" s="15"/>
      <c r="IM11" s="15"/>
      <c r="IN11" s="15"/>
      <c r="IO11" s="15"/>
      <c r="IP11" s="15"/>
      <c r="IQ11" s="15"/>
      <c r="IR11" s="15"/>
      <c r="IS11" s="15"/>
      <c r="IT11" s="15"/>
      <c r="IU11" s="15"/>
      <c r="IV11" s="15"/>
      <c r="IW11" s="15"/>
      <c r="IX11" s="15"/>
      <c r="IY11" s="15"/>
      <c r="IZ11" s="15"/>
      <c r="JA11" s="15"/>
      <c r="JB11" s="15"/>
      <c r="JC11" s="15"/>
      <c r="JD11" s="15"/>
      <c r="JE11" s="15"/>
      <c r="JF11" s="15"/>
      <c r="JG11" s="15"/>
      <c r="JH11" s="15"/>
      <c r="JI11" s="15"/>
      <c r="JJ11" s="15"/>
      <c r="JK11" s="15"/>
      <c r="JL11" s="15"/>
      <c r="JM11" s="15"/>
      <c r="JN11" s="15"/>
      <c r="JO11" s="15"/>
      <c r="JP11" s="15"/>
      <c r="JQ11" s="15"/>
      <c r="JR11" s="15"/>
      <c r="JS11" s="15"/>
      <c r="JT11" s="15"/>
      <c r="JU11" s="15"/>
      <c r="JV11" s="15"/>
      <c r="JW11" s="15"/>
      <c r="JX11" s="15"/>
      <c r="JY11" s="15"/>
      <c r="JZ11" s="15"/>
      <c r="KA11" s="15"/>
      <c r="KB11" s="15"/>
      <c r="KC11" s="15"/>
      <c r="KD11" s="15"/>
      <c r="KE11" s="15"/>
      <c r="KF11" s="15"/>
      <c r="KG11" s="15"/>
      <c r="KH11" s="15"/>
      <c r="KI11" s="15"/>
      <c r="KJ11" s="15"/>
      <c r="KK11" s="15"/>
      <c r="KL11" s="15"/>
      <c r="KM11" s="15"/>
      <c r="KN11" s="15"/>
      <c r="KO11" s="15"/>
      <c r="KP11" s="15"/>
      <c r="KQ11" s="15"/>
      <c r="KR11" s="15"/>
      <c r="KS11" s="15"/>
      <c r="KT11" s="15"/>
      <c r="KU11" s="15"/>
      <c r="KV11" s="15"/>
      <c r="KW11" s="15"/>
      <c r="KX11" s="15"/>
      <c r="KY11" s="15"/>
      <c r="KZ11" s="15"/>
      <c r="LA11" s="15"/>
      <c r="LB11" s="15"/>
      <c r="LC11" s="15"/>
      <c r="LD11" s="15"/>
      <c r="LE11" s="15"/>
      <c r="LF11" s="15"/>
      <c r="LG11" s="15"/>
      <c r="LH11" s="15"/>
      <c r="LI11" s="15"/>
      <c r="LJ11" s="15"/>
      <c r="LK11" s="15"/>
      <c r="LL11" s="15"/>
      <c r="LM11" s="15"/>
      <c r="LN11" s="15"/>
      <c r="LO11" s="15"/>
      <c r="LP11" s="15"/>
      <c r="LQ11" s="15"/>
      <c r="LR11" s="15"/>
      <c r="LS11" s="15"/>
      <c r="LT11" s="15"/>
      <c r="LU11" s="15"/>
      <c r="LV11" s="15"/>
      <c r="LW11" s="15"/>
      <c r="LX11" s="15"/>
      <c r="LY11" s="15"/>
      <c r="LZ11" s="15"/>
      <c r="MA11" s="15"/>
      <c r="MB11" s="15"/>
      <c r="MC11" s="15"/>
      <c r="MD11" s="15"/>
      <c r="ME11" s="15"/>
      <c r="MF11" s="15"/>
      <c r="MG11" s="15"/>
      <c r="MH11" s="15"/>
      <c r="MI11" s="15"/>
      <c r="MJ11" s="15"/>
      <c r="MK11" s="15"/>
      <c r="ML11" s="15"/>
      <c r="MM11" s="15"/>
      <c r="MN11" s="15"/>
      <c r="MO11" s="15"/>
      <c r="MP11" s="15"/>
      <c r="MQ11" s="15"/>
      <c r="MR11" s="15"/>
      <c r="MS11" s="15"/>
      <c r="MT11" s="15"/>
      <c r="MU11" s="15"/>
      <c r="MV11" s="15"/>
      <c r="MW11" s="15"/>
      <c r="MX11" s="15"/>
      <c r="MY11" s="15"/>
      <c r="MZ11" s="15"/>
      <c r="NA11" s="15"/>
      <c r="NB11" s="15"/>
      <c r="NC11" s="15"/>
      <c r="ND11" s="15"/>
      <c r="NE11" s="15"/>
      <c r="NF11" s="15"/>
      <c r="NG11" s="15"/>
      <c r="NH11" s="15"/>
      <c r="NI11" s="15"/>
      <c r="NJ11" s="15"/>
      <c r="NK11" s="15"/>
      <c r="NL11" s="15"/>
      <c r="NM11" s="15"/>
      <c r="NN11" s="15"/>
      <c r="NO11" s="15"/>
      <c r="NP11" s="15"/>
      <c r="NQ11" s="15"/>
      <c r="NR11" s="15"/>
      <c r="NS11" s="15"/>
      <c r="NT11" s="15"/>
      <c r="NU11" s="15"/>
      <c r="NV11" s="15"/>
      <c r="NW11" s="15"/>
      <c r="NX11" s="15"/>
      <c r="NY11" s="15"/>
      <c r="NZ11" s="15"/>
      <c r="OA11" s="15"/>
      <c r="OB11" s="15"/>
      <c r="OC11" s="15"/>
      <c r="OD11" s="15"/>
      <c r="OE11" s="15"/>
      <c r="OF11" s="15"/>
      <c r="OG11" s="15"/>
      <c r="OH11" s="15"/>
      <c r="OI11" s="15"/>
      <c r="OJ11" s="15"/>
      <c r="OK11" s="15"/>
      <c r="OL11" s="15"/>
      <c r="OM11" s="15"/>
      <c r="ON11" s="15"/>
      <c r="OO11" s="15"/>
      <c r="OP11" s="15"/>
      <c r="OQ11" s="15"/>
      <c r="OR11" s="15"/>
      <c r="OS11" s="15"/>
      <c r="OT11" s="15"/>
      <c r="OU11" s="15"/>
      <c r="OV11" s="15"/>
      <c r="OW11" s="15"/>
      <c r="OX11" s="15"/>
      <c r="OY11" s="15"/>
      <c r="OZ11" s="15"/>
      <c r="PA11" s="15"/>
      <c r="PB11" s="15"/>
      <c r="PC11" s="15"/>
      <c r="PD11" s="15"/>
      <c r="PE11" s="15"/>
      <c r="PF11" s="15"/>
      <c r="PG11" s="15"/>
      <c r="PH11" s="15"/>
      <c r="PI11" s="15"/>
      <c r="PJ11" s="15"/>
      <c r="PK11" s="15"/>
      <c r="PL11" s="15"/>
      <c r="PM11" s="15"/>
      <c r="PN11" s="15"/>
      <c r="PO11" s="15"/>
      <c r="PP11" s="15"/>
      <c r="PQ11" s="15"/>
      <c r="PR11" s="15"/>
      <c r="PS11" s="15"/>
      <c r="PT11" s="15"/>
      <c r="PU11" s="15"/>
      <c r="PV11" s="15"/>
      <c r="PW11" s="15"/>
      <c r="PX11" s="15"/>
      <c r="PY11" s="15"/>
      <c r="PZ11" s="15"/>
      <c r="QA11" s="15"/>
      <c r="QB11" s="15"/>
      <c r="QC11" s="15"/>
      <c r="QD11" s="15"/>
      <c r="QE11" s="15"/>
      <c r="QF11" s="15"/>
      <c r="QG11" s="15"/>
      <c r="QH11" s="15"/>
      <c r="QI11" s="15"/>
      <c r="QJ11" s="15"/>
      <c r="QK11" s="15"/>
      <c r="QL11" s="15"/>
      <c r="QM11" s="15"/>
      <c r="QN11" s="15"/>
      <c r="QO11" s="15"/>
      <c r="QP11" s="15"/>
      <c r="QQ11" s="15"/>
      <c r="QR11" s="15"/>
      <c r="QS11" s="15"/>
      <c r="QT11" s="15"/>
      <c r="QU11" s="15"/>
      <c r="QV11" s="15"/>
      <c r="QW11" s="15"/>
      <c r="QX11" s="15"/>
      <c r="QY11" s="15"/>
      <c r="QZ11" s="15"/>
      <c r="RA11" s="15"/>
      <c r="RB11" s="15"/>
      <c r="RC11" s="15"/>
      <c r="RD11" s="15"/>
      <c r="RE11" s="15"/>
      <c r="RF11" s="15"/>
      <c r="RG11" s="15"/>
      <c r="RH11" s="15"/>
      <c r="RI11" s="15"/>
      <c r="RJ11" s="15"/>
      <c r="RK11" s="15"/>
      <c r="RL11" s="15"/>
      <c r="RM11" s="15"/>
      <c r="RN11" s="15"/>
      <c r="RO11" s="15"/>
      <c r="RP11" s="15"/>
      <c r="RQ11" s="15"/>
      <c r="RR11" s="15"/>
      <c r="RS11" s="15"/>
      <c r="RT11" s="15"/>
      <c r="RU11" s="15"/>
      <c r="RV11" s="15"/>
      <c r="RW11" s="15"/>
      <c r="RX11" s="15"/>
      <c r="RY11" s="15"/>
      <c r="RZ11" s="15"/>
      <c r="SA11" s="15"/>
      <c r="SB11" s="15"/>
      <c r="SC11" s="15"/>
      <c r="SD11" s="15"/>
      <c r="SE11" s="15"/>
      <c r="SF11" s="15"/>
      <c r="SG11" s="15"/>
      <c r="SH11" s="15"/>
      <c r="SI11" s="15"/>
      <c r="SJ11" s="15"/>
      <c r="SK11" s="15"/>
      <c r="SL11" s="15"/>
      <c r="SM11" s="15"/>
      <c r="SN11" s="15"/>
      <c r="SO11" s="15"/>
      <c r="SP11" s="15"/>
      <c r="SQ11" s="15"/>
      <c r="SR11" s="15"/>
      <c r="SS11" s="15"/>
      <c r="ST11" s="15"/>
      <c r="SU11" s="15"/>
      <c r="SV11" s="15"/>
      <c r="SW11" s="15"/>
      <c r="SX11" s="15"/>
      <c r="SY11" s="15"/>
      <c r="SZ11" s="15"/>
      <c r="TA11" s="15"/>
      <c r="TB11" s="15"/>
      <c r="TC11" s="15"/>
      <c r="TD11" s="15"/>
      <c r="TE11" s="15"/>
      <c r="TF11" s="15"/>
      <c r="TG11" s="15"/>
      <c r="TH11" s="15"/>
      <c r="TI11" s="15"/>
      <c r="TJ11" s="15"/>
      <c r="TK11" s="15"/>
      <c r="TL11" s="15"/>
      <c r="TM11" s="15"/>
      <c r="TN11" s="15"/>
      <c r="TO11" s="15"/>
      <c r="TP11" s="15"/>
      <c r="TQ11" s="15"/>
      <c r="TR11" s="15"/>
      <c r="TS11" s="15"/>
      <c r="TT11" s="15"/>
      <c r="TU11" s="15"/>
      <c r="TV11" s="15"/>
      <c r="TW11" s="15"/>
      <c r="TX11" s="15"/>
      <c r="TY11" s="15"/>
      <c r="TZ11" s="15"/>
      <c r="UA11" s="15"/>
      <c r="UB11" s="15"/>
      <c r="UC11" s="15"/>
      <c r="UD11" s="15"/>
      <c r="UE11" s="15"/>
      <c r="UF11" s="15"/>
      <c r="UG11" s="15"/>
      <c r="UH11" s="15"/>
      <c r="UI11" s="15"/>
      <c r="UJ11" s="15"/>
      <c r="UK11" s="15"/>
      <c r="UL11" s="15"/>
      <c r="UM11" s="15"/>
      <c r="UN11" s="15"/>
      <c r="UO11" s="15"/>
      <c r="UP11" s="15"/>
      <c r="UQ11" s="15"/>
      <c r="UR11" s="15"/>
      <c r="US11" s="15"/>
      <c r="UT11" s="15"/>
      <c r="UU11" s="15"/>
      <c r="UV11" s="15"/>
      <c r="UW11" s="15"/>
      <c r="UX11" s="15"/>
      <c r="UY11" s="15"/>
      <c r="UZ11" s="15"/>
      <c r="VA11" s="15"/>
      <c r="VB11" s="15"/>
      <c r="VC11" s="15"/>
      <c r="VD11" s="15"/>
      <c r="VE11" s="15"/>
      <c r="VF11" s="15"/>
      <c r="VG11" s="15"/>
      <c r="VH11" s="15"/>
      <c r="VI11" s="15"/>
      <c r="VJ11" s="15"/>
      <c r="VK11" s="15"/>
      <c r="VL11" s="15"/>
      <c r="VM11" s="15"/>
      <c r="VN11" s="15"/>
      <c r="VO11" s="15"/>
      <c r="VP11" s="15"/>
      <c r="VQ11" s="15"/>
      <c r="VR11" s="15"/>
      <c r="VS11" s="15"/>
      <c r="VT11" s="15"/>
      <c r="VU11" s="15"/>
      <c r="VV11" s="15"/>
      <c r="VW11" s="15"/>
      <c r="VX11" s="15"/>
      <c r="VY11" s="15"/>
      <c r="VZ11" s="15"/>
      <c r="WA11" s="15"/>
      <c r="WB11" s="15"/>
      <c r="WC11" s="15"/>
      <c r="WD11" s="15"/>
      <c r="WE11" s="15"/>
      <c r="WF11" s="15"/>
      <c r="WG11" s="15"/>
      <c r="WH11" s="15"/>
      <c r="WI11" s="15"/>
      <c r="WJ11" s="15"/>
      <c r="WK11" s="15"/>
      <c r="WL11" s="15"/>
      <c r="WM11" s="15"/>
      <c r="WN11" s="15"/>
      <c r="WO11" s="15"/>
      <c r="WP11" s="15"/>
      <c r="WQ11" s="15"/>
      <c r="WR11" s="15"/>
      <c r="WS11" s="15"/>
      <c r="WT11" s="15"/>
      <c r="WU11" s="15"/>
      <c r="WV11" s="15"/>
      <c r="WW11" s="15"/>
      <c r="WX11" s="15"/>
      <c r="WY11" s="15"/>
      <c r="WZ11" s="15"/>
      <c r="XA11" s="15"/>
      <c r="XB11" s="15"/>
      <c r="XC11" s="15"/>
      <c r="XD11" s="15"/>
      <c r="XE11" s="15"/>
      <c r="XF11" s="15"/>
      <c r="XG11" s="15"/>
      <c r="XH11" s="15"/>
      <c r="XI11" s="15"/>
      <c r="XJ11" s="15"/>
      <c r="XK11" s="15"/>
      <c r="XL11" s="15"/>
      <c r="XM11" s="15"/>
      <c r="XN11" s="15"/>
      <c r="XO11" s="15"/>
      <c r="XP11" s="15"/>
      <c r="XQ11" s="15"/>
      <c r="XR11" s="15"/>
      <c r="XS11" s="15"/>
      <c r="XT11" s="15"/>
      <c r="XU11" s="15"/>
      <c r="XV11" s="15"/>
      <c r="XW11" s="15"/>
      <c r="XX11" s="15"/>
      <c r="XY11" s="15"/>
      <c r="XZ11" s="15"/>
      <c r="YA11" s="15"/>
      <c r="YB11" s="15"/>
      <c r="YC11" s="15"/>
      <c r="YD11" s="15"/>
      <c r="YE11" s="15"/>
      <c r="YF11" s="15"/>
      <c r="YG11" s="15"/>
      <c r="YH11" s="15"/>
      <c r="YI11" s="15"/>
      <c r="YJ11" s="15"/>
      <c r="YK11" s="15"/>
      <c r="YL11" s="15"/>
      <c r="YM11" s="15"/>
      <c r="YN11" s="15"/>
      <c r="YO11" s="15"/>
      <c r="YP11" s="15"/>
      <c r="YQ11" s="15"/>
      <c r="YR11" s="15"/>
      <c r="YS11" s="15"/>
      <c r="YT11" s="15"/>
      <c r="YU11" s="15"/>
      <c r="YV11" s="15"/>
      <c r="YW11" s="15"/>
      <c r="YX11" s="15"/>
      <c r="YY11" s="15"/>
      <c r="YZ11" s="15"/>
      <c r="ZA11" s="15"/>
      <c r="ZB11" s="15"/>
      <c r="ZC11" s="15"/>
      <c r="ZD11" s="15"/>
      <c r="ZE11" s="15"/>
      <c r="ZF11" s="15"/>
      <c r="ZG11" s="15"/>
      <c r="ZH11" s="15"/>
      <c r="ZI11" s="15"/>
      <c r="ZJ11" s="15"/>
      <c r="ZK11" s="15"/>
      <c r="ZL11" s="15"/>
      <c r="ZM11" s="15"/>
      <c r="ZN11" s="15"/>
      <c r="ZO11" s="15"/>
      <c r="ZP11" s="15"/>
      <c r="ZQ11" s="15"/>
      <c r="ZR11" s="15"/>
      <c r="ZS11" s="15"/>
      <c r="ZT11" s="15"/>
      <c r="ZU11" s="15"/>
      <c r="ZV11" s="15"/>
      <c r="ZW11" s="15"/>
      <c r="ZX11" s="15"/>
      <c r="ZY11" s="15"/>
      <c r="ZZ11" s="15"/>
      <c r="AAA11" s="15"/>
      <c r="AAB11" s="15"/>
      <c r="AAC11" s="15"/>
      <c r="AAD11" s="15"/>
      <c r="AAE11" s="15"/>
      <c r="AAF11" s="15"/>
      <c r="AAG11" s="15"/>
      <c r="AAH11" s="15"/>
      <c r="AAI11" s="15"/>
      <c r="AAJ11" s="15"/>
      <c r="AAK11" s="15"/>
      <c r="AAL11" s="15"/>
      <c r="AAM11" s="15"/>
      <c r="AAN11" s="15"/>
      <c r="AAO11" s="15"/>
      <c r="AAP11" s="15"/>
      <c r="AAQ11" s="15"/>
      <c r="AAR11" s="15"/>
      <c r="AAS11" s="15"/>
      <c r="AAT11" s="15"/>
      <c r="AAU11" s="15"/>
      <c r="AAV11" s="15"/>
      <c r="AAW11" s="15"/>
      <c r="AAX11" s="15"/>
      <c r="AAY11" s="15"/>
      <c r="AAZ11" s="15"/>
      <c r="ABA11" s="15"/>
      <c r="ABB11" s="15"/>
      <c r="ABC11" s="15"/>
      <c r="ABD11" s="15"/>
      <c r="ABE11" s="15"/>
      <c r="ABF11" s="15"/>
      <c r="ABG11" s="15"/>
      <c r="ABH11" s="15"/>
      <c r="ABI11" s="15"/>
      <c r="ABJ11" s="15"/>
      <c r="ABK11" s="15"/>
      <c r="ABL11" s="15"/>
      <c r="ABM11" s="15"/>
      <c r="ABN11" s="15"/>
      <c r="ABO11" s="15"/>
      <c r="ABP11" s="15"/>
      <c r="ABQ11" s="15"/>
      <c r="ABR11" s="15"/>
      <c r="ABS11" s="15"/>
      <c r="ABT11" s="15"/>
      <c r="ABU11" s="15"/>
      <c r="ABV11" s="15"/>
      <c r="ABW11" s="15"/>
      <c r="ABX11" s="15"/>
      <c r="ABY11" s="15"/>
      <c r="ABZ11" s="15"/>
      <c r="ACA11" s="15"/>
      <c r="ACB11" s="15"/>
      <c r="ACC11" s="15"/>
      <c r="ACD11" s="15"/>
      <c r="ACE11" s="15"/>
      <c r="ACF11" s="15"/>
      <c r="ACG11" s="15"/>
      <c r="ACH11" s="15"/>
      <c r="ACI11" s="15"/>
      <c r="ACJ11" s="15"/>
      <c r="ACK11" s="15"/>
      <c r="ACL11" s="15"/>
      <c r="ACM11" s="15"/>
      <c r="ACN11" s="15"/>
      <c r="ACO11" s="15"/>
      <c r="ACP11" s="15"/>
      <c r="ACQ11" s="15"/>
      <c r="ACR11" s="15"/>
      <c r="ACS11" s="15"/>
      <c r="ACT11" s="15"/>
      <c r="ACU11" s="15"/>
      <c r="ACV11" s="15"/>
      <c r="ACW11" s="15"/>
      <c r="ACX11" s="15"/>
      <c r="ACY11" s="15"/>
      <c r="ACZ11" s="15"/>
      <c r="ADA11" s="15"/>
      <c r="ADB11" s="15"/>
      <c r="ADC11" s="15"/>
      <c r="ADD11" s="15"/>
      <c r="ADE11" s="15"/>
      <c r="ADF11" s="15"/>
      <c r="ADG11" s="15"/>
      <c r="ADH11" s="15"/>
      <c r="ADI11" s="15"/>
      <c r="ADJ11" s="15"/>
      <c r="ADK11" s="15"/>
      <c r="ADL11" s="15"/>
      <c r="ADM11" s="15"/>
      <c r="ADN11" s="15"/>
      <c r="ADO11" s="15"/>
      <c r="ADP11" s="15"/>
      <c r="ADQ11" s="15"/>
      <c r="ADR11" s="15"/>
      <c r="ADS11" s="15"/>
      <c r="ADT11" s="15"/>
      <c r="ADU11" s="15"/>
      <c r="ADV11" s="15"/>
      <c r="ADW11" s="15"/>
      <c r="ADX11" s="15"/>
      <c r="ADY11" s="15"/>
      <c r="ADZ11" s="15"/>
      <c r="AEA11" s="15"/>
      <c r="AEB11" s="15"/>
      <c r="AEC11" s="15"/>
      <c r="AED11" s="15"/>
      <c r="AEE11" s="15"/>
      <c r="AEF11" s="15"/>
      <c r="AEG11" s="15"/>
      <c r="AEH11" s="15"/>
      <c r="AEI11" s="15"/>
      <c r="AEJ11" s="15"/>
      <c r="AEK11" s="15"/>
      <c r="AEL11" s="15"/>
      <c r="AEM11" s="15"/>
      <c r="AEN11" s="15"/>
      <c r="AEO11" s="15"/>
      <c r="AEP11" s="15"/>
      <c r="AEQ11" s="15"/>
      <c r="AER11" s="15"/>
      <c r="AES11" s="15"/>
      <c r="AET11" s="15"/>
      <c r="AEU11" s="15"/>
      <c r="AEV11" s="15"/>
      <c r="AEW11" s="15"/>
      <c r="AEX11" s="15"/>
      <c r="AEY11" s="15"/>
      <c r="AEZ11" s="15"/>
      <c r="AFA11" s="15"/>
      <c r="AFB11" s="15"/>
      <c r="AFC11" s="15"/>
      <c r="AFD11" s="15"/>
      <c r="AFE11" s="15"/>
      <c r="AFF11" s="15"/>
      <c r="AFG11" s="15"/>
      <c r="AFH11" s="15"/>
      <c r="AFI11" s="15"/>
      <c r="AFJ11" s="15"/>
      <c r="AFK11" s="15"/>
      <c r="AFL11" s="15"/>
      <c r="AFM11" s="15"/>
      <c r="AFN11" s="15"/>
      <c r="AFO11" s="15"/>
      <c r="AFP11" s="15"/>
      <c r="AFQ11" s="15"/>
      <c r="AFR11" s="15"/>
      <c r="AFS11" s="15"/>
      <c r="AFT11" s="15"/>
      <c r="AFU11" s="15"/>
      <c r="AFV11" s="15"/>
      <c r="AFW11" s="15"/>
      <c r="AFX11" s="15"/>
      <c r="AFY11" s="15"/>
      <c r="AFZ11" s="15"/>
      <c r="AGA11" s="15"/>
      <c r="AGB11" s="15"/>
      <c r="AGC11" s="15"/>
      <c r="AGD11" s="15"/>
      <c r="AGE11" s="15"/>
      <c r="AGF11" s="15"/>
      <c r="AGG11" s="15"/>
      <c r="AGH11" s="15"/>
      <c r="AGI11" s="15"/>
      <c r="AGJ11" s="15"/>
      <c r="AGK11" s="15"/>
      <c r="AGL11" s="15"/>
      <c r="AGM11" s="15"/>
      <c r="AGN11" s="15"/>
      <c r="AGO11" s="15"/>
      <c r="AGP11" s="15"/>
      <c r="AGQ11" s="15"/>
      <c r="AGR11" s="15"/>
      <c r="AGS11" s="15"/>
      <c r="AGT11" s="15"/>
      <c r="AGU11" s="15"/>
      <c r="AGV11" s="15"/>
      <c r="AGW11" s="15"/>
      <c r="AGX11" s="15"/>
      <c r="AGY11" s="15"/>
      <c r="AGZ11" s="15"/>
      <c r="AHA11" s="15"/>
      <c r="AHB11" s="15"/>
      <c r="AHC11" s="15"/>
      <c r="AHD11" s="15"/>
      <c r="AHE11" s="15"/>
      <c r="AHF11" s="15"/>
      <c r="AHG11" s="15"/>
      <c r="AHH11" s="15"/>
      <c r="AHI11" s="15"/>
      <c r="AHJ11" s="15"/>
      <c r="AHK11" s="15"/>
      <c r="AHL11" s="15"/>
      <c r="AHM11" s="15"/>
      <c r="AHN11" s="15"/>
      <c r="AHO11" s="15"/>
      <c r="AHP11" s="15"/>
      <c r="AHQ11" s="15"/>
      <c r="AHR11" s="15"/>
      <c r="AHS11" s="15"/>
      <c r="AHT11" s="15"/>
      <c r="AHU11" s="15"/>
      <c r="AHV11" s="15"/>
      <c r="AHW11" s="15"/>
      <c r="AHX11" s="15"/>
      <c r="AHY11" s="15"/>
      <c r="AHZ11" s="15"/>
      <c r="AIA11" s="15"/>
      <c r="AIB11" s="15"/>
      <c r="AIC11" s="15"/>
      <c r="AID11" s="15"/>
      <c r="AIE11" s="15"/>
      <c r="AIF11" s="15"/>
      <c r="AIG11" s="15"/>
      <c r="AIH11" s="15"/>
      <c r="AII11" s="15"/>
      <c r="AIJ11" s="15"/>
      <c r="AIK11" s="15"/>
      <c r="AIL11" s="15"/>
      <c r="AIM11" s="15"/>
      <c r="AIN11" s="15"/>
      <c r="AIO11" s="15"/>
      <c r="AIP11" s="15"/>
      <c r="AIQ11" s="15"/>
      <c r="AIR11" s="15"/>
      <c r="AIS11" s="15"/>
      <c r="AIT11" s="15"/>
      <c r="AIU11" s="15"/>
      <c r="AIV11" s="15"/>
      <c r="AIW11" s="15"/>
      <c r="AIX11" s="15"/>
      <c r="AIY11" s="15"/>
      <c r="AIZ11" s="15"/>
      <c r="AJA11" s="15"/>
      <c r="AJB11" s="15"/>
      <c r="AJC11" s="15"/>
      <c r="AJD11" s="15"/>
      <c r="AJE11" s="15"/>
      <c r="AJF11" s="15"/>
      <c r="AJG11" s="15"/>
      <c r="AJH11" s="15"/>
      <c r="AJI11" s="15"/>
      <c r="AJJ11" s="15"/>
      <c r="AJK11" s="15"/>
      <c r="AJL11" s="15"/>
      <c r="AJM11" s="15"/>
      <c r="AJN11" s="15"/>
      <c r="AJO11" s="15"/>
      <c r="AJP11" s="15"/>
      <c r="AJQ11" s="15"/>
      <c r="AJR11" s="15"/>
      <c r="AJS11" s="15"/>
      <c r="AJT11" s="15"/>
      <c r="AJU11" s="15"/>
      <c r="AJV11" s="15"/>
      <c r="AJW11" s="15"/>
      <c r="AJX11" s="15"/>
      <c r="AJY11" s="15"/>
      <c r="AJZ11" s="15"/>
      <c r="AKA11" s="15"/>
      <c r="AKB11" s="15"/>
      <c r="AKC11" s="15"/>
      <c r="AKD11" s="15"/>
      <c r="AKE11" s="15"/>
      <c r="AKF11" s="15"/>
      <c r="AKG11" s="15"/>
      <c r="AKH11" s="15"/>
      <c r="AKI11" s="15"/>
      <c r="AKJ11" s="15"/>
      <c r="AKK11" s="15"/>
      <c r="AKL11" s="15"/>
      <c r="AKM11" s="15"/>
      <c r="AKN11" s="15"/>
      <c r="AKO11" s="15"/>
      <c r="AKP11" s="15"/>
      <c r="AKQ11" s="15"/>
      <c r="AKR11" s="15"/>
      <c r="AKS11" s="15"/>
      <c r="AKT11" s="15"/>
      <c r="AKU11" s="15"/>
      <c r="AKV11" s="15"/>
      <c r="AKW11" s="15"/>
      <c r="AKX11" s="15"/>
      <c r="AKY11" s="15"/>
      <c r="AKZ11" s="15"/>
      <c r="ALA11" s="15"/>
      <c r="ALB11" s="15"/>
      <c r="ALC11" s="15"/>
      <c r="ALD11" s="15"/>
      <c r="ALE11" s="15"/>
      <c r="ALF11" s="15"/>
      <c r="ALG11" s="15"/>
      <c r="ALH11" s="15"/>
      <c r="ALI11" s="15"/>
      <c r="ALJ11" s="15"/>
      <c r="ALK11" s="15"/>
      <c r="ALL11" s="15"/>
      <c r="ALM11" s="15"/>
      <c r="ALN11" s="15"/>
      <c r="ALO11" s="15"/>
      <c r="ALP11" s="15"/>
      <c r="ALQ11" s="15"/>
      <c r="ALR11" s="15"/>
      <c r="ALS11" s="15"/>
      <c r="ALT11" s="15"/>
      <c r="ALU11" s="15"/>
      <c r="ALV11" s="15"/>
      <c r="ALW11" s="15"/>
      <c r="ALX11" s="15"/>
      <c r="ALY11" s="15"/>
      <c r="ALZ11" s="15"/>
      <c r="AMA11" s="15"/>
      <c r="AMB11" s="15"/>
      <c r="AMC11" s="15"/>
      <c r="AMD11" s="15"/>
      <c r="AME11" s="15"/>
      <c r="AMF11" s="15"/>
      <c r="AMG11" s="14"/>
    </row>
    <row r="12" spans="1:1021" s="13" customFormat="1" ht="72.5" hidden="1" x14ac:dyDescent="0.35">
      <c r="A12" s="19">
        <v>43647</v>
      </c>
      <c r="B12" s="17" t="s">
        <v>488</v>
      </c>
      <c r="C12" s="17" t="s">
        <v>487</v>
      </c>
      <c r="D12" s="18">
        <v>43649</v>
      </c>
      <c r="E12" s="17" t="s">
        <v>486</v>
      </c>
      <c r="F12" s="26">
        <v>0.64583333333333304</v>
      </c>
      <c r="G12" s="26">
        <v>0.70833333333333304</v>
      </c>
      <c r="H12" s="26">
        <v>0.72916666666666696</v>
      </c>
      <c r="I12" s="17" t="s">
        <v>485</v>
      </c>
      <c r="J12" s="17" t="s">
        <v>15</v>
      </c>
      <c r="K12" s="17" t="s">
        <v>15</v>
      </c>
      <c r="L12" s="16" t="s">
        <v>22</v>
      </c>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4"/>
    </row>
    <row r="13" spans="1:1021" s="13" customFormat="1" ht="72.5" hidden="1" x14ac:dyDescent="0.35">
      <c r="A13" s="19">
        <v>43649</v>
      </c>
      <c r="B13" s="17" t="s">
        <v>484</v>
      </c>
      <c r="C13" s="17" t="s">
        <v>483</v>
      </c>
      <c r="D13" s="18">
        <v>43649</v>
      </c>
      <c r="E13" s="17" t="s">
        <v>482</v>
      </c>
      <c r="F13" s="26">
        <v>0.64583333333333304</v>
      </c>
      <c r="G13" s="26">
        <v>0.75</v>
      </c>
      <c r="H13" s="26">
        <v>0.77083333333333304</v>
      </c>
      <c r="I13" s="17">
        <v>360</v>
      </c>
      <c r="J13" s="17" t="s">
        <v>481</v>
      </c>
      <c r="K13" s="17" t="s">
        <v>15</v>
      </c>
      <c r="L13" s="16" t="s">
        <v>17</v>
      </c>
      <c r="M13" s="15"/>
      <c r="N13" s="15"/>
      <c r="O13" s="15"/>
      <c r="P13" s="15"/>
      <c r="Q13" s="15"/>
      <c r="R13" s="15"/>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15"/>
      <c r="CR13" s="15"/>
      <c r="CS13" s="15"/>
      <c r="CT13" s="15"/>
      <c r="CU13" s="15"/>
      <c r="CV13" s="15"/>
      <c r="CW13" s="15"/>
      <c r="CX13" s="15"/>
      <c r="CY13" s="15"/>
      <c r="CZ13" s="15"/>
      <c r="DA13" s="15"/>
      <c r="DB13" s="15"/>
      <c r="DC13" s="15"/>
      <c r="DD13" s="15"/>
      <c r="DE13" s="15"/>
      <c r="DF13" s="15"/>
      <c r="DG13" s="15"/>
      <c r="DH13" s="15"/>
      <c r="DI13" s="15"/>
      <c r="DJ13" s="15"/>
      <c r="DK13" s="15"/>
      <c r="DL13" s="15"/>
      <c r="DM13" s="15"/>
      <c r="DN13" s="15"/>
      <c r="DO13" s="15"/>
      <c r="DP13" s="15"/>
      <c r="DQ13" s="15"/>
      <c r="DR13" s="15"/>
      <c r="DS13" s="15"/>
      <c r="DT13" s="15"/>
      <c r="DU13" s="15"/>
      <c r="DV13" s="15"/>
      <c r="DW13" s="15"/>
      <c r="DX13" s="15"/>
      <c r="DY13" s="15"/>
      <c r="DZ13" s="15"/>
      <c r="EA13" s="15"/>
      <c r="EB13" s="15"/>
      <c r="EC13" s="15"/>
      <c r="ED13" s="15"/>
      <c r="EE13" s="15"/>
      <c r="EF13" s="15"/>
      <c r="EG13" s="15"/>
      <c r="EH13" s="15"/>
      <c r="EI13" s="15"/>
      <c r="EJ13" s="15"/>
      <c r="EK13" s="15"/>
      <c r="EL13" s="15"/>
      <c r="EM13" s="15"/>
      <c r="EN13" s="15"/>
      <c r="EO13" s="15"/>
      <c r="EP13" s="15"/>
      <c r="EQ13" s="15"/>
      <c r="ER13" s="15"/>
      <c r="ES13" s="15"/>
      <c r="ET13" s="15"/>
      <c r="EU13" s="15"/>
      <c r="EV13" s="15"/>
      <c r="EW13" s="15"/>
      <c r="EX13" s="15"/>
      <c r="EY13" s="15"/>
      <c r="EZ13" s="15"/>
      <c r="FA13" s="15"/>
      <c r="FB13" s="15"/>
      <c r="FC13" s="15"/>
      <c r="FD13" s="15"/>
      <c r="FE13" s="15"/>
      <c r="FF13" s="15"/>
      <c r="FG13" s="15"/>
      <c r="FH13" s="15"/>
      <c r="FI13" s="15"/>
      <c r="FJ13" s="15"/>
      <c r="FK13" s="15"/>
      <c r="FL13" s="15"/>
      <c r="FM13" s="15"/>
      <c r="FN13" s="15"/>
      <c r="FO13" s="15"/>
      <c r="FP13" s="15"/>
      <c r="FQ13" s="15"/>
      <c r="FR13" s="15"/>
      <c r="FS13" s="15"/>
      <c r="FT13" s="15"/>
      <c r="FU13" s="15"/>
      <c r="FV13" s="15"/>
      <c r="FW13" s="15"/>
      <c r="FX13" s="15"/>
      <c r="FY13" s="15"/>
      <c r="FZ13" s="15"/>
      <c r="GA13" s="15"/>
      <c r="GB13" s="15"/>
      <c r="GC13" s="15"/>
      <c r="GD13" s="15"/>
      <c r="GE13" s="15"/>
      <c r="GF13" s="15"/>
      <c r="GG13" s="15"/>
      <c r="GH13" s="15"/>
      <c r="GI13" s="15"/>
      <c r="GJ13" s="15"/>
      <c r="GK13" s="15"/>
      <c r="GL13" s="15"/>
      <c r="GM13" s="15"/>
      <c r="GN13" s="15"/>
      <c r="GO13" s="15"/>
      <c r="GP13" s="15"/>
      <c r="GQ13" s="15"/>
      <c r="GR13" s="15"/>
      <c r="GS13" s="15"/>
      <c r="GT13" s="15"/>
      <c r="GU13" s="15"/>
      <c r="GV13" s="15"/>
      <c r="GW13" s="15"/>
      <c r="GX13" s="15"/>
      <c r="GY13" s="15"/>
      <c r="GZ13" s="15"/>
      <c r="HA13" s="15"/>
      <c r="HB13" s="15"/>
      <c r="HC13" s="15"/>
      <c r="HD13" s="15"/>
      <c r="HE13" s="15"/>
      <c r="HF13" s="15"/>
      <c r="HG13" s="15"/>
      <c r="HH13" s="15"/>
      <c r="HI13" s="15"/>
      <c r="HJ13" s="15"/>
      <c r="HK13" s="15"/>
      <c r="HL13" s="15"/>
      <c r="HM13" s="15"/>
      <c r="HN13" s="15"/>
      <c r="HO13" s="15"/>
      <c r="HP13" s="15"/>
      <c r="HQ13" s="15"/>
      <c r="HR13" s="15"/>
      <c r="HS13" s="15"/>
      <c r="HT13" s="15"/>
      <c r="HU13" s="15"/>
      <c r="HV13" s="15"/>
      <c r="HW13" s="15"/>
      <c r="HX13" s="15"/>
      <c r="HY13" s="15"/>
      <c r="HZ13" s="15"/>
      <c r="IA13" s="15"/>
      <c r="IB13" s="15"/>
      <c r="IC13" s="15"/>
      <c r="ID13" s="15"/>
      <c r="IE13" s="15"/>
      <c r="IF13" s="15"/>
      <c r="IG13" s="15"/>
      <c r="IH13" s="15"/>
      <c r="II13" s="15"/>
      <c r="IJ13" s="15"/>
      <c r="IK13" s="15"/>
      <c r="IL13" s="15"/>
      <c r="IM13" s="15"/>
      <c r="IN13" s="15"/>
      <c r="IO13" s="15"/>
      <c r="IP13" s="15"/>
      <c r="IQ13" s="15"/>
      <c r="IR13" s="15"/>
      <c r="IS13" s="15"/>
      <c r="IT13" s="15"/>
      <c r="IU13" s="15"/>
      <c r="IV13" s="15"/>
      <c r="IW13" s="15"/>
      <c r="IX13" s="15"/>
      <c r="IY13" s="15"/>
      <c r="IZ13" s="15"/>
      <c r="JA13" s="15"/>
      <c r="JB13" s="15"/>
      <c r="JC13" s="15"/>
      <c r="JD13" s="15"/>
      <c r="JE13" s="15"/>
      <c r="JF13" s="15"/>
      <c r="JG13" s="15"/>
      <c r="JH13" s="15"/>
      <c r="JI13" s="15"/>
      <c r="JJ13" s="15"/>
      <c r="JK13" s="15"/>
      <c r="JL13" s="15"/>
      <c r="JM13" s="15"/>
      <c r="JN13" s="15"/>
      <c r="JO13" s="15"/>
      <c r="JP13" s="15"/>
      <c r="JQ13" s="15"/>
      <c r="JR13" s="15"/>
      <c r="JS13" s="15"/>
      <c r="JT13" s="15"/>
      <c r="JU13" s="15"/>
      <c r="JV13" s="15"/>
      <c r="JW13" s="15"/>
      <c r="JX13" s="15"/>
      <c r="JY13" s="15"/>
      <c r="JZ13" s="15"/>
      <c r="KA13" s="15"/>
      <c r="KB13" s="15"/>
      <c r="KC13" s="15"/>
      <c r="KD13" s="15"/>
      <c r="KE13" s="15"/>
      <c r="KF13" s="15"/>
      <c r="KG13" s="15"/>
      <c r="KH13" s="15"/>
      <c r="KI13" s="15"/>
      <c r="KJ13" s="15"/>
      <c r="KK13" s="15"/>
      <c r="KL13" s="15"/>
      <c r="KM13" s="15"/>
      <c r="KN13" s="15"/>
      <c r="KO13" s="15"/>
      <c r="KP13" s="15"/>
      <c r="KQ13" s="15"/>
      <c r="KR13" s="15"/>
      <c r="KS13" s="15"/>
      <c r="KT13" s="15"/>
      <c r="KU13" s="15"/>
      <c r="KV13" s="15"/>
      <c r="KW13" s="15"/>
      <c r="KX13" s="15"/>
      <c r="KY13" s="15"/>
      <c r="KZ13" s="15"/>
      <c r="LA13" s="15"/>
      <c r="LB13" s="15"/>
      <c r="LC13" s="15"/>
      <c r="LD13" s="15"/>
      <c r="LE13" s="15"/>
      <c r="LF13" s="15"/>
      <c r="LG13" s="15"/>
      <c r="LH13" s="15"/>
      <c r="LI13" s="15"/>
      <c r="LJ13" s="15"/>
      <c r="LK13" s="15"/>
      <c r="LL13" s="15"/>
      <c r="LM13" s="15"/>
      <c r="LN13" s="15"/>
      <c r="LO13" s="15"/>
      <c r="LP13" s="15"/>
      <c r="LQ13" s="15"/>
      <c r="LR13" s="15"/>
      <c r="LS13" s="15"/>
      <c r="LT13" s="15"/>
      <c r="LU13" s="15"/>
      <c r="LV13" s="15"/>
      <c r="LW13" s="15"/>
      <c r="LX13" s="15"/>
      <c r="LY13" s="15"/>
      <c r="LZ13" s="15"/>
      <c r="MA13" s="15"/>
      <c r="MB13" s="15"/>
      <c r="MC13" s="15"/>
      <c r="MD13" s="15"/>
      <c r="ME13" s="15"/>
      <c r="MF13" s="15"/>
      <c r="MG13" s="15"/>
      <c r="MH13" s="15"/>
      <c r="MI13" s="15"/>
      <c r="MJ13" s="15"/>
      <c r="MK13" s="15"/>
      <c r="ML13" s="15"/>
      <c r="MM13" s="15"/>
      <c r="MN13" s="15"/>
      <c r="MO13" s="15"/>
      <c r="MP13" s="15"/>
      <c r="MQ13" s="15"/>
      <c r="MR13" s="15"/>
      <c r="MS13" s="15"/>
      <c r="MT13" s="15"/>
      <c r="MU13" s="15"/>
      <c r="MV13" s="15"/>
      <c r="MW13" s="15"/>
      <c r="MX13" s="15"/>
      <c r="MY13" s="15"/>
      <c r="MZ13" s="15"/>
      <c r="NA13" s="15"/>
      <c r="NB13" s="15"/>
      <c r="NC13" s="15"/>
      <c r="ND13" s="15"/>
      <c r="NE13" s="15"/>
      <c r="NF13" s="15"/>
      <c r="NG13" s="15"/>
      <c r="NH13" s="15"/>
      <c r="NI13" s="15"/>
      <c r="NJ13" s="15"/>
      <c r="NK13" s="15"/>
      <c r="NL13" s="15"/>
      <c r="NM13" s="15"/>
      <c r="NN13" s="15"/>
      <c r="NO13" s="15"/>
      <c r="NP13" s="15"/>
      <c r="NQ13" s="15"/>
      <c r="NR13" s="15"/>
      <c r="NS13" s="15"/>
      <c r="NT13" s="15"/>
      <c r="NU13" s="15"/>
      <c r="NV13" s="15"/>
      <c r="NW13" s="15"/>
      <c r="NX13" s="15"/>
      <c r="NY13" s="15"/>
      <c r="NZ13" s="15"/>
      <c r="OA13" s="15"/>
      <c r="OB13" s="15"/>
      <c r="OC13" s="15"/>
      <c r="OD13" s="15"/>
      <c r="OE13" s="15"/>
      <c r="OF13" s="15"/>
      <c r="OG13" s="15"/>
      <c r="OH13" s="15"/>
      <c r="OI13" s="15"/>
      <c r="OJ13" s="15"/>
      <c r="OK13" s="15"/>
      <c r="OL13" s="15"/>
      <c r="OM13" s="15"/>
      <c r="ON13" s="15"/>
      <c r="OO13" s="15"/>
      <c r="OP13" s="15"/>
      <c r="OQ13" s="15"/>
      <c r="OR13" s="15"/>
      <c r="OS13" s="15"/>
      <c r="OT13" s="15"/>
      <c r="OU13" s="15"/>
      <c r="OV13" s="15"/>
      <c r="OW13" s="15"/>
      <c r="OX13" s="15"/>
      <c r="OY13" s="15"/>
      <c r="OZ13" s="15"/>
      <c r="PA13" s="15"/>
      <c r="PB13" s="15"/>
      <c r="PC13" s="15"/>
      <c r="PD13" s="15"/>
      <c r="PE13" s="15"/>
      <c r="PF13" s="15"/>
      <c r="PG13" s="15"/>
      <c r="PH13" s="15"/>
      <c r="PI13" s="15"/>
      <c r="PJ13" s="15"/>
      <c r="PK13" s="15"/>
      <c r="PL13" s="15"/>
      <c r="PM13" s="15"/>
      <c r="PN13" s="15"/>
      <c r="PO13" s="15"/>
      <c r="PP13" s="15"/>
      <c r="PQ13" s="15"/>
      <c r="PR13" s="15"/>
      <c r="PS13" s="15"/>
      <c r="PT13" s="15"/>
      <c r="PU13" s="15"/>
      <c r="PV13" s="15"/>
      <c r="PW13" s="15"/>
      <c r="PX13" s="15"/>
      <c r="PY13" s="15"/>
      <c r="PZ13" s="15"/>
      <c r="QA13" s="15"/>
      <c r="QB13" s="15"/>
      <c r="QC13" s="15"/>
      <c r="QD13" s="15"/>
      <c r="QE13" s="15"/>
      <c r="QF13" s="15"/>
      <c r="QG13" s="15"/>
      <c r="QH13" s="15"/>
      <c r="QI13" s="15"/>
      <c r="QJ13" s="15"/>
      <c r="QK13" s="15"/>
      <c r="QL13" s="15"/>
      <c r="QM13" s="15"/>
      <c r="QN13" s="15"/>
      <c r="QO13" s="15"/>
      <c r="QP13" s="15"/>
      <c r="QQ13" s="15"/>
      <c r="QR13" s="15"/>
      <c r="QS13" s="15"/>
      <c r="QT13" s="15"/>
      <c r="QU13" s="15"/>
      <c r="QV13" s="15"/>
      <c r="QW13" s="15"/>
      <c r="QX13" s="15"/>
      <c r="QY13" s="15"/>
      <c r="QZ13" s="15"/>
      <c r="RA13" s="15"/>
      <c r="RB13" s="15"/>
      <c r="RC13" s="15"/>
      <c r="RD13" s="15"/>
      <c r="RE13" s="15"/>
      <c r="RF13" s="15"/>
      <c r="RG13" s="15"/>
      <c r="RH13" s="15"/>
      <c r="RI13" s="15"/>
      <c r="RJ13" s="15"/>
      <c r="RK13" s="15"/>
      <c r="RL13" s="15"/>
      <c r="RM13" s="15"/>
      <c r="RN13" s="15"/>
      <c r="RO13" s="15"/>
      <c r="RP13" s="15"/>
      <c r="RQ13" s="15"/>
      <c r="RR13" s="15"/>
      <c r="RS13" s="15"/>
      <c r="RT13" s="15"/>
      <c r="RU13" s="15"/>
      <c r="RV13" s="15"/>
      <c r="RW13" s="15"/>
      <c r="RX13" s="15"/>
      <c r="RY13" s="15"/>
      <c r="RZ13" s="15"/>
      <c r="SA13" s="15"/>
      <c r="SB13" s="15"/>
      <c r="SC13" s="15"/>
      <c r="SD13" s="15"/>
      <c r="SE13" s="15"/>
      <c r="SF13" s="15"/>
      <c r="SG13" s="15"/>
      <c r="SH13" s="15"/>
      <c r="SI13" s="15"/>
      <c r="SJ13" s="15"/>
      <c r="SK13" s="15"/>
      <c r="SL13" s="15"/>
      <c r="SM13" s="15"/>
      <c r="SN13" s="15"/>
      <c r="SO13" s="15"/>
      <c r="SP13" s="15"/>
      <c r="SQ13" s="15"/>
      <c r="SR13" s="15"/>
      <c r="SS13" s="15"/>
      <c r="ST13" s="15"/>
      <c r="SU13" s="15"/>
      <c r="SV13" s="15"/>
      <c r="SW13" s="15"/>
      <c r="SX13" s="15"/>
      <c r="SY13" s="15"/>
      <c r="SZ13" s="15"/>
      <c r="TA13" s="15"/>
      <c r="TB13" s="15"/>
      <c r="TC13" s="15"/>
      <c r="TD13" s="15"/>
      <c r="TE13" s="15"/>
      <c r="TF13" s="15"/>
      <c r="TG13" s="15"/>
      <c r="TH13" s="15"/>
      <c r="TI13" s="15"/>
      <c r="TJ13" s="15"/>
      <c r="TK13" s="15"/>
      <c r="TL13" s="15"/>
      <c r="TM13" s="15"/>
      <c r="TN13" s="15"/>
      <c r="TO13" s="15"/>
      <c r="TP13" s="15"/>
      <c r="TQ13" s="15"/>
      <c r="TR13" s="15"/>
      <c r="TS13" s="15"/>
      <c r="TT13" s="15"/>
      <c r="TU13" s="15"/>
      <c r="TV13" s="15"/>
      <c r="TW13" s="15"/>
      <c r="TX13" s="15"/>
      <c r="TY13" s="15"/>
      <c r="TZ13" s="15"/>
      <c r="UA13" s="15"/>
      <c r="UB13" s="15"/>
      <c r="UC13" s="15"/>
      <c r="UD13" s="15"/>
      <c r="UE13" s="15"/>
      <c r="UF13" s="15"/>
      <c r="UG13" s="15"/>
      <c r="UH13" s="15"/>
      <c r="UI13" s="15"/>
      <c r="UJ13" s="15"/>
      <c r="UK13" s="15"/>
      <c r="UL13" s="15"/>
      <c r="UM13" s="15"/>
      <c r="UN13" s="15"/>
      <c r="UO13" s="15"/>
      <c r="UP13" s="15"/>
      <c r="UQ13" s="15"/>
      <c r="UR13" s="15"/>
      <c r="US13" s="15"/>
      <c r="UT13" s="15"/>
      <c r="UU13" s="15"/>
      <c r="UV13" s="15"/>
      <c r="UW13" s="15"/>
      <c r="UX13" s="15"/>
      <c r="UY13" s="15"/>
      <c r="UZ13" s="15"/>
      <c r="VA13" s="15"/>
      <c r="VB13" s="15"/>
      <c r="VC13" s="15"/>
      <c r="VD13" s="15"/>
      <c r="VE13" s="15"/>
      <c r="VF13" s="15"/>
      <c r="VG13" s="15"/>
      <c r="VH13" s="15"/>
      <c r="VI13" s="15"/>
      <c r="VJ13" s="15"/>
      <c r="VK13" s="15"/>
      <c r="VL13" s="15"/>
      <c r="VM13" s="15"/>
      <c r="VN13" s="15"/>
      <c r="VO13" s="15"/>
      <c r="VP13" s="15"/>
      <c r="VQ13" s="15"/>
      <c r="VR13" s="15"/>
      <c r="VS13" s="15"/>
      <c r="VT13" s="15"/>
      <c r="VU13" s="15"/>
      <c r="VV13" s="15"/>
      <c r="VW13" s="15"/>
      <c r="VX13" s="15"/>
      <c r="VY13" s="15"/>
      <c r="VZ13" s="15"/>
      <c r="WA13" s="15"/>
      <c r="WB13" s="15"/>
      <c r="WC13" s="15"/>
      <c r="WD13" s="15"/>
      <c r="WE13" s="15"/>
      <c r="WF13" s="15"/>
      <c r="WG13" s="15"/>
      <c r="WH13" s="15"/>
      <c r="WI13" s="15"/>
      <c r="WJ13" s="15"/>
      <c r="WK13" s="15"/>
      <c r="WL13" s="15"/>
      <c r="WM13" s="15"/>
      <c r="WN13" s="15"/>
      <c r="WO13" s="15"/>
      <c r="WP13" s="15"/>
      <c r="WQ13" s="15"/>
      <c r="WR13" s="15"/>
      <c r="WS13" s="15"/>
      <c r="WT13" s="15"/>
      <c r="WU13" s="15"/>
      <c r="WV13" s="15"/>
      <c r="WW13" s="15"/>
      <c r="WX13" s="15"/>
      <c r="WY13" s="15"/>
      <c r="WZ13" s="15"/>
      <c r="XA13" s="15"/>
      <c r="XB13" s="15"/>
      <c r="XC13" s="15"/>
      <c r="XD13" s="15"/>
      <c r="XE13" s="15"/>
      <c r="XF13" s="15"/>
      <c r="XG13" s="15"/>
      <c r="XH13" s="15"/>
      <c r="XI13" s="15"/>
      <c r="XJ13" s="15"/>
      <c r="XK13" s="15"/>
      <c r="XL13" s="15"/>
      <c r="XM13" s="15"/>
      <c r="XN13" s="15"/>
      <c r="XO13" s="15"/>
      <c r="XP13" s="15"/>
      <c r="XQ13" s="15"/>
      <c r="XR13" s="15"/>
      <c r="XS13" s="15"/>
      <c r="XT13" s="15"/>
      <c r="XU13" s="15"/>
      <c r="XV13" s="15"/>
      <c r="XW13" s="15"/>
      <c r="XX13" s="15"/>
      <c r="XY13" s="15"/>
      <c r="XZ13" s="15"/>
      <c r="YA13" s="15"/>
      <c r="YB13" s="15"/>
      <c r="YC13" s="15"/>
      <c r="YD13" s="15"/>
      <c r="YE13" s="15"/>
      <c r="YF13" s="15"/>
      <c r="YG13" s="15"/>
      <c r="YH13" s="15"/>
      <c r="YI13" s="15"/>
      <c r="YJ13" s="15"/>
      <c r="YK13" s="15"/>
      <c r="YL13" s="15"/>
      <c r="YM13" s="15"/>
      <c r="YN13" s="15"/>
      <c r="YO13" s="15"/>
      <c r="YP13" s="15"/>
      <c r="YQ13" s="15"/>
      <c r="YR13" s="15"/>
      <c r="YS13" s="15"/>
      <c r="YT13" s="15"/>
      <c r="YU13" s="15"/>
      <c r="YV13" s="15"/>
      <c r="YW13" s="15"/>
      <c r="YX13" s="15"/>
      <c r="YY13" s="15"/>
      <c r="YZ13" s="15"/>
      <c r="ZA13" s="15"/>
      <c r="ZB13" s="15"/>
      <c r="ZC13" s="15"/>
      <c r="ZD13" s="15"/>
      <c r="ZE13" s="15"/>
      <c r="ZF13" s="15"/>
      <c r="ZG13" s="15"/>
      <c r="ZH13" s="15"/>
      <c r="ZI13" s="15"/>
      <c r="ZJ13" s="15"/>
      <c r="ZK13" s="15"/>
      <c r="ZL13" s="15"/>
      <c r="ZM13" s="15"/>
      <c r="ZN13" s="15"/>
      <c r="ZO13" s="15"/>
      <c r="ZP13" s="15"/>
      <c r="ZQ13" s="15"/>
      <c r="ZR13" s="15"/>
      <c r="ZS13" s="15"/>
      <c r="ZT13" s="15"/>
      <c r="ZU13" s="15"/>
      <c r="ZV13" s="15"/>
      <c r="ZW13" s="15"/>
      <c r="ZX13" s="15"/>
      <c r="ZY13" s="15"/>
      <c r="ZZ13" s="15"/>
      <c r="AAA13" s="15"/>
      <c r="AAB13" s="15"/>
      <c r="AAC13" s="15"/>
      <c r="AAD13" s="15"/>
      <c r="AAE13" s="15"/>
      <c r="AAF13" s="15"/>
      <c r="AAG13" s="15"/>
      <c r="AAH13" s="15"/>
      <c r="AAI13" s="15"/>
      <c r="AAJ13" s="15"/>
      <c r="AAK13" s="15"/>
      <c r="AAL13" s="15"/>
      <c r="AAM13" s="15"/>
      <c r="AAN13" s="15"/>
      <c r="AAO13" s="15"/>
      <c r="AAP13" s="15"/>
      <c r="AAQ13" s="15"/>
      <c r="AAR13" s="15"/>
      <c r="AAS13" s="15"/>
      <c r="AAT13" s="15"/>
      <c r="AAU13" s="15"/>
      <c r="AAV13" s="15"/>
      <c r="AAW13" s="15"/>
      <c r="AAX13" s="15"/>
      <c r="AAY13" s="15"/>
      <c r="AAZ13" s="15"/>
      <c r="ABA13" s="15"/>
      <c r="ABB13" s="15"/>
      <c r="ABC13" s="15"/>
      <c r="ABD13" s="15"/>
      <c r="ABE13" s="15"/>
      <c r="ABF13" s="15"/>
      <c r="ABG13" s="15"/>
      <c r="ABH13" s="15"/>
      <c r="ABI13" s="15"/>
      <c r="ABJ13" s="15"/>
      <c r="ABK13" s="15"/>
      <c r="ABL13" s="15"/>
      <c r="ABM13" s="15"/>
      <c r="ABN13" s="15"/>
      <c r="ABO13" s="15"/>
      <c r="ABP13" s="15"/>
      <c r="ABQ13" s="15"/>
      <c r="ABR13" s="15"/>
      <c r="ABS13" s="15"/>
      <c r="ABT13" s="15"/>
      <c r="ABU13" s="15"/>
      <c r="ABV13" s="15"/>
      <c r="ABW13" s="15"/>
      <c r="ABX13" s="15"/>
      <c r="ABY13" s="15"/>
      <c r="ABZ13" s="15"/>
      <c r="ACA13" s="15"/>
      <c r="ACB13" s="15"/>
      <c r="ACC13" s="15"/>
      <c r="ACD13" s="15"/>
      <c r="ACE13" s="15"/>
      <c r="ACF13" s="15"/>
      <c r="ACG13" s="15"/>
      <c r="ACH13" s="15"/>
      <c r="ACI13" s="15"/>
      <c r="ACJ13" s="15"/>
      <c r="ACK13" s="15"/>
      <c r="ACL13" s="15"/>
      <c r="ACM13" s="15"/>
      <c r="ACN13" s="15"/>
      <c r="ACO13" s="15"/>
      <c r="ACP13" s="15"/>
      <c r="ACQ13" s="15"/>
      <c r="ACR13" s="15"/>
      <c r="ACS13" s="15"/>
      <c r="ACT13" s="15"/>
      <c r="ACU13" s="15"/>
      <c r="ACV13" s="15"/>
      <c r="ACW13" s="15"/>
      <c r="ACX13" s="15"/>
      <c r="ACY13" s="15"/>
      <c r="ACZ13" s="15"/>
      <c r="ADA13" s="15"/>
      <c r="ADB13" s="15"/>
      <c r="ADC13" s="15"/>
      <c r="ADD13" s="15"/>
      <c r="ADE13" s="15"/>
      <c r="ADF13" s="15"/>
      <c r="ADG13" s="15"/>
      <c r="ADH13" s="15"/>
      <c r="ADI13" s="15"/>
      <c r="ADJ13" s="15"/>
      <c r="ADK13" s="15"/>
      <c r="ADL13" s="15"/>
      <c r="ADM13" s="15"/>
      <c r="ADN13" s="15"/>
      <c r="ADO13" s="15"/>
      <c r="ADP13" s="15"/>
      <c r="ADQ13" s="15"/>
      <c r="ADR13" s="15"/>
      <c r="ADS13" s="15"/>
      <c r="ADT13" s="15"/>
      <c r="ADU13" s="15"/>
      <c r="ADV13" s="15"/>
      <c r="ADW13" s="15"/>
      <c r="ADX13" s="15"/>
      <c r="ADY13" s="15"/>
      <c r="ADZ13" s="15"/>
      <c r="AEA13" s="15"/>
      <c r="AEB13" s="15"/>
      <c r="AEC13" s="15"/>
      <c r="AED13" s="15"/>
      <c r="AEE13" s="15"/>
      <c r="AEF13" s="15"/>
      <c r="AEG13" s="15"/>
      <c r="AEH13" s="15"/>
      <c r="AEI13" s="15"/>
      <c r="AEJ13" s="15"/>
      <c r="AEK13" s="15"/>
      <c r="AEL13" s="15"/>
      <c r="AEM13" s="15"/>
      <c r="AEN13" s="15"/>
      <c r="AEO13" s="15"/>
      <c r="AEP13" s="15"/>
      <c r="AEQ13" s="15"/>
      <c r="AER13" s="15"/>
      <c r="AES13" s="15"/>
      <c r="AET13" s="15"/>
      <c r="AEU13" s="15"/>
      <c r="AEV13" s="15"/>
      <c r="AEW13" s="15"/>
      <c r="AEX13" s="15"/>
      <c r="AEY13" s="15"/>
      <c r="AEZ13" s="15"/>
      <c r="AFA13" s="15"/>
      <c r="AFB13" s="15"/>
      <c r="AFC13" s="15"/>
      <c r="AFD13" s="15"/>
      <c r="AFE13" s="15"/>
      <c r="AFF13" s="15"/>
      <c r="AFG13" s="15"/>
      <c r="AFH13" s="15"/>
      <c r="AFI13" s="15"/>
      <c r="AFJ13" s="15"/>
      <c r="AFK13" s="15"/>
      <c r="AFL13" s="15"/>
      <c r="AFM13" s="15"/>
      <c r="AFN13" s="15"/>
      <c r="AFO13" s="15"/>
      <c r="AFP13" s="15"/>
      <c r="AFQ13" s="15"/>
      <c r="AFR13" s="15"/>
      <c r="AFS13" s="15"/>
      <c r="AFT13" s="15"/>
      <c r="AFU13" s="15"/>
      <c r="AFV13" s="15"/>
      <c r="AFW13" s="15"/>
      <c r="AFX13" s="15"/>
      <c r="AFY13" s="15"/>
      <c r="AFZ13" s="15"/>
      <c r="AGA13" s="15"/>
      <c r="AGB13" s="15"/>
      <c r="AGC13" s="15"/>
      <c r="AGD13" s="15"/>
      <c r="AGE13" s="15"/>
      <c r="AGF13" s="15"/>
      <c r="AGG13" s="15"/>
      <c r="AGH13" s="15"/>
      <c r="AGI13" s="15"/>
      <c r="AGJ13" s="15"/>
      <c r="AGK13" s="15"/>
      <c r="AGL13" s="15"/>
      <c r="AGM13" s="15"/>
      <c r="AGN13" s="15"/>
      <c r="AGO13" s="15"/>
      <c r="AGP13" s="15"/>
      <c r="AGQ13" s="15"/>
      <c r="AGR13" s="15"/>
      <c r="AGS13" s="15"/>
      <c r="AGT13" s="15"/>
      <c r="AGU13" s="15"/>
      <c r="AGV13" s="15"/>
      <c r="AGW13" s="15"/>
      <c r="AGX13" s="15"/>
      <c r="AGY13" s="15"/>
      <c r="AGZ13" s="15"/>
      <c r="AHA13" s="15"/>
      <c r="AHB13" s="15"/>
      <c r="AHC13" s="15"/>
      <c r="AHD13" s="15"/>
      <c r="AHE13" s="15"/>
      <c r="AHF13" s="15"/>
      <c r="AHG13" s="15"/>
      <c r="AHH13" s="15"/>
      <c r="AHI13" s="15"/>
      <c r="AHJ13" s="15"/>
      <c r="AHK13" s="15"/>
      <c r="AHL13" s="15"/>
      <c r="AHM13" s="15"/>
      <c r="AHN13" s="15"/>
      <c r="AHO13" s="15"/>
      <c r="AHP13" s="15"/>
      <c r="AHQ13" s="15"/>
      <c r="AHR13" s="15"/>
      <c r="AHS13" s="15"/>
      <c r="AHT13" s="15"/>
      <c r="AHU13" s="15"/>
      <c r="AHV13" s="15"/>
      <c r="AHW13" s="15"/>
      <c r="AHX13" s="15"/>
      <c r="AHY13" s="15"/>
      <c r="AHZ13" s="15"/>
      <c r="AIA13" s="15"/>
      <c r="AIB13" s="15"/>
      <c r="AIC13" s="15"/>
      <c r="AID13" s="15"/>
      <c r="AIE13" s="15"/>
      <c r="AIF13" s="15"/>
      <c r="AIG13" s="15"/>
      <c r="AIH13" s="15"/>
      <c r="AII13" s="15"/>
      <c r="AIJ13" s="15"/>
      <c r="AIK13" s="15"/>
      <c r="AIL13" s="15"/>
      <c r="AIM13" s="15"/>
      <c r="AIN13" s="15"/>
      <c r="AIO13" s="15"/>
      <c r="AIP13" s="15"/>
      <c r="AIQ13" s="15"/>
      <c r="AIR13" s="15"/>
      <c r="AIS13" s="15"/>
      <c r="AIT13" s="15"/>
      <c r="AIU13" s="15"/>
      <c r="AIV13" s="15"/>
      <c r="AIW13" s="15"/>
      <c r="AIX13" s="15"/>
      <c r="AIY13" s="15"/>
      <c r="AIZ13" s="15"/>
      <c r="AJA13" s="15"/>
      <c r="AJB13" s="15"/>
      <c r="AJC13" s="15"/>
      <c r="AJD13" s="15"/>
      <c r="AJE13" s="15"/>
      <c r="AJF13" s="15"/>
      <c r="AJG13" s="15"/>
      <c r="AJH13" s="15"/>
      <c r="AJI13" s="15"/>
      <c r="AJJ13" s="15"/>
      <c r="AJK13" s="15"/>
      <c r="AJL13" s="15"/>
      <c r="AJM13" s="15"/>
      <c r="AJN13" s="15"/>
      <c r="AJO13" s="15"/>
      <c r="AJP13" s="15"/>
      <c r="AJQ13" s="15"/>
      <c r="AJR13" s="15"/>
      <c r="AJS13" s="15"/>
      <c r="AJT13" s="15"/>
      <c r="AJU13" s="15"/>
      <c r="AJV13" s="15"/>
      <c r="AJW13" s="15"/>
      <c r="AJX13" s="15"/>
      <c r="AJY13" s="15"/>
      <c r="AJZ13" s="15"/>
      <c r="AKA13" s="15"/>
      <c r="AKB13" s="15"/>
      <c r="AKC13" s="15"/>
      <c r="AKD13" s="15"/>
      <c r="AKE13" s="15"/>
      <c r="AKF13" s="15"/>
      <c r="AKG13" s="15"/>
      <c r="AKH13" s="15"/>
      <c r="AKI13" s="15"/>
      <c r="AKJ13" s="15"/>
      <c r="AKK13" s="15"/>
      <c r="AKL13" s="15"/>
      <c r="AKM13" s="15"/>
      <c r="AKN13" s="15"/>
      <c r="AKO13" s="15"/>
      <c r="AKP13" s="15"/>
      <c r="AKQ13" s="15"/>
      <c r="AKR13" s="15"/>
      <c r="AKS13" s="15"/>
      <c r="AKT13" s="15"/>
      <c r="AKU13" s="15"/>
      <c r="AKV13" s="15"/>
      <c r="AKW13" s="15"/>
      <c r="AKX13" s="15"/>
      <c r="AKY13" s="15"/>
      <c r="AKZ13" s="15"/>
      <c r="ALA13" s="15"/>
      <c r="ALB13" s="15"/>
      <c r="ALC13" s="15"/>
      <c r="ALD13" s="15"/>
      <c r="ALE13" s="15"/>
      <c r="ALF13" s="15"/>
      <c r="ALG13" s="15"/>
      <c r="ALH13" s="15"/>
      <c r="ALI13" s="15"/>
      <c r="ALJ13" s="15"/>
      <c r="ALK13" s="15"/>
      <c r="ALL13" s="15"/>
      <c r="ALM13" s="15"/>
      <c r="ALN13" s="15"/>
      <c r="ALO13" s="15"/>
      <c r="ALP13" s="15"/>
      <c r="ALQ13" s="15"/>
      <c r="ALR13" s="15"/>
      <c r="ALS13" s="15"/>
      <c r="ALT13" s="15"/>
      <c r="ALU13" s="15"/>
      <c r="ALV13" s="15"/>
      <c r="ALW13" s="15"/>
      <c r="ALX13" s="15"/>
      <c r="ALY13" s="15"/>
      <c r="ALZ13" s="15"/>
      <c r="AMA13" s="15"/>
      <c r="AMB13" s="15"/>
      <c r="AMC13" s="15"/>
      <c r="AMD13" s="15"/>
      <c r="AME13" s="15"/>
      <c r="AMF13" s="15"/>
      <c r="AMG13" s="14"/>
    </row>
    <row r="14" spans="1:1021" s="13" customFormat="1" ht="72.5" hidden="1" x14ac:dyDescent="0.35">
      <c r="A14" s="19">
        <v>43647</v>
      </c>
      <c r="B14" s="17" t="s">
        <v>480</v>
      </c>
      <c r="C14" s="17" t="s">
        <v>479</v>
      </c>
      <c r="D14" s="18">
        <v>43650</v>
      </c>
      <c r="E14" s="17" t="s">
        <v>478</v>
      </c>
      <c r="F14" s="26">
        <v>0.5</v>
      </c>
      <c r="G14" s="26">
        <v>0.5</v>
      </c>
      <c r="H14" s="26">
        <v>0.5</v>
      </c>
      <c r="I14" s="17">
        <v>0</v>
      </c>
      <c r="J14" s="17" t="s">
        <v>16</v>
      </c>
      <c r="K14" s="17" t="s">
        <v>15</v>
      </c>
      <c r="L14" s="16" t="s">
        <v>17</v>
      </c>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15"/>
      <c r="FT14" s="15"/>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c r="GW14" s="15"/>
      <c r="GX14" s="15"/>
      <c r="GY14" s="15"/>
      <c r="GZ14" s="15"/>
      <c r="HA14" s="15"/>
      <c r="HB14" s="15"/>
      <c r="HC14" s="15"/>
      <c r="HD14" s="15"/>
      <c r="HE14" s="15"/>
      <c r="HF14" s="15"/>
      <c r="HG14" s="15"/>
      <c r="HH14" s="15"/>
      <c r="HI14" s="15"/>
      <c r="HJ14" s="15"/>
      <c r="HK14" s="15"/>
      <c r="HL14" s="15"/>
      <c r="HM14" s="15"/>
      <c r="HN14" s="15"/>
      <c r="HO14" s="15"/>
      <c r="HP14" s="15"/>
      <c r="HQ14" s="15"/>
      <c r="HR14" s="15"/>
      <c r="HS14" s="15"/>
      <c r="HT14" s="15"/>
      <c r="HU14" s="15"/>
      <c r="HV14" s="15"/>
      <c r="HW14" s="15"/>
      <c r="HX14" s="15"/>
      <c r="HY14" s="15"/>
      <c r="HZ14" s="15"/>
      <c r="IA14" s="15"/>
      <c r="IB14" s="15"/>
      <c r="IC14" s="15"/>
      <c r="ID14" s="15"/>
      <c r="IE14" s="15"/>
      <c r="IF14" s="15"/>
      <c r="IG14" s="15"/>
      <c r="IH14" s="15"/>
      <c r="II14" s="15"/>
      <c r="IJ14" s="15"/>
      <c r="IK14" s="15"/>
      <c r="IL14" s="15"/>
      <c r="IM14" s="15"/>
      <c r="IN14" s="15"/>
      <c r="IO14" s="15"/>
      <c r="IP14" s="15"/>
      <c r="IQ14" s="15"/>
      <c r="IR14" s="15"/>
      <c r="IS14" s="15"/>
      <c r="IT14" s="15"/>
      <c r="IU14" s="15"/>
      <c r="IV14" s="15"/>
      <c r="IW14" s="15"/>
      <c r="IX14" s="15"/>
      <c r="IY14" s="15"/>
      <c r="IZ14" s="15"/>
      <c r="JA14" s="15"/>
      <c r="JB14" s="15"/>
      <c r="JC14" s="15"/>
      <c r="JD14" s="15"/>
      <c r="JE14" s="15"/>
      <c r="JF14" s="15"/>
      <c r="JG14" s="15"/>
      <c r="JH14" s="15"/>
      <c r="JI14" s="15"/>
      <c r="JJ14" s="15"/>
      <c r="JK14" s="15"/>
      <c r="JL14" s="15"/>
      <c r="JM14" s="15"/>
      <c r="JN14" s="15"/>
      <c r="JO14" s="15"/>
      <c r="JP14" s="15"/>
      <c r="JQ14" s="15"/>
      <c r="JR14" s="15"/>
      <c r="JS14" s="15"/>
      <c r="JT14" s="15"/>
      <c r="JU14" s="15"/>
      <c r="JV14" s="15"/>
      <c r="JW14" s="15"/>
      <c r="JX14" s="15"/>
      <c r="JY14" s="15"/>
      <c r="JZ14" s="15"/>
      <c r="KA14" s="15"/>
      <c r="KB14" s="15"/>
      <c r="KC14" s="15"/>
      <c r="KD14" s="15"/>
      <c r="KE14" s="15"/>
      <c r="KF14" s="15"/>
      <c r="KG14" s="15"/>
      <c r="KH14" s="15"/>
      <c r="KI14" s="15"/>
      <c r="KJ14" s="15"/>
      <c r="KK14" s="15"/>
      <c r="KL14" s="15"/>
      <c r="KM14" s="15"/>
      <c r="KN14" s="15"/>
      <c r="KO14" s="15"/>
      <c r="KP14" s="15"/>
      <c r="KQ14" s="15"/>
      <c r="KR14" s="15"/>
      <c r="KS14" s="15"/>
      <c r="KT14" s="15"/>
      <c r="KU14" s="15"/>
      <c r="KV14" s="15"/>
      <c r="KW14" s="15"/>
      <c r="KX14" s="15"/>
      <c r="KY14" s="15"/>
      <c r="KZ14" s="15"/>
      <c r="LA14" s="15"/>
      <c r="LB14" s="15"/>
      <c r="LC14" s="15"/>
      <c r="LD14" s="15"/>
      <c r="LE14" s="15"/>
      <c r="LF14" s="15"/>
      <c r="LG14" s="15"/>
      <c r="LH14" s="15"/>
      <c r="LI14" s="15"/>
      <c r="LJ14" s="15"/>
      <c r="LK14" s="15"/>
      <c r="LL14" s="15"/>
      <c r="LM14" s="15"/>
      <c r="LN14" s="15"/>
      <c r="LO14" s="15"/>
      <c r="LP14" s="15"/>
      <c r="LQ14" s="15"/>
      <c r="LR14" s="15"/>
      <c r="LS14" s="15"/>
      <c r="LT14" s="15"/>
      <c r="LU14" s="15"/>
      <c r="LV14" s="15"/>
      <c r="LW14" s="15"/>
      <c r="LX14" s="15"/>
      <c r="LY14" s="15"/>
      <c r="LZ14" s="15"/>
      <c r="MA14" s="15"/>
      <c r="MB14" s="15"/>
      <c r="MC14" s="15"/>
      <c r="MD14" s="15"/>
      <c r="ME14" s="15"/>
      <c r="MF14" s="15"/>
      <c r="MG14" s="15"/>
      <c r="MH14" s="15"/>
      <c r="MI14" s="15"/>
      <c r="MJ14" s="15"/>
      <c r="MK14" s="15"/>
      <c r="ML14" s="15"/>
      <c r="MM14" s="15"/>
      <c r="MN14" s="15"/>
      <c r="MO14" s="15"/>
      <c r="MP14" s="15"/>
      <c r="MQ14" s="15"/>
      <c r="MR14" s="15"/>
      <c r="MS14" s="15"/>
      <c r="MT14" s="15"/>
      <c r="MU14" s="15"/>
      <c r="MV14" s="15"/>
      <c r="MW14" s="15"/>
      <c r="MX14" s="15"/>
      <c r="MY14" s="15"/>
      <c r="MZ14" s="15"/>
      <c r="NA14" s="15"/>
      <c r="NB14" s="15"/>
      <c r="NC14" s="15"/>
      <c r="ND14" s="15"/>
      <c r="NE14" s="15"/>
      <c r="NF14" s="15"/>
      <c r="NG14" s="15"/>
      <c r="NH14" s="15"/>
      <c r="NI14" s="15"/>
      <c r="NJ14" s="15"/>
      <c r="NK14" s="15"/>
      <c r="NL14" s="15"/>
      <c r="NM14" s="15"/>
      <c r="NN14" s="15"/>
      <c r="NO14" s="15"/>
      <c r="NP14" s="15"/>
      <c r="NQ14" s="15"/>
      <c r="NR14" s="15"/>
      <c r="NS14" s="15"/>
      <c r="NT14" s="15"/>
      <c r="NU14" s="15"/>
      <c r="NV14" s="15"/>
      <c r="NW14" s="15"/>
      <c r="NX14" s="15"/>
      <c r="NY14" s="15"/>
      <c r="NZ14" s="15"/>
      <c r="OA14" s="15"/>
      <c r="OB14" s="15"/>
      <c r="OC14" s="15"/>
      <c r="OD14" s="15"/>
      <c r="OE14" s="15"/>
      <c r="OF14" s="15"/>
      <c r="OG14" s="15"/>
      <c r="OH14" s="15"/>
      <c r="OI14" s="15"/>
      <c r="OJ14" s="15"/>
      <c r="OK14" s="15"/>
      <c r="OL14" s="15"/>
      <c r="OM14" s="15"/>
      <c r="ON14" s="15"/>
      <c r="OO14" s="15"/>
      <c r="OP14" s="15"/>
      <c r="OQ14" s="15"/>
      <c r="OR14" s="15"/>
      <c r="OS14" s="15"/>
      <c r="OT14" s="15"/>
      <c r="OU14" s="15"/>
      <c r="OV14" s="15"/>
      <c r="OW14" s="15"/>
      <c r="OX14" s="15"/>
      <c r="OY14" s="15"/>
      <c r="OZ14" s="15"/>
      <c r="PA14" s="15"/>
      <c r="PB14" s="15"/>
      <c r="PC14" s="15"/>
      <c r="PD14" s="15"/>
      <c r="PE14" s="15"/>
      <c r="PF14" s="15"/>
      <c r="PG14" s="15"/>
      <c r="PH14" s="15"/>
      <c r="PI14" s="15"/>
      <c r="PJ14" s="15"/>
      <c r="PK14" s="15"/>
      <c r="PL14" s="15"/>
      <c r="PM14" s="15"/>
      <c r="PN14" s="15"/>
      <c r="PO14" s="15"/>
      <c r="PP14" s="15"/>
      <c r="PQ14" s="15"/>
      <c r="PR14" s="15"/>
      <c r="PS14" s="15"/>
      <c r="PT14" s="15"/>
      <c r="PU14" s="15"/>
      <c r="PV14" s="15"/>
      <c r="PW14" s="15"/>
      <c r="PX14" s="15"/>
      <c r="PY14" s="15"/>
      <c r="PZ14" s="15"/>
      <c r="QA14" s="15"/>
      <c r="QB14" s="15"/>
      <c r="QC14" s="15"/>
      <c r="QD14" s="15"/>
      <c r="QE14" s="15"/>
      <c r="QF14" s="15"/>
      <c r="QG14" s="15"/>
      <c r="QH14" s="15"/>
      <c r="QI14" s="15"/>
      <c r="QJ14" s="15"/>
      <c r="QK14" s="15"/>
      <c r="QL14" s="15"/>
      <c r="QM14" s="15"/>
      <c r="QN14" s="15"/>
      <c r="QO14" s="15"/>
      <c r="QP14" s="15"/>
      <c r="QQ14" s="15"/>
      <c r="QR14" s="15"/>
      <c r="QS14" s="15"/>
      <c r="QT14" s="15"/>
      <c r="QU14" s="15"/>
      <c r="QV14" s="15"/>
      <c r="QW14" s="15"/>
      <c r="QX14" s="15"/>
      <c r="QY14" s="15"/>
      <c r="QZ14" s="15"/>
      <c r="RA14" s="15"/>
      <c r="RB14" s="15"/>
      <c r="RC14" s="15"/>
      <c r="RD14" s="15"/>
      <c r="RE14" s="15"/>
      <c r="RF14" s="15"/>
      <c r="RG14" s="15"/>
      <c r="RH14" s="15"/>
      <c r="RI14" s="15"/>
      <c r="RJ14" s="15"/>
      <c r="RK14" s="15"/>
      <c r="RL14" s="15"/>
      <c r="RM14" s="15"/>
      <c r="RN14" s="15"/>
      <c r="RO14" s="15"/>
      <c r="RP14" s="15"/>
      <c r="RQ14" s="15"/>
      <c r="RR14" s="15"/>
      <c r="RS14" s="15"/>
      <c r="RT14" s="15"/>
      <c r="RU14" s="15"/>
      <c r="RV14" s="15"/>
      <c r="RW14" s="15"/>
      <c r="RX14" s="15"/>
      <c r="RY14" s="15"/>
      <c r="RZ14" s="15"/>
      <c r="SA14" s="15"/>
      <c r="SB14" s="15"/>
      <c r="SC14" s="15"/>
      <c r="SD14" s="15"/>
      <c r="SE14" s="15"/>
      <c r="SF14" s="15"/>
      <c r="SG14" s="15"/>
      <c r="SH14" s="15"/>
      <c r="SI14" s="15"/>
      <c r="SJ14" s="15"/>
      <c r="SK14" s="15"/>
      <c r="SL14" s="15"/>
      <c r="SM14" s="15"/>
      <c r="SN14" s="15"/>
      <c r="SO14" s="15"/>
      <c r="SP14" s="15"/>
      <c r="SQ14" s="15"/>
      <c r="SR14" s="15"/>
      <c r="SS14" s="15"/>
      <c r="ST14" s="15"/>
      <c r="SU14" s="15"/>
      <c r="SV14" s="15"/>
      <c r="SW14" s="15"/>
      <c r="SX14" s="15"/>
      <c r="SY14" s="15"/>
      <c r="SZ14" s="15"/>
      <c r="TA14" s="15"/>
      <c r="TB14" s="15"/>
      <c r="TC14" s="15"/>
      <c r="TD14" s="15"/>
      <c r="TE14" s="15"/>
      <c r="TF14" s="15"/>
      <c r="TG14" s="15"/>
      <c r="TH14" s="15"/>
      <c r="TI14" s="15"/>
      <c r="TJ14" s="15"/>
      <c r="TK14" s="15"/>
      <c r="TL14" s="15"/>
      <c r="TM14" s="15"/>
      <c r="TN14" s="15"/>
      <c r="TO14" s="15"/>
      <c r="TP14" s="15"/>
      <c r="TQ14" s="15"/>
      <c r="TR14" s="15"/>
      <c r="TS14" s="15"/>
      <c r="TT14" s="15"/>
      <c r="TU14" s="15"/>
      <c r="TV14" s="15"/>
      <c r="TW14" s="15"/>
      <c r="TX14" s="15"/>
      <c r="TY14" s="15"/>
      <c r="TZ14" s="15"/>
      <c r="UA14" s="15"/>
      <c r="UB14" s="15"/>
      <c r="UC14" s="15"/>
      <c r="UD14" s="15"/>
      <c r="UE14" s="15"/>
      <c r="UF14" s="15"/>
      <c r="UG14" s="15"/>
      <c r="UH14" s="15"/>
      <c r="UI14" s="15"/>
      <c r="UJ14" s="15"/>
      <c r="UK14" s="15"/>
      <c r="UL14" s="15"/>
      <c r="UM14" s="15"/>
      <c r="UN14" s="15"/>
      <c r="UO14" s="15"/>
      <c r="UP14" s="15"/>
      <c r="UQ14" s="15"/>
      <c r="UR14" s="15"/>
      <c r="US14" s="15"/>
      <c r="UT14" s="15"/>
      <c r="UU14" s="15"/>
      <c r="UV14" s="15"/>
      <c r="UW14" s="15"/>
      <c r="UX14" s="15"/>
      <c r="UY14" s="15"/>
      <c r="UZ14" s="15"/>
      <c r="VA14" s="15"/>
      <c r="VB14" s="15"/>
      <c r="VC14" s="15"/>
      <c r="VD14" s="15"/>
      <c r="VE14" s="15"/>
      <c r="VF14" s="15"/>
      <c r="VG14" s="15"/>
      <c r="VH14" s="15"/>
      <c r="VI14" s="15"/>
      <c r="VJ14" s="15"/>
      <c r="VK14" s="15"/>
      <c r="VL14" s="15"/>
      <c r="VM14" s="15"/>
      <c r="VN14" s="15"/>
      <c r="VO14" s="15"/>
      <c r="VP14" s="15"/>
      <c r="VQ14" s="15"/>
      <c r="VR14" s="15"/>
      <c r="VS14" s="15"/>
      <c r="VT14" s="15"/>
      <c r="VU14" s="15"/>
      <c r="VV14" s="15"/>
      <c r="VW14" s="15"/>
      <c r="VX14" s="15"/>
      <c r="VY14" s="15"/>
      <c r="VZ14" s="15"/>
      <c r="WA14" s="15"/>
      <c r="WB14" s="15"/>
      <c r="WC14" s="15"/>
      <c r="WD14" s="15"/>
      <c r="WE14" s="15"/>
      <c r="WF14" s="15"/>
      <c r="WG14" s="15"/>
      <c r="WH14" s="15"/>
      <c r="WI14" s="15"/>
      <c r="WJ14" s="15"/>
      <c r="WK14" s="15"/>
      <c r="WL14" s="15"/>
      <c r="WM14" s="15"/>
      <c r="WN14" s="15"/>
      <c r="WO14" s="15"/>
      <c r="WP14" s="15"/>
      <c r="WQ14" s="15"/>
      <c r="WR14" s="15"/>
      <c r="WS14" s="15"/>
      <c r="WT14" s="15"/>
      <c r="WU14" s="15"/>
      <c r="WV14" s="15"/>
      <c r="WW14" s="15"/>
      <c r="WX14" s="15"/>
      <c r="WY14" s="15"/>
      <c r="WZ14" s="15"/>
      <c r="XA14" s="15"/>
      <c r="XB14" s="15"/>
      <c r="XC14" s="15"/>
      <c r="XD14" s="15"/>
      <c r="XE14" s="15"/>
      <c r="XF14" s="15"/>
      <c r="XG14" s="15"/>
      <c r="XH14" s="15"/>
      <c r="XI14" s="15"/>
      <c r="XJ14" s="15"/>
      <c r="XK14" s="15"/>
      <c r="XL14" s="15"/>
      <c r="XM14" s="15"/>
      <c r="XN14" s="15"/>
      <c r="XO14" s="15"/>
      <c r="XP14" s="15"/>
      <c r="XQ14" s="15"/>
      <c r="XR14" s="15"/>
      <c r="XS14" s="15"/>
      <c r="XT14" s="15"/>
      <c r="XU14" s="15"/>
      <c r="XV14" s="15"/>
      <c r="XW14" s="15"/>
      <c r="XX14" s="15"/>
      <c r="XY14" s="15"/>
      <c r="XZ14" s="15"/>
      <c r="YA14" s="15"/>
      <c r="YB14" s="15"/>
      <c r="YC14" s="15"/>
      <c r="YD14" s="15"/>
      <c r="YE14" s="15"/>
      <c r="YF14" s="15"/>
      <c r="YG14" s="15"/>
      <c r="YH14" s="15"/>
      <c r="YI14" s="15"/>
      <c r="YJ14" s="15"/>
      <c r="YK14" s="15"/>
      <c r="YL14" s="15"/>
      <c r="YM14" s="15"/>
      <c r="YN14" s="15"/>
      <c r="YO14" s="15"/>
      <c r="YP14" s="15"/>
      <c r="YQ14" s="15"/>
      <c r="YR14" s="15"/>
      <c r="YS14" s="15"/>
      <c r="YT14" s="15"/>
      <c r="YU14" s="15"/>
      <c r="YV14" s="15"/>
      <c r="YW14" s="15"/>
      <c r="YX14" s="15"/>
      <c r="YY14" s="15"/>
      <c r="YZ14" s="15"/>
      <c r="ZA14" s="15"/>
      <c r="ZB14" s="15"/>
      <c r="ZC14" s="15"/>
      <c r="ZD14" s="15"/>
      <c r="ZE14" s="15"/>
      <c r="ZF14" s="15"/>
      <c r="ZG14" s="15"/>
      <c r="ZH14" s="15"/>
      <c r="ZI14" s="15"/>
      <c r="ZJ14" s="15"/>
      <c r="ZK14" s="15"/>
      <c r="ZL14" s="15"/>
      <c r="ZM14" s="15"/>
      <c r="ZN14" s="15"/>
      <c r="ZO14" s="15"/>
      <c r="ZP14" s="15"/>
      <c r="ZQ14" s="15"/>
      <c r="ZR14" s="15"/>
      <c r="ZS14" s="15"/>
      <c r="ZT14" s="15"/>
      <c r="ZU14" s="15"/>
      <c r="ZV14" s="15"/>
      <c r="ZW14" s="15"/>
      <c r="ZX14" s="15"/>
      <c r="ZY14" s="15"/>
      <c r="ZZ14" s="15"/>
      <c r="AAA14" s="15"/>
      <c r="AAB14" s="15"/>
      <c r="AAC14" s="15"/>
      <c r="AAD14" s="15"/>
      <c r="AAE14" s="15"/>
      <c r="AAF14" s="15"/>
      <c r="AAG14" s="15"/>
      <c r="AAH14" s="15"/>
      <c r="AAI14" s="15"/>
      <c r="AAJ14" s="15"/>
      <c r="AAK14" s="15"/>
      <c r="AAL14" s="15"/>
      <c r="AAM14" s="15"/>
      <c r="AAN14" s="15"/>
      <c r="AAO14" s="15"/>
      <c r="AAP14" s="15"/>
      <c r="AAQ14" s="15"/>
      <c r="AAR14" s="15"/>
      <c r="AAS14" s="15"/>
      <c r="AAT14" s="15"/>
      <c r="AAU14" s="15"/>
      <c r="AAV14" s="15"/>
      <c r="AAW14" s="15"/>
      <c r="AAX14" s="15"/>
      <c r="AAY14" s="15"/>
      <c r="AAZ14" s="15"/>
      <c r="ABA14" s="15"/>
      <c r="ABB14" s="15"/>
      <c r="ABC14" s="15"/>
      <c r="ABD14" s="15"/>
      <c r="ABE14" s="15"/>
      <c r="ABF14" s="15"/>
      <c r="ABG14" s="15"/>
      <c r="ABH14" s="15"/>
      <c r="ABI14" s="15"/>
      <c r="ABJ14" s="15"/>
      <c r="ABK14" s="15"/>
      <c r="ABL14" s="15"/>
      <c r="ABM14" s="15"/>
      <c r="ABN14" s="15"/>
      <c r="ABO14" s="15"/>
      <c r="ABP14" s="15"/>
      <c r="ABQ14" s="15"/>
      <c r="ABR14" s="15"/>
      <c r="ABS14" s="15"/>
      <c r="ABT14" s="15"/>
      <c r="ABU14" s="15"/>
      <c r="ABV14" s="15"/>
      <c r="ABW14" s="15"/>
      <c r="ABX14" s="15"/>
      <c r="ABY14" s="15"/>
      <c r="ABZ14" s="15"/>
      <c r="ACA14" s="15"/>
      <c r="ACB14" s="15"/>
      <c r="ACC14" s="15"/>
      <c r="ACD14" s="15"/>
      <c r="ACE14" s="15"/>
      <c r="ACF14" s="15"/>
      <c r="ACG14" s="15"/>
      <c r="ACH14" s="15"/>
      <c r="ACI14" s="15"/>
      <c r="ACJ14" s="15"/>
      <c r="ACK14" s="15"/>
      <c r="ACL14" s="15"/>
      <c r="ACM14" s="15"/>
      <c r="ACN14" s="15"/>
      <c r="ACO14" s="15"/>
      <c r="ACP14" s="15"/>
      <c r="ACQ14" s="15"/>
      <c r="ACR14" s="15"/>
      <c r="ACS14" s="15"/>
      <c r="ACT14" s="15"/>
      <c r="ACU14" s="15"/>
      <c r="ACV14" s="15"/>
      <c r="ACW14" s="15"/>
      <c r="ACX14" s="15"/>
      <c r="ACY14" s="15"/>
      <c r="ACZ14" s="15"/>
      <c r="ADA14" s="15"/>
      <c r="ADB14" s="15"/>
      <c r="ADC14" s="15"/>
      <c r="ADD14" s="15"/>
      <c r="ADE14" s="15"/>
      <c r="ADF14" s="15"/>
      <c r="ADG14" s="15"/>
      <c r="ADH14" s="15"/>
      <c r="ADI14" s="15"/>
      <c r="ADJ14" s="15"/>
      <c r="ADK14" s="15"/>
      <c r="ADL14" s="15"/>
      <c r="ADM14" s="15"/>
      <c r="ADN14" s="15"/>
      <c r="ADO14" s="15"/>
      <c r="ADP14" s="15"/>
      <c r="ADQ14" s="15"/>
      <c r="ADR14" s="15"/>
      <c r="ADS14" s="15"/>
      <c r="ADT14" s="15"/>
      <c r="ADU14" s="15"/>
      <c r="ADV14" s="15"/>
      <c r="ADW14" s="15"/>
      <c r="ADX14" s="15"/>
      <c r="ADY14" s="15"/>
      <c r="ADZ14" s="15"/>
      <c r="AEA14" s="15"/>
      <c r="AEB14" s="15"/>
      <c r="AEC14" s="15"/>
      <c r="AED14" s="15"/>
      <c r="AEE14" s="15"/>
      <c r="AEF14" s="15"/>
      <c r="AEG14" s="15"/>
      <c r="AEH14" s="15"/>
      <c r="AEI14" s="15"/>
      <c r="AEJ14" s="15"/>
      <c r="AEK14" s="15"/>
      <c r="AEL14" s="15"/>
      <c r="AEM14" s="15"/>
      <c r="AEN14" s="15"/>
      <c r="AEO14" s="15"/>
      <c r="AEP14" s="15"/>
      <c r="AEQ14" s="15"/>
      <c r="AER14" s="15"/>
      <c r="AES14" s="15"/>
      <c r="AET14" s="15"/>
      <c r="AEU14" s="15"/>
      <c r="AEV14" s="15"/>
      <c r="AEW14" s="15"/>
      <c r="AEX14" s="15"/>
      <c r="AEY14" s="15"/>
      <c r="AEZ14" s="15"/>
      <c r="AFA14" s="15"/>
      <c r="AFB14" s="15"/>
      <c r="AFC14" s="15"/>
      <c r="AFD14" s="15"/>
      <c r="AFE14" s="15"/>
      <c r="AFF14" s="15"/>
      <c r="AFG14" s="15"/>
      <c r="AFH14" s="15"/>
      <c r="AFI14" s="15"/>
      <c r="AFJ14" s="15"/>
      <c r="AFK14" s="15"/>
      <c r="AFL14" s="15"/>
      <c r="AFM14" s="15"/>
      <c r="AFN14" s="15"/>
      <c r="AFO14" s="15"/>
      <c r="AFP14" s="15"/>
      <c r="AFQ14" s="15"/>
      <c r="AFR14" s="15"/>
      <c r="AFS14" s="15"/>
      <c r="AFT14" s="15"/>
      <c r="AFU14" s="15"/>
      <c r="AFV14" s="15"/>
      <c r="AFW14" s="15"/>
      <c r="AFX14" s="15"/>
      <c r="AFY14" s="15"/>
      <c r="AFZ14" s="15"/>
      <c r="AGA14" s="15"/>
      <c r="AGB14" s="15"/>
      <c r="AGC14" s="15"/>
      <c r="AGD14" s="15"/>
      <c r="AGE14" s="15"/>
      <c r="AGF14" s="15"/>
      <c r="AGG14" s="15"/>
      <c r="AGH14" s="15"/>
      <c r="AGI14" s="15"/>
      <c r="AGJ14" s="15"/>
      <c r="AGK14" s="15"/>
      <c r="AGL14" s="15"/>
      <c r="AGM14" s="15"/>
      <c r="AGN14" s="15"/>
      <c r="AGO14" s="15"/>
      <c r="AGP14" s="15"/>
      <c r="AGQ14" s="15"/>
      <c r="AGR14" s="15"/>
      <c r="AGS14" s="15"/>
      <c r="AGT14" s="15"/>
      <c r="AGU14" s="15"/>
      <c r="AGV14" s="15"/>
      <c r="AGW14" s="15"/>
      <c r="AGX14" s="15"/>
      <c r="AGY14" s="15"/>
      <c r="AGZ14" s="15"/>
      <c r="AHA14" s="15"/>
      <c r="AHB14" s="15"/>
      <c r="AHC14" s="15"/>
      <c r="AHD14" s="15"/>
      <c r="AHE14" s="15"/>
      <c r="AHF14" s="15"/>
      <c r="AHG14" s="15"/>
      <c r="AHH14" s="15"/>
      <c r="AHI14" s="15"/>
      <c r="AHJ14" s="15"/>
      <c r="AHK14" s="15"/>
      <c r="AHL14" s="15"/>
      <c r="AHM14" s="15"/>
      <c r="AHN14" s="15"/>
      <c r="AHO14" s="15"/>
      <c r="AHP14" s="15"/>
      <c r="AHQ14" s="15"/>
      <c r="AHR14" s="15"/>
      <c r="AHS14" s="15"/>
      <c r="AHT14" s="15"/>
      <c r="AHU14" s="15"/>
      <c r="AHV14" s="15"/>
      <c r="AHW14" s="15"/>
      <c r="AHX14" s="15"/>
      <c r="AHY14" s="15"/>
      <c r="AHZ14" s="15"/>
      <c r="AIA14" s="15"/>
      <c r="AIB14" s="15"/>
      <c r="AIC14" s="15"/>
      <c r="AID14" s="15"/>
      <c r="AIE14" s="15"/>
      <c r="AIF14" s="15"/>
      <c r="AIG14" s="15"/>
      <c r="AIH14" s="15"/>
      <c r="AII14" s="15"/>
      <c r="AIJ14" s="15"/>
      <c r="AIK14" s="15"/>
      <c r="AIL14" s="15"/>
      <c r="AIM14" s="15"/>
      <c r="AIN14" s="15"/>
      <c r="AIO14" s="15"/>
      <c r="AIP14" s="15"/>
      <c r="AIQ14" s="15"/>
      <c r="AIR14" s="15"/>
      <c r="AIS14" s="15"/>
      <c r="AIT14" s="15"/>
      <c r="AIU14" s="15"/>
      <c r="AIV14" s="15"/>
      <c r="AIW14" s="15"/>
      <c r="AIX14" s="15"/>
      <c r="AIY14" s="15"/>
      <c r="AIZ14" s="15"/>
      <c r="AJA14" s="15"/>
      <c r="AJB14" s="15"/>
      <c r="AJC14" s="15"/>
      <c r="AJD14" s="15"/>
      <c r="AJE14" s="15"/>
      <c r="AJF14" s="15"/>
      <c r="AJG14" s="15"/>
      <c r="AJH14" s="15"/>
      <c r="AJI14" s="15"/>
      <c r="AJJ14" s="15"/>
      <c r="AJK14" s="15"/>
      <c r="AJL14" s="15"/>
      <c r="AJM14" s="15"/>
      <c r="AJN14" s="15"/>
      <c r="AJO14" s="15"/>
      <c r="AJP14" s="15"/>
      <c r="AJQ14" s="15"/>
      <c r="AJR14" s="15"/>
      <c r="AJS14" s="15"/>
      <c r="AJT14" s="15"/>
      <c r="AJU14" s="15"/>
      <c r="AJV14" s="15"/>
      <c r="AJW14" s="15"/>
      <c r="AJX14" s="15"/>
      <c r="AJY14" s="15"/>
      <c r="AJZ14" s="15"/>
      <c r="AKA14" s="15"/>
      <c r="AKB14" s="15"/>
      <c r="AKC14" s="15"/>
      <c r="AKD14" s="15"/>
      <c r="AKE14" s="15"/>
      <c r="AKF14" s="15"/>
      <c r="AKG14" s="15"/>
      <c r="AKH14" s="15"/>
      <c r="AKI14" s="15"/>
      <c r="AKJ14" s="15"/>
      <c r="AKK14" s="15"/>
      <c r="AKL14" s="15"/>
      <c r="AKM14" s="15"/>
      <c r="AKN14" s="15"/>
      <c r="AKO14" s="15"/>
      <c r="AKP14" s="15"/>
      <c r="AKQ14" s="15"/>
      <c r="AKR14" s="15"/>
      <c r="AKS14" s="15"/>
      <c r="AKT14" s="15"/>
      <c r="AKU14" s="15"/>
      <c r="AKV14" s="15"/>
      <c r="AKW14" s="15"/>
      <c r="AKX14" s="15"/>
      <c r="AKY14" s="15"/>
      <c r="AKZ14" s="15"/>
      <c r="ALA14" s="15"/>
      <c r="ALB14" s="15"/>
      <c r="ALC14" s="15"/>
      <c r="ALD14" s="15"/>
      <c r="ALE14" s="15"/>
      <c r="ALF14" s="15"/>
      <c r="ALG14" s="15"/>
      <c r="ALH14" s="15"/>
      <c r="ALI14" s="15"/>
      <c r="ALJ14" s="15"/>
      <c r="ALK14" s="15"/>
      <c r="ALL14" s="15"/>
      <c r="ALM14" s="15"/>
      <c r="ALN14" s="15"/>
      <c r="ALO14" s="15"/>
      <c r="ALP14" s="15"/>
      <c r="ALQ14" s="15"/>
      <c r="ALR14" s="15"/>
      <c r="ALS14" s="15"/>
      <c r="ALT14" s="15"/>
      <c r="ALU14" s="15"/>
      <c r="ALV14" s="15"/>
      <c r="ALW14" s="15"/>
      <c r="ALX14" s="15"/>
      <c r="ALY14" s="15"/>
      <c r="ALZ14" s="15"/>
      <c r="AMA14" s="15"/>
      <c r="AMB14" s="15"/>
      <c r="AMC14" s="15"/>
      <c r="AMD14" s="15"/>
      <c r="AME14" s="15"/>
      <c r="AMF14" s="15"/>
      <c r="AMG14" s="14"/>
    </row>
    <row r="15" spans="1:1021" s="13" customFormat="1" ht="58" hidden="1" x14ac:dyDescent="0.35">
      <c r="A15" s="19">
        <v>43649</v>
      </c>
      <c r="B15" s="17" t="s">
        <v>152</v>
      </c>
      <c r="C15" s="17" t="s">
        <v>477</v>
      </c>
      <c r="D15" s="18">
        <v>43650</v>
      </c>
      <c r="E15" s="17" t="s">
        <v>150</v>
      </c>
      <c r="F15" s="26">
        <v>0.5</v>
      </c>
      <c r="G15" s="26">
        <v>0.52083333333333304</v>
      </c>
      <c r="H15" s="26">
        <v>0.53125</v>
      </c>
      <c r="I15" s="17">
        <v>144</v>
      </c>
      <c r="J15" s="42" t="s">
        <v>476</v>
      </c>
      <c r="K15" s="17" t="s">
        <v>140</v>
      </c>
      <c r="L15" s="16" t="s">
        <v>17</v>
      </c>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15"/>
      <c r="FR15" s="15"/>
      <c r="FS15" s="15"/>
      <c r="FT15" s="15"/>
      <c r="FU15" s="15"/>
      <c r="FV15" s="15"/>
      <c r="FW15" s="15"/>
      <c r="FX15" s="15"/>
      <c r="FY15" s="15"/>
      <c r="FZ15" s="15"/>
      <c r="GA15" s="15"/>
      <c r="GB15" s="15"/>
      <c r="GC15" s="15"/>
      <c r="GD15" s="15"/>
      <c r="GE15" s="15"/>
      <c r="GF15" s="15"/>
      <c r="GG15" s="15"/>
      <c r="GH15" s="15"/>
      <c r="GI15" s="15"/>
      <c r="GJ15" s="15"/>
      <c r="GK15" s="15"/>
      <c r="GL15" s="15"/>
      <c r="GM15" s="15"/>
      <c r="GN15" s="15"/>
      <c r="GO15" s="15"/>
      <c r="GP15" s="15"/>
      <c r="GQ15" s="15"/>
      <c r="GR15" s="15"/>
      <c r="GS15" s="15"/>
      <c r="GT15" s="15"/>
      <c r="GU15" s="15"/>
      <c r="GV15" s="15"/>
      <c r="GW15" s="15"/>
      <c r="GX15" s="15"/>
      <c r="GY15" s="15"/>
      <c r="GZ15" s="15"/>
      <c r="HA15" s="15"/>
      <c r="HB15" s="15"/>
      <c r="HC15" s="15"/>
      <c r="HD15" s="15"/>
      <c r="HE15" s="15"/>
      <c r="HF15" s="15"/>
      <c r="HG15" s="15"/>
      <c r="HH15" s="15"/>
      <c r="HI15" s="15"/>
      <c r="HJ15" s="15"/>
      <c r="HK15" s="15"/>
      <c r="HL15" s="15"/>
      <c r="HM15" s="15"/>
      <c r="HN15" s="15"/>
      <c r="HO15" s="15"/>
      <c r="HP15" s="15"/>
      <c r="HQ15" s="15"/>
      <c r="HR15" s="15"/>
      <c r="HS15" s="15"/>
      <c r="HT15" s="15"/>
      <c r="HU15" s="15"/>
      <c r="HV15" s="15"/>
      <c r="HW15" s="15"/>
      <c r="HX15" s="15"/>
      <c r="HY15" s="15"/>
      <c r="HZ15" s="15"/>
      <c r="IA15" s="15"/>
      <c r="IB15" s="15"/>
      <c r="IC15" s="15"/>
      <c r="ID15" s="15"/>
      <c r="IE15" s="15"/>
      <c r="IF15" s="15"/>
      <c r="IG15" s="15"/>
      <c r="IH15" s="15"/>
      <c r="II15" s="15"/>
      <c r="IJ15" s="15"/>
      <c r="IK15" s="15"/>
      <c r="IL15" s="15"/>
      <c r="IM15" s="15"/>
      <c r="IN15" s="15"/>
      <c r="IO15" s="15"/>
      <c r="IP15" s="15"/>
      <c r="IQ15" s="15"/>
      <c r="IR15" s="15"/>
      <c r="IS15" s="15"/>
      <c r="IT15" s="15"/>
      <c r="IU15" s="15"/>
      <c r="IV15" s="15"/>
      <c r="IW15" s="15"/>
      <c r="IX15" s="15"/>
      <c r="IY15" s="15"/>
      <c r="IZ15" s="15"/>
      <c r="JA15" s="15"/>
      <c r="JB15" s="15"/>
      <c r="JC15" s="15"/>
      <c r="JD15" s="15"/>
      <c r="JE15" s="15"/>
      <c r="JF15" s="15"/>
      <c r="JG15" s="15"/>
      <c r="JH15" s="15"/>
      <c r="JI15" s="15"/>
      <c r="JJ15" s="15"/>
      <c r="JK15" s="15"/>
      <c r="JL15" s="15"/>
      <c r="JM15" s="15"/>
      <c r="JN15" s="15"/>
      <c r="JO15" s="15"/>
      <c r="JP15" s="15"/>
      <c r="JQ15" s="15"/>
      <c r="JR15" s="15"/>
      <c r="JS15" s="15"/>
      <c r="JT15" s="15"/>
      <c r="JU15" s="15"/>
      <c r="JV15" s="15"/>
      <c r="JW15" s="15"/>
      <c r="JX15" s="15"/>
      <c r="JY15" s="15"/>
      <c r="JZ15" s="15"/>
      <c r="KA15" s="15"/>
      <c r="KB15" s="15"/>
      <c r="KC15" s="15"/>
      <c r="KD15" s="15"/>
      <c r="KE15" s="15"/>
      <c r="KF15" s="15"/>
      <c r="KG15" s="15"/>
      <c r="KH15" s="15"/>
      <c r="KI15" s="15"/>
      <c r="KJ15" s="15"/>
      <c r="KK15" s="15"/>
      <c r="KL15" s="15"/>
      <c r="KM15" s="15"/>
      <c r="KN15" s="15"/>
      <c r="KO15" s="15"/>
      <c r="KP15" s="15"/>
      <c r="KQ15" s="15"/>
      <c r="KR15" s="15"/>
      <c r="KS15" s="15"/>
      <c r="KT15" s="15"/>
      <c r="KU15" s="15"/>
      <c r="KV15" s="15"/>
      <c r="KW15" s="15"/>
      <c r="KX15" s="15"/>
      <c r="KY15" s="15"/>
      <c r="KZ15" s="15"/>
      <c r="LA15" s="15"/>
      <c r="LB15" s="15"/>
      <c r="LC15" s="15"/>
      <c r="LD15" s="15"/>
      <c r="LE15" s="15"/>
      <c r="LF15" s="15"/>
      <c r="LG15" s="15"/>
      <c r="LH15" s="15"/>
      <c r="LI15" s="15"/>
      <c r="LJ15" s="15"/>
      <c r="LK15" s="15"/>
      <c r="LL15" s="15"/>
      <c r="LM15" s="15"/>
      <c r="LN15" s="15"/>
      <c r="LO15" s="15"/>
      <c r="LP15" s="15"/>
      <c r="LQ15" s="15"/>
      <c r="LR15" s="15"/>
      <c r="LS15" s="15"/>
      <c r="LT15" s="15"/>
      <c r="LU15" s="15"/>
      <c r="LV15" s="15"/>
      <c r="LW15" s="15"/>
      <c r="LX15" s="15"/>
      <c r="LY15" s="15"/>
      <c r="LZ15" s="15"/>
      <c r="MA15" s="15"/>
      <c r="MB15" s="15"/>
      <c r="MC15" s="15"/>
      <c r="MD15" s="15"/>
      <c r="ME15" s="15"/>
      <c r="MF15" s="15"/>
      <c r="MG15" s="15"/>
      <c r="MH15" s="15"/>
      <c r="MI15" s="15"/>
      <c r="MJ15" s="15"/>
      <c r="MK15" s="15"/>
      <c r="ML15" s="15"/>
      <c r="MM15" s="15"/>
      <c r="MN15" s="15"/>
      <c r="MO15" s="15"/>
      <c r="MP15" s="15"/>
      <c r="MQ15" s="15"/>
      <c r="MR15" s="15"/>
      <c r="MS15" s="15"/>
      <c r="MT15" s="15"/>
      <c r="MU15" s="15"/>
      <c r="MV15" s="15"/>
      <c r="MW15" s="15"/>
      <c r="MX15" s="15"/>
      <c r="MY15" s="15"/>
      <c r="MZ15" s="15"/>
      <c r="NA15" s="15"/>
      <c r="NB15" s="15"/>
      <c r="NC15" s="15"/>
      <c r="ND15" s="15"/>
      <c r="NE15" s="15"/>
      <c r="NF15" s="15"/>
      <c r="NG15" s="15"/>
      <c r="NH15" s="15"/>
      <c r="NI15" s="15"/>
      <c r="NJ15" s="15"/>
      <c r="NK15" s="15"/>
      <c r="NL15" s="15"/>
      <c r="NM15" s="15"/>
      <c r="NN15" s="15"/>
      <c r="NO15" s="15"/>
      <c r="NP15" s="15"/>
      <c r="NQ15" s="15"/>
      <c r="NR15" s="15"/>
      <c r="NS15" s="15"/>
      <c r="NT15" s="15"/>
      <c r="NU15" s="15"/>
      <c r="NV15" s="15"/>
      <c r="NW15" s="15"/>
      <c r="NX15" s="15"/>
      <c r="NY15" s="15"/>
      <c r="NZ15" s="15"/>
      <c r="OA15" s="15"/>
      <c r="OB15" s="15"/>
      <c r="OC15" s="15"/>
      <c r="OD15" s="15"/>
      <c r="OE15" s="15"/>
      <c r="OF15" s="15"/>
      <c r="OG15" s="15"/>
      <c r="OH15" s="15"/>
      <c r="OI15" s="15"/>
      <c r="OJ15" s="15"/>
      <c r="OK15" s="15"/>
      <c r="OL15" s="15"/>
      <c r="OM15" s="15"/>
      <c r="ON15" s="15"/>
      <c r="OO15" s="15"/>
      <c r="OP15" s="15"/>
      <c r="OQ15" s="15"/>
      <c r="OR15" s="15"/>
      <c r="OS15" s="15"/>
      <c r="OT15" s="15"/>
      <c r="OU15" s="15"/>
      <c r="OV15" s="15"/>
      <c r="OW15" s="15"/>
      <c r="OX15" s="15"/>
      <c r="OY15" s="15"/>
      <c r="OZ15" s="15"/>
      <c r="PA15" s="15"/>
      <c r="PB15" s="15"/>
      <c r="PC15" s="15"/>
      <c r="PD15" s="15"/>
      <c r="PE15" s="15"/>
      <c r="PF15" s="15"/>
      <c r="PG15" s="15"/>
      <c r="PH15" s="15"/>
      <c r="PI15" s="15"/>
      <c r="PJ15" s="15"/>
      <c r="PK15" s="15"/>
      <c r="PL15" s="15"/>
      <c r="PM15" s="15"/>
      <c r="PN15" s="15"/>
      <c r="PO15" s="15"/>
      <c r="PP15" s="15"/>
      <c r="PQ15" s="15"/>
      <c r="PR15" s="15"/>
      <c r="PS15" s="15"/>
      <c r="PT15" s="15"/>
      <c r="PU15" s="15"/>
      <c r="PV15" s="15"/>
      <c r="PW15" s="15"/>
      <c r="PX15" s="15"/>
      <c r="PY15" s="15"/>
      <c r="PZ15" s="15"/>
      <c r="QA15" s="15"/>
      <c r="QB15" s="15"/>
      <c r="QC15" s="15"/>
      <c r="QD15" s="15"/>
      <c r="QE15" s="15"/>
      <c r="QF15" s="15"/>
      <c r="QG15" s="15"/>
      <c r="QH15" s="15"/>
      <c r="QI15" s="15"/>
      <c r="QJ15" s="15"/>
      <c r="QK15" s="15"/>
      <c r="QL15" s="15"/>
      <c r="QM15" s="15"/>
      <c r="QN15" s="15"/>
      <c r="QO15" s="15"/>
      <c r="QP15" s="15"/>
      <c r="QQ15" s="15"/>
      <c r="QR15" s="15"/>
      <c r="QS15" s="15"/>
      <c r="QT15" s="15"/>
      <c r="QU15" s="15"/>
      <c r="QV15" s="15"/>
      <c r="QW15" s="15"/>
      <c r="QX15" s="15"/>
      <c r="QY15" s="15"/>
      <c r="QZ15" s="15"/>
      <c r="RA15" s="15"/>
      <c r="RB15" s="15"/>
      <c r="RC15" s="15"/>
      <c r="RD15" s="15"/>
      <c r="RE15" s="15"/>
      <c r="RF15" s="15"/>
      <c r="RG15" s="15"/>
      <c r="RH15" s="15"/>
      <c r="RI15" s="15"/>
      <c r="RJ15" s="15"/>
      <c r="RK15" s="15"/>
      <c r="RL15" s="15"/>
      <c r="RM15" s="15"/>
      <c r="RN15" s="15"/>
      <c r="RO15" s="15"/>
      <c r="RP15" s="15"/>
      <c r="RQ15" s="15"/>
      <c r="RR15" s="15"/>
      <c r="RS15" s="15"/>
      <c r="RT15" s="15"/>
      <c r="RU15" s="15"/>
      <c r="RV15" s="15"/>
      <c r="RW15" s="15"/>
      <c r="RX15" s="15"/>
      <c r="RY15" s="15"/>
      <c r="RZ15" s="15"/>
      <c r="SA15" s="15"/>
      <c r="SB15" s="15"/>
      <c r="SC15" s="15"/>
      <c r="SD15" s="15"/>
      <c r="SE15" s="15"/>
      <c r="SF15" s="15"/>
      <c r="SG15" s="15"/>
      <c r="SH15" s="15"/>
      <c r="SI15" s="15"/>
      <c r="SJ15" s="15"/>
      <c r="SK15" s="15"/>
      <c r="SL15" s="15"/>
      <c r="SM15" s="15"/>
      <c r="SN15" s="15"/>
      <c r="SO15" s="15"/>
      <c r="SP15" s="15"/>
      <c r="SQ15" s="15"/>
      <c r="SR15" s="15"/>
      <c r="SS15" s="15"/>
      <c r="ST15" s="15"/>
      <c r="SU15" s="15"/>
      <c r="SV15" s="15"/>
      <c r="SW15" s="15"/>
      <c r="SX15" s="15"/>
      <c r="SY15" s="15"/>
      <c r="SZ15" s="15"/>
      <c r="TA15" s="15"/>
      <c r="TB15" s="15"/>
      <c r="TC15" s="15"/>
      <c r="TD15" s="15"/>
      <c r="TE15" s="15"/>
      <c r="TF15" s="15"/>
      <c r="TG15" s="15"/>
      <c r="TH15" s="15"/>
      <c r="TI15" s="15"/>
      <c r="TJ15" s="15"/>
      <c r="TK15" s="15"/>
      <c r="TL15" s="15"/>
      <c r="TM15" s="15"/>
      <c r="TN15" s="15"/>
      <c r="TO15" s="15"/>
      <c r="TP15" s="15"/>
      <c r="TQ15" s="15"/>
      <c r="TR15" s="15"/>
      <c r="TS15" s="15"/>
      <c r="TT15" s="15"/>
      <c r="TU15" s="15"/>
      <c r="TV15" s="15"/>
      <c r="TW15" s="15"/>
      <c r="TX15" s="15"/>
      <c r="TY15" s="15"/>
      <c r="TZ15" s="15"/>
      <c r="UA15" s="15"/>
      <c r="UB15" s="15"/>
      <c r="UC15" s="15"/>
      <c r="UD15" s="15"/>
      <c r="UE15" s="15"/>
      <c r="UF15" s="15"/>
      <c r="UG15" s="15"/>
      <c r="UH15" s="15"/>
      <c r="UI15" s="15"/>
      <c r="UJ15" s="15"/>
      <c r="UK15" s="15"/>
      <c r="UL15" s="15"/>
      <c r="UM15" s="15"/>
      <c r="UN15" s="15"/>
      <c r="UO15" s="15"/>
      <c r="UP15" s="15"/>
      <c r="UQ15" s="15"/>
      <c r="UR15" s="15"/>
      <c r="US15" s="15"/>
      <c r="UT15" s="15"/>
      <c r="UU15" s="15"/>
      <c r="UV15" s="15"/>
      <c r="UW15" s="15"/>
      <c r="UX15" s="15"/>
      <c r="UY15" s="15"/>
      <c r="UZ15" s="15"/>
      <c r="VA15" s="15"/>
      <c r="VB15" s="15"/>
      <c r="VC15" s="15"/>
      <c r="VD15" s="15"/>
      <c r="VE15" s="15"/>
      <c r="VF15" s="15"/>
      <c r="VG15" s="15"/>
      <c r="VH15" s="15"/>
      <c r="VI15" s="15"/>
      <c r="VJ15" s="15"/>
      <c r="VK15" s="15"/>
      <c r="VL15" s="15"/>
      <c r="VM15" s="15"/>
      <c r="VN15" s="15"/>
      <c r="VO15" s="15"/>
      <c r="VP15" s="15"/>
      <c r="VQ15" s="15"/>
      <c r="VR15" s="15"/>
      <c r="VS15" s="15"/>
      <c r="VT15" s="15"/>
      <c r="VU15" s="15"/>
      <c r="VV15" s="15"/>
      <c r="VW15" s="15"/>
      <c r="VX15" s="15"/>
      <c r="VY15" s="15"/>
      <c r="VZ15" s="15"/>
      <c r="WA15" s="15"/>
      <c r="WB15" s="15"/>
      <c r="WC15" s="15"/>
      <c r="WD15" s="15"/>
      <c r="WE15" s="15"/>
      <c r="WF15" s="15"/>
      <c r="WG15" s="15"/>
      <c r="WH15" s="15"/>
      <c r="WI15" s="15"/>
      <c r="WJ15" s="15"/>
      <c r="WK15" s="15"/>
      <c r="WL15" s="15"/>
      <c r="WM15" s="15"/>
      <c r="WN15" s="15"/>
      <c r="WO15" s="15"/>
      <c r="WP15" s="15"/>
      <c r="WQ15" s="15"/>
      <c r="WR15" s="15"/>
      <c r="WS15" s="15"/>
      <c r="WT15" s="15"/>
      <c r="WU15" s="15"/>
      <c r="WV15" s="15"/>
      <c r="WW15" s="15"/>
      <c r="WX15" s="15"/>
      <c r="WY15" s="15"/>
      <c r="WZ15" s="15"/>
      <c r="XA15" s="15"/>
      <c r="XB15" s="15"/>
      <c r="XC15" s="15"/>
      <c r="XD15" s="15"/>
      <c r="XE15" s="15"/>
      <c r="XF15" s="15"/>
      <c r="XG15" s="15"/>
      <c r="XH15" s="15"/>
      <c r="XI15" s="15"/>
      <c r="XJ15" s="15"/>
      <c r="XK15" s="15"/>
      <c r="XL15" s="15"/>
      <c r="XM15" s="15"/>
      <c r="XN15" s="15"/>
      <c r="XO15" s="15"/>
      <c r="XP15" s="15"/>
      <c r="XQ15" s="15"/>
      <c r="XR15" s="15"/>
      <c r="XS15" s="15"/>
      <c r="XT15" s="15"/>
      <c r="XU15" s="15"/>
      <c r="XV15" s="15"/>
      <c r="XW15" s="15"/>
      <c r="XX15" s="15"/>
      <c r="XY15" s="15"/>
      <c r="XZ15" s="15"/>
      <c r="YA15" s="15"/>
      <c r="YB15" s="15"/>
      <c r="YC15" s="15"/>
      <c r="YD15" s="15"/>
      <c r="YE15" s="15"/>
      <c r="YF15" s="15"/>
      <c r="YG15" s="15"/>
      <c r="YH15" s="15"/>
      <c r="YI15" s="15"/>
      <c r="YJ15" s="15"/>
      <c r="YK15" s="15"/>
      <c r="YL15" s="15"/>
      <c r="YM15" s="15"/>
      <c r="YN15" s="15"/>
      <c r="YO15" s="15"/>
      <c r="YP15" s="15"/>
      <c r="YQ15" s="15"/>
      <c r="YR15" s="15"/>
      <c r="YS15" s="15"/>
      <c r="YT15" s="15"/>
      <c r="YU15" s="15"/>
      <c r="YV15" s="15"/>
      <c r="YW15" s="15"/>
      <c r="YX15" s="15"/>
      <c r="YY15" s="15"/>
      <c r="YZ15" s="15"/>
      <c r="ZA15" s="15"/>
      <c r="ZB15" s="15"/>
      <c r="ZC15" s="15"/>
      <c r="ZD15" s="15"/>
      <c r="ZE15" s="15"/>
      <c r="ZF15" s="15"/>
      <c r="ZG15" s="15"/>
      <c r="ZH15" s="15"/>
      <c r="ZI15" s="15"/>
      <c r="ZJ15" s="15"/>
      <c r="ZK15" s="15"/>
      <c r="ZL15" s="15"/>
      <c r="ZM15" s="15"/>
      <c r="ZN15" s="15"/>
      <c r="ZO15" s="15"/>
      <c r="ZP15" s="15"/>
      <c r="ZQ15" s="15"/>
      <c r="ZR15" s="15"/>
      <c r="ZS15" s="15"/>
      <c r="ZT15" s="15"/>
      <c r="ZU15" s="15"/>
      <c r="ZV15" s="15"/>
      <c r="ZW15" s="15"/>
      <c r="ZX15" s="15"/>
      <c r="ZY15" s="15"/>
      <c r="ZZ15" s="15"/>
      <c r="AAA15" s="15"/>
      <c r="AAB15" s="15"/>
      <c r="AAC15" s="15"/>
      <c r="AAD15" s="15"/>
      <c r="AAE15" s="15"/>
      <c r="AAF15" s="15"/>
      <c r="AAG15" s="15"/>
      <c r="AAH15" s="15"/>
      <c r="AAI15" s="15"/>
      <c r="AAJ15" s="15"/>
      <c r="AAK15" s="15"/>
      <c r="AAL15" s="15"/>
      <c r="AAM15" s="15"/>
      <c r="AAN15" s="15"/>
      <c r="AAO15" s="15"/>
      <c r="AAP15" s="15"/>
      <c r="AAQ15" s="15"/>
      <c r="AAR15" s="15"/>
      <c r="AAS15" s="15"/>
      <c r="AAT15" s="15"/>
      <c r="AAU15" s="15"/>
      <c r="AAV15" s="15"/>
      <c r="AAW15" s="15"/>
      <c r="AAX15" s="15"/>
      <c r="AAY15" s="15"/>
      <c r="AAZ15" s="15"/>
      <c r="ABA15" s="15"/>
      <c r="ABB15" s="15"/>
      <c r="ABC15" s="15"/>
      <c r="ABD15" s="15"/>
      <c r="ABE15" s="15"/>
      <c r="ABF15" s="15"/>
      <c r="ABG15" s="15"/>
      <c r="ABH15" s="15"/>
      <c r="ABI15" s="15"/>
      <c r="ABJ15" s="15"/>
      <c r="ABK15" s="15"/>
      <c r="ABL15" s="15"/>
      <c r="ABM15" s="15"/>
      <c r="ABN15" s="15"/>
      <c r="ABO15" s="15"/>
      <c r="ABP15" s="15"/>
      <c r="ABQ15" s="15"/>
      <c r="ABR15" s="15"/>
      <c r="ABS15" s="15"/>
      <c r="ABT15" s="15"/>
      <c r="ABU15" s="15"/>
      <c r="ABV15" s="15"/>
      <c r="ABW15" s="15"/>
      <c r="ABX15" s="15"/>
      <c r="ABY15" s="15"/>
      <c r="ABZ15" s="15"/>
      <c r="ACA15" s="15"/>
      <c r="ACB15" s="15"/>
      <c r="ACC15" s="15"/>
      <c r="ACD15" s="15"/>
      <c r="ACE15" s="15"/>
      <c r="ACF15" s="15"/>
      <c r="ACG15" s="15"/>
      <c r="ACH15" s="15"/>
      <c r="ACI15" s="15"/>
      <c r="ACJ15" s="15"/>
      <c r="ACK15" s="15"/>
      <c r="ACL15" s="15"/>
      <c r="ACM15" s="15"/>
      <c r="ACN15" s="15"/>
      <c r="ACO15" s="15"/>
      <c r="ACP15" s="15"/>
      <c r="ACQ15" s="15"/>
      <c r="ACR15" s="15"/>
      <c r="ACS15" s="15"/>
      <c r="ACT15" s="15"/>
      <c r="ACU15" s="15"/>
      <c r="ACV15" s="15"/>
      <c r="ACW15" s="15"/>
      <c r="ACX15" s="15"/>
      <c r="ACY15" s="15"/>
      <c r="ACZ15" s="15"/>
      <c r="ADA15" s="15"/>
      <c r="ADB15" s="15"/>
      <c r="ADC15" s="15"/>
      <c r="ADD15" s="15"/>
      <c r="ADE15" s="15"/>
      <c r="ADF15" s="15"/>
      <c r="ADG15" s="15"/>
      <c r="ADH15" s="15"/>
      <c r="ADI15" s="15"/>
      <c r="ADJ15" s="15"/>
      <c r="ADK15" s="15"/>
      <c r="ADL15" s="15"/>
      <c r="ADM15" s="15"/>
      <c r="ADN15" s="15"/>
      <c r="ADO15" s="15"/>
      <c r="ADP15" s="15"/>
      <c r="ADQ15" s="15"/>
      <c r="ADR15" s="15"/>
      <c r="ADS15" s="15"/>
      <c r="ADT15" s="15"/>
      <c r="ADU15" s="15"/>
      <c r="ADV15" s="15"/>
      <c r="ADW15" s="15"/>
      <c r="ADX15" s="15"/>
      <c r="ADY15" s="15"/>
      <c r="ADZ15" s="15"/>
      <c r="AEA15" s="15"/>
      <c r="AEB15" s="15"/>
      <c r="AEC15" s="15"/>
      <c r="AED15" s="15"/>
      <c r="AEE15" s="15"/>
      <c r="AEF15" s="15"/>
      <c r="AEG15" s="15"/>
      <c r="AEH15" s="15"/>
      <c r="AEI15" s="15"/>
      <c r="AEJ15" s="15"/>
      <c r="AEK15" s="15"/>
      <c r="AEL15" s="15"/>
      <c r="AEM15" s="15"/>
      <c r="AEN15" s="15"/>
      <c r="AEO15" s="15"/>
      <c r="AEP15" s="15"/>
      <c r="AEQ15" s="15"/>
      <c r="AER15" s="15"/>
      <c r="AES15" s="15"/>
      <c r="AET15" s="15"/>
      <c r="AEU15" s="15"/>
      <c r="AEV15" s="15"/>
      <c r="AEW15" s="15"/>
      <c r="AEX15" s="15"/>
      <c r="AEY15" s="15"/>
      <c r="AEZ15" s="15"/>
      <c r="AFA15" s="15"/>
      <c r="AFB15" s="15"/>
      <c r="AFC15" s="15"/>
      <c r="AFD15" s="15"/>
      <c r="AFE15" s="15"/>
      <c r="AFF15" s="15"/>
      <c r="AFG15" s="15"/>
      <c r="AFH15" s="15"/>
      <c r="AFI15" s="15"/>
      <c r="AFJ15" s="15"/>
      <c r="AFK15" s="15"/>
      <c r="AFL15" s="15"/>
      <c r="AFM15" s="15"/>
      <c r="AFN15" s="15"/>
      <c r="AFO15" s="15"/>
      <c r="AFP15" s="15"/>
      <c r="AFQ15" s="15"/>
      <c r="AFR15" s="15"/>
      <c r="AFS15" s="15"/>
      <c r="AFT15" s="15"/>
      <c r="AFU15" s="15"/>
      <c r="AFV15" s="15"/>
      <c r="AFW15" s="15"/>
      <c r="AFX15" s="15"/>
      <c r="AFY15" s="15"/>
      <c r="AFZ15" s="15"/>
      <c r="AGA15" s="15"/>
      <c r="AGB15" s="15"/>
      <c r="AGC15" s="15"/>
      <c r="AGD15" s="15"/>
      <c r="AGE15" s="15"/>
      <c r="AGF15" s="15"/>
      <c r="AGG15" s="15"/>
      <c r="AGH15" s="15"/>
      <c r="AGI15" s="15"/>
      <c r="AGJ15" s="15"/>
      <c r="AGK15" s="15"/>
      <c r="AGL15" s="15"/>
      <c r="AGM15" s="15"/>
      <c r="AGN15" s="15"/>
      <c r="AGO15" s="15"/>
      <c r="AGP15" s="15"/>
      <c r="AGQ15" s="15"/>
      <c r="AGR15" s="15"/>
      <c r="AGS15" s="15"/>
      <c r="AGT15" s="15"/>
      <c r="AGU15" s="15"/>
      <c r="AGV15" s="15"/>
      <c r="AGW15" s="15"/>
      <c r="AGX15" s="15"/>
      <c r="AGY15" s="15"/>
      <c r="AGZ15" s="15"/>
      <c r="AHA15" s="15"/>
      <c r="AHB15" s="15"/>
      <c r="AHC15" s="15"/>
      <c r="AHD15" s="15"/>
      <c r="AHE15" s="15"/>
      <c r="AHF15" s="15"/>
      <c r="AHG15" s="15"/>
      <c r="AHH15" s="15"/>
      <c r="AHI15" s="15"/>
      <c r="AHJ15" s="15"/>
      <c r="AHK15" s="15"/>
      <c r="AHL15" s="15"/>
      <c r="AHM15" s="15"/>
      <c r="AHN15" s="15"/>
      <c r="AHO15" s="15"/>
      <c r="AHP15" s="15"/>
      <c r="AHQ15" s="15"/>
      <c r="AHR15" s="15"/>
      <c r="AHS15" s="15"/>
      <c r="AHT15" s="15"/>
      <c r="AHU15" s="15"/>
      <c r="AHV15" s="15"/>
      <c r="AHW15" s="15"/>
      <c r="AHX15" s="15"/>
      <c r="AHY15" s="15"/>
      <c r="AHZ15" s="15"/>
      <c r="AIA15" s="15"/>
      <c r="AIB15" s="15"/>
      <c r="AIC15" s="15"/>
      <c r="AID15" s="15"/>
      <c r="AIE15" s="15"/>
      <c r="AIF15" s="15"/>
      <c r="AIG15" s="15"/>
      <c r="AIH15" s="15"/>
      <c r="AII15" s="15"/>
      <c r="AIJ15" s="15"/>
      <c r="AIK15" s="15"/>
      <c r="AIL15" s="15"/>
      <c r="AIM15" s="15"/>
      <c r="AIN15" s="15"/>
      <c r="AIO15" s="15"/>
      <c r="AIP15" s="15"/>
      <c r="AIQ15" s="15"/>
      <c r="AIR15" s="15"/>
      <c r="AIS15" s="15"/>
      <c r="AIT15" s="15"/>
      <c r="AIU15" s="15"/>
      <c r="AIV15" s="15"/>
      <c r="AIW15" s="15"/>
      <c r="AIX15" s="15"/>
      <c r="AIY15" s="15"/>
      <c r="AIZ15" s="15"/>
      <c r="AJA15" s="15"/>
      <c r="AJB15" s="15"/>
      <c r="AJC15" s="15"/>
      <c r="AJD15" s="15"/>
      <c r="AJE15" s="15"/>
      <c r="AJF15" s="15"/>
      <c r="AJG15" s="15"/>
      <c r="AJH15" s="15"/>
      <c r="AJI15" s="15"/>
      <c r="AJJ15" s="15"/>
      <c r="AJK15" s="15"/>
      <c r="AJL15" s="15"/>
      <c r="AJM15" s="15"/>
      <c r="AJN15" s="15"/>
      <c r="AJO15" s="15"/>
      <c r="AJP15" s="15"/>
      <c r="AJQ15" s="15"/>
      <c r="AJR15" s="15"/>
      <c r="AJS15" s="15"/>
      <c r="AJT15" s="15"/>
      <c r="AJU15" s="15"/>
      <c r="AJV15" s="15"/>
      <c r="AJW15" s="15"/>
      <c r="AJX15" s="15"/>
      <c r="AJY15" s="15"/>
      <c r="AJZ15" s="15"/>
      <c r="AKA15" s="15"/>
      <c r="AKB15" s="15"/>
      <c r="AKC15" s="15"/>
      <c r="AKD15" s="15"/>
      <c r="AKE15" s="15"/>
      <c r="AKF15" s="15"/>
      <c r="AKG15" s="15"/>
      <c r="AKH15" s="15"/>
      <c r="AKI15" s="15"/>
      <c r="AKJ15" s="15"/>
      <c r="AKK15" s="15"/>
      <c r="AKL15" s="15"/>
      <c r="AKM15" s="15"/>
      <c r="AKN15" s="15"/>
      <c r="AKO15" s="15"/>
      <c r="AKP15" s="15"/>
      <c r="AKQ15" s="15"/>
      <c r="AKR15" s="15"/>
      <c r="AKS15" s="15"/>
      <c r="AKT15" s="15"/>
      <c r="AKU15" s="15"/>
      <c r="AKV15" s="15"/>
      <c r="AKW15" s="15"/>
      <c r="AKX15" s="15"/>
      <c r="AKY15" s="15"/>
      <c r="AKZ15" s="15"/>
      <c r="ALA15" s="15"/>
      <c r="ALB15" s="15"/>
      <c r="ALC15" s="15"/>
      <c r="ALD15" s="15"/>
      <c r="ALE15" s="15"/>
      <c r="ALF15" s="15"/>
      <c r="ALG15" s="15"/>
      <c r="ALH15" s="15"/>
      <c r="ALI15" s="15"/>
      <c r="ALJ15" s="15"/>
      <c r="ALK15" s="15"/>
      <c r="ALL15" s="15"/>
      <c r="ALM15" s="15"/>
      <c r="ALN15" s="15"/>
      <c r="ALO15" s="15"/>
      <c r="ALP15" s="15"/>
      <c r="ALQ15" s="15"/>
      <c r="ALR15" s="15"/>
      <c r="ALS15" s="15"/>
      <c r="ALT15" s="15"/>
      <c r="ALU15" s="15"/>
      <c r="ALV15" s="15"/>
      <c r="ALW15" s="15"/>
      <c r="ALX15" s="15"/>
      <c r="ALY15" s="15"/>
      <c r="ALZ15" s="15"/>
      <c r="AMA15" s="15"/>
      <c r="AMB15" s="15"/>
      <c r="AMC15" s="15"/>
      <c r="AMD15" s="15"/>
      <c r="AME15" s="15"/>
      <c r="AMF15" s="15"/>
      <c r="AMG15" s="14"/>
    </row>
    <row r="16" spans="1:1021" s="13" customFormat="1" ht="43.5" hidden="1" x14ac:dyDescent="0.35">
      <c r="A16" s="19">
        <v>43648</v>
      </c>
      <c r="B16" s="17" t="s">
        <v>475</v>
      </c>
      <c r="C16" s="17" t="s">
        <v>474</v>
      </c>
      <c r="D16" s="18">
        <v>43650</v>
      </c>
      <c r="E16" s="17" t="s">
        <v>473</v>
      </c>
      <c r="F16" s="26">
        <v>0.5</v>
      </c>
      <c r="G16" s="26">
        <v>0.5625</v>
      </c>
      <c r="H16" s="26">
        <v>0.57638888888888895</v>
      </c>
      <c r="I16" s="17">
        <v>0</v>
      </c>
      <c r="J16" s="17" t="s">
        <v>16</v>
      </c>
      <c r="K16" s="17" t="s">
        <v>140</v>
      </c>
      <c r="L16" s="16" t="s">
        <v>17</v>
      </c>
      <c r="M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15"/>
      <c r="FI16" s="15"/>
      <c r="FJ16" s="15"/>
      <c r="FK16" s="15"/>
      <c r="FL16" s="15"/>
      <c r="FM16" s="15"/>
      <c r="FN16" s="15"/>
      <c r="FO16" s="15"/>
      <c r="FP16" s="15"/>
      <c r="FQ16" s="15"/>
      <c r="FR16" s="15"/>
      <c r="FS16" s="15"/>
      <c r="FT16" s="15"/>
      <c r="FU16" s="15"/>
      <c r="FV16" s="15"/>
      <c r="FW16" s="15"/>
      <c r="FX16" s="15"/>
      <c r="FY16" s="15"/>
      <c r="FZ16" s="15"/>
      <c r="GA16" s="15"/>
      <c r="GB16" s="15"/>
      <c r="GC16" s="15"/>
      <c r="GD16" s="15"/>
      <c r="GE16" s="15"/>
      <c r="GF16" s="15"/>
      <c r="GG16" s="15"/>
      <c r="GH16" s="15"/>
      <c r="GI16" s="15"/>
      <c r="GJ16" s="15"/>
      <c r="GK16" s="15"/>
      <c r="GL16" s="15"/>
      <c r="GM16" s="15"/>
      <c r="GN16" s="15"/>
      <c r="GO16" s="15"/>
      <c r="GP16" s="15"/>
      <c r="GQ16" s="15"/>
      <c r="GR16" s="15"/>
      <c r="GS16" s="15"/>
      <c r="GT16" s="15"/>
      <c r="GU16" s="15"/>
      <c r="GV16" s="15"/>
      <c r="GW16" s="15"/>
      <c r="GX16" s="15"/>
      <c r="GY16" s="15"/>
      <c r="GZ16" s="15"/>
      <c r="HA16" s="15"/>
      <c r="HB16" s="15"/>
      <c r="HC16" s="15"/>
      <c r="HD16" s="15"/>
      <c r="HE16" s="15"/>
      <c r="HF16" s="15"/>
      <c r="HG16" s="15"/>
      <c r="HH16" s="15"/>
      <c r="HI16" s="15"/>
      <c r="HJ16" s="15"/>
      <c r="HK16" s="15"/>
      <c r="HL16" s="15"/>
      <c r="HM16" s="15"/>
      <c r="HN16" s="15"/>
      <c r="HO16" s="15"/>
      <c r="HP16" s="15"/>
      <c r="HQ16" s="15"/>
      <c r="HR16" s="15"/>
      <c r="HS16" s="15"/>
      <c r="HT16" s="15"/>
      <c r="HU16" s="15"/>
      <c r="HV16" s="15"/>
      <c r="HW16" s="15"/>
      <c r="HX16" s="15"/>
      <c r="HY16" s="15"/>
      <c r="HZ16" s="15"/>
      <c r="IA16" s="15"/>
      <c r="IB16" s="15"/>
      <c r="IC16" s="15"/>
      <c r="ID16" s="15"/>
      <c r="IE16" s="15"/>
      <c r="IF16" s="15"/>
      <c r="IG16" s="15"/>
      <c r="IH16" s="15"/>
      <c r="II16" s="15"/>
      <c r="IJ16" s="15"/>
      <c r="IK16" s="15"/>
      <c r="IL16" s="15"/>
      <c r="IM16" s="15"/>
      <c r="IN16" s="15"/>
      <c r="IO16" s="15"/>
      <c r="IP16" s="15"/>
      <c r="IQ16" s="15"/>
      <c r="IR16" s="15"/>
      <c r="IS16" s="15"/>
      <c r="IT16" s="15"/>
      <c r="IU16" s="15"/>
      <c r="IV16" s="15"/>
      <c r="IW16" s="15"/>
      <c r="IX16" s="15"/>
      <c r="IY16" s="15"/>
      <c r="IZ16" s="15"/>
      <c r="JA16" s="15"/>
      <c r="JB16" s="15"/>
      <c r="JC16" s="15"/>
      <c r="JD16" s="15"/>
      <c r="JE16" s="15"/>
      <c r="JF16" s="15"/>
      <c r="JG16" s="15"/>
      <c r="JH16" s="15"/>
      <c r="JI16" s="15"/>
      <c r="JJ16" s="15"/>
      <c r="JK16" s="15"/>
      <c r="JL16" s="15"/>
      <c r="JM16" s="15"/>
      <c r="JN16" s="15"/>
      <c r="JO16" s="15"/>
      <c r="JP16" s="15"/>
      <c r="JQ16" s="15"/>
      <c r="JR16" s="15"/>
      <c r="JS16" s="15"/>
      <c r="JT16" s="15"/>
      <c r="JU16" s="15"/>
      <c r="JV16" s="15"/>
      <c r="JW16" s="15"/>
      <c r="JX16" s="15"/>
      <c r="JY16" s="15"/>
      <c r="JZ16" s="15"/>
      <c r="KA16" s="15"/>
      <c r="KB16" s="15"/>
      <c r="KC16" s="15"/>
      <c r="KD16" s="15"/>
      <c r="KE16" s="15"/>
      <c r="KF16" s="15"/>
      <c r="KG16" s="15"/>
      <c r="KH16" s="15"/>
      <c r="KI16" s="15"/>
      <c r="KJ16" s="15"/>
      <c r="KK16" s="15"/>
      <c r="KL16" s="15"/>
      <c r="KM16" s="15"/>
      <c r="KN16" s="15"/>
      <c r="KO16" s="15"/>
      <c r="KP16" s="15"/>
      <c r="KQ16" s="15"/>
      <c r="KR16" s="15"/>
      <c r="KS16" s="15"/>
      <c r="KT16" s="15"/>
      <c r="KU16" s="15"/>
      <c r="KV16" s="15"/>
      <c r="KW16" s="15"/>
      <c r="KX16" s="15"/>
      <c r="KY16" s="15"/>
      <c r="KZ16" s="15"/>
      <c r="LA16" s="15"/>
      <c r="LB16" s="15"/>
      <c r="LC16" s="15"/>
      <c r="LD16" s="15"/>
      <c r="LE16" s="15"/>
      <c r="LF16" s="15"/>
      <c r="LG16" s="15"/>
      <c r="LH16" s="15"/>
      <c r="LI16" s="15"/>
      <c r="LJ16" s="15"/>
      <c r="LK16" s="15"/>
      <c r="LL16" s="15"/>
      <c r="LM16" s="15"/>
      <c r="LN16" s="15"/>
      <c r="LO16" s="15"/>
      <c r="LP16" s="15"/>
      <c r="LQ16" s="15"/>
      <c r="LR16" s="15"/>
      <c r="LS16" s="15"/>
      <c r="LT16" s="15"/>
      <c r="LU16" s="15"/>
      <c r="LV16" s="15"/>
      <c r="LW16" s="15"/>
      <c r="LX16" s="15"/>
      <c r="LY16" s="15"/>
      <c r="LZ16" s="15"/>
      <c r="MA16" s="15"/>
      <c r="MB16" s="15"/>
      <c r="MC16" s="15"/>
      <c r="MD16" s="15"/>
      <c r="ME16" s="15"/>
      <c r="MF16" s="15"/>
      <c r="MG16" s="15"/>
      <c r="MH16" s="15"/>
      <c r="MI16" s="15"/>
      <c r="MJ16" s="15"/>
      <c r="MK16" s="15"/>
      <c r="ML16" s="15"/>
      <c r="MM16" s="15"/>
      <c r="MN16" s="15"/>
      <c r="MO16" s="15"/>
      <c r="MP16" s="15"/>
      <c r="MQ16" s="15"/>
      <c r="MR16" s="15"/>
      <c r="MS16" s="15"/>
      <c r="MT16" s="15"/>
      <c r="MU16" s="15"/>
      <c r="MV16" s="15"/>
      <c r="MW16" s="15"/>
      <c r="MX16" s="15"/>
      <c r="MY16" s="15"/>
      <c r="MZ16" s="15"/>
      <c r="NA16" s="15"/>
      <c r="NB16" s="15"/>
      <c r="NC16" s="15"/>
      <c r="ND16" s="15"/>
      <c r="NE16" s="15"/>
      <c r="NF16" s="15"/>
      <c r="NG16" s="15"/>
      <c r="NH16" s="15"/>
      <c r="NI16" s="15"/>
      <c r="NJ16" s="15"/>
      <c r="NK16" s="15"/>
      <c r="NL16" s="15"/>
      <c r="NM16" s="15"/>
      <c r="NN16" s="15"/>
      <c r="NO16" s="15"/>
      <c r="NP16" s="15"/>
      <c r="NQ16" s="15"/>
      <c r="NR16" s="15"/>
      <c r="NS16" s="15"/>
      <c r="NT16" s="15"/>
      <c r="NU16" s="15"/>
      <c r="NV16" s="15"/>
      <c r="NW16" s="15"/>
      <c r="NX16" s="15"/>
      <c r="NY16" s="15"/>
      <c r="NZ16" s="15"/>
      <c r="OA16" s="15"/>
      <c r="OB16" s="15"/>
      <c r="OC16" s="15"/>
      <c r="OD16" s="15"/>
      <c r="OE16" s="15"/>
      <c r="OF16" s="15"/>
      <c r="OG16" s="15"/>
      <c r="OH16" s="15"/>
      <c r="OI16" s="15"/>
      <c r="OJ16" s="15"/>
      <c r="OK16" s="15"/>
      <c r="OL16" s="15"/>
      <c r="OM16" s="15"/>
      <c r="ON16" s="15"/>
      <c r="OO16" s="15"/>
      <c r="OP16" s="15"/>
      <c r="OQ16" s="15"/>
      <c r="OR16" s="15"/>
      <c r="OS16" s="15"/>
      <c r="OT16" s="15"/>
      <c r="OU16" s="15"/>
      <c r="OV16" s="15"/>
      <c r="OW16" s="15"/>
      <c r="OX16" s="15"/>
      <c r="OY16" s="15"/>
      <c r="OZ16" s="15"/>
      <c r="PA16" s="15"/>
      <c r="PB16" s="15"/>
      <c r="PC16" s="15"/>
      <c r="PD16" s="15"/>
      <c r="PE16" s="15"/>
      <c r="PF16" s="15"/>
      <c r="PG16" s="15"/>
      <c r="PH16" s="15"/>
      <c r="PI16" s="15"/>
      <c r="PJ16" s="15"/>
      <c r="PK16" s="15"/>
      <c r="PL16" s="15"/>
      <c r="PM16" s="15"/>
      <c r="PN16" s="15"/>
      <c r="PO16" s="15"/>
      <c r="PP16" s="15"/>
      <c r="PQ16" s="15"/>
      <c r="PR16" s="15"/>
      <c r="PS16" s="15"/>
      <c r="PT16" s="15"/>
      <c r="PU16" s="15"/>
      <c r="PV16" s="15"/>
      <c r="PW16" s="15"/>
      <c r="PX16" s="15"/>
      <c r="PY16" s="15"/>
      <c r="PZ16" s="15"/>
      <c r="QA16" s="15"/>
      <c r="QB16" s="15"/>
      <c r="QC16" s="15"/>
      <c r="QD16" s="15"/>
      <c r="QE16" s="15"/>
      <c r="QF16" s="15"/>
      <c r="QG16" s="15"/>
      <c r="QH16" s="15"/>
      <c r="QI16" s="15"/>
      <c r="QJ16" s="15"/>
      <c r="QK16" s="15"/>
      <c r="QL16" s="15"/>
      <c r="QM16" s="15"/>
      <c r="QN16" s="15"/>
      <c r="QO16" s="15"/>
      <c r="QP16" s="15"/>
      <c r="QQ16" s="15"/>
      <c r="QR16" s="15"/>
      <c r="QS16" s="15"/>
      <c r="QT16" s="15"/>
      <c r="QU16" s="15"/>
      <c r="QV16" s="15"/>
      <c r="QW16" s="15"/>
      <c r="QX16" s="15"/>
      <c r="QY16" s="15"/>
      <c r="QZ16" s="15"/>
      <c r="RA16" s="15"/>
      <c r="RB16" s="15"/>
      <c r="RC16" s="15"/>
      <c r="RD16" s="15"/>
      <c r="RE16" s="15"/>
      <c r="RF16" s="15"/>
      <c r="RG16" s="15"/>
      <c r="RH16" s="15"/>
      <c r="RI16" s="15"/>
      <c r="RJ16" s="15"/>
      <c r="RK16" s="15"/>
      <c r="RL16" s="15"/>
      <c r="RM16" s="15"/>
      <c r="RN16" s="15"/>
      <c r="RO16" s="15"/>
      <c r="RP16" s="15"/>
      <c r="RQ16" s="15"/>
      <c r="RR16" s="15"/>
      <c r="RS16" s="15"/>
      <c r="RT16" s="15"/>
      <c r="RU16" s="15"/>
      <c r="RV16" s="15"/>
      <c r="RW16" s="15"/>
      <c r="RX16" s="15"/>
      <c r="RY16" s="15"/>
      <c r="RZ16" s="15"/>
      <c r="SA16" s="15"/>
      <c r="SB16" s="15"/>
      <c r="SC16" s="15"/>
      <c r="SD16" s="15"/>
      <c r="SE16" s="15"/>
      <c r="SF16" s="15"/>
      <c r="SG16" s="15"/>
      <c r="SH16" s="15"/>
      <c r="SI16" s="15"/>
      <c r="SJ16" s="15"/>
      <c r="SK16" s="15"/>
      <c r="SL16" s="15"/>
      <c r="SM16" s="15"/>
      <c r="SN16" s="15"/>
      <c r="SO16" s="15"/>
      <c r="SP16" s="15"/>
      <c r="SQ16" s="15"/>
      <c r="SR16" s="15"/>
      <c r="SS16" s="15"/>
      <c r="ST16" s="15"/>
      <c r="SU16" s="15"/>
      <c r="SV16" s="15"/>
      <c r="SW16" s="15"/>
      <c r="SX16" s="15"/>
      <c r="SY16" s="15"/>
      <c r="SZ16" s="15"/>
      <c r="TA16" s="15"/>
      <c r="TB16" s="15"/>
      <c r="TC16" s="15"/>
      <c r="TD16" s="15"/>
      <c r="TE16" s="15"/>
      <c r="TF16" s="15"/>
      <c r="TG16" s="15"/>
      <c r="TH16" s="15"/>
      <c r="TI16" s="15"/>
      <c r="TJ16" s="15"/>
      <c r="TK16" s="15"/>
      <c r="TL16" s="15"/>
      <c r="TM16" s="15"/>
      <c r="TN16" s="15"/>
      <c r="TO16" s="15"/>
      <c r="TP16" s="15"/>
      <c r="TQ16" s="15"/>
      <c r="TR16" s="15"/>
      <c r="TS16" s="15"/>
      <c r="TT16" s="15"/>
      <c r="TU16" s="15"/>
      <c r="TV16" s="15"/>
      <c r="TW16" s="15"/>
      <c r="TX16" s="15"/>
      <c r="TY16" s="15"/>
      <c r="TZ16" s="15"/>
      <c r="UA16" s="15"/>
      <c r="UB16" s="15"/>
      <c r="UC16" s="15"/>
      <c r="UD16" s="15"/>
      <c r="UE16" s="15"/>
      <c r="UF16" s="15"/>
      <c r="UG16" s="15"/>
      <c r="UH16" s="15"/>
      <c r="UI16" s="15"/>
      <c r="UJ16" s="15"/>
      <c r="UK16" s="15"/>
      <c r="UL16" s="15"/>
      <c r="UM16" s="15"/>
      <c r="UN16" s="15"/>
      <c r="UO16" s="15"/>
      <c r="UP16" s="15"/>
      <c r="UQ16" s="15"/>
      <c r="UR16" s="15"/>
      <c r="US16" s="15"/>
      <c r="UT16" s="15"/>
      <c r="UU16" s="15"/>
      <c r="UV16" s="15"/>
      <c r="UW16" s="15"/>
      <c r="UX16" s="15"/>
      <c r="UY16" s="15"/>
      <c r="UZ16" s="15"/>
      <c r="VA16" s="15"/>
      <c r="VB16" s="15"/>
      <c r="VC16" s="15"/>
      <c r="VD16" s="15"/>
      <c r="VE16" s="15"/>
      <c r="VF16" s="15"/>
      <c r="VG16" s="15"/>
      <c r="VH16" s="15"/>
      <c r="VI16" s="15"/>
      <c r="VJ16" s="15"/>
      <c r="VK16" s="15"/>
      <c r="VL16" s="15"/>
      <c r="VM16" s="15"/>
      <c r="VN16" s="15"/>
      <c r="VO16" s="15"/>
      <c r="VP16" s="15"/>
      <c r="VQ16" s="15"/>
      <c r="VR16" s="15"/>
      <c r="VS16" s="15"/>
      <c r="VT16" s="15"/>
      <c r="VU16" s="15"/>
      <c r="VV16" s="15"/>
      <c r="VW16" s="15"/>
      <c r="VX16" s="15"/>
      <c r="VY16" s="15"/>
      <c r="VZ16" s="15"/>
      <c r="WA16" s="15"/>
      <c r="WB16" s="15"/>
      <c r="WC16" s="15"/>
      <c r="WD16" s="15"/>
      <c r="WE16" s="15"/>
      <c r="WF16" s="15"/>
      <c r="WG16" s="15"/>
      <c r="WH16" s="15"/>
      <c r="WI16" s="15"/>
      <c r="WJ16" s="15"/>
      <c r="WK16" s="15"/>
      <c r="WL16" s="15"/>
      <c r="WM16" s="15"/>
      <c r="WN16" s="15"/>
      <c r="WO16" s="15"/>
      <c r="WP16" s="15"/>
      <c r="WQ16" s="15"/>
      <c r="WR16" s="15"/>
      <c r="WS16" s="15"/>
      <c r="WT16" s="15"/>
      <c r="WU16" s="15"/>
      <c r="WV16" s="15"/>
      <c r="WW16" s="15"/>
      <c r="WX16" s="15"/>
      <c r="WY16" s="15"/>
      <c r="WZ16" s="15"/>
      <c r="XA16" s="15"/>
      <c r="XB16" s="15"/>
      <c r="XC16" s="15"/>
      <c r="XD16" s="15"/>
      <c r="XE16" s="15"/>
      <c r="XF16" s="15"/>
      <c r="XG16" s="15"/>
      <c r="XH16" s="15"/>
      <c r="XI16" s="15"/>
      <c r="XJ16" s="15"/>
      <c r="XK16" s="15"/>
      <c r="XL16" s="15"/>
      <c r="XM16" s="15"/>
      <c r="XN16" s="15"/>
      <c r="XO16" s="15"/>
      <c r="XP16" s="15"/>
      <c r="XQ16" s="15"/>
      <c r="XR16" s="15"/>
      <c r="XS16" s="15"/>
      <c r="XT16" s="15"/>
      <c r="XU16" s="15"/>
      <c r="XV16" s="15"/>
      <c r="XW16" s="15"/>
      <c r="XX16" s="15"/>
      <c r="XY16" s="15"/>
      <c r="XZ16" s="15"/>
      <c r="YA16" s="15"/>
      <c r="YB16" s="15"/>
      <c r="YC16" s="15"/>
      <c r="YD16" s="15"/>
      <c r="YE16" s="15"/>
      <c r="YF16" s="15"/>
      <c r="YG16" s="15"/>
      <c r="YH16" s="15"/>
      <c r="YI16" s="15"/>
      <c r="YJ16" s="15"/>
      <c r="YK16" s="15"/>
      <c r="YL16" s="15"/>
      <c r="YM16" s="15"/>
      <c r="YN16" s="15"/>
      <c r="YO16" s="15"/>
      <c r="YP16" s="15"/>
      <c r="YQ16" s="15"/>
      <c r="YR16" s="15"/>
      <c r="YS16" s="15"/>
      <c r="YT16" s="15"/>
      <c r="YU16" s="15"/>
      <c r="YV16" s="15"/>
      <c r="YW16" s="15"/>
      <c r="YX16" s="15"/>
      <c r="YY16" s="15"/>
      <c r="YZ16" s="15"/>
      <c r="ZA16" s="15"/>
      <c r="ZB16" s="15"/>
      <c r="ZC16" s="15"/>
      <c r="ZD16" s="15"/>
      <c r="ZE16" s="15"/>
      <c r="ZF16" s="15"/>
      <c r="ZG16" s="15"/>
      <c r="ZH16" s="15"/>
      <c r="ZI16" s="15"/>
      <c r="ZJ16" s="15"/>
      <c r="ZK16" s="15"/>
      <c r="ZL16" s="15"/>
      <c r="ZM16" s="15"/>
      <c r="ZN16" s="15"/>
      <c r="ZO16" s="15"/>
      <c r="ZP16" s="15"/>
      <c r="ZQ16" s="15"/>
      <c r="ZR16" s="15"/>
      <c r="ZS16" s="15"/>
      <c r="ZT16" s="15"/>
      <c r="ZU16" s="15"/>
      <c r="ZV16" s="15"/>
      <c r="ZW16" s="15"/>
      <c r="ZX16" s="15"/>
      <c r="ZY16" s="15"/>
      <c r="ZZ16" s="15"/>
      <c r="AAA16" s="15"/>
      <c r="AAB16" s="15"/>
      <c r="AAC16" s="15"/>
      <c r="AAD16" s="15"/>
      <c r="AAE16" s="15"/>
      <c r="AAF16" s="15"/>
      <c r="AAG16" s="15"/>
      <c r="AAH16" s="15"/>
      <c r="AAI16" s="15"/>
      <c r="AAJ16" s="15"/>
      <c r="AAK16" s="15"/>
      <c r="AAL16" s="15"/>
      <c r="AAM16" s="15"/>
      <c r="AAN16" s="15"/>
      <c r="AAO16" s="15"/>
      <c r="AAP16" s="15"/>
      <c r="AAQ16" s="15"/>
      <c r="AAR16" s="15"/>
      <c r="AAS16" s="15"/>
      <c r="AAT16" s="15"/>
      <c r="AAU16" s="15"/>
      <c r="AAV16" s="15"/>
      <c r="AAW16" s="15"/>
      <c r="AAX16" s="15"/>
      <c r="AAY16" s="15"/>
      <c r="AAZ16" s="15"/>
      <c r="ABA16" s="15"/>
      <c r="ABB16" s="15"/>
      <c r="ABC16" s="15"/>
      <c r="ABD16" s="15"/>
      <c r="ABE16" s="15"/>
      <c r="ABF16" s="15"/>
      <c r="ABG16" s="15"/>
      <c r="ABH16" s="15"/>
      <c r="ABI16" s="15"/>
      <c r="ABJ16" s="15"/>
      <c r="ABK16" s="15"/>
      <c r="ABL16" s="15"/>
      <c r="ABM16" s="15"/>
      <c r="ABN16" s="15"/>
      <c r="ABO16" s="15"/>
      <c r="ABP16" s="15"/>
      <c r="ABQ16" s="15"/>
      <c r="ABR16" s="15"/>
      <c r="ABS16" s="15"/>
      <c r="ABT16" s="15"/>
      <c r="ABU16" s="15"/>
      <c r="ABV16" s="15"/>
      <c r="ABW16" s="15"/>
      <c r="ABX16" s="15"/>
      <c r="ABY16" s="15"/>
      <c r="ABZ16" s="15"/>
      <c r="ACA16" s="15"/>
      <c r="ACB16" s="15"/>
      <c r="ACC16" s="15"/>
      <c r="ACD16" s="15"/>
      <c r="ACE16" s="15"/>
      <c r="ACF16" s="15"/>
      <c r="ACG16" s="15"/>
      <c r="ACH16" s="15"/>
      <c r="ACI16" s="15"/>
      <c r="ACJ16" s="15"/>
      <c r="ACK16" s="15"/>
      <c r="ACL16" s="15"/>
      <c r="ACM16" s="15"/>
      <c r="ACN16" s="15"/>
      <c r="ACO16" s="15"/>
      <c r="ACP16" s="15"/>
      <c r="ACQ16" s="15"/>
      <c r="ACR16" s="15"/>
      <c r="ACS16" s="15"/>
      <c r="ACT16" s="15"/>
      <c r="ACU16" s="15"/>
      <c r="ACV16" s="15"/>
      <c r="ACW16" s="15"/>
      <c r="ACX16" s="15"/>
      <c r="ACY16" s="15"/>
      <c r="ACZ16" s="15"/>
      <c r="ADA16" s="15"/>
      <c r="ADB16" s="15"/>
      <c r="ADC16" s="15"/>
      <c r="ADD16" s="15"/>
      <c r="ADE16" s="15"/>
      <c r="ADF16" s="15"/>
      <c r="ADG16" s="15"/>
      <c r="ADH16" s="15"/>
      <c r="ADI16" s="15"/>
      <c r="ADJ16" s="15"/>
      <c r="ADK16" s="15"/>
      <c r="ADL16" s="15"/>
      <c r="ADM16" s="15"/>
      <c r="ADN16" s="15"/>
      <c r="ADO16" s="15"/>
      <c r="ADP16" s="15"/>
      <c r="ADQ16" s="15"/>
      <c r="ADR16" s="15"/>
      <c r="ADS16" s="15"/>
      <c r="ADT16" s="15"/>
      <c r="ADU16" s="15"/>
      <c r="ADV16" s="15"/>
      <c r="ADW16" s="15"/>
      <c r="ADX16" s="15"/>
      <c r="ADY16" s="15"/>
      <c r="ADZ16" s="15"/>
      <c r="AEA16" s="15"/>
      <c r="AEB16" s="15"/>
      <c r="AEC16" s="15"/>
      <c r="AED16" s="15"/>
      <c r="AEE16" s="15"/>
      <c r="AEF16" s="15"/>
      <c r="AEG16" s="15"/>
      <c r="AEH16" s="15"/>
      <c r="AEI16" s="15"/>
      <c r="AEJ16" s="15"/>
      <c r="AEK16" s="15"/>
      <c r="AEL16" s="15"/>
      <c r="AEM16" s="15"/>
      <c r="AEN16" s="15"/>
      <c r="AEO16" s="15"/>
      <c r="AEP16" s="15"/>
      <c r="AEQ16" s="15"/>
      <c r="AER16" s="15"/>
      <c r="AES16" s="15"/>
      <c r="AET16" s="15"/>
      <c r="AEU16" s="15"/>
      <c r="AEV16" s="15"/>
      <c r="AEW16" s="15"/>
      <c r="AEX16" s="15"/>
      <c r="AEY16" s="15"/>
      <c r="AEZ16" s="15"/>
      <c r="AFA16" s="15"/>
      <c r="AFB16" s="15"/>
      <c r="AFC16" s="15"/>
      <c r="AFD16" s="15"/>
      <c r="AFE16" s="15"/>
      <c r="AFF16" s="15"/>
      <c r="AFG16" s="15"/>
      <c r="AFH16" s="15"/>
      <c r="AFI16" s="15"/>
      <c r="AFJ16" s="15"/>
      <c r="AFK16" s="15"/>
      <c r="AFL16" s="15"/>
      <c r="AFM16" s="15"/>
      <c r="AFN16" s="15"/>
      <c r="AFO16" s="15"/>
      <c r="AFP16" s="15"/>
      <c r="AFQ16" s="15"/>
      <c r="AFR16" s="15"/>
      <c r="AFS16" s="15"/>
      <c r="AFT16" s="15"/>
      <c r="AFU16" s="15"/>
      <c r="AFV16" s="15"/>
      <c r="AFW16" s="15"/>
      <c r="AFX16" s="15"/>
      <c r="AFY16" s="15"/>
      <c r="AFZ16" s="15"/>
      <c r="AGA16" s="15"/>
      <c r="AGB16" s="15"/>
      <c r="AGC16" s="15"/>
      <c r="AGD16" s="15"/>
      <c r="AGE16" s="15"/>
      <c r="AGF16" s="15"/>
      <c r="AGG16" s="15"/>
      <c r="AGH16" s="15"/>
      <c r="AGI16" s="15"/>
      <c r="AGJ16" s="15"/>
      <c r="AGK16" s="15"/>
      <c r="AGL16" s="15"/>
      <c r="AGM16" s="15"/>
      <c r="AGN16" s="15"/>
      <c r="AGO16" s="15"/>
      <c r="AGP16" s="15"/>
      <c r="AGQ16" s="15"/>
      <c r="AGR16" s="15"/>
      <c r="AGS16" s="15"/>
      <c r="AGT16" s="15"/>
      <c r="AGU16" s="15"/>
      <c r="AGV16" s="15"/>
      <c r="AGW16" s="15"/>
      <c r="AGX16" s="15"/>
      <c r="AGY16" s="15"/>
      <c r="AGZ16" s="15"/>
      <c r="AHA16" s="15"/>
      <c r="AHB16" s="15"/>
      <c r="AHC16" s="15"/>
      <c r="AHD16" s="15"/>
      <c r="AHE16" s="15"/>
      <c r="AHF16" s="15"/>
      <c r="AHG16" s="15"/>
      <c r="AHH16" s="15"/>
      <c r="AHI16" s="15"/>
      <c r="AHJ16" s="15"/>
      <c r="AHK16" s="15"/>
      <c r="AHL16" s="15"/>
      <c r="AHM16" s="15"/>
      <c r="AHN16" s="15"/>
      <c r="AHO16" s="15"/>
      <c r="AHP16" s="15"/>
      <c r="AHQ16" s="15"/>
      <c r="AHR16" s="15"/>
      <c r="AHS16" s="15"/>
      <c r="AHT16" s="15"/>
      <c r="AHU16" s="15"/>
      <c r="AHV16" s="15"/>
      <c r="AHW16" s="15"/>
      <c r="AHX16" s="15"/>
      <c r="AHY16" s="15"/>
      <c r="AHZ16" s="15"/>
      <c r="AIA16" s="15"/>
      <c r="AIB16" s="15"/>
      <c r="AIC16" s="15"/>
      <c r="AID16" s="15"/>
      <c r="AIE16" s="15"/>
      <c r="AIF16" s="15"/>
      <c r="AIG16" s="15"/>
      <c r="AIH16" s="15"/>
      <c r="AII16" s="15"/>
      <c r="AIJ16" s="15"/>
      <c r="AIK16" s="15"/>
      <c r="AIL16" s="15"/>
      <c r="AIM16" s="15"/>
      <c r="AIN16" s="15"/>
      <c r="AIO16" s="15"/>
      <c r="AIP16" s="15"/>
      <c r="AIQ16" s="15"/>
      <c r="AIR16" s="15"/>
      <c r="AIS16" s="15"/>
      <c r="AIT16" s="15"/>
      <c r="AIU16" s="15"/>
      <c r="AIV16" s="15"/>
      <c r="AIW16" s="15"/>
      <c r="AIX16" s="15"/>
      <c r="AIY16" s="15"/>
      <c r="AIZ16" s="15"/>
      <c r="AJA16" s="15"/>
      <c r="AJB16" s="15"/>
      <c r="AJC16" s="15"/>
      <c r="AJD16" s="15"/>
      <c r="AJE16" s="15"/>
      <c r="AJF16" s="15"/>
      <c r="AJG16" s="15"/>
      <c r="AJH16" s="15"/>
      <c r="AJI16" s="15"/>
      <c r="AJJ16" s="15"/>
      <c r="AJK16" s="15"/>
      <c r="AJL16" s="15"/>
      <c r="AJM16" s="15"/>
      <c r="AJN16" s="15"/>
      <c r="AJO16" s="15"/>
      <c r="AJP16" s="15"/>
      <c r="AJQ16" s="15"/>
      <c r="AJR16" s="15"/>
      <c r="AJS16" s="15"/>
      <c r="AJT16" s="15"/>
      <c r="AJU16" s="15"/>
      <c r="AJV16" s="15"/>
      <c r="AJW16" s="15"/>
      <c r="AJX16" s="15"/>
      <c r="AJY16" s="15"/>
      <c r="AJZ16" s="15"/>
      <c r="AKA16" s="15"/>
      <c r="AKB16" s="15"/>
      <c r="AKC16" s="15"/>
      <c r="AKD16" s="15"/>
      <c r="AKE16" s="15"/>
      <c r="AKF16" s="15"/>
      <c r="AKG16" s="15"/>
      <c r="AKH16" s="15"/>
      <c r="AKI16" s="15"/>
      <c r="AKJ16" s="15"/>
      <c r="AKK16" s="15"/>
      <c r="AKL16" s="15"/>
      <c r="AKM16" s="15"/>
      <c r="AKN16" s="15"/>
      <c r="AKO16" s="15"/>
      <c r="AKP16" s="15"/>
      <c r="AKQ16" s="15"/>
      <c r="AKR16" s="15"/>
      <c r="AKS16" s="15"/>
      <c r="AKT16" s="15"/>
      <c r="AKU16" s="15"/>
      <c r="AKV16" s="15"/>
      <c r="AKW16" s="15"/>
      <c r="AKX16" s="15"/>
      <c r="AKY16" s="15"/>
      <c r="AKZ16" s="15"/>
      <c r="ALA16" s="15"/>
      <c r="ALB16" s="15"/>
      <c r="ALC16" s="15"/>
      <c r="ALD16" s="15"/>
      <c r="ALE16" s="15"/>
      <c r="ALF16" s="15"/>
      <c r="ALG16" s="15"/>
      <c r="ALH16" s="15"/>
      <c r="ALI16" s="15"/>
      <c r="ALJ16" s="15"/>
      <c r="ALK16" s="15"/>
      <c r="ALL16" s="15"/>
      <c r="ALM16" s="15"/>
      <c r="ALN16" s="15"/>
      <c r="ALO16" s="15"/>
      <c r="ALP16" s="15"/>
      <c r="ALQ16" s="15"/>
      <c r="ALR16" s="15"/>
      <c r="ALS16" s="15"/>
      <c r="ALT16" s="15"/>
      <c r="ALU16" s="15"/>
      <c r="ALV16" s="15"/>
      <c r="ALW16" s="15"/>
      <c r="ALX16" s="15"/>
      <c r="ALY16" s="15"/>
      <c r="ALZ16" s="15"/>
      <c r="AMA16" s="15"/>
      <c r="AMB16" s="15"/>
      <c r="AMC16" s="15"/>
      <c r="AMD16" s="15"/>
      <c r="AME16" s="15"/>
      <c r="AMF16" s="15"/>
      <c r="AMG16" s="14"/>
    </row>
    <row r="17" spans="1:1024" s="13" customFormat="1" ht="101.5" hidden="1" x14ac:dyDescent="0.35">
      <c r="A17" s="19">
        <v>43648</v>
      </c>
      <c r="B17" s="17" t="s">
        <v>472</v>
      </c>
      <c r="C17" s="17" t="s">
        <v>471</v>
      </c>
      <c r="D17" s="18">
        <v>43650</v>
      </c>
      <c r="E17" s="17" t="s">
        <v>470</v>
      </c>
      <c r="F17" s="26">
        <v>0.625</v>
      </c>
      <c r="G17" s="26">
        <v>0.64583333333333304</v>
      </c>
      <c r="H17" s="26">
        <v>0.66666666666666696</v>
      </c>
      <c r="I17" s="17">
        <v>50</v>
      </c>
      <c r="J17" s="17" t="s">
        <v>469</v>
      </c>
      <c r="K17" s="17" t="s">
        <v>140</v>
      </c>
      <c r="L17" s="16" t="s">
        <v>17</v>
      </c>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15"/>
      <c r="FI17" s="15"/>
      <c r="FJ17" s="15"/>
      <c r="FK17" s="15"/>
      <c r="FL17" s="15"/>
      <c r="FM17" s="15"/>
      <c r="FN17" s="15"/>
      <c r="FO17" s="15"/>
      <c r="FP17" s="15"/>
      <c r="FQ17" s="15"/>
      <c r="FR17" s="15"/>
      <c r="FS17" s="15"/>
      <c r="FT17" s="15"/>
      <c r="FU17" s="15"/>
      <c r="FV17" s="15"/>
      <c r="FW17" s="15"/>
      <c r="FX17" s="15"/>
      <c r="FY17" s="15"/>
      <c r="FZ17" s="15"/>
      <c r="GA17" s="15"/>
      <c r="GB17" s="15"/>
      <c r="GC17" s="15"/>
      <c r="GD17" s="15"/>
      <c r="GE17" s="15"/>
      <c r="GF17" s="15"/>
      <c r="GG17" s="15"/>
      <c r="GH17" s="15"/>
      <c r="GI17" s="15"/>
      <c r="GJ17" s="15"/>
      <c r="GK17" s="15"/>
      <c r="GL17" s="15"/>
      <c r="GM17" s="15"/>
      <c r="GN17" s="15"/>
      <c r="GO17" s="15"/>
      <c r="GP17" s="15"/>
      <c r="GQ17" s="15"/>
      <c r="GR17" s="15"/>
      <c r="GS17" s="15"/>
      <c r="GT17" s="15"/>
      <c r="GU17" s="15"/>
      <c r="GV17" s="15"/>
      <c r="GW17" s="15"/>
      <c r="GX17" s="15"/>
      <c r="GY17" s="15"/>
      <c r="GZ17" s="15"/>
      <c r="HA17" s="15"/>
      <c r="HB17" s="15"/>
      <c r="HC17" s="15"/>
      <c r="HD17" s="15"/>
      <c r="HE17" s="15"/>
      <c r="HF17" s="15"/>
      <c r="HG17" s="15"/>
      <c r="HH17" s="15"/>
      <c r="HI17" s="15"/>
      <c r="HJ17" s="15"/>
      <c r="HK17" s="15"/>
      <c r="HL17" s="15"/>
      <c r="HM17" s="15"/>
      <c r="HN17" s="15"/>
      <c r="HO17" s="15"/>
      <c r="HP17" s="15"/>
      <c r="HQ17" s="15"/>
      <c r="HR17" s="15"/>
      <c r="HS17" s="15"/>
      <c r="HT17" s="15"/>
      <c r="HU17" s="15"/>
      <c r="HV17" s="15"/>
      <c r="HW17" s="15"/>
      <c r="HX17" s="15"/>
      <c r="HY17" s="15"/>
      <c r="HZ17" s="15"/>
      <c r="IA17" s="15"/>
      <c r="IB17" s="15"/>
      <c r="IC17" s="15"/>
      <c r="ID17" s="15"/>
      <c r="IE17" s="15"/>
      <c r="IF17" s="15"/>
      <c r="IG17" s="15"/>
      <c r="IH17" s="15"/>
      <c r="II17" s="15"/>
      <c r="IJ17" s="15"/>
      <c r="IK17" s="15"/>
      <c r="IL17" s="15"/>
      <c r="IM17" s="15"/>
      <c r="IN17" s="15"/>
      <c r="IO17" s="15"/>
      <c r="IP17" s="15"/>
      <c r="IQ17" s="15"/>
      <c r="IR17" s="15"/>
      <c r="IS17" s="15"/>
      <c r="IT17" s="15"/>
      <c r="IU17" s="15"/>
      <c r="IV17" s="15"/>
      <c r="IW17" s="15"/>
      <c r="IX17" s="15"/>
      <c r="IY17" s="15"/>
      <c r="IZ17" s="15"/>
      <c r="JA17" s="15"/>
      <c r="JB17" s="15"/>
      <c r="JC17" s="15"/>
      <c r="JD17" s="15"/>
      <c r="JE17" s="15"/>
      <c r="JF17" s="15"/>
      <c r="JG17" s="15"/>
      <c r="JH17" s="15"/>
      <c r="JI17" s="15"/>
      <c r="JJ17" s="15"/>
      <c r="JK17" s="15"/>
      <c r="JL17" s="15"/>
      <c r="JM17" s="15"/>
      <c r="JN17" s="15"/>
      <c r="JO17" s="15"/>
      <c r="JP17" s="15"/>
      <c r="JQ17" s="15"/>
      <c r="JR17" s="15"/>
      <c r="JS17" s="15"/>
      <c r="JT17" s="15"/>
      <c r="JU17" s="15"/>
      <c r="JV17" s="15"/>
      <c r="JW17" s="15"/>
      <c r="JX17" s="15"/>
      <c r="JY17" s="15"/>
      <c r="JZ17" s="15"/>
      <c r="KA17" s="15"/>
      <c r="KB17" s="15"/>
      <c r="KC17" s="15"/>
      <c r="KD17" s="15"/>
      <c r="KE17" s="15"/>
      <c r="KF17" s="15"/>
      <c r="KG17" s="15"/>
      <c r="KH17" s="15"/>
      <c r="KI17" s="15"/>
      <c r="KJ17" s="15"/>
      <c r="KK17" s="15"/>
      <c r="KL17" s="15"/>
      <c r="KM17" s="15"/>
      <c r="KN17" s="15"/>
      <c r="KO17" s="15"/>
      <c r="KP17" s="15"/>
      <c r="KQ17" s="15"/>
      <c r="KR17" s="15"/>
      <c r="KS17" s="15"/>
      <c r="KT17" s="15"/>
      <c r="KU17" s="15"/>
      <c r="KV17" s="15"/>
      <c r="KW17" s="15"/>
      <c r="KX17" s="15"/>
      <c r="KY17" s="15"/>
      <c r="KZ17" s="15"/>
      <c r="LA17" s="15"/>
      <c r="LB17" s="15"/>
      <c r="LC17" s="15"/>
      <c r="LD17" s="15"/>
      <c r="LE17" s="15"/>
      <c r="LF17" s="15"/>
      <c r="LG17" s="15"/>
      <c r="LH17" s="15"/>
      <c r="LI17" s="15"/>
      <c r="LJ17" s="15"/>
      <c r="LK17" s="15"/>
      <c r="LL17" s="15"/>
      <c r="LM17" s="15"/>
      <c r="LN17" s="15"/>
      <c r="LO17" s="15"/>
      <c r="LP17" s="15"/>
      <c r="LQ17" s="15"/>
      <c r="LR17" s="15"/>
      <c r="LS17" s="15"/>
      <c r="LT17" s="15"/>
      <c r="LU17" s="15"/>
      <c r="LV17" s="15"/>
      <c r="LW17" s="15"/>
      <c r="LX17" s="15"/>
      <c r="LY17" s="15"/>
      <c r="LZ17" s="15"/>
      <c r="MA17" s="15"/>
      <c r="MB17" s="15"/>
      <c r="MC17" s="15"/>
      <c r="MD17" s="15"/>
      <c r="ME17" s="15"/>
      <c r="MF17" s="15"/>
      <c r="MG17" s="15"/>
      <c r="MH17" s="15"/>
      <c r="MI17" s="15"/>
      <c r="MJ17" s="15"/>
      <c r="MK17" s="15"/>
      <c r="ML17" s="15"/>
      <c r="MM17" s="15"/>
      <c r="MN17" s="15"/>
      <c r="MO17" s="15"/>
      <c r="MP17" s="15"/>
      <c r="MQ17" s="15"/>
      <c r="MR17" s="15"/>
      <c r="MS17" s="15"/>
      <c r="MT17" s="15"/>
      <c r="MU17" s="15"/>
      <c r="MV17" s="15"/>
      <c r="MW17" s="15"/>
      <c r="MX17" s="15"/>
      <c r="MY17" s="15"/>
      <c r="MZ17" s="15"/>
      <c r="NA17" s="15"/>
      <c r="NB17" s="15"/>
      <c r="NC17" s="15"/>
      <c r="ND17" s="15"/>
      <c r="NE17" s="15"/>
      <c r="NF17" s="15"/>
      <c r="NG17" s="15"/>
      <c r="NH17" s="15"/>
      <c r="NI17" s="15"/>
      <c r="NJ17" s="15"/>
      <c r="NK17" s="15"/>
      <c r="NL17" s="15"/>
      <c r="NM17" s="15"/>
      <c r="NN17" s="15"/>
      <c r="NO17" s="15"/>
      <c r="NP17" s="15"/>
      <c r="NQ17" s="15"/>
      <c r="NR17" s="15"/>
      <c r="NS17" s="15"/>
      <c r="NT17" s="15"/>
      <c r="NU17" s="15"/>
      <c r="NV17" s="15"/>
      <c r="NW17" s="15"/>
      <c r="NX17" s="15"/>
      <c r="NY17" s="15"/>
      <c r="NZ17" s="15"/>
      <c r="OA17" s="15"/>
      <c r="OB17" s="15"/>
      <c r="OC17" s="15"/>
      <c r="OD17" s="15"/>
      <c r="OE17" s="15"/>
      <c r="OF17" s="15"/>
      <c r="OG17" s="15"/>
      <c r="OH17" s="15"/>
      <c r="OI17" s="15"/>
      <c r="OJ17" s="15"/>
      <c r="OK17" s="15"/>
      <c r="OL17" s="15"/>
      <c r="OM17" s="15"/>
      <c r="ON17" s="15"/>
      <c r="OO17" s="15"/>
      <c r="OP17" s="15"/>
      <c r="OQ17" s="15"/>
      <c r="OR17" s="15"/>
      <c r="OS17" s="15"/>
      <c r="OT17" s="15"/>
      <c r="OU17" s="15"/>
      <c r="OV17" s="15"/>
      <c r="OW17" s="15"/>
      <c r="OX17" s="15"/>
      <c r="OY17" s="15"/>
      <c r="OZ17" s="15"/>
      <c r="PA17" s="15"/>
      <c r="PB17" s="15"/>
      <c r="PC17" s="15"/>
      <c r="PD17" s="15"/>
      <c r="PE17" s="15"/>
      <c r="PF17" s="15"/>
      <c r="PG17" s="15"/>
      <c r="PH17" s="15"/>
      <c r="PI17" s="15"/>
      <c r="PJ17" s="15"/>
      <c r="PK17" s="15"/>
      <c r="PL17" s="15"/>
      <c r="PM17" s="15"/>
      <c r="PN17" s="15"/>
      <c r="PO17" s="15"/>
      <c r="PP17" s="15"/>
      <c r="PQ17" s="15"/>
      <c r="PR17" s="15"/>
      <c r="PS17" s="15"/>
      <c r="PT17" s="15"/>
      <c r="PU17" s="15"/>
      <c r="PV17" s="15"/>
      <c r="PW17" s="15"/>
      <c r="PX17" s="15"/>
      <c r="PY17" s="15"/>
      <c r="PZ17" s="15"/>
      <c r="QA17" s="15"/>
      <c r="QB17" s="15"/>
      <c r="QC17" s="15"/>
      <c r="QD17" s="15"/>
      <c r="QE17" s="15"/>
      <c r="QF17" s="15"/>
      <c r="QG17" s="15"/>
      <c r="QH17" s="15"/>
      <c r="QI17" s="15"/>
      <c r="QJ17" s="15"/>
      <c r="QK17" s="15"/>
      <c r="QL17" s="15"/>
      <c r="QM17" s="15"/>
      <c r="QN17" s="15"/>
      <c r="QO17" s="15"/>
      <c r="QP17" s="15"/>
      <c r="QQ17" s="15"/>
      <c r="QR17" s="15"/>
      <c r="QS17" s="15"/>
      <c r="QT17" s="15"/>
      <c r="QU17" s="15"/>
      <c r="QV17" s="15"/>
      <c r="QW17" s="15"/>
      <c r="QX17" s="15"/>
      <c r="QY17" s="15"/>
      <c r="QZ17" s="15"/>
      <c r="RA17" s="15"/>
      <c r="RB17" s="15"/>
      <c r="RC17" s="15"/>
      <c r="RD17" s="15"/>
      <c r="RE17" s="15"/>
      <c r="RF17" s="15"/>
      <c r="RG17" s="15"/>
      <c r="RH17" s="15"/>
      <c r="RI17" s="15"/>
      <c r="RJ17" s="15"/>
      <c r="RK17" s="15"/>
      <c r="RL17" s="15"/>
      <c r="RM17" s="15"/>
      <c r="RN17" s="15"/>
      <c r="RO17" s="15"/>
      <c r="RP17" s="15"/>
      <c r="RQ17" s="15"/>
      <c r="RR17" s="15"/>
      <c r="RS17" s="15"/>
      <c r="RT17" s="15"/>
      <c r="RU17" s="15"/>
      <c r="RV17" s="15"/>
      <c r="RW17" s="15"/>
      <c r="RX17" s="15"/>
      <c r="RY17" s="15"/>
      <c r="RZ17" s="15"/>
      <c r="SA17" s="15"/>
      <c r="SB17" s="15"/>
      <c r="SC17" s="15"/>
      <c r="SD17" s="15"/>
      <c r="SE17" s="15"/>
      <c r="SF17" s="15"/>
      <c r="SG17" s="15"/>
      <c r="SH17" s="15"/>
      <c r="SI17" s="15"/>
      <c r="SJ17" s="15"/>
      <c r="SK17" s="15"/>
      <c r="SL17" s="15"/>
      <c r="SM17" s="15"/>
      <c r="SN17" s="15"/>
      <c r="SO17" s="15"/>
      <c r="SP17" s="15"/>
      <c r="SQ17" s="15"/>
      <c r="SR17" s="15"/>
      <c r="SS17" s="15"/>
      <c r="ST17" s="15"/>
      <c r="SU17" s="15"/>
      <c r="SV17" s="15"/>
      <c r="SW17" s="15"/>
      <c r="SX17" s="15"/>
      <c r="SY17" s="15"/>
      <c r="SZ17" s="15"/>
      <c r="TA17" s="15"/>
      <c r="TB17" s="15"/>
      <c r="TC17" s="15"/>
      <c r="TD17" s="15"/>
      <c r="TE17" s="15"/>
      <c r="TF17" s="15"/>
      <c r="TG17" s="15"/>
      <c r="TH17" s="15"/>
      <c r="TI17" s="15"/>
      <c r="TJ17" s="15"/>
      <c r="TK17" s="15"/>
      <c r="TL17" s="15"/>
      <c r="TM17" s="15"/>
      <c r="TN17" s="15"/>
      <c r="TO17" s="15"/>
      <c r="TP17" s="15"/>
      <c r="TQ17" s="15"/>
      <c r="TR17" s="15"/>
      <c r="TS17" s="15"/>
      <c r="TT17" s="15"/>
      <c r="TU17" s="15"/>
      <c r="TV17" s="15"/>
      <c r="TW17" s="15"/>
      <c r="TX17" s="15"/>
      <c r="TY17" s="15"/>
      <c r="TZ17" s="15"/>
      <c r="UA17" s="15"/>
      <c r="UB17" s="15"/>
      <c r="UC17" s="15"/>
      <c r="UD17" s="15"/>
      <c r="UE17" s="15"/>
      <c r="UF17" s="15"/>
      <c r="UG17" s="15"/>
      <c r="UH17" s="15"/>
      <c r="UI17" s="15"/>
      <c r="UJ17" s="15"/>
      <c r="UK17" s="15"/>
      <c r="UL17" s="15"/>
      <c r="UM17" s="15"/>
      <c r="UN17" s="15"/>
      <c r="UO17" s="15"/>
      <c r="UP17" s="15"/>
      <c r="UQ17" s="15"/>
      <c r="UR17" s="15"/>
      <c r="US17" s="15"/>
      <c r="UT17" s="15"/>
      <c r="UU17" s="15"/>
      <c r="UV17" s="15"/>
      <c r="UW17" s="15"/>
      <c r="UX17" s="15"/>
      <c r="UY17" s="15"/>
      <c r="UZ17" s="15"/>
      <c r="VA17" s="15"/>
      <c r="VB17" s="15"/>
      <c r="VC17" s="15"/>
      <c r="VD17" s="15"/>
      <c r="VE17" s="15"/>
      <c r="VF17" s="15"/>
      <c r="VG17" s="15"/>
      <c r="VH17" s="15"/>
      <c r="VI17" s="15"/>
      <c r="VJ17" s="15"/>
      <c r="VK17" s="15"/>
      <c r="VL17" s="15"/>
      <c r="VM17" s="15"/>
      <c r="VN17" s="15"/>
      <c r="VO17" s="15"/>
      <c r="VP17" s="15"/>
      <c r="VQ17" s="15"/>
      <c r="VR17" s="15"/>
      <c r="VS17" s="15"/>
      <c r="VT17" s="15"/>
      <c r="VU17" s="15"/>
      <c r="VV17" s="15"/>
      <c r="VW17" s="15"/>
      <c r="VX17" s="15"/>
      <c r="VY17" s="15"/>
      <c r="VZ17" s="15"/>
      <c r="WA17" s="15"/>
      <c r="WB17" s="15"/>
      <c r="WC17" s="15"/>
      <c r="WD17" s="15"/>
      <c r="WE17" s="15"/>
      <c r="WF17" s="15"/>
      <c r="WG17" s="15"/>
      <c r="WH17" s="15"/>
      <c r="WI17" s="15"/>
      <c r="WJ17" s="15"/>
      <c r="WK17" s="15"/>
      <c r="WL17" s="15"/>
      <c r="WM17" s="15"/>
      <c r="WN17" s="15"/>
      <c r="WO17" s="15"/>
      <c r="WP17" s="15"/>
      <c r="WQ17" s="15"/>
      <c r="WR17" s="15"/>
      <c r="WS17" s="15"/>
      <c r="WT17" s="15"/>
      <c r="WU17" s="15"/>
      <c r="WV17" s="15"/>
      <c r="WW17" s="15"/>
      <c r="WX17" s="15"/>
      <c r="WY17" s="15"/>
      <c r="WZ17" s="15"/>
      <c r="XA17" s="15"/>
      <c r="XB17" s="15"/>
      <c r="XC17" s="15"/>
      <c r="XD17" s="15"/>
      <c r="XE17" s="15"/>
      <c r="XF17" s="15"/>
      <c r="XG17" s="15"/>
      <c r="XH17" s="15"/>
      <c r="XI17" s="15"/>
      <c r="XJ17" s="15"/>
      <c r="XK17" s="15"/>
      <c r="XL17" s="15"/>
      <c r="XM17" s="15"/>
      <c r="XN17" s="15"/>
      <c r="XO17" s="15"/>
      <c r="XP17" s="15"/>
      <c r="XQ17" s="15"/>
      <c r="XR17" s="15"/>
      <c r="XS17" s="15"/>
      <c r="XT17" s="15"/>
      <c r="XU17" s="15"/>
      <c r="XV17" s="15"/>
      <c r="XW17" s="15"/>
      <c r="XX17" s="15"/>
      <c r="XY17" s="15"/>
      <c r="XZ17" s="15"/>
      <c r="YA17" s="15"/>
      <c r="YB17" s="15"/>
      <c r="YC17" s="15"/>
      <c r="YD17" s="15"/>
      <c r="YE17" s="15"/>
      <c r="YF17" s="15"/>
      <c r="YG17" s="15"/>
      <c r="YH17" s="15"/>
      <c r="YI17" s="15"/>
      <c r="YJ17" s="15"/>
      <c r="YK17" s="15"/>
      <c r="YL17" s="15"/>
      <c r="YM17" s="15"/>
      <c r="YN17" s="15"/>
      <c r="YO17" s="15"/>
      <c r="YP17" s="15"/>
      <c r="YQ17" s="15"/>
      <c r="YR17" s="15"/>
      <c r="YS17" s="15"/>
      <c r="YT17" s="15"/>
      <c r="YU17" s="15"/>
      <c r="YV17" s="15"/>
      <c r="YW17" s="15"/>
      <c r="YX17" s="15"/>
      <c r="YY17" s="15"/>
      <c r="YZ17" s="15"/>
      <c r="ZA17" s="15"/>
      <c r="ZB17" s="15"/>
      <c r="ZC17" s="15"/>
      <c r="ZD17" s="15"/>
      <c r="ZE17" s="15"/>
      <c r="ZF17" s="15"/>
      <c r="ZG17" s="15"/>
      <c r="ZH17" s="15"/>
      <c r="ZI17" s="15"/>
      <c r="ZJ17" s="15"/>
      <c r="ZK17" s="15"/>
      <c r="ZL17" s="15"/>
      <c r="ZM17" s="15"/>
      <c r="ZN17" s="15"/>
      <c r="ZO17" s="15"/>
      <c r="ZP17" s="15"/>
      <c r="ZQ17" s="15"/>
      <c r="ZR17" s="15"/>
      <c r="ZS17" s="15"/>
      <c r="ZT17" s="15"/>
      <c r="ZU17" s="15"/>
      <c r="ZV17" s="15"/>
      <c r="ZW17" s="15"/>
      <c r="ZX17" s="15"/>
      <c r="ZY17" s="15"/>
      <c r="ZZ17" s="15"/>
      <c r="AAA17" s="15"/>
      <c r="AAB17" s="15"/>
      <c r="AAC17" s="15"/>
      <c r="AAD17" s="15"/>
      <c r="AAE17" s="15"/>
      <c r="AAF17" s="15"/>
      <c r="AAG17" s="15"/>
      <c r="AAH17" s="15"/>
      <c r="AAI17" s="15"/>
      <c r="AAJ17" s="15"/>
      <c r="AAK17" s="15"/>
      <c r="AAL17" s="15"/>
      <c r="AAM17" s="15"/>
      <c r="AAN17" s="15"/>
      <c r="AAO17" s="15"/>
      <c r="AAP17" s="15"/>
      <c r="AAQ17" s="15"/>
      <c r="AAR17" s="15"/>
      <c r="AAS17" s="15"/>
      <c r="AAT17" s="15"/>
      <c r="AAU17" s="15"/>
      <c r="AAV17" s="15"/>
      <c r="AAW17" s="15"/>
      <c r="AAX17" s="15"/>
      <c r="AAY17" s="15"/>
      <c r="AAZ17" s="15"/>
      <c r="ABA17" s="15"/>
      <c r="ABB17" s="15"/>
      <c r="ABC17" s="15"/>
      <c r="ABD17" s="15"/>
      <c r="ABE17" s="15"/>
      <c r="ABF17" s="15"/>
      <c r="ABG17" s="15"/>
      <c r="ABH17" s="15"/>
      <c r="ABI17" s="15"/>
      <c r="ABJ17" s="15"/>
      <c r="ABK17" s="15"/>
      <c r="ABL17" s="15"/>
      <c r="ABM17" s="15"/>
      <c r="ABN17" s="15"/>
      <c r="ABO17" s="15"/>
      <c r="ABP17" s="15"/>
      <c r="ABQ17" s="15"/>
      <c r="ABR17" s="15"/>
      <c r="ABS17" s="15"/>
      <c r="ABT17" s="15"/>
      <c r="ABU17" s="15"/>
      <c r="ABV17" s="15"/>
      <c r="ABW17" s="15"/>
      <c r="ABX17" s="15"/>
      <c r="ABY17" s="15"/>
      <c r="ABZ17" s="15"/>
      <c r="ACA17" s="15"/>
      <c r="ACB17" s="15"/>
      <c r="ACC17" s="15"/>
      <c r="ACD17" s="15"/>
      <c r="ACE17" s="15"/>
      <c r="ACF17" s="15"/>
      <c r="ACG17" s="15"/>
      <c r="ACH17" s="15"/>
      <c r="ACI17" s="15"/>
      <c r="ACJ17" s="15"/>
      <c r="ACK17" s="15"/>
      <c r="ACL17" s="15"/>
      <c r="ACM17" s="15"/>
      <c r="ACN17" s="15"/>
      <c r="ACO17" s="15"/>
      <c r="ACP17" s="15"/>
      <c r="ACQ17" s="15"/>
      <c r="ACR17" s="15"/>
      <c r="ACS17" s="15"/>
      <c r="ACT17" s="15"/>
      <c r="ACU17" s="15"/>
      <c r="ACV17" s="15"/>
      <c r="ACW17" s="15"/>
      <c r="ACX17" s="15"/>
      <c r="ACY17" s="15"/>
      <c r="ACZ17" s="15"/>
      <c r="ADA17" s="15"/>
      <c r="ADB17" s="15"/>
      <c r="ADC17" s="15"/>
      <c r="ADD17" s="15"/>
      <c r="ADE17" s="15"/>
      <c r="ADF17" s="15"/>
      <c r="ADG17" s="15"/>
      <c r="ADH17" s="15"/>
      <c r="ADI17" s="15"/>
      <c r="ADJ17" s="15"/>
      <c r="ADK17" s="15"/>
      <c r="ADL17" s="15"/>
      <c r="ADM17" s="15"/>
      <c r="ADN17" s="15"/>
      <c r="ADO17" s="15"/>
      <c r="ADP17" s="15"/>
      <c r="ADQ17" s="15"/>
      <c r="ADR17" s="15"/>
      <c r="ADS17" s="15"/>
      <c r="ADT17" s="15"/>
      <c r="ADU17" s="15"/>
      <c r="ADV17" s="15"/>
      <c r="ADW17" s="15"/>
      <c r="ADX17" s="15"/>
      <c r="ADY17" s="15"/>
      <c r="ADZ17" s="15"/>
      <c r="AEA17" s="15"/>
      <c r="AEB17" s="15"/>
      <c r="AEC17" s="15"/>
      <c r="AED17" s="15"/>
      <c r="AEE17" s="15"/>
      <c r="AEF17" s="15"/>
      <c r="AEG17" s="15"/>
      <c r="AEH17" s="15"/>
      <c r="AEI17" s="15"/>
      <c r="AEJ17" s="15"/>
      <c r="AEK17" s="15"/>
      <c r="AEL17" s="15"/>
      <c r="AEM17" s="15"/>
      <c r="AEN17" s="15"/>
      <c r="AEO17" s="15"/>
      <c r="AEP17" s="15"/>
      <c r="AEQ17" s="15"/>
      <c r="AER17" s="15"/>
      <c r="AES17" s="15"/>
      <c r="AET17" s="15"/>
      <c r="AEU17" s="15"/>
      <c r="AEV17" s="15"/>
      <c r="AEW17" s="15"/>
      <c r="AEX17" s="15"/>
      <c r="AEY17" s="15"/>
      <c r="AEZ17" s="15"/>
      <c r="AFA17" s="15"/>
      <c r="AFB17" s="15"/>
      <c r="AFC17" s="15"/>
      <c r="AFD17" s="15"/>
      <c r="AFE17" s="15"/>
      <c r="AFF17" s="15"/>
      <c r="AFG17" s="15"/>
      <c r="AFH17" s="15"/>
      <c r="AFI17" s="15"/>
      <c r="AFJ17" s="15"/>
      <c r="AFK17" s="15"/>
      <c r="AFL17" s="15"/>
      <c r="AFM17" s="15"/>
      <c r="AFN17" s="15"/>
      <c r="AFO17" s="15"/>
      <c r="AFP17" s="15"/>
      <c r="AFQ17" s="15"/>
      <c r="AFR17" s="15"/>
      <c r="AFS17" s="15"/>
      <c r="AFT17" s="15"/>
      <c r="AFU17" s="15"/>
      <c r="AFV17" s="15"/>
      <c r="AFW17" s="15"/>
      <c r="AFX17" s="15"/>
      <c r="AFY17" s="15"/>
      <c r="AFZ17" s="15"/>
      <c r="AGA17" s="15"/>
      <c r="AGB17" s="15"/>
      <c r="AGC17" s="15"/>
      <c r="AGD17" s="15"/>
      <c r="AGE17" s="15"/>
      <c r="AGF17" s="15"/>
      <c r="AGG17" s="15"/>
      <c r="AGH17" s="15"/>
      <c r="AGI17" s="15"/>
      <c r="AGJ17" s="15"/>
      <c r="AGK17" s="15"/>
      <c r="AGL17" s="15"/>
      <c r="AGM17" s="15"/>
      <c r="AGN17" s="15"/>
      <c r="AGO17" s="15"/>
      <c r="AGP17" s="15"/>
      <c r="AGQ17" s="15"/>
      <c r="AGR17" s="15"/>
      <c r="AGS17" s="15"/>
      <c r="AGT17" s="15"/>
      <c r="AGU17" s="15"/>
      <c r="AGV17" s="15"/>
      <c r="AGW17" s="15"/>
      <c r="AGX17" s="15"/>
      <c r="AGY17" s="15"/>
      <c r="AGZ17" s="15"/>
      <c r="AHA17" s="15"/>
      <c r="AHB17" s="15"/>
      <c r="AHC17" s="15"/>
      <c r="AHD17" s="15"/>
      <c r="AHE17" s="15"/>
      <c r="AHF17" s="15"/>
      <c r="AHG17" s="15"/>
      <c r="AHH17" s="15"/>
      <c r="AHI17" s="15"/>
      <c r="AHJ17" s="15"/>
      <c r="AHK17" s="15"/>
      <c r="AHL17" s="15"/>
      <c r="AHM17" s="15"/>
      <c r="AHN17" s="15"/>
      <c r="AHO17" s="15"/>
      <c r="AHP17" s="15"/>
      <c r="AHQ17" s="15"/>
      <c r="AHR17" s="15"/>
      <c r="AHS17" s="15"/>
      <c r="AHT17" s="15"/>
      <c r="AHU17" s="15"/>
      <c r="AHV17" s="15"/>
      <c r="AHW17" s="15"/>
      <c r="AHX17" s="15"/>
      <c r="AHY17" s="15"/>
      <c r="AHZ17" s="15"/>
      <c r="AIA17" s="15"/>
      <c r="AIB17" s="15"/>
      <c r="AIC17" s="15"/>
      <c r="AID17" s="15"/>
      <c r="AIE17" s="15"/>
      <c r="AIF17" s="15"/>
      <c r="AIG17" s="15"/>
      <c r="AIH17" s="15"/>
      <c r="AII17" s="15"/>
      <c r="AIJ17" s="15"/>
      <c r="AIK17" s="15"/>
      <c r="AIL17" s="15"/>
      <c r="AIM17" s="15"/>
      <c r="AIN17" s="15"/>
      <c r="AIO17" s="15"/>
      <c r="AIP17" s="15"/>
      <c r="AIQ17" s="15"/>
      <c r="AIR17" s="15"/>
      <c r="AIS17" s="15"/>
      <c r="AIT17" s="15"/>
      <c r="AIU17" s="15"/>
      <c r="AIV17" s="15"/>
      <c r="AIW17" s="15"/>
      <c r="AIX17" s="15"/>
      <c r="AIY17" s="15"/>
      <c r="AIZ17" s="15"/>
      <c r="AJA17" s="15"/>
      <c r="AJB17" s="15"/>
      <c r="AJC17" s="15"/>
      <c r="AJD17" s="15"/>
      <c r="AJE17" s="15"/>
      <c r="AJF17" s="15"/>
      <c r="AJG17" s="15"/>
      <c r="AJH17" s="15"/>
      <c r="AJI17" s="15"/>
      <c r="AJJ17" s="15"/>
      <c r="AJK17" s="15"/>
      <c r="AJL17" s="15"/>
      <c r="AJM17" s="15"/>
      <c r="AJN17" s="15"/>
      <c r="AJO17" s="15"/>
      <c r="AJP17" s="15"/>
      <c r="AJQ17" s="15"/>
      <c r="AJR17" s="15"/>
      <c r="AJS17" s="15"/>
      <c r="AJT17" s="15"/>
      <c r="AJU17" s="15"/>
      <c r="AJV17" s="15"/>
      <c r="AJW17" s="15"/>
      <c r="AJX17" s="15"/>
      <c r="AJY17" s="15"/>
      <c r="AJZ17" s="15"/>
      <c r="AKA17" s="15"/>
      <c r="AKB17" s="15"/>
      <c r="AKC17" s="15"/>
      <c r="AKD17" s="15"/>
      <c r="AKE17" s="15"/>
      <c r="AKF17" s="15"/>
      <c r="AKG17" s="15"/>
      <c r="AKH17" s="15"/>
      <c r="AKI17" s="15"/>
      <c r="AKJ17" s="15"/>
      <c r="AKK17" s="15"/>
      <c r="AKL17" s="15"/>
      <c r="AKM17" s="15"/>
      <c r="AKN17" s="15"/>
      <c r="AKO17" s="15"/>
      <c r="AKP17" s="15"/>
      <c r="AKQ17" s="15"/>
      <c r="AKR17" s="15"/>
      <c r="AKS17" s="15"/>
      <c r="AKT17" s="15"/>
      <c r="AKU17" s="15"/>
      <c r="AKV17" s="15"/>
      <c r="AKW17" s="15"/>
      <c r="AKX17" s="15"/>
      <c r="AKY17" s="15"/>
      <c r="AKZ17" s="15"/>
      <c r="ALA17" s="15"/>
      <c r="ALB17" s="15"/>
      <c r="ALC17" s="15"/>
      <c r="ALD17" s="15"/>
      <c r="ALE17" s="15"/>
      <c r="ALF17" s="15"/>
      <c r="ALG17" s="15"/>
      <c r="ALH17" s="15"/>
      <c r="ALI17" s="15"/>
      <c r="ALJ17" s="15"/>
      <c r="ALK17" s="15"/>
      <c r="ALL17" s="15"/>
      <c r="ALM17" s="15"/>
      <c r="ALN17" s="15"/>
      <c r="ALO17" s="15"/>
      <c r="ALP17" s="15"/>
      <c r="ALQ17" s="15"/>
      <c r="ALR17" s="15"/>
      <c r="ALS17" s="15"/>
      <c r="ALT17" s="15"/>
      <c r="ALU17" s="15"/>
      <c r="ALV17" s="15"/>
      <c r="ALW17" s="15"/>
      <c r="ALX17" s="15"/>
      <c r="ALY17" s="15"/>
      <c r="ALZ17" s="15"/>
      <c r="AMA17" s="15"/>
      <c r="AMB17" s="15"/>
      <c r="AMC17" s="15"/>
      <c r="AMD17" s="15"/>
      <c r="AME17" s="15"/>
      <c r="AMF17" s="15"/>
      <c r="AMG17" s="14"/>
      <c r="AMH17" s="14"/>
      <c r="AMI17" s="14"/>
      <c r="AMJ17" s="14"/>
    </row>
    <row r="18" spans="1:1024" s="13" customFormat="1" ht="72.5" hidden="1" x14ac:dyDescent="0.35">
      <c r="A18" s="19">
        <v>43644</v>
      </c>
      <c r="B18" s="17" t="s">
        <v>131</v>
      </c>
      <c r="C18" s="17" t="s">
        <v>468</v>
      </c>
      <c r="D18" s="18">
        <v>43650</v>
      </c>
      <c r="E18" s="17" t="s">
        <v>129</v>
      </c>
      <c r="F18" s="26">
        <v>0.625</v>
      </c>
      <c r="G18" s="26">
        <v>0.6875</v>
      </c>
      <c r="H18" s="26">
        <v>0.70833333333333304</v>
      </c>
      <c r="I18" s="17">
        <v>601.25</v>
      </c>
      <c r="J18" s="42" t="s">
        <v>467</v>
      </c>
      <c r="K18" s="17" t="s">
        <v>140</v>
      </c>
      <c r="L18" s="16" t="s">
        <v>17</v>
      </c>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15"/>
      <c r="FI18" s="15"/>
      <c r="FJ18" s="15"/>
      <c r="FK18" s="15"/>
      <c r="FL18" s="15"/>
      <c r="FM18" s="15"/>
      <c r="FN18" s="15"/>
      <c r="FO18" s="15"/>
      <c r="FP18" s="15"/>
      <c r="FQ18" s="15"/>
      <c r="FR18" s="15"/>
      <c r="FS18" s="15"/>
      <c r="FT18" s="15"/>
      <c r="FU18" s="15"/>
      <c r="FV18" s="15"/>
      <c r="FW18" s="15"/>
      <c r="FX18" s="15"/>
      <c r="FY18" s="15"/>
      <c r="FZ18" s="15"/>
      <c r="GA18" s="15"/>
      <c r="GB18" s="15"/>
      <c r="GC18" s="15"/>
      <c r="GD18" s="15"/>
      <c r="GE18" s="15"/>
      <c r="GF18" s="15"/>
      <c r="GG18" s="15"/>
      <c r="GH18" s="15"/>
      <c r="GI18" s="15"/>
      <c r="GJ18" s="15"/>
      <c r="GK18" s="15"/>
      <c r="GL18" s="15"/>
      <c r="GM18" s="15"/>
      <c r="GN18" s="15"/>
      <c r="GO18" s="15"/>
      <c r="GP18" s="15"/>
      <c r="GQ18" s="15"/>
      <c r="GR18" s="15"/>
      <c r="GS18" s="15"/>
      <c r="GT18" s="15"/>
      <c r="GU18" s="15"/>
      <c r="GV18" s="15"/>
      <c r="GW18" s="15"/>
      <c r="GX18" s="15"/>
      <c r="GY18" s="15"/>
      <c r="GZ18" s="15"/>
      <c r="HA18" s="15"/>
      <c r="HB18" s="15"/>
      <c r="HC18" s="15"/>
      <c r="HD18" s="15"/>
      <c r="HE18" s="15"/>
      <c r="HF18" s="15"/>
      <c r="HG18" s="15"/>
      <c r="HH18" s="15"/>
      <c r="HI18" s="15"/>
      <c r="HJ18" s="15"/>
      <c r="HK18" s="15"/>
      <c r="HL18" s="15"/>
      <c r="HM18" s="15"/>
      <c r="HN18" s="15"/>
      <c r="HO18" s="15"/>
      <c r="HP18" s="15"/>
      <c r="HQ18" s="15"/>
      <c r="HR18" s="15"/>
      <c r="HS18" s="15"/>
      <c r="HT18" s="15"/>
      <c r="HU18" s="15"/>
      <c r="HV18" s="15"/>
      <c r="HW18" s="15"/>
      <c r="HX18" s="15"/>
      <c r="HY18" s="15"/>
      <c r="HZ18" s="15"/>
      <c r="IA18" s="15"/>
      <c r="IB18" s="15"/>
      <c r="IC18" s="15"/>
      <c r="ID18" s="15"/>
      <c r="IE18" s="15"/>
      <c r="IF18" s="15"/>
      <c r="IG18" s="15"/>
      <c r="IH18" s="15"/>
      <c r="II18" s="15"/>
      <c r="IJ18" s="15"/>
      <c r="IK18" s="15"/>
      <c r="IL18" s="15"/>
      <c r="IM18" s="15"/>
      <c r="IN18" s="15"/>
      <c r="IO18" s="15"/>
      <c r="IP18" s="15"/>
      <c r="IQ18" s="15"/>
      <c r="IR18" s="15"/>
      <c r="IS18" s="15"/>
      <c r="IT18" s="15"/>
      <c r="IU18" s="15"/>
      <c r="IV18" s="15"/>
      <c r="IW18" s="15"/>
      <c r="IX18" s="15"/>
      <c r="IY18" s="15"/>
      <c r="IZ18" s="15"/>
      <c r="JA18" s="15"/>
      <c r="JB18" s="15"/>
      <c r="JC18" s="15"/>
      <c r="JD18" s="15"/>
      <c r="JE18" s="15"/>
      <c r="JF18" s="15"/>
      <c r="JG18" s="15"/>
      <c r="JH18" s="15"/>
      <c r="JI18" s="15"/>
      <c r="JJ18" s="15"/>
      <c r="JK18" s="15"/>
      <c r="JL18" s="15"/>
      <c r="JM18" s="15"/>
      <c r="JN18" s="15"/>
      <c r="JO18" s="15"/>
      <c r="JP18" s="15"/>
      <c r="JQ18" s="15"/>
      <c r="JR18" s="15"/>
      <c r="JS18" s="15"/>
      <c r="JT18" s="15"/>
      <c r="JU18" s="15"/>
      <c r="JV18" s="15"/>
      <c r="JW18" s="15"/>
      <c r="JX18" s="15"/>
      <c r="JY18" s="15"/>
      <c r="JZ18" s="15"/>
      <c r="KA18" s="15"/>
      <c r="KB18" s="15"/>
      <c r="KC18" s="15"/>
      <c r="KD18" s="15"/>
      <c r="KE18" s="15"/>
      <c r="KF18" s="15"/>
      <c r="KG18" s="15"/>
      <c r="KH18" s="15"/>
      <c r="KI18" s="15"/>
      <c r="KJ18" s="15"/>
      <c r="KK18" s="15"/>
      <c r="KL18" s="15"/>
      <c r="KM18" s="15"/>
      <c r="KN18" s="15"/>
      <c r="KO18" s="15"/>
      <c r="KP18" s="15"/>
      <c r="KQ18" s="15"/>
      <c r="KR18" s="15"/>
      <c r="KS18" s="15"/>
      <c r="KT18" s="15"/>
      <c r="KU18" s="15"/>
      <c r="KV18" s="15"/>
      <c r="KW18" s="15"/>
      <c r="KX18" s="15"/>
      <c r="KY18" s="15"/>
      <c r="KZ18" s="15"/>
      <c r="LA18" s="15"/>
      <c r="LB18" s="15"/>
      <c r="LC18" s="15"/>
      <c r="LD18" s="15"/>
      <c r="LE18" s="15"/>
      <c r="LF18" s="15"/>
      <c r="LG18" s="15"/>
      <c r="LH18" s="15"/>
      <c r="LI18" s="15"/>
      <c r="LJ18" s="15"/>
      <c r="LK18" s="15"/>
      <c r="LL18" s="15"/>
      <c r="LM18" s="15"/>
      <c r="LN18" s="15"/>
      <c r="LO18" s="15"/>
      <c r="LP18" s="15"/>
      <c r="LQ18" s="15"/>
      <c r="LR18" s="15"/>
      <c r="LS18" s="15"/>
      <c r="LT18" s="15"/>
      <c r="LU18" s="15"/>
      <c r="LV18" s="15"/>
      <c r="LW18" s="15"/>
      <c r="LX18" s="15"/>
      <c r="LY18" s="15"/>
      <c r="LZ18" s="15"/>
      <c r="MA18" s="15"/>
      <c r="MB18" s="15"/>
      <c r="MC18" s="15"/>
      <c r="MD18" s="15"/>
      <c r="ME18" s="15"/>
      <c r="MF18" s="15"/>
      <c r="MG18" s="15"/>
      <c r="MH18" s="15"/>
      <c r="MI18" s="15"/>
      <c r="MJ18" s="15"/>
      <c r="MK18" s="15"/>
      <c r="ML18" s="15"/>
      <c r="MM18" s="15"/>
      <c r="MN18" s="15"/>
      <c r="MO18" s="15"/>
      <c r="MP18" s="15"/>
      <c r="MQ18" s="15"/>
      <c r="MR18" s="15"/>
      <c r="MS18" s="15"/>
      <c r="MT18" s="15"/>
      <c r="MU18" s="15"/>
      <c r="MV18" s="15"/>
      <c r="MW18" s="15"/>
      <c r="MX18" s="15"/>
      <c r="MY18" s="15"/>
      <c r="MZ18" s="15"/>
      <c r="NA18" s="15"/>
      <c r="NB18" s="15"/>
      <c r="NC18" s="15"/>
      <c r="ND18" s="15"/>
      <c r="NE18" s="15"/>
      <c r="NF18" s="15"/>
      <c r="NG18" s="15"/>
      <c r="NH18" s="15"/>
      <c r="NI18" s="15"/>
      <c r="NJ18" s="15"/>
      <c r="NK18" s="15"/>
      <c r="NL18" s="15"/>
      <c r="NM18" s="15"/>
      <c r="NN18" s="15"/>
      <c r="NO18" s="15"/>
      <c r="NP18" s="15"/>
      <c r="NQ18" s="15"/>
      <c r="NR18" s="15"/>
      <c r="NS18" s="15"/>
      <c r="NT18" s="15"/>
      <c r="NU18" s="15"/>
      <c r="NV18" s="15"/>
      <c r="NW18" s="15"/>
      <c r="NX18" s="15"/>
      <c r="NY18" s="15"/>
      <c r="NZ18" s="15"/>
      <c r="OA18" s="15"/>
      <c r="OB18" s="15"/>
      <c r="OC18" s="15"/>
      <c r="OD18" s="15"/>
      <c r="OE18" s="15"/>
      <c r="OF18" s="15"/>
      <c r="OG18" s="15"/>
      <c r="OH18" s="15"/>
      <c r="OI18" s="15"/>
      <c r="OJ18" s="15"/>
      <c r="OK18" s="15"/>
      <c r="OL18" s="15"/>
      <c r="OM18" s="15"/>
      <c r="ON18" s="15"/>
      <c r="OO18" s="15"/>
      <c r="OP18" s="15"/>
      <c r="OQ18" s="15"/>
      <c r="OR18" s="15"/>
      <c r="OS18" s="15"/>
      <c r="OT18" s="15"/>
      <c r="OU18" s="15"/>
      <c r="OV18" s="15"/>
      <c r="OW18" s="15"/>
      <c r="OX18" s="15"/>
      <c r="OY18" s="15"/>
      <c r="OZ18" s="15"/>
      <c r="PA18" s="15"/>
      <c r="PB18" s="15"/>
      <c r="PC18" s="15"/>
      <c r="PD18" s="15"/>
      <c r="PE18" s="15"/>
      <c r="PF18" s="15"/>
      <c r="PG18" s="15"/>
      <c r="PH18" s="15"/>
      <c r="PI18" s="15"/>
      <c r="PJ18" s="15"/>
      <c r="PK18" s="15"/>
      <c r="PL18" s="15"/>
      <c r="PM18" s="15"/>
      <c r="PN18" s="15"/>
      <c r="PO18" s="15"/>
      <c r="PP18" s="15"/>
      <c r="PQ18" s="15"/>
      <c r="PR18" s="15"/>
      <c r="PS18" s="15"/>
      <c r="PT18" s="15"/>
      <c r="PU18" s="15"/>
      <c r="PV18" s="15"/>
      <c r="PW18" s="15"/>
      <c r="PX18" s="15"/>
      <c r="PY18" s="15"/>
      <c r="PZ18" s="15"/>
      <c r="QA18" s="15"/>
      <c r="QB18" s="15"/>
      <c r="QC18" s="15"/>
      <c r="QD18" s="15"/>
      <c r="QE18" s="15"/>
      <c r="QF18" s="15"/>
      <c r="QG18" s="15"/>
      <c r="QH18" s="15"/>
      <c r="QI18" s="15"/>
      <c r="QJ18" s="15"/>
      <c r="QK18" s="15"/>
      <c r="QL18" s="15"/>
      <c r="QM18" s="15"/>
      <c r="QN18" s="15"/>
      <c r="QO18" s="15"/>
      <c r="QP18" s="15"/>
      <c r="QQ18" s="15"/>
      <c r="QR18" s="15"/>
      <c r="QS18" s="15"/>
      <c r="QT18" s="15"/>
      <c r="QU18" s="15"/>
      <c r="QV18" s="15"/>
      <c r="QW18" s="15"/>
      <c r="QX18" s="15"/>
      <c r="QY18" s="15"/>
      <c r="QZ18" s="15"/>
      <c r="RA18" s="15"/>
      <c r="RB18" s="15"/>
      <c r="RC18" s="15"/>
      <c r="RD18" s="15"/>
      <c r="RE18" s="15"/>
      <c r="RF18" s="15"/>
      <c r="RG18" s="15"/>
      <c r="RH18" s="15"/>
      <c r="RI18" s="15"/>
      <c r="RJ18" s="15"/>
      <c r="RK18" s="15"/>
      <c r="RL18" s="15"/>
      <c r="RM18" s="15"/>
      <c r="RN18" s="15"/>
      <c r="RO18" s="15"/>
      <c r="RP18" s="15"/>
      <c r="RQ18" s="15"/>
      <c r="RR18" s="15"/>
      <c r="RS18" s="15"/>
      <c r="RT18" s="15"/>
      <c r="RU18" s="15"/>
      <c r="RV18" s="15"/>
      <c r="RW18" s="15"/>
      <c r="RX18" s="15"/>
      <c r="RY18" s="15"/>
      <c r="RZ18" s="15"/>
      <c r="SA18" s="15"/>
      <c r="SB18" s="15"/>
      <c r="SC18" s="15"/>
      <c r="SD18" s="15"/>
      <c r="SE18" s="15"/>
      <c r="SF18" s="15"/>
      <c r="SG18" s="15"/>
      <c r="SH18" s="15"/>
      <c r="SI18" s="15"/>
      <c r="SJ18" s="15"/>
      <c r="SK18" s="15"/>
      <c r="SL18" s="15"/>
      <c r="SM18" s="15"/>
      <c r="SN18" s="15"/>
      <c r="SO18" s="15"/>
      <c r="SP18" s="15"/>
      <c r="SQ18" s="15"/>
      <c r="SR18" s="15"/>
      <c r="SS18" s="15"/>
      <c r="ST18" s="15"/>
      <c r="SU18" s="15"/>
      <c r="SV18" s="15"/>
      <c r="SW18" s="15"/>
      <c r="SX18" s="15"/>
      <c r="SY18" s="15"/>
      <c r="SZ18" s="15"/>
      <c r="TA18" s="15"/>
      <c r="TB18" s="15"/>
      <c r="TC18" s="15"/>
      <c r="TD18" s="15"/>
      <c r="TE18" s="15"/>
      <c r="TF18" s="15"/>
      <c r="TG18" s="15"/>
      <c r="TH18" s="15"/>
      <c r="TI18" s="15"/>
      <c r="TJ18" s="15"/>
      <c r="TK18" s="15"/>
      <c r="TL18" s="15"/>
      <c r="TM18" s="15"/>
      <c r="TN18" s="15"/>
      <c r="TO18" s="15"/>
      <c r="TP18" s="15"/>
      <c r="TQ18" s="15"/>
      <c r="TR18" s="15"/>
      <c r="TS18" s="15"/>
      <c r="TT18" s="15"/>
      <c r="TU18" s="15"/>
      <c r="TV18" s="15"/>
      <c r="TW18" s="15"/>
      <c r="TX18" s="15"/>
      <c r="TY18" s="15"/>
      <c r="TZ18" s="15"/>
      <c r="UA18" s="15"/>
      <c r="UB18" s="15"/>
      <c r="UC18" s="15"/>
      <c r="UD18" s="15"/>
      <c r="UE18" s="15"/>
      <c r="UF18" s="15"/>
      <c r="UG18" s="15"/>
      <c r="UH18" s="15"/>
      <c r="UI18" s="15"/>
      <c r="UJ18" s="15"/>
      <c r="UK18" s="15"/>
      <c r="UL18" s="15"/>
      <c r="UM18" s="15"/>
      <c r="UN18" s="15"/>
      <c r="UO18" s="15"/>
      <c r="UP18" s="15"/>
      <c r="UQ18" s="15"/>
      <c r="UR18" s="15"/>
      <c r="US18" s="15"/>
      <c r="UT18" s="15"/>
      <c r="UU18" s="15"/>
      <c r="UV18" s="15"/>
      <c r="UW18" s="15"/>
      <c r="UX18" s="15"/>
      <c r="UY18" s="15"/>
      <c r="UZ18" s="15"/>
      <c r="VA18" s="15"/>
      <c r="VB18" s="15"/>
      <c r="VC18" s="15"/>
      <c r="VD18" s="15"/>
      <c r="VE18" s="15"/>
      <c r="VF18" s="15"/>
      <c r="VG18" s="15"/>
      <c r="VH18" s="15"/>
      <c r="VI18" s="15"/>
      <c r="VJ18" s="15"/>
      <c r="VK18" s="15"/>
      <c r="VL18" s="15"/>
      <c r="VM18" s="15"/>
      <c r="VN18" s="15"/>
      <c r="VO18" s="15"/>
      <c r="VP18" s="15"/>
      <c r="VQ18" s="15"/>
      <c r="VR18" s="15"/>
      <c r="VS18" s="15"/>
      <c r="VT18" s="15"/>
      <c r="VU18" s="15"/>
      <c r="VV18" s="15"/>
      <c r="VW18" s="15"/>
      <c r="VX18" s="15"/>
      <c r="VY18" s="15"/>
      <c r="VZ18" s="15"/>
      <c r="WA18" s="15"/>
      <c r="WB18" s="15"/>
      <c r="WC18" s="15"/>
      <c r="WD18" s="15"/>
      <c r="WE18" s="15"/>
      <c r="WF18" s="15"/>
      <c r="WG18" s="15"/>
      <c r="WH18" s="15"/>
      <c r="WI18" s="15"/>
      <c r="WJ18" s="15"/>
      <c r="WK18" s="15"/>
      <c r="WL18" s="15"/>
      <c r="WM18" s="15"/>
      <c r="WN18" s="15"/>
      <c r="WO18" s="15"/>
      <c r="WP18" s="15"/>
      <c r="WQ18" s="15"/>
      <c r="WR18" s="15"/>
      <c r="WS18" s="15"/>
      <c r="WT18" s="15"/>
      <c r="WU18" s="15"/>
      <c r="WV18" s="15"/>
      <c r="WW18" s="15"/>
      <c r="WX18" s="15"/>
      <c r="WY18" s="15"/>
      <c r="WZ18" s="15"/>
      <c r="XA18" s="15"/>
      <c r="XB18" s="15"/>
      <c r="XC18" s="15"/>
      <c r="XD18" s="15"/>
      <c r="XE18" s="15"/>
      <c r="XF18" s="15"/>
      <c r="XG18" s="15"/>
      <c r="XH18" s="15"/>
      <c r="XI18" s="15"/>
      <c r="XJ18" s="15"/>
      <c r="XK18" s="15"/>
      <c r="XL18" s="15"/>
      <c r="XM18" s="15"/>
      <c r="XN18" s="15"/>
      <c r="XO18" s="15"/>
      <c r="XP18" s="15"/>
      <c r="XQ18" s="15"/>
      <c r="XR18" s="15"/>
      <c r="XS18" s="15"/>
      <c r="XT18" s="15"/>
      <c r="XU18" s="15"/>
      <c r="XV18" s="15"/>
      <c r="XW18" s="15"/>
      <c r="XX18" s="15"/>
      <c r="XY18" s="15"/>
      <c r="XZ18" s="15"/>
      <c r="YA18" s="15"/>
      <c r="YB18" s="15"/>
      <c r="YC18" s="15"/>
      <c r="YD18" s="15"/>
      <c r="YE18" s="15"/>
      <c r="YF18" s="15"/>
      <c r="YG18" s="15"/>
      <c r="YH18" s="15"/>
      <c r="YI18" s="15"/>
      <c r="YJ18" s="15"/>
      <c r="YK18" s="15"/>
      <c r="YL18" s="15"/>
      <c r="YM18" s="15"/>
      <c r="YN18" s="15"/>
      <c r="YO18" s="15"/>
      <c r="YP18" s="15"/>
      <c r="YQ18" s="15"/>
      <c r="YR18" s="15"/>
      <c r="YS18" s="15"/>
      <c r="YT18" s="15"/>
      <c r="YU18" s="15"/>
      <c r="YV18" s="15"/>
      <c r="YW18" s="15"/>
      <c r="YX18" s="15"/>
      <c r="YY18" s="15"/>
      <c r="YZ18" s="15"/>
      <c r="ZA18" s="15"/>
      <c r="ZB18" s="15"/>
      <c r="ZC18" s="15"/>
      <c r="ZD18" s="15"/>
      <c r="ZE18" s="15"/>
      <c r="ZF18" s="15"/>
      <c r="ZG18" s="15"/>
      <c r="ZH18" s="15"/>
      <c r="ZI18" s="15"/>
      <c r="ZJ18" s="15"/>
      <c r="ZK18" s="15"/>
      <c r="ZL18" s="15"/>
      <c r="ZM18" s="15"/>
      <c r="ZN18" s="15"/>
      <c r="ZO18" s="15"/>
      <c r="ZP18" s="15"/>
      <c r="ZQ18" s="15"/>
      <c r="ZR18" s="15"/>
      <c r="ZS18" s="15"/>
      <c r="ZT18" s="15"/>
      <c r="ZU18" s="15"/>
      <c r="ZV18" s="15"/>
      <c r="ZW18" s="15"/>
      <c r="ZX18" s="15"/>
      <c r="ZY18" s="15"/>
      <c r="ZZ18" s="15"/>
      <c r="AAA18" s="15"/>
      <c r="AAB18" s="15"/>
      <c r="AAC18" s="15"/>
      <c r="AAD18" s="15"/>
      <c r="AAE18" s="15"/>
      <c r="AAF18" s="15"/>
      <c r="AAG18" s="15"/>
      <c r="AAH18" s="15"/>
      <c r="AAI18" s="15"/>
      <c r="AAJ18" s="15"/>
      <c r="AAK18" s="15"/>
      <c r="AAL18" s="15"/>
      <c r="AAM18" s="15"/>
      <c r="AAN18" s="15"/>
      <c r="AAO18" s="15"/>
      <c r="AAP18" s="15"/>
      <c r="AAQ18" s="15"/>
      <c r="AAR18" s="15"/>
      <c r="AAS18" s="15"/>
      <c r="AAT18" s="15"/>
      <c r="AAU18" s="15"/>
      <c r="AAV18" s="15"/>
      <c r="AAW18" s="15"/>
      <c r="AAX18" s="15"/>
      <c r="AAY18" s="15"/>
      <c r="AAZ18" s="15"/>
      <c r="ABA18" s="15"/>
      <c r="ABB18" s="15"/>
      <c r="ABC18" s="15"/>
      <c r="ABD18" s="15"/>
      <c r="ABE18" s="15"/>
      <c r="ABF18" s="15"/>
      <c r="ABG18" s="15"/>
      <c r="ABH18" s="15"/>
      <c r="ABI18" s="15"/>
      <c r="ABJ18" s="15"/>
      <c r="ABK18" s="15"/>
      <c r="ABL18" s="15"/>
      <c r="ABM18" s="15"/>
      <c r="ABN18" s="15"/>
      <c r="ABO18" s="15"/>
      <c r="ABP18" s="15"/>
      <c r="ABQ18" s="15"/>
      <c r="ABR18" s="15"/>
      <c r="ABS18" s="15"/>
      <c r="ABT18" s="15"/>
      <c r="ABU18" s="15"/>
      <c r="ABV18" s="15"/>
      <c r="ABW18" s="15"/>
      <c r="ABX18" s="15"/>
      <c r="ABY18" s="15"/>
      <c r="ABZ18" s="15"/>
      <c r="ACA18" s="15"/>
      <c r="ACB18" s="15"/>
      <c r="ACC18" s="15"/>
      <c r="ACD18" s="15"/>
      <c r="ACE18" s="15"/>
      <c r="ACF18" s="15"/>
      <c r="ACG18" s="15"/>
      <c r="ACH18" s="15"/>
      <c r="ACI18" s="15"/>
      <c r="ACJ18" s="15"/>
      <c r="ACK18" s="15"/>
      <c r="ACL18" s="15"/>
      <c r="ACM18" s="15"/>
      <c r="ACN18" s="15"/>
      <c r="ACO18" s="15"/>
      <c r="ACP18" s="15"/>
      <c r="ACQ18" s="15"/>
      <c r="ACR18" s="15"/>
      <c r="ACS18" s="15"/>
      <c r="ACT18" s="15"/>
      <c r="ACU18" s="15"/>
      <c r="ACV18" s="15"/>
      <c r="ACW18" s="15"/>
      <c r="ACX18" s="15"/>
      <c r="ACY18" s="15"/>
      <c r="ACZ18" s="15"/>
      <c r="ADA18" s="15"/>
      <c r="ADB18" s="15"/>
      <c r="ADC18" s="15"/>
      <c r="ADD18" s="15"/>
      <c r="ADE18" s="15"/>
      <c r="ADF18" s="15"/>
      <c r="ADG18" s="15"/>
      <c r="ADH18" s="15"/>
      <c r="ADI18" s="15"/>
      <c r="ADJ18" s="15"/>
      <c r="ADK18" s="15"/>
      <c r="ADL18" s="15"/>
      <c r="ADM18" s="15"/>
      <c r="ADN18" s="15"/>
      <c r="ADO18" s="15"/>
      <c r="ADP18" s="15"/>
      <c r="ADQ18" s="15"/>
      <c r="ADR18" s="15"/>
      <c r="ADS18" s="15"/>
      <c r="ADT18" s="15"/>
      <c r="ADU18" s="15"/>
      <c r="ADV18" s="15"/>
      <c r="ADW18" s="15"/>
      <c r="ADX18" s="15"/>
      <c r="ADY18" s="15"/>
      <c r="ADZ18" s="15"/>
      <c r="AEA18" s="15"/>
      <c r="AEB18" s="15"/>
      <c r="AEC18" s="15"/>
      <c r="AED18" s="15"/>
      <c r="AEE18" s="15"/>
      <c r="AEF18" s="15"/>
      <c r="AEG18" s="15"/>
      <c r="AEH18" s="15"/>
      <c r="AEI18" s="15"/>
      <c r="AEJ18" s="15"/>
      <c r="AEK18" s="15"/>
      <c r="AEL18" s="15"/>
      <c r="AEM18" s="15"/>
      <c r="AEN18" s="15"/>
      <c r="AEO18" s="15"/>
      <c r="AEP18" s="15"/>
      <c r="AEQ18" s="15"/>
      <c r="AER18" s="15"/>
      <c r="AES18" s="15"/>
      <c r="AET18" s="15"/>
      <c r="AEU18" s="15"/>
      <c r="AEV18" s="15"/>
      <c r="AEW18" s="15"/>
      <c r="AEX18" s="15"/>
      <c r="AEY18" s="15"/>
      <c r="AEZ18" s="15"/>
      <c r="AFA18" s="15"/>
      <c r="AFB18" s="15"/>
      <c r="AFC18" s="15"/>
      <c r="AFD18" s="15"/>
      <c r="AFE18" s="15"/>
      <c r="AFF18" s="15"/>
      <c r="AFG18" s="15"/>
      <c r="AFH18" s="15"/>
      <c r="AFI18" s="15"/>
      <c r="AFJ18" s="15"/>
      <c r="AFK18" s="15"/>
      <c r="AFL18" s="15"/>
      <c r="AFM18" s="15"/>
      <c r="AFN18" s="15"/>
      <c r="AFO18" s="15"/>
      <c r="AFP18" s="15"/>
      <c r="AFQ18" s="15"/>
      <c r="AFR18" s="15"/>
      <c r="AFS18" s="15"/>
      <c r="AFT18" s="15"/>
      <c r="AFU18" s="15"/>
      <c r="AFV18" s="15"/>
      <c r="AFW18" s="15"/>
      <c r="AFX18" s="15"/>
      <c r="AFY18" s="15"/>
      <c r="AFZ18" s="15"/>
      <c r="AGA18" s="15"/>
      <c r="AGB18" s="15"/>
      <c r="AGC18" s="15"/>
      <c r="AGD18" s="15"/>
      <c r="AGE18" s="15"/>
      <c r="AGF18" s="15"/>
      <c r="AGG18" s="15"/>
      <c r="AGH18" s="15"/>
      <c r="AGI18" s="15"/>
      <c r="AGJ18" s="15"/>
      <c r="AGK18" s="15"/>
      <c r="AGL18" s="15"/>
      <c r="AGM18" s="15"/>
      <c r="AGN18" s="15"/>
      <c r="AGO18" s="15"/>
      <c r="AGP18" s="15"/>
      <c r="AGQ18" s="15"/>
      <c r="AGR18" s="15"/>
      <c r="AGS18" s="15"/>
      <c r="AGT18" s="15"/>
      <c r="AGU18" s="15"/>
      <c r="AGV18" s="15"/>
      <c r="AGW18" s="15"/>
      <c r="AGX18" s="15"/>
      <c r="AGY18" s="15"/>
      <c r="AGZ18" s="15"/>
      <c r="AHA18" s="15"/>
      <c r="AHB18" s="15"/>
      <c r="AHC18" s="15"/>
      <c r="AHD18" s="15"/>
      <c r="AHE18" s="15"/>
      <c r="AHF18" s="15"/>
      <c r="AHG18" s="15"/>
      <c r="AHH18" s="15"/>
      <c r="AHI18" s="15"/>
      <c r="AHJ18" s="15"/>
      <c r="AHK18" s="15"/>
      <c r="AHL18" s="15"/>
      <c r="AHM18" s="15"/>
      <c r="AHN18" s="15"/>
      <c r="AHO18" s="15"/>
      <c r="AHP18" s="15"/>
      <c r="AHQ18" s="15"/>
      <c r="AHR18" s="15"/>
      <c r="AHS18" s="15"/>
      <c r="AHT18" s="15"/>
      <c r="AHU18" s="15"/>
      <c r="AHV18" s="15"/>
      <c r="AHW18" s="15"/>
      <c r="AHX18" s="15"/>
      <c r="AHY18" s="15"/>
      <c r="AHZ18" s="15"/>
      <c r="AIA18" s="15"/>
      <c r="AIB18" s="15"/>
      <c r="AIC18" s="15"/>
      <c r="AID18" s="15"/>
      <c r="AIE18" s="15"/>
      <c r="AIF18" s="15"/>
      <c r="AIG18" s="15"/>
      <c r="AIH18" s="15"/>
      <c r="AII18" s="15"/>
      <c r="AIJ18" s="15"/>
      <c r="AIK18" s="15"/>
      <c r="AIL18" s="15"/>
      <c r="AIM18" s="15"/>
      <c r="AIN18" s="15"/>
      <c r="AIO18" s="15"/>
      <c r="AIP18" s="15"/>
      <c r="AIQ18" s="15"/>
      <c r="AIR18" s="15"/>
      <c r="AIS18" s="15"/>
      <c r="AIT18" s="15"/>
      <c r="AIU18" s="15"/>
      <c r="AIV18" s="15"/>
      <c r="AIW18" s="15"/>
      <c r="AIX18" s="15"/>
      <c r="AIY18" s="15"/>
      <c r="AIZ18" s="15"/>
      <c r="AJA18" s="15"/>
      <c r="AJB18" s="15"/>
      <c r="AJC18" s="15"/>
      <c r="AJD18" s="15"/>
      <c r="AJE18" s="15"/>
      <c r="AJF18" s="15"/>
      <c r="AJG18" s="15"/>
      <c r="AJH18" s="15"/>
      <c r="AJI18" s="15"/>
      <c r="AJJ18" s="15"/>
      <c r="AJK18" s="15"/>
      <c r="AJL18" s="15"/>
      <c r="AJM18" s="15"/>
      <c r="AJN18" s="15"/>
      <c r="AJO18" s="15"/>
      <c r="AJP18" s="15"/>
      <c r="AJQ18" s="15"/>
      <c r="AJR18" s="15"/>
      <c r="AJS18" s="15"/>
      <c r="AJT18" s="15"/>
      <c r="AJU18" s="15"/>
      <c r="AJV18" s="15"/>
      <c r="AJW18" s="15"/>
      <c r="AJX18" s="15"/>
      <c r="AJY18" s="15"/>
      <c r="AJZ18" s="15"/>
      <c r="AKA18" s="15"/>
      <c r="AKB18" s="15"/>
      <c r="AKC18" s="15"/>
      <c r="AKD18" s="15"/>
      <c r="AKE18" s="15"/>
      <c r="AKF18" s="15"/>
      <c r="AKG18" s="15"/>
      <c r="AKH18" s="15"/>
      <c r="AKI18" s="15"/>
      <c r="AKJ18" s="15"/>
      <c r="AKK18" s="15"/>
      <c r="AKL18" s="15"/>
      <c r="AKM18" s="15"/>
      <c r="AKN18" s="15"/>
      <c r="AKO18" s="15"/>
      <c r="AKP18" s="15"/>
      <c r="AKQ18" s="15"/>
      <c r="AKR18" s="15"/>
      <c r="AKS18" s="15"/>
      <c r="AKT18" s="15"/>
      <c r="AKU18" s="15"/>
      <c r="AKV18" s="15"/>
      <c r="AKW18" s="15"/>
      <c r="AKX18" s="15"/>
      <c r="AKY18" s="15"/>
      <c r="AKZ18" s="15"/>
      <c r="ALA18" s="15"/>
      <c r="ALB18" s="15"/>
      <c r="ALC18" s="15"/>
      <c r="ALD18" s="15"/>
      <c r="ALE18" s="15"/>
      <c r="ALF18" s="15"/>
      <c r="ALG18" s="15"/>
      <c r="ALH18" s="15"/>
      <c r="ALI18" s="15"/>
      <c r="ALJ18" s="15"/>
      <c r="ALK18" s="15"/>
      <c r="ALL18" s="15"/>
      <c r="ALM18" s="15"/>
      <c r="ALN18" s="15"/>
      <c r="ALO18" s="15"/>
      <c r="ALP18" s="15"/>
      <c r="ALQ18" s="15"/>
      <c r="ALR18" s="15"/>
      <c r="ALS18" s="15"/>
      <c r="ALT18" s="15"/>
      <c r="ALU18" s="15"/>
      <c r="ALV18" s="15"/>
      <c r="ALW18" s="15"/>
      <c r="ALX18" s="15"/>
      <c r="ALY18" s="15"/>
      <c r="ALZ18" s="15"/>
      <c r="AMA18" s="15"/>
      <c r="AMB18" s="15"/>
      <c r="AMC18" s="15"/>
      <c r="AMD18" s="15"/>
      <c r="AME18" s="15"/>
      <c r="AMF18" s="15"/>
      <c r="AMG18" s="14"/>
      <c r="AMH18" s="14"/>
      <c r="AMI18" s="14"/>
      <c r="AMJ18" s="14"/>
    </row>
    <row r="19" spans="1:1024" s="13" customFormat="1" ht="87" hidden="1" x14ac:dyDescent="0.35">
      <c r="A19" s="19">
        <v>43644</v>
      </c>
      <c r="B19" s="17" t="s">
        <v>466</v>
      </c>
      <c r="C19" s="17" t="s">
        <v>465</v>
      </c>
      <c r="D19" s="18">
        <v>43651</v>
      </c>
      <c r="E19" s="17" t="s">
        <v>464</v>
      </c>
      <c r="F19" s="26">
        <v>0.41666666666666702</v>
      </c>
      <c r="G19" s="26">
        <v>0.44791666666666702</v>
      </c>
      <c r="H19" s="26">
        <v>0.45833333333333298</v>
      </c>
      <c r="I19" s="17">
        <v>272</v>
      </c>
      <c r="J19" s="42" t="s">
        <v>463</v>
      </c>
      <c r="K19" s="17" t="s">
        <v>119</v>
      </c>
      <c r="L19" s="16" t="s">
        <v>17</v>
      </c>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15"/>
      <c r="FA19" s="15"/>
      <c r="FB19" s="15"/>
      <c r="FC19" s="15"/>
      <c r="FD19" s="15"/>
      <c r="FE19" s="15"/>
      <c r="FF19" s="15"/>
      <c r="FG19" s="15"/>
      <c r="FH19" s="15"/>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5"/>
      <c r="GN19" s="15"/>
      <c r="GO19" s="15"/>
      <c r="GP19" s="15"/>
      <c r="GQ19" s="15"/>
      <c r="GR19" s="15"/>
      <c r="GS19" s="15"/>
      <c r="GT19" s="15"/>
      <c r="GU19" s="15"/>
      <c r="GV19" s="15"/>
      <c r="GW19" s="15"/>
      <c r="GX19" s="15"/>
      <c r="GY19" s="15"/>
      <c r="GZ19" s="15"/>
      <c r="HA19" s="15"/>
      <c r="HB19" s="15"/>
      <c r="HC19" s="15"/>
      <c r="HD19" s="15"/>
      <c r="HE19" s="15"/>
      <c r="HF19" s="15"/>
      <c r="HG19" s="15"/>
      <c r="HH19" s="15"/>
      <c r="HI19" s="15"/>
      <c r="HJ19" s="15"/>
      <c r="HK19" s="15"/>
      <c r="HL19" s="15"/>
      <c r="HM19" s="15"/>
      <c r="HN19" s="15"/>
      <c r="HO19" s="15"/>
      <c r="HP19" s="15"/>
      <c r="HQ19" s="15"/>
      <c r="HR19" s="15"/>
      <c r="HS19" s="15"/>
      <c r="HT19" s="15"/>
      <c r="HU19" s="15"/>
      <c r="HV19" s="15"/>
      <c r="HW19" s="15"/>
      <c r="HX19" s="15"/>
      <c r="HY19" s="15"/>
      <c r="HZ19" s="15"/>
      <c r="IA19" s="15"/>
      <c r="IB19" s="15"/>
      <c r="IC19" s="15"/>
      <c r="ID19" s="15"/>
      <c r="IE19" s="15"/>
      <c r="IF19" s="15"/>
      <c r="IG19" s="15"/>
      <c r="IH19" s="15"/>
      <c r="II19" s="15"/>
      <c r="IJ19" s="15"/>
      <c r="IK19" s="15"/>
      <c r="IL19" s="15"/>
      <c r="IM19" s="15"/>
      <c r="IN19" s="15"/>
      <c r="IO19" s="15"/>
      <c r="IP19" s="15"/>
      <c r="IQ19" s="15"/>
      <c r="IR19" s="15"/>
      <c r="IS19" s="15"/>
      <c r="IT19" s="15"/>
      <c r="IU19" s="15"/>
      <c r="IV19" s="15"/>
      <c r="IW19" s="15"/>
      <c r="IX19" s="15"/>
      <c r="IY19" s="15"/>
      <c r="IZ19" s="15"/>
      <c r="JA19" s="15"/>
      <c r="JB19" s="15"/>
      <c r="JC19" s="15"/>
      <c r="JD19" s="15"/>
      <c r="JE19" s="15"/>
      <c r="JF19" s="15"/>
      <c r="JG19" s="15"/>
      <c r="JH19" s="15"/>
      <c r="JI19" s="15"/>
      <c r="JJ19" s="15"/>
      <c r="JK19" s="15"/>
      <c r="JL19" s="15"/>
      <c r="JM19" s="15"/>
      <c r="JN19" s="15"/>
      <c r="JO19" s="15"/>
      <c r="JP19" s="15"/>
      <c r="JQ19" s="15"/>
      <c r="JR19" s="15"/>
      <c r="JS19" s="15"/>
      <c r="JT19" s="15"/>
      <c r="JU19" s="15"/>
      <c r="JV19" s="15"/>
      <c r="JW19" s="15"/>
      <c r="JX19" s="15"/>
      <c r="JY19" s="15"/>
      <c r="JZ19" s="15"/>
      <c r="KA19" s="15"/>
      <c r="KB19" s="15"/>
      <c r="KC19" s="15"/>
      <c r="KD19" s="15"/>
      <c r="KE19" s="15"/>
      <c r="KF19" s="15"/>
      <c r="KG19" s="15"/>
      <c r="KH19" s="15"/>
      <c r="KI19" s="15"/>
      <c r="KJ19" s="15"/>
      <c r="KK19" s="15"/>
      <c r="KL19" s="15"/>
      <c r="KM19" s="15"/>
      <c r="KN19" s="15"/>
      <c r="KO19" s="15"/>
      <c r="KP19" s="15"/>
      <c r="KQ19" s="15"/>
      <c r="KR19" s="15"/>
      <c r="KS19" s="15"/>
      <c r="KT19" s="15"/>
      <c r="KU19" s="15"/>
      <c r="KV19" s="15"/>
      <c r="KW19" s="15"/>
      <c r="KX19" s="15"/>
      <c r="KY19" s="15"/>
      <c r="KZ19" s="15"/>
      <c r="LA19" s="15"/>
      <c r="LB19" s="15"/>
      <c r="LC19" s="15"/>
      <c r="LD19" s="15"/>
      <c r="LE19" s="15"/>
      <c r="LF19" s="15"/>
      <c r="LG19" s="15"/>
      <c r="LH19" s="15"/>
      <c r="LI19" s="15"/>
      <c r="LJ19" s="15"/>
      <c r="LK19" s="15"/>
      <c r="LL19" s="15"/>
      <c r="LM19" s="15"/>
      <c r="LN19" s="15"/>
      <c r="LO19" s="15"/>
      <c r="LP19" s="15"/>
      <c r="LQ19" s="15"/>
      <c r="LR19" s="15"/>
      <c r="LS19" s="15"/>
      <c r="LT19" s="15"/>
      <c r="LU19" s="15"/>
      <c r="LV19" s="15"/>
      <c r="LW19" s="15"/>
      <c r="LX19" s="15"/>
      <c r="LY19" s="15"/>
      <c r="LZ19" s="15"/>
      <c r="MA19" s="15"/>
      <c r="MB19" s="15"/>
      <c r="MC19" s="15"/>
      <c r="MD19" s="15"/>
      <c r="ME19" s="15"/>
      <c r="MF19" s="15"/>
      <c r="MG19" s="15"/>
      <c r="MH19" s="15"/>
      <c r="MI19" s="15"/>
      <c r="MJ19" s="15"/>
      <c r="MK19" s="15"/>
      <c r="ML19" s="15"/>
      <c r="MM19" s="15"/>
      <c r="MN19" s="15"/>
      <c r="MO19" s="15"/>
      <c r="MP19" s="15"/>
      <c r="MQ19" s="15"/>
      <c r="MR19" s="15"/>
      <c r="MS19" s="15"/>
      <c r="MT19" s="15"/>
      <c r="MU19" s="15"/>
      <c r="MV19" s="15"/>
      <c r="MW19" s="15"/>
      <c r="MX19" s="15"/>
      <c r="MY19" s="15"/>
      <c r="MZ19" s="15"/>
      <c r="NA19" s="15"/>
      <c r="NB19" s="15"/>
      <c r="NC19" s="15"/>
      <c r="ND19" s="15"/>
      <c r="NE19" s="15"/>
      <c r="NF19" s="15"/>
      <c r="NG19" s="15"/>
      <c r="NH19" s="15"/>
      <c r="NI19" s="15"/>
      <c r="NJ19" s="15"/>
      <c r="NK19" s="15"/>
      <c r="NL19" s="15"/>
      <c r="NM19" s="15"/>
      <c r="NN19" s="15"/>
      <c r="NO19" s="15"/>
      <c r="NP19" s="15"/>
      <c r="NQ19" s="15"/>
      <c r="NR19" s="15"/>
      <c r="NS19" s="15"/>
      <c r="NT19" s="15"/>
      <c r="NU19" s="15"/>
      <c r="NV19" s="15"/>
      <c r="NW19" s="15"/>
      <c r="NX19" s="15"/>
      <c r="NY19" s="15"/>
      <c r="NZ19" s="15"/>
      <c r="OA19" s="15"/>
      <c r="OB19" s="15"/>
      <c r="OC19" s="15"/>
      <c r="OD19" s="15"/>
      <c r="OE19" s="15"/>
      <c r="OF19" s="15"/>
      <c r="OG19" s="15"/>
      <c r="OH19" s="15"/>
      <c r="OI19" s="15"/>
      <c r="OJ19" s="15"/>
      <c r="OK19" s="15"/>
      <c r="OL19" s="15"/>
      <c r="OM19" s="15"/>
      <c r="ON19" s="15"/>
      <c r="OO19" s="15"/>
      <c r="OP19" s="15"/>
      <c r="OQ19" s="15"/>
      <c r="OR19" s="15"/>
      <c r="OS19" s="15"/>
      <c r="OT19" s="15"/>
      <c r="OU19" s="15"/>
      <c r="OV19" s="15"/>
      <c r="OW19" s="15"/>
      <c r="OX19" s="15"/>
      <c r="OY19" s="15"/>
      <c r="OZ19" s="15"/>
      <c r="PA19" s="15"/>
      <c r="PB19" s="15"/>
      <c r="PC19" s="15"/>
      <c r="PD19" s="15"/>
      <c r="PE19" s="15"/>
      <c r="PF19" s="15"/>
      <c r="PG19" s="15"/>
      <c r="PH19" s="15"/>
      <c r="PI19" s="15"/>
      <c r="PJ19" s="15"/>
      <c r="PK19" s="15"/>
      <c r="PL19" s="15"/>
      <c r="PM19" s="15"/>
      <c r="PN19" s="15"/>
      <c r="PO19" s="15"/>
      <c r="PP19" s="15"/>
      <c r="PQ19" s="15"/>
      <c r="PR19" s="15"/>
      <c r="PS19" s="15"/>
      <c r="PT19" s="15"/>
      <c r="PU19" s="15"/>
      <c r="PV19" s="15"/>
      <c r="PW19" s="15"/>
      <c r="PX19" s="15"/>
      <c r="PY19" s="15"/>
      <c r="PZ19" s="15"/>
      <c r="QA19" s="15"/>
      <c r="QB19" s="15"/>
      <c r="QC19" s="15"/>
      <c r="QD19" s="15"/>
      <c r="QE19" s="15"/>
      <c r="QF19" s="15"/>
      <c r="QG19" s="15"/>
      <c r="QH19" s="15"/>
      <c r="QI19" s="15"/>
      <c r="QJ19" s="15"/>
      <c r="QK19" s="15"/>
      <c r="QL19" s="15"/>
      <c r="QM19" s="15"/>
      <c r="QN19" s="15"/>
      <c r="QO19" s="15"/>
      <c r="QP19" s="15"/>
      <c r="QQ19" s="15"/>
      <c r="QR19" s="15"/>
      <c r="QS19" s="15"/>
      <c r="QT19" s="15"/>
      <c r="QU19" s="15"/>
      <c r="QV19" s="15"/>
      <c r="QW19" s="15"/>
      <c r="QX19" s="15"/>
      <c r="QY19" s="15"/>
      <c r="QZ19" s="15"/>
      <c r="RA19" s="15"/>
      <c r="RB19" s="15"/>
      <c r="RC19" s="15"/>
      <c r="RD19" s="15"/>
      <c r="RE19" s="15"/>
      <c r="RF19" s="15"/>
      <c r="RG19" s="15"/>
      <c r="RH19" s="15"/>
      <c r="RI19" s="15"/>
      <c r="RJ19" s="15"/>
      <c r="RK19" s="15"/>
      <c r="RL19" s="15"/>
      <c r="RM19" s="15"/>
      <c r="RN19" s="15"/>
      <c r="RO19" s="15"/>
      <c r="RP19" s="15"/>
      <c r="RQ19" s="15"/>
      <c r="RR19" s="15"/>
      <c r="RS19" s="15"/>
      <c r="RT19" s="15"/>
      <c r="RU19" s="15"/>
      <c r="RV19" s="15"/>
      <c r="RW19" s="15"/>
      <c r="RX19" s="15"/>
      <c r="RY19" s="15"/>
      <c r="RZ19" s="15"/>
      <c r="SA19" s="15"/>
      <c r="SB19" s="15"/>
      <c r="SC19" s="15"/>
      <c r="SD19" s="15"/>
      <c r="SE19" s="15"/>
      <c r="SF19" s="15"/>
      <c r="SG19" s="15"/>
      <c r="SH19" s="15"/>
      <c r="SI19" s="15"/>
      <c r="SJ19" s="15"/>
      <c r="SK19" s="15"/>
      <c r="SL19" s="15"/>
      <c r="SM19" s="15"/>
      <c r="SN19" s="15"/>
      <c r="SO19" s="15"/>
      <c r="SP19" s="15"/>
      <c r="SQ19" s="15"/>
      <c r="SR19" s="15"/>
      <c r="SS19" s="15"/>
      <c r="ST19" s="15"/>
      <c r="SU19" s="15"/>
      <c r="SV19" s="15"/>
      <c r="SW19" s="15"/>
      <c r="SX19" s="15"/>
      <c r="SY19" s="15"/>
      <c r="SZ19" s="15"/>
      <c r="TA19" s="15"/>
      <c r="TB19" s="15"/>
      <c r="TC19" s="15"/>
      <c r="TD19" s="15"/>
      <c r="TE19" s="15"/>
      <c r="TF19" s="15"/>
      <c r="TG19" s="15"/>
      <c r="TH19" s="15"/>
      <c r="TI19" s="15"/>
      <c r="TJ19" s="15"/>
      <c r="TK19" s="15"/>
      <c r="TL19" s="15"/>
      <c r="TM19" s="15"/>
      <c r="TN19" s="15"/>
      <c r="TO19" s="15"/>
      <c r="TP19" s="15"/>
      <c r="TQ19" s="15"/>
      <c r="TR19" s="15"/>
      <c r="TS19" s="15"/>
      <c r="TT19" s="15"/>
      <c r="TU19" s="15"/>
      <c r="TV19" s="15"/>
      <c r="TW19" s="15"/>
      <c r="TX19" s="15"/>
      <c r="TY19" s="15"/>
      <c r="TZ19" s="15"/>
      <c r="UA19" s="15"/>
      <c r="UB19" s="15"/>
      <c r="UC19" s="15"/>
      <c r="UD19" s="15"/>
      <c r="UE19" s="15"/>
      <c r="UF19" s="15"/>
      <c r="UG19" s="15"/>
      <c r="UH19" s="15"/>
      <c r="UI19" s="15"/>
      <c r="UJ19" s="15"/>
      <c r="UK19" s="15"/>
      <c r="UL19" s="15"/>
      <c r="UM19" s="15"/>
      <c r="UN19" s="15"/>
      <c r="UO19" s="15"/>
      <c r="UP19" s="15"/>
      <c r="UQ19" s="15"/>
      <c r="UR19" s="15"/>
      <c r="US19" s="15"/>
      <c r="UT19" s="15"/>
      <c r="UU19" s="15"/>
      <c r="UV19" s="15"/>
      <c r="UW19" s="15"/>
      <c r="UX19" s="15"/>
      <c r="UY19" s="15"/>
      <c r="UZ19" s="15"/>
      <c r="VA19" s="15"/>
      <c r="VB19" s="15"/>
      <c r="VC19" s="15"/>
      <c r="VD19" s="15"/>
      <c r="VE19" s="15"/>
      <c r="VF19" s="15"/>
      <c r="VG19" s="15"/>
      <c r="VH19" s="15"/>
      <c r="VI19" s="15"/>
      <c r="VJ19" s="15"/>
      <c r="VK19" s="15"/>
      <c r="VL19" s="15"/>
      <c r="VM19" s="15"/>
      <c r="VN19" s="15"/>
      <c r="VO19" s="15"/>
      <c r="VP19" s="15"/>
      <c r="VQ19" s="15"/>
      <c r="VR19" s="15"/>
      <c r="VS19" s="15"/>
      <c r="VT19" s="15"/>
      <c r="VU19" s="15"/>
      <c r="VV19" s="15"/>
      <c r="VW19" s="15"/>
      <c r="VX19" s="15"/>
      <c r="VY19" s="15"/>
      <c r="VZ19" s="15"/>
      <c r="WA19" s="15"/>
      <c r="WB19" s="15"/>
      <c r="WC19" s="15"/>
      <c r="WD19" s="15"/>
      <c r="WE19" s="15"/>
      <c r="WF19" s="15"/>
      <c r="WG19" s="15"/>
      <c r="WH19" s="15"/>
      <c r="WI19" s="15"/>
      <c r="WJ19" s="15"/>
      <c r="WK19" s="15"/>
      <c r="WL19" s="15"/>
      <c r="WM19" s="15"/>
      <c r="WN19" s="15"/>
      <c r="WO19" s="15"/>
      <c r="WP19" s="15"/>
      <c r="WQ19" s="15"/>
      <c r="WR19" s="15"/>
      <c r="WS19" s="15"/>
      <c r="WT19" s="15"/>
      <c r="WU19" s="15"/>
      <c r="WV19" s="15"/>
      <c r="WW19" s="15"/>
      <c r="WX19" s="15"/>
      <c r="WY19" s="15"/>
      <c r="WZ19" s="15"/>
      <c r="XA19" s="15"/>
      <c r="XB19" s="15"/>
      <c r="XC19" s="15"/>
      <c r="XD19" s="15"/>
      <c r="XE19" s="15"/>
      <c r="XF19" s="15"/>
      <c r="XG19" s="15"/>
      <c r="XH19" s="15"/>
      <c r="XI19" s="15"/>
      <c r="XJ19" s="15"/>
      <c r="XK19" s="15"/>
      <c r="XL19" s="15"/>
      <c r="XM19" s="15"/>
      <c r="XN19" s="15"/>
      <c r="XO19" s="15"/>
      <c r="XP19" s="15"/>
      <c r="XQ19" s="15"/>
      <c r="XR19" s="15"/>
      <c r="XS19" s="15"/>
      <c r="XT19" s="15"/>
      <c r="XU19" s="15"/>
      <c r="XV19" s="15"/>
      <c r="XW19" s="15"/>
      <c r="XX19" s="15"/>
      <c r="XY19" s="15"/>
      <c r="XZ19" s="15"/>
      <c r="YA19" s="15"/>
      <c r="YB19" s="15"/>
      <c r="YC19" s="15"/>
      <c r="YD19" s="15"/>
      <c r="YE19" s="15"/>
      <c r="YF19" s="15"/>
      <c r="YG19" s="15"/>
      <c r="YH19" s="15"/>
      <c r="YI19" s="15"/>
      <c r="YJ19" s="15"/>
      <c r="YK19" s="15"/>
      <c r="YL19" s="15"/>
      <c r="YM19" s="15"/>
      <c r="YN19" s="15"/>
      <c r="YO19" s="15"/>
      <c r="YP19" s="15"/>
      <c r="YQ19" s="15"/>
      <c r="YR19" s="15"/>
      <c r="YS19" s="15"/>
      <c r="YT19" s="15"/>
      <c r="YU19" s="15"/>
      <c r="YV19" s="15"/>
      <c r="YW19" s="15"/>
      <c r="YX19" s="15"/>
      <c r="YY19" s="15"/>
      <c r="YZ19" s="15"/>
      <c r="ZA19" s="15"/>
      <c r="ZB19" s="15"/>
      <c r="ZC19" s="15"/>
      <c r="ZD19" s="15"/>
      <c r="ZE19" s="15"/>
      <c r="ZF19" s="15"/>
      <c r="ZG19" s="15"/>
      <c r="ZH19" s="15"/>
      <c r="ZI19" s="15"/>
      <c r="ZJ19" s="15"/>
      <c r="ZK19" s="15"/>
      <c r="ZL19" s="15"/>
      <c r="ZM19" s="15"/>
      <c r="ZN19" s="15"/>
      <c r="ZO19" s="15"/>
      <c r="ZP19" s="15"/>
      <c r="ZQ19" s="15"/>
      <c r="ZR19" s="15"/>
      <c r="ZS19" s="15"/>
      <c r="ZT19" s="15"/>
      <c r="ZU19" s="15"/>
      <c r="ZV19" s="15"/>
      <c r="ZW19" s="15"/>
      <c r="ZX19" s="15"/>
      <c r="ZY19" s="15"/>
      <c r="ZZ19" s="15"/>
      <c r="AAA19" s="15"/>
      <c r="AAB19" s="15"/>
      <c r="AAC19" s="15"/>
      <c r="AAD19" s="15"/>
      <c r="AAE19" s="15"/>
      <c r="AAF19" s="15"/>
      <c r="AAG19" s="15"/>
      <c r="AAH19" s="15"/>
      <c r="AAI19" s="15"/>
      <c r="AAJ19" s="15"/>
      <c r="AAK19" s="15"/>
      <c r="AAL19" s="15"/>
      <c r="AAM19" s="15"/>
      <c r="AAN19" s="15"/>
      <c r="AAO19" s="15"/>
      <c r="AAP19" s="15"/>
      <c r="AAQ19" s="15"/>
      <c r="AAR19" s="15"/>
      <c r="AAS19" s="15"/>
      <c r="AAT19" s="15"/>
      <c r="AAU19" s="15"/>
      <c r="AAV19" s="15"/>
      <c r="AAW19" s="15"/>
      <c r="AAX19" s="15"/>
      <c r="AAY19" s="15"/>
      <c r="AAZ19" s="15"/>
      <c r="ABA19" s="15"/>
      <c r="ABB19" s="15"/>
      <c r="ABC19" s="15"/>
      <c r="ABD19" s="15"/>
      <c r="ABE19" s="15"/>
      <c r="ABF19" s="15"/>
      <c r="ABG19" s="15"/>
      <c r="ABH19" s="15"/>
      <c r="ABI19" s="15"/>
      <c r="ABJ19" s="15"/>
      <c r="ABK19" s="15"/>
      <c r="ABL19" s="15"/>
      <c r="ABM19" s="15"/>
      <c r="ABN19" s="15"/>
      <c r="ABO19" s="15"/>
      <c r="ABP19" s="15"/>
      <c r="ABQ19" s="15"/>
      <c r="ABR19" s="15"/>
      <c r="ABS19" s="15"/>
      <c r="ABT19" s="15"/>
      <c r="ABU19" s="15"/>
      <c r="ABV19" s="15"/>
      <c r="ABW19" s="15"/>
      <c r="ABX19" s="15"/>
      <c r="ABY19" s="15"/>
      <c r="ABZ19" s="15"/>
      <c r="ACA19" s="15"/>
      <c r="ACB19" s="15"/>
      <c r="ACC19" s="15"/>
      <c r="ACD19" s="15"/>
      <c r="ACE19" s="15"/>
      <c r="ACF19" s="15"/>
      <c r="ACG19" s="15"/>
      <c r="ACH19" s="15"/>
      <c r="ACI19" s="15"/>
      <c r="ACJ19" s="15"/>
      <c r="ACK19" s="15"/>
      <c r="ACL19" s="15"/>
      <c r="ACM19" s="15"/>
      <c r="ACN19" s="15"/>
      <c r="ACO19" s="15"/>
      <c r="ACP19" s="15"/>
      <c r="ACQ19" s="15"/>
      <c r="ACR19" s="15"/>
      <c r="ACS19" s="15"/>
      <c r="ACT19" s="15"/>
      <c r="ACU19" s="15"/>
      <c r="ACV19" s="15"/>
      <c r="ACW19" s="15"/>
      <c r="ACX19" s="15"/>
      <c r="ACY19" s="15"/>
      <c r="ACZ19" s="15"/>
      <c r="ADA19" s="15"/>
      <c r="ADB19" s="15"/>
      <c r="ADC19" s="15"/>
      <c r="ADD19" s="15"/>
      <c r="ADE19" s="15"/>
      <c r="ADF19" s="15"/>
      <c r="ADG19" s="15"/>
      <c r="ADH19" s="15"/>
      <c r="ADI19" s="15"/>
      <c r="ADJ19" s="15"/>
      <c r="ADK19" s="15"/>
      <c r="ADL19" s="15"/>
      <c r="ADM19" s="15"/>
      <c r="ADN19" s="15"/>
      <c r="ADO19" s="15"/>
      <c r="ADP19" s="15"/>
      <c r="ADQ19" s="15"/>
      <c r="ADR19" s="15"/>
      <c r="ADS19" s="15"/>
      <c r="ADT19" s="15"/>
      <c r="ADU19" s="15"/>
      <c r="ADV19" s="15"/>
      <c r="ADW19" s="15"/>
      <c r="ADX19" s="15"/>
      <c r="ADY19" s="15"/>
      <c r="ADZ19" s="15"/>
      <c r="AEA19" s="15"/>
      <c r="AEB19" s="15"/>
      <c r="AEC19" s="15"/>
      <c r="AED19" s="15"/>
      <c r="AEE19" s="15"/>
      <c r="AEF19" s="15"/>
      <c r="AEG19" s="15"/>
      <c r="AEH19" s="15"/>
      <c r="AEI19" s="15"/>
      <c r="AEJ19" s="15"/>
      <c r="AEK19" s="15"/>
      <c r="AEL19" s="15"/>
      <c r="AEM19" s="15"/>
      <c r="AEN19" s="15"/>
      <c r="AEO19" s="15"/>
      <c r="AEP19" s="15"/>
      <c r="AEQ19" s="15"/>
      <c r="AER19" s="15"/>
      <c r="AES19" s="15"/>
      <c r="AET19" s="15"/>
      <c r="AEU19" s="15"/>
      <c r="AEV19" s="15"/>
      <c r="AEW19" s="15"/>
      <c r="AEX19" s="15"/>
      <c r="AEY19" s="15"/>
      <c r="AEZ19" s="15"/>
      <c r="AFA19" s="15"/>
      <c r="AFB19" s="15"/>
      <c r="AFC19" s="15"/>
      <c r="AFD19" s="15"/>
      <c r="AFE19" s="15"/>
      <c r="AFF19" s="15"/>
      <c r="AFG19" s="15"/>
      <c r="AFH19" s="15"/>
      <c r="AFI19" s="15"/>
      <c r="AFJ19" s="15"/>
      <c r="AFK19" s="15"/>
      <c r="AFL19" s="15"/>
      <c r="AFM19" s="15"/>
      <c r="AFN19" s="15"/>
      <c r="AFO19" s="15"/>
      <c r="AFP19" s="15"/>
      <c r="AFQ19" s="15"/>
      <c r="AFR19" s="15"/>
      <c r="AFS19" s="15"/>
      <c r="AFT19" s="15"/>
      <c r="AFU19" s="15"/>
      <c r="AFV19" s="15"/>
      <c r="AFW19" s="15"/>
      <c r="AFX19" s="15"/>
      <c r="AFY19" s="15"/>
      <c r="AFZ19" s="15"/>
      <c r="AGA19" s="15"/>
      <c r="AGB19" s="15"/>
      <c r="AGC19" s="15"/>
      <c r="AGD19" s="15"/>
      <c r="AGE19" s="15"/>
      <c r="AGF19" s="15"/>
      <c r="AGG19" s="15"/>
      <c r="AGH19" s="15"/>
      <c r="AGI19" s="15"/>
      <c r="AGJ19" s="15"/>
      <c r="AGK19" s="15"/>
      <c r="AGL19" s="15"/>
      <c r="AGM19" s="15"/>
      <c r="AGN19" s="15"/>
      <c r="AGO19" s="15"/>
      <c r="AGP19" s="15"/>
      <c r="AGQ19" s="15"/>
      <c r="AGR19" s="15"/>
      <c r="AGS19" s="15"/>
      <c r="AGT19" s="15"/>
      <c r="AGU19" s="15"/>
      <c r="AGV19" s="15"/>
      <c r="AGW19" s="15"/>
      <c r="AGX19" s="15"/>
      <c r="AGY19" s="15"/>
      <c r="AGZ19" s="15"/>
      <c r="AHA19" s="15"/>
      <c r="AHB19" s="15"/>
      <c r="AHC19" s="15"/>
      <c r="AHD19" s="15"/>
      <c r="AHE19" s="15"/>
      <c r="AHF19" s="15"/>
      <c r="AHG19" s="15"/>
      <c r="AHH19" s="15"/>
      <c r="AHI19" s="15"/>
      <c r="AHJ19" s="15"/>
      <c r="AHK19" s="15"/>
      <c r="AHL19" s="15"/>
      <c r="AHM19" s="15"/>
      <c r="AHN19" s="15"/>
      <c r="AHO19" s="15"/>
      <c r="AHP19" s="15"/>
      <c r="AHQ19" s="15"/>
      <c r="AHR19" s="15"/>
      <c r="AHS19" s="15"/>
      <c r="AHT19" s="15"/>
      <c r="AHU19" s="15"/>
      <c r="AHV19" s="15"/>
      <c r="AHW19" s="15"/>
      <c r="AHX19" s="15"/>
      <c r="AHY19" s="15"/>
      <c r="AHZ19" s="15"/>
      <c r="AIA19" s="15"/>
      <c r="AIB19" s="15"/>
      <c r="AIC19" s="15"/>
      <c r="AID19" s="15"/>
      <c r="AIE19" s="15"/>
      <c r="AIF19" s="15"/>
      <c r="AIG19" s="15"/>
      <c r="AIH19" s="15"/>
      <c r="AII19" s="15"/>
      <c r="AIJ19" s="15"/>
      <c r="AIK19" s="15"/>
      <c r="AIL19" s="15"/>
      <c r="AIM19" s="15"/>
      <c r="AIN19" s="15"/>
      <c r="AIO19" s="15"/>
      <c r="AIP19" s="15"/>
      <c r="AIQ19" s="15"/>
      <c r="AIR19" s="15"/>
      <c r="AIS19" s="15"/>
      <c r="AIT19" s="15"/>
      <c r="AIU19" s="15"/>
      <c r="AIV19" s="15"/>
      <c r="AIW19" s="15"/>
      <c r="AIX19" s="15"/>
      <c r="AIY19" s="15"/>
      <c r="AIZ19" s="15"/>
      <c r="AJA19" s="15"/>
      <c r="AJB19" s="15"/>
      <c r="AJC19" s="15"/>
      <c r="AJD19" s="15"/>
      <c r="AJE19" s="15"/>
      <c r="AJF19" s="15"/>
      <c r="AJG19" s="15"/>
      <c r="AJH19" s="15"/>
      <c r="AJI19" s="15"/>
      <c r="AJJ19" s="15"/>
      <c r="AJK19" s="15"/>
      <c r="AJL19" s="15"/>
      <c r="AJM19" s="15"/>
      <c r="AJN19" s="15"/>
      <c r="AJO19" s="15"/>
      <c r="AJP19" s="15"/>
      <c r="AJQ19" s="15"/>
      <c r="AJR19" s="15"/>
      <c r="AJS19" s="15"/>
      <c r="AJT19" s="15"/>
      <c r="AJU19" s="15"/>
      <c r="AJV19" s="15"/>
      <c r="AJW19" s="15"/>
      <c r="AJX19" s="15"/>
      <c r="AJY19" s="15"/>
      <c r="AJZ19" s="15"/>
      <c r="AKA19" s="15"/>
      <c r="AKB19" s="15"/>
      <c r="AKC19" s="15"/>
      <c r="AKD19" s="15"/>
      <c r="AKE19" s="15"/>
      <c r="AKF19" s="15"/>
      <c r="AKG19" s="15"/>
      <c r="AKH19" s="15"/>
      <c r="AKI19" s="15"/>
      <c r="AKJ19" s="15"/>
      <c r="AKK19" s="15"/>
      <c r="AKL19" s="15"/>
      <c r="AKM19" s="15"/>
      <c r="AKN19" s="15"/>
      <c r="AKO19" s="15"/>
      <c r="AKP19" s="15"/>
      <c r="AKQ19" s="15"/>
      <c r="AKR19" s="15"/>
      <c r="AKS19" s="15"/>
      <c r="AKT19" s="15"/>
      <c r="AKU19" s="15"/>
      <c r="AKV19" s="15"/>
      <c r="AKW19" s="15"/>
      <c r="AKX19" s="15"/>
      <c r="AKY19" s="15"/>
      <c r="AKZ19" s="15"/>
      <c r="ALA19" s="15"/>
      <c r="ALB19" s="15"/>
      <c r="ALC19" s="15"/>
      <c r="ALD19" s="15"/>
      <c r="ALE19" s="15"/>
      <c r="ALF19" s="15"/>
      <c r="ALG19" s="15"/>
      <c r="ALH19" s="15"/>
      <c r="ALI19" s="15"/>
      <c r="ALJ19" s="15"/>
      <c r="ALK19" s="15"/>
      <c r="ALL19" s="15"/>
      <c r="ALM19" s="15"/>
      <c r="ALN19" s="15"/>
      <c r="ALO19" s="15"/>
      <c r="ALP19" s="15"/>
      <c r="ALQ19" s="15"/>
      <c r="ALR19" s="15"/>
      <c r="ALS19" s="15"/>
      <c r="ALT19" s="15"/>
      <c r="ALU19" s="15"/>
      <c r="ALV19" s="15"/>
      <c r="ALW19" s="15"/>
      <c r="ALX19" s="15"/>
      <c r="ALY19" s="15"/>
      <c r="ALZ19" s="15"/>
      <c r="AMA19" s="15"/>
      <c r="AMB19" s="15"/>
      <c r="AMC19" s="15"/>
      <c r="AMD19" s="15"/>
      <c r="AME19" s="15"/>
      <c r="AMF19" s="15"/>
      <c r="AMG19" s="14"/>
      <c r="AMH19" s="14"/>
      <c r="AMI19" s="14"/>
      <c r="AMJ19" s="14"/>
    </row>
    <row r="20" spans="1:1024" s="13" customFormat="1" ht="43.5" hidden="1" x14ac:dyDescent="0.35">
      <c r="A20" s="19">
        <v>43649</v>
      </c>
      <c r="B20" s="17" t="s">
        <v>462</v>
      </c>
      <c r="C20" s="17" t="s">
        <v>461</v>
      </c>
      <c r="D20" s="18">
        <v>43651</v>
      </c>
      <c r="E20" s="17" t="s">
        <v>460</v>
      </c>
      <c r="F20" s="26">
        <v>0.41666666666666702</v>
      </c>
      <c r="G20" s="26">
        <v>0.47222222222222199</v>
      </c>
      <c r="H20" s="26">
        <v>0.48611111111111099</v>
      </c>
      <c r="I20" s="17">
        <v>119</v>
      </c>
      <c r="J20" s="17" t="s">
        <v>459</v>
      </c>
      <c r="K20" s="17" t="s">
        <v>119</v>
      </c>
      <c r="L20" s="16" t="s">
        <v>17</v>
      </c>
      <c r="M20" s="15">
        <v>119</v>
      </c>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15"/>
      <c r="CR20" s="15"/>
      <c r="CS20" s="15"/>
      <c r="CT20" s="15"/>
      <c r="CU20" s="15"/>
      <c r="CV20" s="15"/>
      <c r="CW20" s="15"/>
      <c r="CX20" s="15"/>
      <c r="CY20" s="15"/>
      <c r="CZ20" s="15"/>
      <c r="DA20" s="15"/>
      <c r="DB20" s="15"/>
      <c r="DC20" s="15"/>
      <c r="DD20" s="15"/>
      <c r="DE20" s="15"/>
      <c r="DF20" s="15"/>
      <c r="DG20" s="15"/>
      <c r="DH20" s="15"/>
      <c r="DI20" s="15"/>
      <c r="DJ20" s="15"/>
      <c r="DK20" s="15"/>
      <c r="DL20" s="15"/>
      <c r="DM20" s="15"/>
      <c r="DN20" s="15"/>
      <c r="DO20" s="15"/>
      <c r="DP20" s="15"/>
      <c r="DQ20" s="15"/>
      <c r="DR20" s="15"/>
      <c r="DS20" s="15"/>
      <c r="DT20" s="15"/>
      <c r="DU20" s="15"/>
      <c r="DV20" s="15"/>
      <c r="DW20" s="15"/>
      <c r="DX20" s="15"/>
      <c r="DY20" s="15"/>
      <c r="DZ20" s="15"/>
      <c r="EA20" s="15"/>
      <c r="EB20" s="15"/>
      <c r="EC20" s="15"/>
      <c r="ED20" s="15"/>
      <c r="EE20" s="15"/>
      <c r="EF20" s="15"/>
      <c r="EG20" s="15"/>
      <c r="EH20" s="15"/>
      <c r="EI20" s="15"/>
      <c r="EJ20" s="15"/>
      <c r="EK20" s="15"/>
      <c r="EL20" s="15"/>
      <c r="EM20" s="15"/>
      <c r="EN20" s="15"/>
      <c r="EO20" s="15"/>
      <c r="EP20" s="15"/>
      <c r="EQ20" s="15"/>
      <c r="ER20" s="15"/>
      <c r="ES20" s="15"/>
      <c r="ET20" s="15"/>
      <c r="EU20" s="15"/>
      <c r="EV20" s="15"/>
      <c r="EW20" s="15"/>
      <c r="EX20" s="15"/>
      <c r="EY20" s="15"/>
      <c r="EZ20" s="15"/>
      <c r="FA20" s="15"/>
      <c r="FB20" s="15"/>
      <c r="FC20" s="15"/>
      <c r="FD20" s="15"/>
      <c r="FE20" s="15"/>
      <c r="FF20" s="15"/>
      <c r="FG20" s="15"/>
      <c r="FH20" s="15"/>
      <c r="FI20" s="15"/>
      <c r="FJ20" s="15"/>
      <c r="FK20" s="15"/>
      <c r="FL20" s="15"/>
      <c r="FM20" s="15"/>
      <c r="FN20" s="15"/>
      <c r="FO20" s="15"/>
      <c r="FP20" s="15"/>
      <c r="FQ20" s="15"/>
      <c r="FR20" s="15"/>
      <c r="FS20" s="15"/>
      <c r="FT20" s="15"/>
      <c r="FU20" s="15"/>
      <c r="FV20" s="15"/>
      <c r="FW20" s="15"/>
      <c r="FX20" s="15"/>
      <c r="FY20" s="15"/>
      <c r="FZ20" s="15"/>
      <c r="GA20" s="15"/>
      <c r="GB20" s="15"/>
      <c r="GC20" s="15"/>
      <c r="GD20" s="15"/>
      <c r="GE20" s="15"/>
      <c r="GF20" s="15"/>
      <c r="GG20" s="15"/>
      <c r="GH20" s="15"/>
      <c r="GI20" s="15"/>
      <c r="GJ20" s="15"/>
      <c r="GK20" s="15"/>
      <c r="GL20" s="15"/>
      <c r="GM20" s="15"/>
      <c r="GN20" s="15"/>
      <c r="GO20" s="15"/>
      <c r="GP20" s="15"/>
      <c r="GQ20" s="15"/>
      <c r="GR20" s="15"/>
      <c r="GS20" s="15"/>
      <c r="GT20" s="15"/>
      <c r="GU20" s="15"/>
      <c r="GV20" s="15"/>
      <c r="GW20" s="15"/>
      <c r="GX20" s="15"/>
      <c r="GY20" s="15"/>
      <c r="GZ20" s="15"/>
      <c r="HA20" s="15"/>
      <c r="HB20" s="15"/>
      <c r="HC20" s="15"/>
      <c r="HD20" s="15"/>
      <c r="HE20" s="15"/>
      <c r="HF20" s="15"/>
      <c r="HG20" s="15"/>
      <c r="HH20" s="15"/>
      <c r="HI20" s="15"/>
      <c r="HJ20" s="15"/>
      <c r="HK20" s="15"/>
      <c r="HL20" s="15"/>
      <c r="HM20" s="15"/>
      <c r="HN20" s="15"/>
      <c r="HO20" s="15"/>
      <c r="HP20" s="15"/>
      <c r="HQ20" s="15"/>
      <c r="HR20" s="15"/>
      <c r="HS20" s="15"/>
      <c r="HT20" s="15"/>
      <c r="HU20" s="15"/>
      <c r="HV20" s="15"/>
      <c r="HW20" s="15"/>
      <c r="HX20" s="15"/>
      <c r="HY20" s="15"/>
      <c r="HZ20" s="15"/>
      <c r="IA20" s="15"/>
      <c r="IB20" s="15"/>
      <c r="IC20" s="15"/>
      <c r="ID20" s="15"/>
      <c r="IE20" s="15"/>
      <c r="IF20" s="15"/>
      <c r="IG20" s="15"/>
      <c r="IH20" s="15"/>
      <c r="II20" s="15"/>
      <c r="IJ20" s="15"/>
      <c r="IK20" s="15"/>
      <c r="IL20" s="15"/>
      <c r="IM20" s="15"/>
      <c r="IN20" s="15"/>
      <c r="IO20" s="15"/>
      <c r="IP20" s="15"/>
      <c r="IQ20" s="15"/>
      <c r="IR20" s="15"/>
      <c r="IS20" s="15"/>
      <c r="IT20" s="15"/>
      <c r="IU20" s="15"/>
      <c r="IV20" s="15"/>
      <c r="IW20" s="15"/>
      <c r="IX20" s="15"/>
      <c r="IY20" s="15"/>
      <c r="IZ20" s="15"/>
      <c r="JA20" s="15"/>
      <c r="JB20" s="15"/>
      <c r="JC20" s="15"/>
      <c r="JD20" s="15"/>
      <c r="JE20" s="15"/>
      <c r="JF20" s="15"/>
      <c r="JG20" s="15"/>
      <c r="JH20" s="15"/>
      <c r="JI20" s="15"/>
      <c r="JJ20" s="15"/>
      <c r="JK20" s="15"/>
      <c r="JL20" s="15"/>
      <c r="JM20" s="15"/>
      <c r="JN20" s="15"/>
      <c r="JO20" s="15"/>
      <c r="JP20" s="15"/>
      <c r="JQ20" s="15"/>
      <c r="JR20" s="15"/>
      <c r="JS20" s="15"/>
      <c r="JT20" s="15"/>
      <c r="JU20" s="15"/>
      <c r="JV20" s="15"/>
      <c r="JW20" s="15"/>
      <c r="JX20" s="15"/>
      <c r="JY20" s="15"/>
      <c r="JZ20" s="15"/>
      <c r="KA20" s="15"/>
      <c r="KB20" s="15"/>
      <c r="KC20" s="15"/>
      <c r="KD20" s="15"/>
      <c r="KE20" s="15"/>
      <c r="KF20" s="15"/>
      <c r="KG20" s="15"/>
      <c r="KH20" s="15"/>
      <c r="KI20" s="15"/>
      <c r="KJ20" s="15"/>
      <c r="KK20" s="15"/>
      <c r="KL20" s="15"/>
      <c r="KM20" s="15"/>
      <c r="KN20" s="15"/>
      <c r="KO20" s="15"/>
      <c r="KP20" s="15"/>
      <c r="KQ20" s="15"/>
      <c r="KR20" s="15"/>
      <c r="KS20" s="15"/>
      <c r="KT20" s="15"/>
      <c r="KU20" s="15"/>
      <c r="KV20" s="15"/>
      <c r="KW20" s="15"/>
      <c r="KX20" s="15"/>
      <c r="KY20" s="15"/>
      <c r="KZ20" s="15"/>
      <c r="LA20" s="15"/>
      <c r="LB20" s="15"/>
      <c r="LC20" s="15"/>
      <c r="LD20" s="15"/>
      <c r="LE20" s="15"/>
      <c r="LF20" s="15"/>
      <c r="LG20" s="15"/>
      <c r="LH20" s="15"/>
      <c r="LI20" s="15"/>
      <c r="LJ20" s="15"/>
      <c r="LK20" s="15"/>
      <c r="LL20" s="15"/>
      <c r="LM20" s="15"/>
      <c r="LN20" s="15"/>
      <c r="LO20" s="15"/>
      <c r="LP20" s="15"/>
      <c r="LQ20" s="15"/>
      <c r="LR20" s="15"/>
      <c r="LS20" s="15"/>
      <c r="LT20" s="15"/>
      <c r="LU20" s="15"/>
      <c r="LV20" s="15"/>
      <c r="LW20" s="15"/>
      <c r="LX20" s="15"/>
      <c r="LY20" s="15"/>
      <c r="LZ20" s="15"/>
      <c r="MA20" s="15"/>
      <c r="MB20" s="15"/>
      <c r="MC20" s="15"/>
      <c r="MD20" s="15"/>
      <c r="ME20" s="15"/>
      <c r="MF20" s="15"/>
      <c r="MG20" s="15"/>
      <c r="MH20" s="15"/>
      <c r="MI20" s="15"/>
      <c r="MJ20" s="15"/>
      <c r="MK20" s="15"/>
      <c r="ML20" s="15"/>
      <c r="MM20" s="15"/>
      <c r="MN20" s="15"/>
      <c r="MO20" s="15"/>
      <c r="MP20" s="15"/>
      <c r="MQ20" s="15"/>
      <c r="MR20" s="15"/>
      <c r="MS20" s="15"/>
      <c r="MT20" s="15"/>
      <c r="MU20" s="15"/>
      <c r="MV20" s="15"/>
      <c r="MW20" s="15"/>
      <c r="MX20" s="15"/>
      <c r="MY20" s="15"/>
      <c r="MZ20" s="15"/>
      <c r="NA20" s="15"/>
      <c r="NB20" s="15"/>
      <c r="NC20" s="15"/>
      <c r="ND20" s="15"/>
      <c r="NE20" s="15"/>
      <c r="NF20" s="15"/>
      <c r="NG20" s="15"/>
      <c r="NH20" s="15"/>
      <c r="NI20" s="15"/>
      <c r="NJ20" s="15"/>
      <c r="NK20" s="15"/>
      <c r="NL20" s="15"/>
      <c r="NM20" s="15"/>
      <c r="NN20" s="15"/>
      <c r="NO20" s="15"/>
      <c r="NP20" s="15"/>
      <c r="NQ20" s="15"/>
      <c r="NR20" s="15"/>
      <c r="NS20" s="15"/>
      <c r="NT20" s="15"/>
      <c r="NU20" s="15"/>
      <c r="NV20" s="15"/>
      <c r="NW20" s="15"/>
      <c r="NX20" s="15"/>
      <c r="NY20" s="15"/>
      <c r="NZ20" s="15"/>
      <c r="OA20" s="15"/>
      <c r="OB20" s="15"/>
      <c r="OC20" s="15"/>
      <c r="OD20" s="15"/>
      <c r="OE20" s="15"/>
      <c r="OF20" s="15"/>
      <c r="OG20" s="15"/>
      <c r="OH20" s="15"/>
      <c r="OI20" s="15"/>
      <c r="OJ20" s="15"/>
      <c r="OK20" s="15"/>
      <c r="OL20" s="15"/>
      <c r="OM20" s="15"/>
      <c r="ON20" s="15"/>
      <c r="OO20" s="15"/>
      <c r="OP20" s="15"/>
      <c r="OQ20" s="15"/>
      <c r="OR20" s="15"/>
      <c r="OS20" s="15"/>
      <c r="OT20" s="15"/>
      <c r="OU20" s="15"/>
      <c r="OV20" s="15"/>
      <c r="OW20" s="15"/>
      <c r="OX20" s="15"/>
      <c r="OY20" s="15"/>
      <c r="OZ20" s="15"/>
      <c r="PA20" s="15"/>
      <c r="PB20" s="15"/>
      <c r="PC20" s="15"/>
      <c r="PD20" s="15"/>
      <c r="PE20" s="15"/>
      <c r="PF20" s="15"/>
      <c r="PG20" s="15"/>
      <c r="PH20" s="15"/>
      <c r="PI20" s="15"/>
      <c r="PJ20" s="15"/>
      <c r="PK20" s="15"/>
      <c r="PL20" s="15"/>
      <c r="PM20" s="15"/>
      <c r="PN20" s="15"/>
      <c r="PO20" s="15"/>
      <c r="PP20" s="15"/>
      <c r="PQ20" s="15"/>
      <c r="PR20" s="15"/>
      <c r="PS20" s="15"/>
      <c r="PT20" s="15"/>
      <c r="PU20" s="15"/>
      <c r="PV20" s="15"/>
      <c r="PW20" s="15"/>
      <c r="PX20" s="15"/>
      <c r="PY20" s="15"/>
      <c r="PZ20" s="15"/>
      <c r="QA20" s="15"/>
      <c r="QB20" s="15"/>
      <c r="QC20" s="15"/>
      <c r="QD20" s="15"/>
      <c r="QE20" s="15"/>
      <c r="QF20" s="15"/>
      <c r="QG20" s="15"/>
      <c r="QH20" s="15"/>
      <c r="QI20" s="15"/>
      <c r="QJ20" s="15"/>
      <c r="QK20" s="15"/>
      <c r="QL20" s="15"/>
      <c r="QM20" s="15"/>
      <c r="QN20" s="15"/>
      <c r="QO20" s="15"/>
      <c r="QP20" s="15"/>
      <c r="QQ20" s="15"/>
      <c r="QR20" s="15"/>
      <c r="QS20" s="15"/>
      <c r="QT20" s="15"/>
      <c r="QU20" s="15"/>
      <c r="QV20" s="15"/>
      <c r="QW20" s="15"/>
      <c r="QX20" s="15"/>
      <c r="QY20" s="15"/>
      <c r="QZ20" s="15"/>
      <c r="RA20" s="15"/>
      <c r="RB20" s="15"/>
      <c r="RC20" s="15"/>
      <c r="RD20" s="15"/>
      <c r="RE20" s="15"/>
      <c r="RF20" s="15"/>
      <c r="RG20" s="15"/>
      <c r="RH20" s="15"/>
      <c r="RI20" s="15"/>
      <c r="RJ20" s="15"/>
      <c r="RK20" s="15"/>
      <c r="RL20" s="15"/>
      <c r="RM20" s="15"/>
      <c r="RN20" s="15"/>
      <c r="RO20" s="15"/>
      <c r="RP20" s="15"/>
      <c r="RQ20" s="15"/>
      <c r="RR20" s="15"/>
      <c r="RS20" s="15"/>
      <c r="RT20" s="15"/>
      <c r="RU20" s="15"/>
      <c r="RV20" s="15"/>
      <c r="RW20" s="15"/>
      <c r="RX20" s="15"/>
      <c r="RY20" s="15"/>
      <c r="RZ20" s="15"/>
      <c r="SA20" s="15"/>
      <c r="SB20" s="15"/>
      <c r="SC20" s="15"/>
      <c r="SD20" s="15"/>
      <c r="SE20" s="15"/>
      <c r="SF20" s="15"/>
      <c r="SG20" s="15"/>
      <c r="SH20" s="15"/>
      <c r="SI20" s="15"/>
      <c r="SJ20" s="15"/>
      <c r="SK20" s="15"/>
      <c r="SL20" s="15"/>
      <c r="SM20" s="15"/>
      <c r="SN20" s="15"/>
      <c r="SO20" s="15"/>
      <c r="SP20" s="15"/>
      <c r="SQ20" s="15"/>
      <c r="SR20" s="15"/>
      <c r="SS20" s="15"/>
      <c r="ST20" s="15"/>
      <c r="SU20" s="15"/>
      <c r="SV20" s="15"/>
      <c r="SW20" s="15"/>
      <c r="SX20" s="15"/>
      <c r="SY20" s="15"/>
      <c r="SZ20" s="15"/>
      <c r="TA20" s="15"/>
      <c r="TB20" s="15"/>
      <c r="TC20" s="15"/>
      <c r="TD20" s="15"/>
      <c r="TE20" s="15"/>
      <c r="TF20" s="15"/>
      <c r="TG20" s="15"/>
      <c r="TH20" s="15"/>
      <c r="TI20" s="15"/>
      <c r="TJ20" s="15"/>
      <c r="TK20" s="15"/>
      <c r="TL20" s="15"/>
      <c r="TM20" s="15"/>
      <c r="TN20" s="15"/>
      <c r="TO20" s="15"/>
      <c r="TP20" s="15"/>
      <c r="TQ20" s="15"/>
      <c r="TR20" s="15"/>
      <c r="TS20" s="15"/>
      <c r="TT20" s="15"/>
      <c r="TU20" s="15"/>
      <c r="TV20" s="15"/>
      <c r="TW20" s="15"/>
      <c r="TX20" s="15"/>
      <c r="TY20" s="15"/>
      <c r="TZ20" s="15"/>
      <c r="UA20" s="15"/>
      <c r="UB20" s="15"/>
      <c r="UC20" s="15"/>
      <c r="UD20" s="15"/>
      <c r="UE20" s="15"/>
      <c r="UF20" s="15"/>
      <c r="UG20" s="15"/>
      <c r="UH20" s="15"/>
      <c r="UI20" s="15"/>
      <c r="UJ20" s="15"/>
      <c r="UK20" s="15"/>
      <c r="UL20" s="15"/>
      <c r="UM20" s="15"/>
      <c r="UN20" s="15"/>
      <c r="UO20" s="15"/>
      <c r="UP20" s="15"/>
      <c r="UQ20" s="15"/>
      <c r="UR20" s="15"/>
      <c r="US20" s="15"/>
      <c r="UT20" s="15"/>
      <c r="UU20" s="15"/>
      <c r="UV20" s="15"/>
      <c r="UW20" s="15"/>
      <c r="UX20" s="15"/>
      <c r="UY20" s="15"/>
      <c r="UZ20" s="15"/>
      <c r="VA20" s="15"/>
      <c r="VB20" s="15"/>
      <c r="VC20" s="15"/>
      <c r="VD20" s="15"/>
      <c r="VE20" s="15"/>
      <c r="VF20" s="15"/>
      <c r="VG20" s="15"/>
      <c r="VH20" s="15"/>
      <c r="VI20" s="15"/>
      <c r="VJ20" s="15"/>
      <c r="VK20" s="15"/>
      <c r="VL20" s="15"/>
      <c r="VM20" s="15"/>
      <c r="VN20" s="15"/>
      <c r="VO20" s="15"/>
      <c r="VP20" s="15"/>
      <c r="VQ20" s="15"/>
      <c r="VR20" s="15"/>
      <c r="VS20" s="15"/>
      <c r="VT20" s="15"/>
      <c r="VU20" s="15"/>
      <c r="VV20" s="15"/>
      <c r="VW20" s="15"/>
      <c r="VX20" s="15"/>
      <c r="VY20" s="15"/>
      <c r="VZ20" s="15"/>
      <c r="WA20" s="15"/>
      <c r="WB20" s="15"/>
      <c r="WC20" s="15"/>
      <c r="WD20" s="15"/>
      <c r="WE20" s="15"/>
      <c r="WF20" s="15"/>
      <c r="WG20" s="15"/>
      <c r="WH20" s="15"/>
      <c r="WI20" s="15"/>
      <c r="WJ20" s="15"/>
      <c r="WK20" s="15"/>
      <c r="WL20" s="15"/>
      <c r="WM20" s="15"/>
      <c r="WN20" s="15"/>
      <c r="WO20" s="15"/>
      <c r="WP20" s="15"/>
      <c r="WQ20" s="15"/>
      <c r="WR20" s="15"/>
      <c r="WS20" s="15"/>
      <c r="WT20" s="15"/>
      <c r="WU20" s="15"/>
      <c r="WV20" s="15"/>
      <c r="WW20" s="15"/>
      <c r="WX20" s="15"/>
      <c r="WY20" s="15"/>
      <c r="WZ20" s="15"/>
      <c r="XA20" s="15"/>
      <c r="XB20" s="15"/>
      <c r="XC20" s="15"/>
      <c r="XD20" s="15"/>
      <c r="XE20" s="15"/>
      <c r="XF20" s="15"/>
      <c r="XG20" s="15"/>
      <c r="XH20" s="15"/>
      <c r="XI20" s="15"/>
      <c r="XJ20" s="15"/>
      <c r="XK20" s="15"/>
      <c r="XL20" s="15"/>
      <c r="XM20" s="15"/>
      <c r="XN20" s="15"/>
      <c r="XO20" s="15"/>
      <c r="XP20" s="15"/>
      <c r="XQ20" s="15"/>
      <c r="XR20" s="15"/>
      <c r="XS20" s="15"/>
      <c r="XT20" s="15"/>
      <c r="XU20" s="15"/>
      <c r="XV20" s="15"/>
      <c r="XW20" s="15"/>
      <c r="XX20" s="15"/>
      <c r="XY20" s="15"/>
      <c r="XZ20" s="15"/>
      <c r="YA20" s="15"/>
      <c r="YB20" s="15"/>
      <c r="YC20" s="15"/>
      <c r="YD20" s="15"/>
      <c r="YE20" s="15"/>
      <c r="YF20" s="15"/>
      <c r="YG20" s="15"/>
      <c r="YH20" s="15"/>
      <c r="YI20" s="15"/>
      <c r="YJ20" s="15"/>
      <c r="YK20" s="15"/>
      <c r="YL20" s="15"/>
      <c r="YM20" s="15"/>
      <c r="YN20" s="15"/>
      <c r="YO20" s="15"/>
      <c r="YP20" s="15"/>
      <c r="YQ20" s="15"/>
      <c r="YR20" s="15"/>
      <c r="YS20" s="15"/>
      <c r="YT20" s="15"/>
      <c r="YU20" s="15"/>
      <c r="YV20" s="15"/>
      <c r="YW20" s="15"/>
      <c r="YX20" s="15"/>
      <c r="YY20" s="15"/>
      <c r="YZ20" s="15"/>
      <c r="ZA20" s="15"/>
      <c r="ZB20" s="15"/>
      <c r="ZC20" s="15"/>
      <c r="ZD20" s="15"/>
      <c r="ZE20" s="15"/>
      <c r="ZF20" s="15"/>
      <c r="ZG20" s="15"/>
      <c r="ZH20" s="15"/>
      <c r="ZI20" s="15"/>
      <c r="ZJ20" s="15"/>
      <c r="ZK20" s="15"/>
      <c r="ZL20" s="15"/>
      <c r="ZM20" s="15"/>
      <c r="ZN20" s="15"/>
      <c r="ZO20" s="15"/>
      <c r="ZP20" s="15"/>
      <c r="ZQ20" s="15"/>
      <c r="ZR20" s="15"/>
      <c r="ZS20" s="15"/>
      <c r="ZT20" s="15"/>
      <c r="ZU20" s="15"/>
      <c r="ZV20" s="15"/>
      <c r="ZW20" s="15"/>
      <c r="ZX20" s="15"/>
      <c r="ZY20" s="15"/>
      <c r="ZZ20" s="15"/>
      <c r="AAA20" s="15"/>
      <c r="AAB20" s="15"/>
      <c r="AAC20" s="15"/>
      <c r="AAD20" s="15"/>
      <c r="AAE20" s="15"/>
      <c r="AAF20" s="15"/>
      <c r="AAG20" s="15"/>
      <c r="AAH20" s="15"/>
      <c r="AAI20" s="15"/>
      <c r="AAJ20" s="15"/>
      <c r="AAK20" s="15"/>
      <c r="AAL20" s="15"/>
      <c r="AAM20" s="15"/>
      <c r="AAN20" s="15"/>
      <c r="AAO20" s="15"/>
      <c r="AAP20" s="15"/>
      <c r="AAQ20" s="15"/>
      <c r="AAR20" s="15"/>
      <c r="AAS20" s="15"/>
      <c r="AAT20" s="15"/>
      <c r="AAU20" s="15"/>
      <c r="AAV20" s="15"/>
      <c r="AAW20" s="15"/>
      <c r="AAX20" s="15"/>
      <c r="AAY20" s="15"/>
      <c r="AAZ20" s="15"/>
      <c r="ABA20" s="15"/>
      <c r="ABB20" s="15"/>
      <c r="ABC20" s="15"/>
      <c r="ABD20" s="15"/>
      <c r="ABE20" s="15"/>
      <c r="ABF20" s="15"/>
      <c r="ABG20" s="15"/>
      <c r="ABH20" s="15"/>
      <c r="ABI20" s="15"/>
      <c r="ABJ20" s="15"/>
      <c r="ABK20" s="15"/>
      <c r="ABL20" s="15"/>
      <c r="ABM20" s="15"/>
      <c r="ABN20" s="15"/>
      <c r="ABO20" s="15"/>
      <c r="ABP20" s="15"/>
      <c r="ABQ20" s="15"/>
      <c r="ABR20" s="15"/>
      <c r="ABS20" s="15"/>
      <c r="ABT20" s="15"/>
      <c r="ABU20" s="15"/>
      <c r="ABV20" s="15"/>
      <c r="ABW20" s="15"/>
      <c r="ABX20" s="15"/>
      <c r="ABY20" s="15"/>
      <c r="ABZ20" s="15"/>
      <c r="ACA20" s="15"/>
      <c r="ACB20" s="15"/>
      <c r="ACC20" s="15"/>
      <c r="ACD20" s="15"/>
      <c r="ACE20" s="15"/>
      <c r="ACF20" s="15"/>
      <c r="ACG20" s="15"/>
      <c r="ACH20" s="15"/>
      <c r="ACI20" s="15"/>
      <c r="ACJ20" s="15"/>
      <c r="ACK20" s="15"/>
      <c r="ACL20" s="15"/>
      <c r="ACM20" s="15"/>
      <c r="ACN20" s="15"/>
      <c r="ACO20" s="15"/>
      <c r="ACP20" s="15"/>
      <c r="ACQ20" s="15"/>
      <c r="ACR20" s="15"/>
      <c r="ACS20" s="15"/>
      <c r="ACT20" s="15"/>
      <c r="ACU20" s="15"/>
      <c r="ACV20" s="15"/>
      <c r="ACW20" s="15"/>
      <c r="ACX20" s="15"/>
      <c r="ACY20" s="15"/>
      <c r="ACZ20" s="15"/>
      <c r="ADA20" s="15"/>
      <c r="ADB20" s="15"/>
      <c r="ADC20" s="15"/>
      <c r="ADD20" s="15"/>
      <c r="ADE20" s="15"/>
      <c r="ADF20" s="15"/>
      <c r="ADG20" s="15"/>
      <c r="ADH20" s="15"/>
      <c r="ADI20" s="15"/>
      <c r="ADJ20" s="15"/>
      <c r="ADK20" s="15"/>
      <c r="ADL20" s="15"/>
      <c r="ADM20" s="15"/>
      <c r="ADN20" s="15"/>
      <c r="ADO20" s="15"/>
      <c r="ADP20" s="15"/>
      <c r="ADQ20" s="15"/>
      <c r="ADR20" s="15"/>
      <c r="ADS20" s="15"/>
      <c r="ADT20" s="15"/>
      <c r="ADU20" s="15"/>
      <c r="ADV20" s="15"/>
      <c r="ADW20" s="15"/>
      <c r="ADX20" s="15"/>
      <c r="ADY20" s="15"/>
      <c r="ADZ20" s="15"/>
      <c r="AEA20" s="15"/>
      <c r="AEB20" s="15"/>
      <c r="AEC20" s="15"/>
      <c r="AED20" s="15"/>
      <c r="AEE20" s="15"/>
      <c r="AEF20" s="15"/>
      <c r="AEG20" s="15"/>
      <c r="AEH20" s="15"/>
      <c r="AEI20" s="15"/>
      <c r="AEJ20" s="15"/>
      <c r="AEK20" s="15"/>
      <c r="AEL20" s="15"/>
      <c r="AEM20" s="15"/>
      <c r="AEN20" s="15"/>
      <c r="AEO20" s="15"/>
      <c r="AEP20" s="15"/>
      <c r="AEQ20" s="15"/>
      <c r="AER20" s="15"/>
      <c r="AES20" s="15"/>
      <c r="AET20" s="15"/>
      <c r="AEU20" s="15"/>
      <c r="AEV20" s="15"/>
      <c r="AEW20" s="15"/>
      <c r="AEX20" s="15"/>
      <c r="AEY20" s="15"/>
      <c r="AEZ20" s="15"/>
      <c r="AFA20" s="15"/>
      <c r="AFB20" s="15"/>
      <c r="AFC20" s="15"/>
      <c r="AFD20" s="15"/>
      <c r="AFE20" s="15"/>
      <c r="AFF20" s="15"/>
      <c r="AFG20" s="15"/>
      <c r="AFH20" s="15"/>
      <c r="AFI20" s="15"/>
      <c r="AFJ20" s="15"/>
      <c r="AFK20" s="15"/>
      <c r="AFL20" s="15"/>
      <c r="AFM20" s="15"/>
      <c r="AFN20" s="15"/>
      <c r="AFO20" s="15"/>
      <c r="AFP20" s="15"/>
      <c r="AFQ20" s="15"/>
      <c r="AFR20" s="15"/>
      <c r="AFS20" s="15"/>
      <c r="AFT20" s="15"/>
      <c r="AFU20" s="15"/>
      <c r="AFV20" s="15"/>
      <c r="AFW20" s="15"/>
      <c r="AFX20" s="15"/>
      <c r="AFY20" s="15"/>
      <c r="AFZ20" s="15"/>
      <c r="AGA20" s="15"/>
      <c r="AGB20" s="15"/>
      <c r="AGC20" s="15"/>
      <c r="AGD20" s="15"/>
      <c r="AGE20" s="15"/>
      <c r="AGF20" s="15"/>
      <c r="AGG20" s="15"/>
      <c r="AGH20" s="15"/>
      <c r="AGI20" s="15"/>
      <c r="AGJ20" s="15"/>
      <c r="AGK20" s="15"/>
      <c r="AGL20" s="15"/>
      <c r="AGM20" s="15"/>
      <c r="AGN20" s="15"/>
      <c r="AGO20" s="15"/>
      <c r="AGP20" s="15"/>
      <c r="AGQ20" s="15"/>
      <c r="AGR20" s="15"/>
      <c r="AGS20" s="15"/>
      <c r="AGT20" s="15"/>
      <c r="AGU20" s="15"/>
      <c r="AGV20" s="15"/>
      <c r="AGW20" s="15"/>
      <c r="AGX20" s="15"/>
      <c r="AGY20" s="15"/>
      <c r="AGZ20" s="15"/>
      <c r="AHA20" s="15"/>
      <c r="AHB20" s="15"/>
      <c r="AHC20" s="15"/>
      <c r="AHD20" s="15"/>
      <c r="AHE20" s="15"/>
      <c r="AHF20" s="15"/>
      <c r="AHG20" s="15"/>
      <c r="AHH20" s="15"/>
      <c r="AHI20" s="15"/>
      <c r="AHJ20" s="15"/>
      <c r="AHK20" s="15"/>
      <c r="AHL20" s="15"/>
      <c r="AHM20" s="15"/>
      <c r="AHN20" s="15"/>
      <c r="AHO20" s="15"/>
      <c r="AHP20" s="15"/>
      <c r="AHQ20" s="15"/>
      <c r="AHR20" s="15"/>
      <c r="AHS20" s="15"/>
      <c r="AHT20" s="15"/>
      <c r="AHU20" s="15"/>
      <c r="AHV20" s="15"/>
      <c r="AHW20" s="15"/>
      <c r="AHX20" s="15"/>
      <c r="AHY20" s="15"/>
      <c r="AHZ20" s="15"/>
      <c r="AIA20" s="15"/>
      <c r="AIB20" s="15"/>
      <c r="AIC20" s="15"/>
      <c r="AID20" s="15"/>
      <c r="AIE20" s="15"/>
      <c r="AIF20" s="15"/>
      <c r="AIG20" s="15"/>
      <c r="AIH20" s="15"/>
      <c r="AII20" s="15"/>
      <c r="AIJ20" s="15"/>
      <c r="AIK20" s="15"/>
      <c r="AIL20" s="15"/>
      <c r="AIM20" s="15"/>
      <c r="AIN20" s="15"/>
      <c r="AIO20" s="15"/>
      <c r="AIP20" s="15"/>
      <c r="AIQ20" s="15"/>
      <c r="AIR20" s="15"/>
      <c r="AIS20" s="15"/>
      <c r="AIT20" s="15"/>
      <c r="AIU20" s="15"/>
      <c r="AIV20" s="15"/>
      <c r="AIW20" s="15"/>
      <c r="AIX20" s="15"/>
      <c r="AIY20" s="15"/>
      <c r="AIZ20" s="15"/>
      <c r="AJA20" s="15"/>
      <c r="AJB20" s="15"/>
      <c r="AJC20" s="15"/>
      <c r="AJD20" s="15"/>
      <c r="AJE20" s="15"/>
      <c r="AJF20" s="15"/>
      <c r="AJG20" s="15"/>
      <c r="AJH20" s="15"/>
      <c r="AJI20" s="15"/>
      <c r="AJJ20" s="15"/>
      <c r="AJK20" s="15"/>
      <c r="AJL20" s="15"/>
      <c r="AJM20" s="15"/>
      <c r="AJN20" s="15"/>
      <c r="AJO20" s="15"/>
      <c r="AJP20" s="15"/>
      <c r="AJQ20" s="15"/>
      <c r="AJR20" s="15"/>
      <c r="AJS20" s="15"/>
      <c r="AJT20" s="15"/>
      <c r="AJU20" s="15"/>
      <c r="AJV20" s="15"/>
      <c r="AJW20" s="15"/>
      <c r="AJX20" s="15"/>
      <c r="AJY20" s="15"/>
      <c r="AJZ20" s="15"/>
      <c r="AKA20" s="15"/>
      <c r="AKB20" s="15"/>
      <c r="AKC20" s="15"/>
      <c r="AKD20" s="15"/>
      <c r="AKE20" s="15"/>
      <c r="AKF20" s="15"/>
      <c r="AKG20" s="15"/>
      <c r="AKH20" s="15"/>
      <c r="AKI20" s="15"/>
      <c r="AKJ20" s="15"/>
      <c r="AKK20" s="15"/>
      <c r="AKL20" s="15"/>
      <c r="AKM20" s="15"/>
      <c r="AKN20" s="15"/>
      <c r="AKO20" s="15"/>
      <c r="AKP20" s="15"/>
      <c r="AKQ20" s="15"/>
      <c r="AKR20" s="15"/>
      <c r="AKS20" s="15"/>
      <c r="AKT20" s="15"/>
      <c r="AKU20" s="15"/>
      <c r="AKV20" s="15"/>
      <c r="AKW20" s="15"/>
      <c r="AKX20" s="15"/>
      <c r="AKY20" s="15"/>
      <c r="AKZ20" s="15"/>
      <c r="ALA20" s="15"/>
      <c r="ALB20" s="15"/>
      <c r="ALC20" s="15"/>
      <c r="ALD20" s="15"/>
      <c r="ALE20" s="15"/>
      <c r="ALF20" s="15"/>
      <c r="ALG20" s="15"/>
      <c r="ALH20" s="15"/>
      <c r="ALI20" s="15"/>
      <c r="ALJ20" s="15"/>
      <c r="ALK20" s="15"/>
      <c r="ALL20" s="15"/>
      <c r="ALM20" s="15"/>
      <c r="ALN20" s="15"/>
      <c r="ALO20" s="15"/>
      <c r="ALP20" s="15"/>
      <c r="ALQ20" s="15"/>
      <c r="ALR20" s="15"/>
      <c r="ALS20" s="15"/>
      <c r="ALT20" s="15"/>
      <c r="ALU20" s="15"/>
      <c r="ALV20" s="15"/>
      <c r="ALW20" s="15"/>
      <c r="ALX20" s="15"/>
      <c r="ALY20" s="15"/>
      <c r="ALZ20" s="15"/>
      <c r="AMA20" s="15"/>
      <c r="AMB20" s="15"/>
      <c r="AMC20" s="15"/>
      <c r="AMD20" s="15"/>
      <c r="AME20" s="15"/>
      <c r="AMF20" s="15"/>
      <c r="AMG20" s="14"/>
      <c r="AMH20" s="14"/>
      <c r="AMI20" s="14"/>
      <c r="AMJ20" s="14"/>
    </row>
    <row r="21" spans="1:1024" s="13" customFormat="1" ht="43.5" hidden="1" x14ac:dyDescent="0.35">
      <c r="A21" s="19">
        <v>43650</v>
      </c>
      <c r="B21" s="17" t="s">
        <v>68</v>
      </c>
      <c r="C21" s="17" t="s">
        <v>458</v>
      </c>
      <c r="D21" s="18">
        <v>43651</v>
      </c>
      <c r="E21" s="17" t="s">
        <v>48</v>
      </c>
      <c r="F21" s="26">
        <v>0.41666666666666702</v>
      </c>
      <c r="G21" s="26">
        <v>0.51041666666666696</v>
      </c>
      <c r="H21" s="26">
        <v>0.52083333333333304</v>
      </c>
      <c r="I21" s="17">
        <v>0</v>
      </c>
      <c r="J21" s="42" t="s">
        <v>16</v>
      </c>
      <c r="K21" s="17" t="s">
        <v>119</v>
      </c>
      <c r="L21" s="16" t="s">
        <v>17</v>
      </c>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15"/>
      <c r="CR21" s="15"/>
      <c r="CS21" s="15"/>
      <c r="CT21" s="15"/>
      <c r="CU21" s="15"/>
      <c r="CV21" s="15"/>
      <c r="CW21" s="15"/>
      <c r="CX21" s="15"/>
      <c r="CY21" s="15"/>
      <c r="CZ21" s="15"/>
      <c r="DA21" s="15"/>
      <c r="DB21" s="15"/>
      <c r="DC21" s="15"/>
      <c r="DD21" s="15"/>
      <c r="DE21" s="15"/>
      <c r="DF21" s="15"/>
      <c r="DG21" s="15"/>
      <c r="DH21" s="15"/>
      <c r="DI21" s="15"/>
      <c r="DJ21" s="15"/>
      <c r="DK21" s="15"/>
      <c r="DL21" s="15"/>
      <c r="DM21" s="15"/>
      <c r="DN21" s="15"/>
      <c r="DO21" s="15"/>
      <c r="DP21" s="15"/>
      <c r="DQ21" s="15"/>
      <c r="DR21" s="15"/>
      <c r="DS21" s="15"/>
      <c r="DT21" s="15"/>
      <c r="DU21" s="15"/>
      <c r="DV21" s="15"/>
      <c r="DW21" s="15"/>
      <c r="DX21" s="15"/>
      <c r="DY21" s="15"/>
      <c r="DZ21" s="15"/>
      <c r="EA21" s="15"/>
      <c r="EB21" s="15"/>
      <c r="EC21" s="15"/>
      <c r="ED21" s="15"/>
      <c r="EE21" s="15"/>
      <c r="EF21" s="15"/>
      <c r="EG21" s="15"/>
      <c r="EH21" s="15"/>
      <c r="EI21" s="15"/>
      <c r="EJ21" s="15"/>
      <c r="EK21" s="15"/>
      <c r="EL21" s="15"/>
      <c r="EM21" s="15"/>
      <c r="EN21" s="15"/>
      <c r="EO21" s="15"/>
      <c r="EP21" s="15"/>
      <c r="EQ21" s="15"/>
      <c r="ER21" s="15"/>
      <c r="ES21" s="15"/>
      <c r="ET21" s="15"/>
      <c r="EU21" s="15"/>
      <c r="EV21" s="15"/>
      <c r="EW21" s="15"/>
      <c r="EX21" s="15"/>
      <c r="EY21" s="15"/>
      <c r="EZ21" s="15"/>
      <c r="FA21" s="15"/>
      <c r="FB21" s="15"/>
      <c r="FC21" s="15"/>
      <c r="FD21" s="15"/>
      <c r="FE21" s="15"/>
      <c r="FF21" s="15"/>
      <c r="FG21" s="15"/>
      <c r="FH21" s="15"/>
      <c r="FI21" s="15"/>
      <c r="FJ21" s="15"/>
      <c r="FK21" s="15"/>
      <c r="FL21" s="15"/>
      <c r="FM21" s="15"/>
      <c r="FN21" s="15"/>
      <c r="FO21" s="15"/>
      <c r="FP21" s="15"/>
      <c r="FQ21" s="15"/>
      <c r="FR21" s="15"/>
      <c r="FS21" s="15"/>
      <c r="FT21" s="15"/>
      <c r="FU21" s="15"/>
      <c r="FV21" s="15"/>
      <c r="FW21" s="15"/>
      <c r="FX21" s="15"/>
      <c r="FY21" s="15"/>
      <c r="FZ21" s="15"/>
      <c r="GA21" s="15"/>
      <c r="GB21" s="15"/>
      <c r="GC21" s="15"/>
      <c r="GD21" s="15"/>
      <c r="GE21" s="15"/>
      <c r="GF21" s="15"/>
      <c r="GG21" s="15"/>
      <c r="GH21" s="15"/>
      <c r="GI21" s="15"/>
      <c r="GJ21" s="15"/>
      <c r="GK21" s="15"/>
      <c r="GL21" s="15"/>
      <c r="GM21" s="15"/>
      <c r="GN21" s="15"/>
      <c r="GO21" s="15"/>
      <c r="GP21" s="15"/>
      <c r="GQ21" s="15"/>
      <c r="GR21" s="15"/>
      <c r="GS21" s="15"/>
      <c r="GT21" s="15"/>
      <c r="GU21" s="15"/>
      <c r="GV21" s="15"/>
      <c r="GW21" s="15"/>
      <c r="GX21" s="15"/>
      <c r="GY21" s="15"/>
      <c r="GZ21" s="15"/>
      <c r="HA21" s="15"/>
      <c r="HB21" s="15"/>
      <c r="HC21" s="15"/>
      <c r="HD21" s="15"/>
      <c r="HE21" s="15"/>
      <c r="HF21" s="15"/>
      <c r="HG21" s="15"/>
      <c r="HH21" s="15"/>
      <c r="HI21" s="15"/>
      <c r="HJ21" s="15"/>
      <c r="HK21" s="15"/>
      <c r="HL21" s="15"/>
      <c r="HM21" s="15"/>
      <c r="HN21" s="15"/>
      <c r="HO21" s="15"/>
      <c r="HP21" s="15"/>
      <c r="HQ21" s="15"/>
      <c r="HR21" s="15"/>
      <c r="HS21" s="15"/>
      <c r="HT21" s="15"/>
      <c r="HU21" s="15"/>
      <c r="HV21" s="15"/>
      <c r="HW21" s="15"/>
      <c r="HX21" s="15"/>
      <c r="HY21" s="15"/>
      <c r="HZ21" s="15"/>
      <c r="IA21" s="15"/>
      <c r="IB21" s="15"/>
      <c r="IC21" s="15"/>
      <c r="ID21" s="15"/>
      <c r="IE21" s="15"/>
      <c r="IF21" s="15"/>
      <c r="IG21" s="15"/>
      <c r="IH21" s="15"/>
      <c r="II21" s="15"/>
      <c r="IJ21" s="15"/>
      <c r="IK21" s="15"/>
      <c r="IL21" s="15"/>
      <c r="IM21" s="15"/>
      <c r="IN21" s="15"/>
      <c r="IO21" s="15"/>
      <c r="IP21" s="15"/>
      <c r="IQ21" s="15"/>
      <c r="IR21" s="15"/>
      <c r="IS21" s="15"/>
      <c r="IT21" s="15"/>
      <c r="IU21" s="15"/>
      <c r="IV21" s="15"/>
      <c r="IW21" s="15"/>
      <c r="IX21" s="15"/>
      <c r="IY21" s="15"/>
      <c r="IZ21" s="15"/>
      <c r="JA21" s="15"/>
      <c r="JB21" s="15"/>
      <c r="JC21" s="15"/>
      <c r="JD21" s="15"/>
      <c r="JE21" s="15"/>
      <c r="JF21" s="15"/>
      <c r="JG21" s="15"/>
      <c r="JH21" s="15"/>
      <c r="JI21" s="15"/>
      <c r="JJ21" s="15"/>
      <c r="JK21" s="15"/>
      <c r="JL21" s="15"/>
      <c r="JM21" s="15"/>
      <c r="JN21" s="15"/>
      <c r="JO21" s="15"/>
      <c r="JP21" s="15"/>
      <c r="JQ21" s="15"/>
      <c r="JR21" s="15"/>
      <c r="JS21" s="15"/>
      <c r="JT21" s="15"/>
      <c r="JU21" s="15"/>
      <c r="JV21" s="15"/>
      <c r="JW21" s="15"/>
      <c r="JX21" s="15"/>
      <c r="JY21" s="15"/>
      <c r="JZ21" s="15"/>
      <c r="KA21" s="15"/>
      <c r="KB21" s="15"/>
      <c r="KC21" s="15"/>
      <c r="KD21" s="15"/>
      <c r="KE21" s="15"/>
      <c r="KF21" s="15"/>
      <c r="KG21" s="15"/>
      <c r="KH21" s="15"/>
      <c r="KI21" s="15"/>
      <c r="KJ21" s="15"/>
      <c r="KK21" s="15"/>
      <c r="KL21" s="15"/>
      <c r="KM21" s="15"/>
      <c r="KN21" s="15"/>
      <c r="KO21" s="15"/>
      <c r="KP21" s="15"/>
      <c r="KQ21" s="15"/>
      <c r="KR21" s="15"/>
      <c r="KS21" s="15"/>
      <c r="KT21" s="15"/>
      <c r="KU21" s="15"/>
      <c r="KV21" s="15"/>
      <c r="KW21" s="15"/>
      <c r="KX21" s="15"/>
      <c r="KY21" s="15"/>
      <c r="KZ21" s="15"/>
      <c r="LA21" s="15"/>
      <c r="LB21" s="15"/>
      <c r="LC21" s="15"/>
      <c r="LD21" s="15"/>
      <c r="LE21" s="15"/>
      <c r="LF21" s="15"/>
      <c r="LG21" s="15"/>
      <c r="LH21" s="15"/>
      <c r="LI21" s="15"/>
      <c r="LJ21" s="15"/>
      <c r="LK21" s="15"/>
      <c r="LL21" s="15"/>
      <c r="LM21" s="15"/>
      <c r="LN21" s="15"/>
      <c r="LO21" s="15"/>
      <c r="LP21" s="15"/>
      <c r="LQ21" s="15"/>
      <c r="LR21" s="15"/>
      <c r="LS21" s="15"/>
      <c r="LT21" s="15"/>
      <c r="LU21" s="15"/>
      <c r="LV21" s="15"/>
      <c r="LW21" s="15"/>
      <c r="LX21" s="15"/>
      <c r="LY21" s="15"/>
      <c r="LZ21" s="15"/>
      <c r="MA21" s="15"/>
      <c r="MB21" s="15"/>
      <c r="MC21" s="15"/>
      <c r="MD21" s="15"/>
      <c r="ME21" s="15"/>
      <c r="MF21" s="15"/>
      <c r="MG21" s="15"/>
      <c r="MH21" s="15"/>
      <c r="MI21" s="15"/>
      <c r="MJ21" s="15"/>
      <c r="MK21" s="15"/>
      <c r="ML21" s="15"/>
      <c r="MM21" s="15"/>
      <c r="MN21" s="15"/>
      <c r="MO21" s="15"/>
      <c r="MP21" s="15"/>
      <c r="MQ21" s="15"/>
      <c r="MR21" s="15"/>
      <c r="MS21" s="15"/>
      <c r="MT21" s="15"/>
      <c r="MU21" s="15"/>
      <c r="MV21" s="15"/>
      <c r="MW21" s="15"/>
      <c r="MX21" s="15"/>
      <c r="MY21" s="15"/>
      <c r="MZ21" s="15"/>
      <c r="NA21" s="15"/>
      <c r="NB21" s="15"/>
      <c r="NC21" s="15"/>
      <c r="ND21" s="15"/>
      <c r="NE21" s="15"/>
      <c r="NF21" s="15"/>
      <c r="NG21" s="15"/>
      <c r="NH21" s="15"/>
      <c r="NI21" s="15"/>
      <c r="NJ21" s="15"/>
      <c r="NK21" s="15"/>
      <c r="NL21" s="15"/>
      <c r="NM21" s="15"/>
      <c r="NN21" s="15"/>
      <c r="NO21" s="15"/>
      <c r="NP21" s="15"/>
      <c r="NQ21" s="15"/>
      <c r="NR21" s="15"/>
      <c r="NS21" s="15"/>
      <c r="NT21" s="15"/>
      <c r="NU21" s="15"/>
      <c r="NV21" s="15"/>
      <c r="NW21" s="15"/>
      <c r="NX21" s="15"/>
      <c r="NY21" s="15"/>
      <c r="NZ21" s="15"/>
      <c r="OA21" s="15"/>
      <c r="OB21" s="15"/>
      <c r="OC21" s="15"/>
      <c r="OD21" s="15"/>
      <c r="OE21" s="15"/>
      <c r="OF21" s="15"/>
      <c r="OG21" s="15"/>
      <c r="OH21" s="15"/>
      <c r="OI21" s="15"/>
      <c r="OJ21" s="15"/>
      <c r="OK21" s="15"/>
      <c r="OL21" s="15"/>
      <c r="OM21" s="15"/>
      <c r="ON21" s="15"/>
      <c r="OO21" s="15"/>
      <c r="OP21" s="15"/>
      <c r="OQ21" s="15"/>
      <c r="OR21" s="15"/>
      <c r="OS21" s="15"/>
      <c r="OT21" s="15"/>
      <c r="OU21" s="15"/>
      <c r="OV21" s="15"/>
      <c r="OW21" s="15"/>
      <c r="OX21" s="15"/>
      <c r="OY21" s="15"/>
      <c r="OZ21" s="15"/>
      <c r="PA21" s="15"/>
      <c r="PB21" s="15"/>
      <c r="PC21" s="15"/>
      <c r="PD21" s="15"/>
      <c r="PE21" s="15"/>
      <c r="PF21" s="15"/>
      <c r="PG21" s="15"/>
      <c r="PH21" s="15"/>
      <c r="PI21" s="15"/>
      <c r="PJ21" s="15"/>
      <c r="PK21" s="15"/>
      <c r="PL21" s="15"/>
      <c r="PM21" s="15"/>
      <c r="PN21" s="15"/>
      <c r="PO21" s="15"/>
      <c r="PP21" s="15"/>
      <c r="PQ21" s="15"/>
      <c r="PR21" s="15"/>
      <c r="PS21" s="15"/>
      <c r="PT21" s="15"/>
      <c r="PU21" s="15"/>
      <c r="PV21" s="15"/>
      <c r="PW21" s="15"/>
      <c r="PX21" s="15"/>
      <c r="PY21" s="15"/>
      <c r="PZ21" s="15"/>
      <c r="QA21" s="15"/>
      <c r="QB21" s="15"/>
      <c r="QC21" s="15"/>
      <c r="QD21" s="15"/>
      <c r="QE21" s="15"/>
      <c r="QF21" s="15"/>
      <c r="QG21" s="15"/>
      <c r="QH21" s="15"/>
      <c r="QI21" s="15"/>
      <c r="QJ21" s="15"/>
      <c r="QK21" s="15"/>
      <c r="QL21" s="15"/>
      <c r="QM21" s="15"/>
      <c r="QN21" s="15"/>
      <c r="QO21" s="15"/>
      <c r="QP21" s="15"/>
      <c r="QQ21" s="15"/>
      <c r="QR21" s="15"/>
      <c r="QS21" s="15"/>
      <c r="QT21" s="15"/>
      <c r="QU21" s="15"/>
      <c r="QV21" s="15"/>
      <c r="QW21" s="15"/>
      <c r="QX21" s="15"/>
      <c r="QY21" s="15"/>
      <c r="QZ21" s="15"/>
      <c r="RA21" s="15"/>
      <c r="RB21" s="15"/>
      <c r="RC21" s="15"/>
      <c r="RD21" s="15"/>
      <c r="RE21" s="15"/>
      <c r="RF21" s="15"/>
      <c r="RG21" s="15"/>
      <c r="RH21" s="15"/>
      <c r="RI21" s="15"/>
      <c r="RJ21" s="15"/>
      <c r="RK21" s="15"/>
      <c r="RL21" s="15"/>
      <c r="RM21" s="15"/>
      <c r="RN21" s="15"/>
      <c r="RO21" s="15"/>
      <c r="RP21" s="15"/>
      <c r="RQ21" s="15"/>
      <c r="RR21" s="15"/>
      <c r="RS21" s="15"/>
      <c r="RT21" s="15"/>
      <c r="RU21" s="15"/>
      <c r="RV21" s="15"/>
      <c r="RW21" s="15"/>
      <c r="RX21" s="15"/>
      <c r="RY21" s="15"/>
      <c r="RZ21" s="15"/>
      <c r="SA21" s="15"/>
      <c r="SB21" s="15"/>
      <c r="SC21" s="15"/>
      <c r="SD21" s="15"/>
      <c r="SE21" s="15"/>
      <c r="SF21" s="15"/>
      <c r="SG21" s="15"/>
      <c r="SH21" s="15"/>
      <c r="SI21" s="15"/>
      <c r="SJ21" s="15"/>
      <c r="SK21" s="15"/>
      <c r="SL21" s="15"/>
      <c r="SM21" s="15"/>
      <c r="SN21" s="15"/>
      <c r="SO21" s="15"/>
      <c r="SP21" s="15"/>
      <c r="SQ21" s="15"/>
      <c r="SR21" s="15"/>
      <c r="SS21" s="15"/>
      <c r="ST21" s="15"/>
      <c r="SU21" s="15"/>
      <c r="SV21" s="15"/>
      <c r="SW21" s="15"/>
      <c r="SX21" s="15"/>
      <c r="SY21" s="15"/>
      <c r="SZ21" s="15"/>
      <c r="TA21" s="15"/>
      <c r="TB21" s="15"/>
      <c r="TC21" s="15"/>
      <c r="TD21" s="15"/>
      <c r="TE21" s="15"/>
      <c r="TF21" s="15"/>
      <c r="TG21" s="15"/>
      <c r="TH21" s="15"/>
      <c r="TI21" s="15"/>
      <c r="TJ21" s="15"/>
      <c r="TK21" s="15"/>
      <c r="TL21" s="15"/>
      <c r="TM21" s="15"/>
      <c r="TN21" s="15"/>
      <c r="TO21" s="15"/>
      <c r="TP21" s="15"/>
      <c r="TQ21" s="15"/>
      <c r="TR21" s="15"/>
      <c r="TS21" s="15"/>
      <c r="TT21" s="15"/>
      <c r="TU21" s="15"/>
      <c r="TV21" s="15"/>
      <c r="TW21" s="15"/>
      <c r="TX21" s="15"/>
      <c r="TY21" s="15"/>
      <c r="TZ21" s="15"/>
      <c r="UA21" s="15"/>
      <c r="UB21" s="15"/>
      <c r="UC21" s="15"/>
      <c r="UD21" s="15"/>
      <c r="UE21" s="15"/>
      <c r="UF21" s="15"/>
      <c r="UG21" s="15"/>
      <c r="UH21" s="15"/>
      <c r="UI21" s="15"/>
      <c r="UJ21" s="15"/>
      <c r="UK21" s="15"/>
      <c r="UL21" s="15"/>
      <c r="UM21" s="15"/>
      <c r="UN21" s="15"/>
      <c r="UO21" s="15"/>
      <c r="UP21" s="15"/>
      <c r="UQ21" s="15"/>
      <c r="UR21" s="15"/>
      <c r="US21" s="15"/>
      <c r="UT21" s="15"/>
      <c r="UU21" s="15"/>
      <c r="UV21" s="15"/>
      <c r="UW21" s="15"/>
      <c r="UX21" s="15"/>
      <c r="UY21" s="15"/>
      <c r="UZ21" s="15"/>
      <c r="VA21" s="15"/>
      <c r="VB21" s="15"/>
      <c r="VC21" s="15"/>
      <c r="VD21" s="15"/>
      <c r="VE21" s="15"/>
      <c r="VF21" s="15"/>
      <c r="VG21" s="15"/>
      <c r="VH21" s="15"/>
      <c r="VI21" s="15"/>
      <c r="VJ21" s="15"/>
      <c r="VK21" s="15"/>
      <c r="VL21" s="15"/>
      <c r="VM21" s="15"/>
      <c r="VN21" s="15"/>
      <c r="VO21" s="15"/>
      <c r="VP21" s="15"/>
      <c r="VQ21" s="15"/>
      <c r="VR21" s="15"/>
      <c r="VS21" s="15"/>
      <c r="VT21" s="15"/>
      <c r="VU21" s="15"/>
      <c r="VV21" s="15"/>
      <c r="VW21" s="15"/>
      <c r="VX21" s="15"/>
      <c r="VY21" s="15"/>
      <c r="VZ21" s="15"/>
      <c r="WA21" s="15"/>
      <c r="WB21" s="15"/>
      <c r="WC21" s="15"/>
      <c r="WD21" s="15"/>
      <c r="WE21" s="15"/>
      <c r="WF21" s="15"/>
      <c r="WG21" s="15"/>
      <c r="WH21" s="15"/>
      <c r="WI21" s="15"/>
      <c r="WJ21" s="15"/>
      <c r="WK21" s="15"/>
      <c r="WL21" s="15"/>
      <c r="WM21" s="15"/>
      <c r="WN21" s="15"/>
      <c r="WO21" s="15"/>
      <c r="WP21" s="15"/>
      <c r="WQ21" s="15"/>
      <c r="WR21" s="15"/>
      <c r="WS21" s="15"/>
      <c r="WT21" s="15"/>
      <c r="WU21" s="15"/>
      <c r="WV21" s="15"/>
      <c r="WW21" s="15"/>
      <c r="WX21" s="15"/>
      <c r="WY21" s="15"/>
      <c r="WZ21" s="15"/>
      <c r="XA21" s="15"/>
      <c r="XB21" s="15"/>
      <c r="XC21" s="15"/>
      <c r="XD21" s="15"/>
      <c r="XE21" s="15"/>
      <c r="XF21" s="15"/>
      <c r="XG21" s="15"/>
      <c r="XH21" s="15"/>
      <c r="XI21" s="15"/>
      <c r="XJ21" s="15"/>
      <c r="XK21" s="15"/>
      <c r="XL21" s="15"/>
      <c r="XM21" s="15"/>
      <c r="XN21" s="15"/>
      <c r="XO21" s="15"/>
      <c r="XP21" s="15"/>
      <c r="XQ21" s="15"/>
      <c r="XR21" s="15"/>
      <c r="XS21" s="15"/>
      <c r="XT21" s="15"/>
      <c r="XU21" s="15"/>
      <c r="XV21" s="15"/>
      <c r="XW21" s="15"/>
      <c r="XX21" s="15"/>
      <c r="XY21" s="15"/>
      <c r="XZ21" s="15"/>
      <c r="YA21" s="15"/>
      <c r="YB21" s="15"/>
      <c r="YC21" s="15"/>
      <c r="YD21" s="15"/>
      <c r="YE21" s="15"/>
      <c r="YF21" s="15"/>
      <c r="YG21" s="15"/>
      <c r="YH21" s="15"/>
      <c r="YI21" s="15"/>
      <c r="YJ21" s="15"/>
      <c r="YK21" s="15"/>
      <c r="YL21" s="15"/>
      <c r="YM21" s="15"/>
      <c r="YN21" s="15"/>
      <c r="YO21" s="15"/>
      <c r="YP21" s="15"/>
      <c r="YQ21" s="15"/>
      <c r="YR21" s="15"/>
      <c r="YS21" s="15"/>
      <c r="YT21" s="15"/>
      <c r="YU21" s="15"/>
      <c r="YV21" s="15"/>
      <c r="YW21" s="15"/>
      <c r="YX21" s="15"/>
      <c r="YY21" s="15"/>
      <c r="YZ21" s="15"/>
      <c r="ZA21" s="15"/>
      <c r="ZB21" s="15"/>
      <c r="ZC21" s="15"/>
      <c r="ZD21" s="15"/>
      <c r="ZE21" s="15"/>
      <c r="ZF21" s="15"/>
      <c r="ZG21" s="15"/>
      <c r="ZH21" s="15"/>
      <c r="ZI21" s="15"/>
      <c r="ZJ21" s="15"/>
      <c r="ZK21" s="15"/>
      <c r="ZL21" s="15"/>
      <c r="ZM21" s="15"/>
      <c r="ZN21" s="15"/>
      <c r="ZO21" s="15"/>
      <c r="ZP21" s="15"/>
      <c r="ZQ21" s="15"/>
      <c r="ZR21" s="15"/>
      <c r="ZS21" s="15"/>
      <c r="ZT21" s="15"/>
      <c r="ZU21" s="15"/>
      <c r="ZV21" s="15"/>
      <c r="ZW21" s="15"/>
      <c r="ZX21" s="15"/>
      <c r="ZY21" s="15"/>
      <c r="ZZ21" s="15"/>
      <c r="AAA21" s="15"/>
      <c r="AAB21" s="15"/>
      <c r="AAC21" s="15"/>
      <c r="AAD21" s="15"/>
      <c r="AAE21" s="15"/>
      <c r="AAF21" s="15"/>
      <c r="AAG21" s="15"/>
      <c r="AAH21" s="15"/>
      <c r="AAI21" s="15"/>
      <c r="AAJ21" s="15"/>
      <c r="AAK21" s="15"/>
      <c r="AAL21" s="15"/>
      <c r="AAM21" s="15"/>
      <c r="AAN21" s="15"/>
      <c r="AAO21" s="15"/>
      <c r="AAP21" s="15"/>
      <c r="AAQ21" s="15"/>
      <c r="AAR21" s="15"/>
      <c r="AAS21" s="15"/>
      <c r="AAT21" s="15"/>
      <c r="AAU21" s="15"/>
      <c r="AAV21" s="15"/>
      <c r="AAW21" s="15"/>
      <c r="AAX21" s="15"/>
      <c r="AAY21" s="15"/>
      <c r="AAZ21" s="15"/>
      <c r="ABA21" s="15"/>
      <c r="ABB21" s="15"/>
      <c r="ABC21" s="15"/>
      <c r="ABD21" s="15"/>
      <c r="ABE21" s="15"/>
      <c r="ABF21" s="15"/>
      <c r="ABG21" s="15"/>
      <c r="ABH21" s="15"/>
      <c r="ABI21" s="15"/>
      <c r="ABJ21" s="15"/>
      <c r="ABK21" s="15"/>
      <c r="ABL21" s="15"/>
      <c r="ABM21" s="15"/>
      <c r="ABN21" s="15"/>
      <c r="ABO21" s="15"/>
      <c r="ABP21" s="15"/>
      <c r="ABQ21" s="15"/>
      <c r="ABR21" s="15"/>
      <c r="ABS21" s="15"/>
      <c r="ABT21" s="15"/>
      <c r="ABU21" s="15"/>
      <c r="ABV21" s="15"/>
      <c r="ABW21" s="15"/>
      <c r="ABX21" s="15"/>
      <c r="ABY21" s="15"/>
      <c r="ABZ21" s="15"/>
      <c r="ACA21" s="15"/>
      <c r="ACB21" s="15"/>
      <c r="ACC21" s="15"/>
      <c r="ACD21" s="15"/>
      <c r="ACE21" s="15"/>
      <c r="ACF21" s="15"/>
      <c r="ACG21" s="15"/>
      <c r="ACH21" s="15"/>
      <c r="ACI21" s="15"/>
      <c r="ACJ21" s="15"/>
      <c r="ACK21" s="15"/>
      <c r="ACL21" s="15"/>
      <c r="ACM21" s="15"/>
      <c r="ACN21" s="15"/>
      <c r="ACO21" s="15"/>
      <c r="ACP21" s="15"/>
      <c r="ACQ21" s="15"/>
      <c r="ACR21" s="15"/>
      <c r="ACS21" s="15"/>
      <c r="ACT21" s="15"/>
      <c r="ACU21" s="15"/>
      <c r="ACV21" s="15"/>
      <c r="ACW21" s="15"/>
      <c r="ACX21" s="15"/>
      <c r="ACY21" s="15"/>
      <c r="ACZ21" s="15"/>
      <c r="ADA21" s="15"/>
      <c r="ADB21" s="15"/>
      <c r="ADC21" s="15"/>
      <c r="ADD21" s="15"/>
      <c r="ADE21" s="15"/>
      <c r="ADF21" s="15"/>
      <c r="ADG21" s="15"/>
      <c r="ADH21" s="15"/>
      <c r="ADI21" s="15"/>
      <c r="ADJ21" s="15"/>
      <c r="ADK21" s="15"/>
      <c r="ADL21" s="15"/>
      <c r="ADM21" s="15"/>
      <c r="ADN21" s="15"/>
      <c r="ADO21" s="15"/>
      <c r="ADP21" s="15"/>
      <c r="ADQ21" s="15"/>
      <c r="ADR21" s="15"/>
      <c r="ADS21" s="15"/>
      <c r="ADT21" s="15"/>
      <c r="ADU21" s="15"/>
      <c r="ADV21" s="15"/>
      <c r="ADW21" s="15"/>
      <c r="ADX21" s="15"/>
      <c r="ADY21" s="15"/>
      <c r="ADZ21" s="15"/>
      <c r="AEA21" s="15"/>
      <c r="AEB21" s="15"/>
      <c r="AEC21" s="15"/>
      <c r="AED21" s="15"/>
      <c r="AEE21" s="15"/>
      <c r="AEF21" s="15"/>
      <c r="AEG21" s="15"/>
      <c r="AEH21" s="15"/>
      <c r="AEI21" s="15"/>
      <c r="AEJ21" s="15"/>
      <c r="AEK21" s="15"/>
      <c r="AEL21" s="15"/>
      <c r="AEM21" s="15"/>
      <c r="AEN21" s="15"/>
      <c r="AEO21" s="15"/>
      <c r="AEP21" s="15"/>
      <c r="AEQ21" s="15"/>
      <c r="AER21" s="15"/>
      <c r="AES21" s="15"/>
      <c r="AET21" s="15"/>
      <c r="AEU21" s="15"/>
      <c r="AEV21" s="15"/>
      <c r="AEW21" s="15"/>
      <c r="AEX21" s="15"/>
      <c r="AEY21" s="15"/>
      <c r="AEZ21" s="15"/>
      <c r="AFA21" s="15"/>
      <c r="AFB21" s="15"/>
      <c r="AFC21" s="15"/>
      <c r="AFD21" s="15"/>
      <c r="AFE21" s="15"/>
      <c r="AFF21" s="15"/>
      <c r="AFG21" s="15"/>
      <c r="AFH21" s="15"/>
      <c r="AFI21" s="15"/>
      <c r="AFJ21" s="15"/>
      <c r="AFK21" s="15"/>
      <c r="AFL21" s="15"/>
      <c r="AFM21" s="15"/>
      <c r="AFN21" s="15"/>
      <c r="AFO21" s="15"/>
      <c r="AFP21" s="15"/>
      <c r="AFQ21" s="15"/>
      <c r="AFR21" s="15"/>
      <c r="AFS21" s="15"/>
      <c r="AFT21" s="15"/>
      <c r="AFU21" s="15"/>
      <c r="AFV21" s="15"/>
      <c r="AFW21" s="15"/>
      <c r="AFX21" s="15"/>
      <c r="AFY21" s="15"/>
      <c r="AFZ21" s="15"/>
      <c r="AGA21" s="15"/>
      <c r="AGB21" s="15"/>
      <c r="AGC21" s="15"/>
      <c r="AGD21" s="15"/>
      <c r="AGE21" s="15"/>
      <c r="AGF21" s="15"/>
      <c r="AGG21" s="15"/>
      <c r="AGH21" s="15"/>
      <c r="AGI21" s="15"/>
      <c r="AGJ21" s="15"/>
      <c r="AGK21" s="15"/>
      <c r="AGL21" s="15"/>
      <c r="AGM21" s="15"/>
      <c r="AGN21" s="15"/>
      <c r="AGO21" s="15"/>
      <c r="AGP21" s="15"/>
      <c r="AGQ21" s="15"/>
      <c r="AGR21" s="15"/>
      <c r="AGS21" s="15"/>
      <c r="AGT21" s="15"/>
      <c r="AGU21" s="15"/>
      <c r="AGV21" s="15"/>
      <c r="AGW21" s="15"/>
      <c r="AGX21" s="15"/>
      <c r="AGY21" s="15"/>
      <c r="AGZ21" s="15"/>
      <c r="AHA21" s="15"/>
      <c r="AHB21" s="15"/>
      <c r="AHC21" s="15"/>
      <c r="AHD21" s="15"/>
      <c r="AHE21" s="15"/>
      <c r="AHF21" s="15"/>
      <c r="AHG21" s="15"/>
      <c r="AHH21" s="15"/>
      <c r="AHI21" s="15"/>
      <c r="AHJ21" s="15"/>
      <c r="AHK21" s="15"/>
      <c r="AHL21" s="15"/>
      <c r="AHM21" s="15"/>
      <c r="AHN21" s="15"/>
      <c r="AHO21" s="15"/>
      <c r="AHP21" s="15"/>
      <c r="AHQ21" s="15"/>
      <c r="AHR21" s="15"/>
      <c r="AHS21" s="15"/>
      <c r="AHT21" s="15"/>
      <c r="AHU21" s="15"/>
      <c r="AHV21" s="15"/>
      <c r="AHW21" s="15"/>
      <c r="AHX21" s="15"/>
      <c r="AHY21" s="15"/>
      <c r="AHZ21" s="15"/>
      <c r="AIA21" s="15"/>
      <c r="AIB21" s="15"/>
      <c r="AIC21" s="15"/>
      <c r="AID21" s="15"/>
      <c r="AIE21" s="15"/>
      <c r="AIF21" s="15"/>
      <c r="AIG21" s="15"/>
      <c r="AIH21" s="15"/>
      <c r="AII21" s="15"/>
      <c r="AIJ21" s="15"/>
      <c r="AIK21" s="15"/>
      <c r="AIL21" s="15"/>
      <c r="AIM21" s="15"/>
      <c r="AIN21" s="15"/>
      <c r="AIO21" s="15"/>
      <c r="AIP21" s="15"/>
      <c r="AIQ21" s="15"/>
      <c r="AIR21" s="15"/>
      <c r="AIS21" s="15"/>
      <c r="AIT21" s="15"/>
      <c r="AIU21" s="15"/>
      <c r="AIV21" s="15"/>
      <c r="AIW21" s="15"/>
      <c r="AIX21" s="15"/>
      <c r="AIY21" s="15"/>
      <c r="AIZ21" s="15"/>
      <c r="AJA21" s="15"/>
      <c r="AJB21" s="15"/>
      <c r="AJC21" s="15"/>
      <c r="AJD21" s="15"/>
      <c r="AJE21" s="15"/>
      <c r="AJF21" s="15"/>
      <c r="AJG21" s="15"/>
      <c r="AJH21" s="15"/>
      <c r="AJI21" s="15"/>
      <c r="AJJ21" s="15"/>
      <c r="AJK21" s="15"/>
      <c r="AJL21" s="15"/>
      <c r="AJM21" s="15"/>
      <c r="AJN21" s="15"/>
      <c r="AJO21" s="15"/>
      <c r="AJP21" s="15"/>
      <c r="AJQ21" s="15"/>
      <c r="AJR21" s="15"/>
      <c r="AJS21" s="15"/>
      <c r="AJT21" s="15"/>
      <c r="AJU21" s="15"/>
      <c r="AJV21" s="15"/>
      <c r="AJW21" s="15"/>
      <c r="AJX21" s="15"/>
      <c r="AJY21" s="15"/>
      <c r="AJZ21" s="15"/>
      <c r="AKA21" s="15"/>
      <c r="AKB21" s="15"/>
      <c r="AKC21" s="15"/>
      <c r="AKD21" s="15"/>
      <c r="AKE21" s="15"/>
      <c r="AKF21" s="15"/>
      <c r="AKG21" s="15"/>
      <c r="AKH21" s="15"/>
      <c r="AKI21" s="15"/>
      <c r="AKJ21" s="15"/>
      <c r="AKK21" s="15"/>
      <c r="AKL21" s="15"/>
      <c r="AKM21" s="15"/>
      <c r="AKN21" s="15"/>
      <c r="AKO21" s="15"/>
      <c r="AKP21" s="15"/>
      <c r="AKQ21" s="15"/>
      <c r="AKR21" s="15"/>
      <c r="AKS21" s="15"/>
      <c r="AKT21" s="15"/>
      <c r="AKU21" s="15"/>
      <c r="AKV21" s="15"/>
      <c r="AKW21" s="15"/>
      <c r="AKX21" s="15"/>
      <c r="AKY21" s="15"/>
      <c r="AKZ21" s="15"/>
      <c r="ALA21" s="15"/>
      <c r="ALB21" s="15"/>
      <c r="ALC21" s="15"/>
      <c r="ALD21" s="15"/>
      <c r="ALE21" s="15"/>
      <c r="ALF21" s="15"/>
      <c r="ALG21" s="15"/>
      <c r="ALH21" s="15"/>
      <c r="ALI21" s="15"/>
      <c r="ALJ21" s="15"/>
      <c r="ALK21" s="15"/>
      <c r="ALL21" s="15"/>
      <c r="ALM21" s="15"/>
      <c r="ALN21" s="15"/>
      <c r="ALO21" s="15"/>
      <c r="ALP21" s="15"/>
      <c r="ALQ21" s="15"/>
      <c r="ALR21" s="15"/>
      <c r="ALS21" s="15"/>
      <c r="ALT21" s="15"/>
      <c r="ALU21" s="15"/>
      <c r="ALV21" s="15"/>
      <c r="ALW21" s="15"/>
      <c r="ALX21" s="15"/>
      <c r="ALY21" s="15"/>
      <c r="ALZ21" s="15"/>
      <c r="AMA21" s="15"/>
      <c r="AMB21" s="15"/>
      <c r="AMC21" s="15"/>
      <c r="AMD21" s="15"/>
      <c r="AME21" s="15"/>
      <c r="AMF21" s="15"/>
      <c r="AMG21" s="14"/>
      <c r="AMH21" s="14"/>
      <c r="AMI21" s="14"/>
      <c r="AMJ21" s="14"/>
    </row>
    <row r="22" spans="1:1024" s="13" customFormat="1" ht="72.5" hidden="1" x14ac:dyDescent="0.35">
      <c r="A22" s="19">
        <v>43650</v>
      </c>
      <c r="B22" s="17" t="s">
        <v>457</v>
      </c>
      <c r="C22" s="17" t="s">
        <v>456</v>
      </c>
      <c r="D22" s="18">
        <v>43651</v>
      </c>
      <c r="E22" s="17" t="s">
        <v>290</v>
      </c>
      <c r="F22" s="26">
        <v>0.41666666666666702</v>
      </c>
      <c r="G22" s="26">
        <v>0.54166666666666696</v>
      </c>
      <c r="H22" s="26">
        <v>0.55208333333333304</v>
      </c>
      <c r="I22" s="17" t="s">
        <v>455</v>
      </c>
      <c r="J22" s="17" t="s">
        <v>455</v>
      </c>
      <c r="K22" s="17" t="s">
        <v>119</v>
      </c>
      <c r="L22" s="16" t="s">
        <v>22</v>
      </c>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c r="AY22" s="15"/>
      <c r="AZ22" s="15"/>
      <c r="BA22" s="15"/>
      <c r="BB22" s="15"/>
      <c r="BC22" s="15"/>
      <c r="BD22" s="15"/>
      <c r="BE22" s="15"/>
      <c r="BF22" s="15"/>
      <c r="BG22" s="15"/>
      <c r="BH22" s="15"/>
      <c r="BI22" s="15"/>
      <c r="BJ22" s="15"/>
      <c r="BK22" s="15"/>
      <c r="BL22" s="15"/>
      <c r="BM22" s="15"/>
      <c r="BN22" s="15"/>
      <c r="BO22" s="15"/>
      <c r="BP22" s="15"/>
      <c r="BQ22" s="15"/>
      <c r="BR22" s="15"/>
      <c r="BS22" s="15"/>
      <c r="BT22" s="15"/>
      <c r="BU22" s="15"/>
      <c r="BV22" s="15"/>
      <c r="BW22" s="15"/>
      <c r="BX22" s="15"/>
      <c r="BY22" s="15"/>
      <c r="BZ22" s="15"/>
      <c r="CA22" s="15"/>
      <c r="CB22" s="15"/>
      <c r="CC22" s="15"/>
      <c r="CD22" s="15"/>
      <c r="CE22" s="15"/>
      <c r="CF22" s="15"/>
      <c r="CG22" s="15"/>
      <c r="CH22" s="15"/>
      <c r="CI22" s="15"/>
      <c r="CJ22" s="15"/>
      <c r="CK22" s="15"/>
      <c r="CL22" s="15"/>
      <c r="CM22" s="15"/>
      <c r="CN22" s="15"/>
      <c r="CO22" s="15"/>
      <c r="CP22" s="15"/>
      <c r="CQ22" s="15"/>
      <c r="CR22" s="15"/>
      <c r="CS22" s="15"/>
      <c r="CT22" s="15"/>
      <c r="CU22" s="15"/>
      <c r="CV22" s="15"/>
      <c r="CW22" s="15"/>
      <c r="CX22" s="15"/>
      <c r="CY22" s="15"/>
      <c r="CZ22" s="15"/>
      <c r="DA22" s="15"/>
      <c r="DB22" s="15"/>
      <c r="DC22" s="15"/>
      <c r="DD22" s="15"/>
      <c r="DE22" s="15"/>
      <c r="DF22" s="15"/>
      <c r="DG22" s="15"/>
      <c r="DH22" s="15"/>
      <c r="DI22" s="15"/>
      <c r="DJ22" s="15"/>
      <c r="DK22" s="15"/>
      <c r="DL22" s="15"/>
      <c r="DM22" s="15"/>
      <c r="DN22" s="15"/>
      <c r="DO22" s="15"/>
      <c r="DP22" s="15"/>
      <c r="DQ22" s="15"/>
      <c r="DR22" s="15"/>
      <c r="DS22" s="15"/>
      <c r="DT22" s="15"/>
      <c r="DU22" s="15"/>
      <c r="DV22" s="15"/>
      <c r="DW22" s="15"/>
      <c r="DX22" s="15"/>
      <c r="DY22" s="15"/>
      <c r="DZ22" s="15"/>
      <c r="EA22" s="15"/>
      <c r="EB22" s="15"/>
      <c r="EC22" s="15"/>
      <c r="ED22" s="15"/>
      <c r="EE22" s="15"/>
      <c r="EF22" s="15"/>
      <c r="EG22" s="15"/>
      <c r="EH22" s="15"/>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c r="FO22" s="15"/>
      <c r="FP22" s="15"/>
      <c r="FQ22" s="15"/>
      <c r="FR22" s="15"/>
      <c r="FS22" s="15"/>
      <c r="FT22" s="15"/>
      <c r="FU22" s="15"/>
      <c r="FV22" s="15"/>
      <c r="FW22" s="15"/>
      <c r="FX22" s="15"/>
      <c r="FY22" s="15"/>
      <c r="FZ22" s="15"/>
      <c r="GA22" s="15"/>
      <c r="GB22" s="15"/>
      <c r="GC22" s="15"/>
      <c r="GD22" s="15"/>
      <c r="GE22" s="15"/>
      <c r="GF22" s="15"/>
      <c r="GG22" s="15"/>
      <c r="GH22" s="15"/>
      <c r="GI22" s="15"/>
      <c r="GJ22" s="15"/>
      <c r="GK22" s="15"/>
      <c r="GL22" s="15"/>
      <c r="GM22" s="15"/>
      <c r="GN22" s="15"/>
      <c r="GO22" s="15"/>
      <c r="GP22" s="15"/>
      <c r="GQ22" s="15"/>
      <c r="GR22" s="15"/>
      <c r="GS22" s="15"/>
      <c r="GT22" s="15"/>
      <c r="GU22" s="15"/>
      <c r="GV22" s="15"/>
      <c r="GW22" s="15"/>
      <c r="GX22" s="15"/>
      <c r="GY22" s="15"/>
      <c r="GZ22" s="15"/>
      <c r="HA22" s="15"/>
      <c r="HB22" s="15"/>
      <c r="HC22" s="15"/>
      <c r="HD22" s="15"/>
      <c r="HE22" s="15"/>
      <c r="HF22" s="15"/>
      <c r="HG22" s="15"/>
      <c r="HH22" s="15"/>
      <c r="HI22" s="15"/>
      <c r="HJ22" s="15"/>
      <c r="HK22" s="15"/>
      <c r="HL22" s="15"/>
      <c r="HM22" s="15"/>
      <c r="HN22" s="15"/>
      <c r="HO22" s="15"/>
      <c r="HP22" s="15"/>
      <c r="HQ22" s="15"/>
      <c r="HR22" s="15"/>
      <c r="HS22" s="15"/>
      <c r="HT22" s="15"/>
      <c r="HU22" s="15"/>
      <c r="HV22" s="15"/>
      <c r="HW22" s="15"/>
      <c r="HX22" s="15"/>
      <c r="HY22" s="15"/>
      <c r="HZ22" s="15"/>
      <c r="IA22" s="15"/>
      <c r="IB22" s="15"/>
      <c r="IC22" s="15"/>
      <c r="ID22" s="15"/>
      <c r="IE22" s="15"/>
      <c r="IF22" s="15"/>
      <c r="IG22" s="15"/>
      <c r="IH22" s="15"/>
      <c r="II22" s="15"/>
      <c r="IJ22" s="15"/>
      <c r="IK22" s="15"/>
      <c r="IL22" s="15"/>
      <c r="IM22" s="15"/>
      <c r="IN22" s="15"/>
      <c r="IO22" s="15"/>
      <c r="IP22" s="15"/>
      <c r="IQ22" s="15"/>
      <c r="IR22" s="15"/>
      <c r="IS22" s="15"/>
      <c r="IT22" s="15"/>
      <c r="IU22" s="15"/>
      <c r="IV22" s="15"/>
      <c r="IW22" s="15"/>
      <c r="IX22" s="15"/>
      <c r="IY22" s="15"/>
      <c r="IZ22" s="15"/>
      <c r="JA22" s="15"/>
      <c r="JB22" s="15"/>
      <c r="JC22" s="15"/>
      <c r="JD22" s="15"/>
      <c r="JE22" s="15"/>
      <c r="JF22" s="15"/>
      <c r="JG22" s="15"/>
      <c r="JH22" s="15"/>
      <c r="JI22" s="15"/>
      <c r="JJ22" s="15"/>
      <c r="JK22" s="15"/>
      <c r="JL22" s="15"/>
      <c r="JM22" s="15"/>
      <c r="JN22" s="15"/>
      <c r="JO22" s="15"/>
      <c r="JP22" s="15"/>
      <c r="JQ22" s="15"/>
      <c r="JR22" s="15"/>
      <c r="JS22" s="15"/>
      <c r="JT22" s="15"/>
      <c r="JU22" s="15"/>
      <c r="JV22" s="15"/>
      <c r="JW22" s="15"/>
      <c r="JX22" s="15"/>
      <c r="JY22" s="15"/>
      <c r="JZ22" s="15"/>
      <c r="KA22" s="15"/>
      <c r="KB22" s="15"/>
      <c r="KC22" s="15"/>
      <c r="KD22" s="15"/>
      <c r="KE22" s="15"/>
      <c r="KF22" s="15"/>
      <c r="KG22" s="15"/>
      <c r="KH22" s="15"/>
      <c r="KI22" s="15"/>
      <c r="KJ22" s="15"/>
      <c r="KK22" s="15"/>
      <c r="KL22" s="15"/>
      <c r="KM22" s="15"/>
      <c r="KN22" s="15"/>
      <c r="KO22" s="15"/>
      <c r="KP22" s="15"/>
      <c r="KQ22" s="15"/>
      <c r="KR22" s="15"/>
      <c r="KS22" s="15"/>
      <c r="KT22" s="15"/>
      <c r="KU22" s="15"/>
      <c r="KV22" s="15"/>
      <c r="KW22" s="15"/>
      <c r="KX22" s="15"/>
      <c r="KY22" s="15"/>
      <c r="KZ22" s="15"/>
      <c r="LA22" s="15"/>
      <c r="LB22" s="15"/>
      <c r="LC22" s="15"/>
      <c r="LD22" s="15"/>
      <c r="LE22" s="15"/>
      <c r="LF22" s="15"/>
      <c r="LG22" s="15"/>
      <c r="LH22" s="15"/>
      <c r="LI22" s="15"/>
      <c r="LJ22" s="15"/>
      <c r="LK22" s="15"/>
      <c r="LL22" s="15"/>
      <c r="LM22" s="15"/>
      <c r="LN22" s="15"/>
      <c r="LO22" s="15"/>
      <c r="LP22" s="15"/>
      <c r="LQ22" s="15"/>
      <c r="LR22" s="15"/>
      <c r="LS22" s="15"/>
      <c r="LT22" s="15"/>
      <c r="LU22" s="15"/>
      <c r="LV22" s="15"/>
      <c r="LW22" s="15"/>
      <c r="LX22" s="15"/>
      <c r="LY22" s="15"/>
      <c r="LZ22" s="15"/>
      <c r="MA22" s="15"/>
      <c r="MB22" s="15"/>
      <c r="MC22" s="15"/>
      <c r="MD22" s="15"/>
      <c r="ME22" s="15"/>
      <c r="MF22" s="15"/>
      <c r="MG22" s="15"/>
      <c r="MH22" s="15"/>
      <c r="MI22" s="15"/>
      <c r="MJ22" s="15"/>
      <c r="MK22" s="15"/>
      <c r="ML22" s="15"/>
      <c r="MM22" s="15"/>
      <c r="MN22" s="15"/>
      <c r="MO22" s="15"/>
      <c r="MP22" s="15"/>
      <c r="MQ22" s="15"/>
      <c r="MR22" s="15"/>
      <c r="MS22" s="15"/>
      <c r="MT22" s="15"/>
      <c r="MU22" s="15"/>
      <c r="MV22" s="15"/>
      <c r="MW22" s="15"/>
      <c r="MX22" s="15"/>
      <c r="MY22" s="15"/>
      <c r="MZ22" s="15"/>
      <c r="NA22" s="15"/>
      <c r="NB22" s="15"/>
      <c r="NC22" s="15"/>
      <c r="ND22" s="15"/>
      <c r="NE22" s="15"/>
      <c r="NF22" s="15"/>
      <c r="NG22" s="15"/>
      <c r="NH22" s="15"/>
      <c r="NI22" s="15"/>
      <c r="NJ22" s="15"/>
      <c r="NK22" s="15"/>
      <c r="NL22" s="15"/>
      <c r="NM22" s="15"/>
      <c r="NN22" s="15"/>
      <c r="NO22" s="15"/>
      <c r="NP22" s="15"/>
      <c r="NQ22" s="15"/>
      <c r="NR22" s="15"/>
      <c r="NS22" s="15"/>
      <c r="NT22" s="15"/>
      <c r="NU22" s="15"/>
      <c r="NV22" s="15"/>
      <c r="NW22" s="15"/>
      <c r="NX22" s="15"/>
      <c r="NY22" s="15"/>
      <c r="NZ22" s="15"/>
      <c r="OA22" s="15"/>
      <c r="OB22" s="15"/>
      <c r="OC22" s="15"/>
      <c r="OD22" s="15"/>
      <c r="OE22" s="15"/>
      <c r="OF22" s="15"/>
      <c r="OG22" s="15"/>
      <c r="OH22" s="15"/>
      <c r="OI22" s="15"/>
      <c r="OJ22" s="15"/>
      <c r="OK22" s="15"/>
      <c r="OL22" s="15"/>
      <c r="OM22" s="15"/>
      <c r="ON22" s="15"/>
      <c r="OO22" s="15"/>
      <c r="OP22" s="15"/>
      <c r="OQ22" s="15"/>
      <c r="OR22" s="15"/>
      <c r="OS22" s="15"/>
      <c r="OT22" s="15"/>
      <c r="OU22" s="15"/>
      <c r="OV22" s="15"/>
      <c r="OW22" s="15"/>
      <c r="OX22" s="15"/>
      <c r="OY22" s="15"/>
      <c r="OZ22" s="15"/>
      <c r="PA22" s="15"/>
      <c r="PB22" s="15"/>
      <c r="PC22" s="15"/>
      <c r="PD22" s="15"/>
      <c r="PE22" s="15"/>
      <c r="PF22" s="15"/>
      <c r="PG22" s="15"/>
      <c r="PH22" s="15"/>
      <c r="PI22" s="15"/>
      <c r="PJ22" s="15"/>
      <c r="PK22" s="15"/>
      <c r="PL22" s="15"/>
      <c r="PM22" s="15"/>
      <c r="PN22" s="15"/>
      <c r="PO22" s="15"/>
      <c r="PP22" s="15"/>
      <c r="PQ22" s="15"/>
      <c r="PR22" s="15"/>
      <c r="PS22" s="15"/>
      <c r="PT22" s="15"/>
      <c r="PU22" s="15"/>
      <c r="PV22" s="15"/>
      <c r="PW22" s="15"/>
      <c r="PX22" s="15"/>
      <c r="PY22" s="15"/>
      <c r="PZ22" s="15"/>
      <c r="QA22" s="15"/>
      <c r="QB22" s="15"/>
      <c r="QC22" s="15"/>
      <c r="QD22" s="15"/>
      <c r="QE22" s="15"/>
      <c r="QF22" s="15"/>
      <c r="QG22" s="15"/>
      <c r="QH22" s="15"/>
      <c r="QI22" s="15"/>
      <c r="QJ22" s="15"/>
      <c r="QK22" s="15"/>
      <c r="QL22" s="15"/>
      <c r="QM22" s="15"/>
      <c r="QN22" s="15"/>
      <c r="QO22" s="15"/>
      <c r="QP22" s="15"/>
      <c r="QQ22" s="15"/>
      <c r="QR22" s="15"/>
      <c r="QS22" s="15"/>
      <c r="QT22" s="15"/>
      <c r="QU22" s="15"/>
      <c r="QV22" s="15"/>
      <c r="QW22" s="15"/>
      <c r="QX22" s="15"/>
      <c r="QY22" s="15"/>
      <c r="QZ22" s="15"/>
      <c r="RA22" s="15"/>
      <c r="RB22" s="15"/>
      <c r="RC22" s="15"/>
      <c r="RD22" s="15"/>
      <c r="RE22" s="15"/>
      <c r="RF22" s="15"/>
      <c r="RG22" s="15"/>
      <c r="RH22" s="15"/>
      <c r="RI22" s="15"/>
      <c r="RJ22" s="15"/>
      <c r="RK22" s="15"/>
      <c r="RL22" s="15"/>
      <c r="RM22" s="15"/>
      <c r="RN22" s="15"/>
      <c r="RO22" s="15"/>
      <c r="RP22" s="15"/>
      <c r="RQ22" s="15"/>
      <c r="RR22" s="15"/>
      <c r="RS22" s="15"/>
      <c r="RT22" s="15"/>
      <c r="RU22" s="15"/>
      <c r="RV22" s="15"/>
      <c r="RW22" s="15"/>
      <c r="RX22" s="15"/>
      <c r="RY22" s="15"/>
      <c r="RZ22" s="15"/>
      <c r="SA22" s="15"/>
      <c r="SB22" s="15"/>
      <c r="SC22" s="15"/>
      <c r="SD22" s="15"/>
      <c r="SE22" s="15"/>
      <c r="SF22" s="15"/>
      <c r="SG22" s="15"/>
      <c r="SH22" s="15"/>
      <c r="SI22" s="15"/>
      <c r="SJ22" s="15"/>
      <c r="SK22" s="15"/>
      <c r="SL22" s="15"/>
      <c r="SM22" s="15"/>
      <c r="SN22" s="15"/>
      <c r="SO22" s="15"/>
      <c r="SP22" s="15"/>
      <c r="SQ22" s="15"/>
      <c r="SR22" s="15"/>
      <c r="SS22" s="15"/>
      <c r="ST22" s="15"/>
      <c r="SU22" s="15"/>
      <c r="SV22" s="15"/>
      <c r="SW22" s="15"/>
      <c r="SX22" s="15"/>
      <c r="SY22" s="15"/>
      <c r="SZ22" s="15"/>
      <c r="TA22" s="15"/>
      <c r="TB22" s="15"/>
      <c r="TC22" s="15"/>
      <c r="TD22" s="15"/>
      <c r="TE22" s="15"/>
      <c r="TF22" s="15"/>
      <c r="TG22" s="15"/>
      <c r="TH22" s="15"/>
      <c r="TI22" s="15"/>
      <c r="TJ22" s="15"/>
      <c r="TK22" s="15"/>
      <c r="TL22" s="15"/>
      <c r="TM22" s="15"/>
      <c r="TN22" s="15"/>
      <c r="TO22" s="15"/>
      <c r="TP22" s="15"/>
      <c r="TQ22" s="15"/>
      <c r="TR22" s="15"/>
      <c r="TS22" s="15"/>
      <c r="TT22" s="15"/>
      <c r="TU22" s="15"/>
      <c r="TV22" s="15"/>
      <c r="TW22" s="15"/>
      <c r="TX22" s="15"/>
      <c r="TY22" s="15"/>
      <c r="TZ22" s="15"/>
      <c r="UA22" s="15"/>
      <c r="UB22" s="15"/>
      <c r="UC22" s="15"/>
      <c r="UD22" s="15"/>
      <c r="UE22" s="15"/>
      <c r="UF22" s="15"/>
      <c r="UG22" s="15"/>
      <c r="UH22" s="15"/>
      <c r="UI22" s="15"/>
      <c r="UJ22" s="15"/>
      <c r="UK22" s="15"/>
      <c r="UL22" s="15"/>
      <c r="UM22" s="15"/>
      <c r="UN22" s="15"/>
      <c r="UO22" s="15"/>
      <c r="UP22" s="15"/>
      <c r="UQ22" s="15"/>
      <c r="UR22" s="15"/>
      <c r="US22" s="15"/>
      <c r="UT22" s="15"/>
      <c r="UU22" s="15"/>
      <c r="UV22" s="15"/>
      <c r="UW22" s="15"/>
      <c r="UX22" s="15"/>
      <c r="UY22" s="15"/>
      <c r="UZ22" s="15"/>
      <c r="VA22" s="15"/>
      <c r="VB22" s="15"/>
      <c r="VC22" s="15"/>
      <c r="VD22" s="15"/>
      <c r="VE22" s="15"/>
      <c r="VF22" s="15"/>
      <c r="VG22" s="15"/>
      <c r="VH22" s="15"/>
      <c r="VI22" s="15"/>
      <c r="VJ22" s="15"/>
      <c r="VK22" s="15"/>
      <c r="VL22" s="15"/>
      <c r="VM22" s="15"/>
      <c r="VN22" s="15"/>
      <c r="VO22" s="15"/>
      <c r="VP22" s="15"/>
      <c r="VQ22" s="15"/>
      <c r="VR22" s="15"/>
      <c r="VS22" s="15"/>
      <c r="VT22" s="15"/>
      <c r="VU22" s="15"/>
      <c r="VV22" s="15"/>
      <c r="VW22" s="15"/>
      <c r="VX22" s="15"/>
      <c r="VY22" s="15"/>
      <c r="VZ22" s="15"/>
      <c r="WA22" s="15"/>
      <c r="WB22" s="15"/>
      <c r="WC22" s="15"/>
      <c r="WD22" s="15"/>
      <c r="WE22" s="15"/>
      <c r="WF22" s="15"/>
      <c r="WG22" s="15"/>
      <c r="WH22" s="15"/>
      <c r="WI22" s="15"/>
      <c r="WJ22" s="15"/>
      <c r="WK22" s="15"/>
      <c r="WL22" s="15"/>
      <c r="WM22" s="15"/>
      <c r="WN22" s="15"/>
      <c r="WO22" s="15"/>
      <c r="WP22" s="15"/>
      <c r="WQ22" s="15"/>
      <c r="WR22" s="15"/>
      <c r="WS22" s="15"/>
      <c r="WT22" s="15"/>
      <c r="WU22" s="15"/>
      <c r="WV22" s="15"/>
      <c r="WW22" s="15"/>
      <c r="WX22" s="15"/>
      <c r="WY22" s="15"/>
      <c r="WZ22" s="15"/>
      <c r="XA22" s="15"/>
      <c r="XB22" s="15"/>
      <c r="XC22" s="15"/>
      <c r="XD22" s="15"/>
      <c r="XE22" s="15"/>
      <c r="XF22" s="15"/>
      <c r="XG22" s="15"/>
      <c r="XH22" s="15"/>
      <c r="XI22" s="15"/>
      <c r="XJ22" s="15"/>
      <c r="XK22" s="15"/>
      <c r="XL22" s="15"/>
      <c r="XM22" s="15"/>
      <c r="XN22" s="15"/>
      <c r="XO22" s="15"/>
      <c r="XP22" s="15"/>
      <c r="XQ22" s="15"/>
      <c r="XR22" s="15"/>
      <c r="XS22" s="15"/>
      <c r="XT22" s="15"/>
      <c r="XU22" s="15"/>
      <c r="XV22" s="15"/>
      <c r="XW22" s="15"/>
      <c r="XX22" s="15"/>
      <c r="XY22" s="15"/>
      <c r="XZ22" s="15"/>
      <c r="YA22" s="15"/>
      <c r="YB22" s="15"/>
      <c r="YC22" s="15"/>
      <c r="YD22" s="15"/>
      <c r="YE22" s="15"/>
      <c r="YF22" s="15"/>
      <c r="YG22" s="15"/>
      <c r="YH22" s="15"/>
      <c r="YI22" s="15"/>
      <c r="YJ22" s="15"/>
      <c r="YK22" s="15"/>
      <c r="YL22" s="15"/>
      <c r="YM22" s="15"/>
      <c r="YN22" s="15"/>
      <c r="YO22" s="15"/>
      <c r="YP22" s="15"/>
      <c r="YQ22" s="15"/>
      <c r="YR22" s="15"/>
      <c r="YS22" s="15"/>
      <c r="YT22" s="15"/>
      <c r="YU22" s="15"/>
      <c r="YV22" s="15"/>
      <c r="YW22" s="15"/>
      <c r="YX22" s="15"/>
      <c r="YY22" s="15"/>
      <c r="YZ22" s="15"/>
      <c r="ZA22" s="15"/>
      <c r="ZB22" s="15"/>
      <c r="ZC22" s="15"/>
      <c r="ZD22" s="15"/>
      <c r="ZE22" s="15"/>
      <c r="ZF22" s="15"/>
      <c r="ZG22" s="15"/>
      <c r="ZH22" s="15"/>
      <c r="ZI22" s="15"/>
      <c r="ZJ22" s="15"/>
      <c r="ZK22" s="15"/>
      <c r="ZL22" s="15"/>
      <c r="ZM22" s="15"/>
      <c r="ZN22" s="15"/>
      <c r="ZO22" s="15"/>
      <c r="ZP22" s="15"/>
      <c r="ZQ22" s="15"/>
      <c r="ZR22" s="15"/>
      <c r="ZS22" s="15"/>
      <c r="ZT22" s="15"/>
      <c r="ZU22" s="15"/>
      <c r="ZV22" s="15"/>
      <c r="ZW22" s="15"/>
      <c r="ZX22" s="15"/>
      <c r="ZY22" s="15"/>
      <c r="ZZ22" s="15"/>
      <c r="AAA22" s="15"/>
      <c r="AAB22" s="15"/>
      <c r="AAC22" s="15"/>
      <c r="AAD22" s="15"/>
      <c r="AAE22" s="15"/>
      <c r="AAF22" s="15"/>
      <c r="AAG22" s="15"/>
      <c r="AAH22" s="15"/>
      <c r="AAI22" s="15"/>
      <c r="AAJ22" s="15"/>
      <c r="AAK22" s="15"/>
      <c r="AAL22" s="15"/>
      <c r="AAM22" s="15"/>
      <c r="AAN22" s="15"/>
      <c r="AAO22" s="15"/>
      <c r="AAP22" s="15"/>
      <c r="AAQ22" s="15"/>
      <c r="AAR22" s="15"/>
      <c r="AAS22" s="15"/>
      <c r="AAT22" s="15"/>
      <c r="AAU22" s="15"/>
      <c r="AAV22" s="15"/>
      <c r="AAW22" s="15"/>
      <c r="AAX22" s="15"/>
      <c r="AAY22" s="15"/>
      <c r="AAZ22" s="15"/>
      <c r="ABA22" s="15"/>
      <c r="ABB22" s="15"/>
      <c r="ABC22" s="15"/>
      <c r="ABD22" s="15"/>
      <c r="ABE22" s="15"/>
      <c r="ABF22" s="15"/>
      <c r="ABG22" s="15"/>
      <c r="ABH22" s="15"/>
      <c r="ABI22" s="15"/>
      <c r="ABJ22" s="15"/>
      <c r="ABK22" s="15"/>
      <c r="ABL22" s="15"/>
      <c r="ABM22" s="15"/>
      <c r="ABN22" s="15"/>
      <c r="ABO22" s="15"/>
      <c r="ABP22" s="15"/>
      <c r="ABQ22" s="15"/>
      <c r="ABR22" s="15"/>
      <c r="ABS22" s="15"/>
      <c r="ABT22" s="15"/>
      <c r="ABU22" s="15"/>
      <c r="ABV22" s="15"/>
      <c r="ABW22" s="15"/>
      <c r="ABX22" s="15"/>
      <c r="ABY22" s="15"/>
      <c r="ABZ22" s="15"/>
      <c r="ACA22" s="15"/>
      <c r="ACB22" s="15"/>
      <c r="ACC22" s="15"/>
      <c r="ACD22" s="15"/>
      <c r="ACE22" s="15"/>
      <c r="ACF22" s="15"/>
      <c r="ACG22" s="15"/>
      <c r="ACH22" s="15"/>
      <c r="ACI22" s="15"/>
      <c r="ACJ22" s="15"/>
      <c r="ACK22" s="15"/>
      <c r="ACL22" s="15"/>
      <c r="ACM22" s="15"/>
      <c r="ACN22" s="15"/>
      <c r="ACO22" s="15"/>
      <c r="ACP22" s="15"/>
      <c r="ACQ22" s="15"/>
      <c r="ACR22" s="15"/>
      <c r="ACS22" s="15"/>
      <c r="ACT22" s="15"/>
      <c r="ACU22" s="15"/>
      <c r="ACV22" s="15"/>
      <c r="ACW22" s="15"/>
      <c r="ACX22" s="15"/>
      <c r="ACY22" s="15"/>
      <c r="ACZ22" s="15"/>
      <c r="ADA22" s="15"/>
      <c r="ADB22" s="15"/>
      <c r="ADC22" s="15"/>
      <c r="ADD22" s="15"/>
      <c r="ADE22" s="15"/>
      <c r="ADF22" s="15"/>
      <c r="ADG22" s="15"/>
      <c r="ADH22" s="15"/>
      <c r="ADI22" s="15"/>
      <c r="ADJ22" s="15"/>
      <c r="ADK22" s="15"/>
      <c r="ADL22" s="15"/>
      <c r="ADM22" s="15"/>
      <c r="ADN22" s="15"/>
      <c r="ADO22" s="15"/>
      <c r="ADP22" s="15"/>
      <c r="ADQ22" s="15"/>
      <c r="ADR22" s="15"/>
      <c r="ADS22" s="15"/>
      <c r="ADT22" s="15"/>
      <c r="ADU22" s="15"/>
      <c r="ADV22" s="15"/>
      <c r="ADW22" s="15"/>
      <c r="ADX22" s="15"/>
      <c r="ADY22" s="15"/>
      <c r="ADZ22" s="15"/>
      <c r="AEA22" s="15"/>
      <c r="AEB22" s="15"/>
      <c r="AEC22" s="15"/>
      <c r="AED22" s="15"/>
      <c r="AEE22" s="15"/>
      <c r="AEF22" s="15"/>
      <c r="AEG22" s="15"/>
      <c r="AEH22" s="15"/>
      <c r="AEI22" s="15"/>
      <c r="AEJ22" s="15"/>
      <c r="AEK22" s="15"/>
      <c r="AEL22" s="15"/>
      <c r="AEM22" s="15"/>
      <c r="AEN22" s="15"/>
      <c r="AEO22" s="15"/>
      <c r="AEP22" s="15"/>
      <c r="AEQ22" s="15"/>
      <c r="AER22" s="15"/>
      <c r="AES22" s="15"/>
      <c r="AET22" s="15"/>
      <c r="AEU22" s="15"/>
      <c r="AEV22" s="15"/>
      <c r="AEW22" s="15"/>
      <c r="AEX22" s="15"/>
      <c r="AEY22" s="15"/>
      <c r="AEZ22" s="15"/>
      <c r="AFA22" s="15"/>
      <c r="AFB22" s="15"/>
      <c r="AFC22" s="15"/>
      <c r="AFD22" s="15"/>
      <c r="AFE22" s="15"/>
      <c r="AFF22" s="15"/>
      <c r="AFG22" s="15"/>
      <c r="AFH22" s="15"/>
      <c r="AFI22" s="15"/>
      <c r="AFJ22" s="15"/>
      <c r="AFK22" s="15"/>
      <c r="AFL22" s="15"/>
      <c r="AFM22" s="15"/>
      <c r="AFN22" s="15"/>
      <c r="AFO22" s="15"/>
      <c r="AFP22" s="15"/>
      <c r="AFQ22" s="15"/>
      <c r="AFR22" s="15"/>
      <c r="AFS22" s="15"/>
      <c r="AFT22" s="15"/>
      <c r="AFU22" s="15"/>
      <c r="AFV22" s="15"/>
      <c r="AFW22" s="15"/>
      <c r="AFX22" s="15"/>
      <c r="AFY22" s="15"/>
      <c r="AFZ22" s="15"/>
      <c r="AGA22" s="15"/>
      <c r="AGB22" s="15"/>
      <c r="AGC22" s="15"/>
      <c r="AGD22" s="15"/>
      <c r="AGE22" s="15"/>
      <c r="AGF22" s="15"/>
      <c r="AGG22" s="15"/>
      <c r="AGH22" s="15"/>
      <c r="AGI22" s="15"/>
      <c r="AGJ22" s="15"/>
      <c r="AGK22" s="15"/>
      <c r="AGL22" s="15"/>
      <c r="AGM22" s="15"/>
      <c r="AGN22" s="15"/>
      <c r="AGO22" s="15"/>
      <c r="AGP22" s="15"/>
      <c r="AGQ22" s="15"/>
      <c r="AGR22" s="15"/>
      <c r="AGS22" s="15"/>
      <c r="AGT22" s="15"/>
      <c r="AGU22" s="15"/>
      <c r="AGV22" s="15"/>
      <c r="AGW22" s="15"/>
      <c r="AGX22" s="15"/>
      <c r="AGY22" s="15"/>
      <c r="AGZ22" s="15"/>
      <c r="AHA22" s="15"/>
      <c r="AHB22" s="15"/>
      <c r="AHC22" s="15"/>
      <c r="AHD22" s="15"/>
      <c r="AHE22" s="15"/>
      <c r="AHF22" s="15"/>
      <c r="AHG22" s="15"/>
      <c r="AHH22" s="15"/>
      <c r="AHI22" s="15"/>
      <c r="AHJ22" s="15"/>
      <c r="AHK22" s="15"/>
      <c r="AHL22" s="15"/>
      <c r="AHM22" s="15"/>
      <c r="AHN22" s="15"/>
      <c r="AHO22" s="15"/>
      <c r="AHP22" s="15"/>
      <c r="AHQ22" s="15"/>
      <c r="AHR22" s="15"/>
      <c r="AHS22" s="15"/>
      <c r="AHT22" s="15"/>
      <c r="AHU22" s="15"/>
      <c r="AHV22" s="15"/>
      <c r="AHW22" s="15"/>
      <c r="AHX22" s="15"/>
      <c r="AHY22" s="15"/>
      <c r="AHZ22" s="15"/>
      <c r="AIA22" s="15"/>
      <c r="AIB22" s="15"/>
      <c r="AIC22" s="15"/>
      <c r="AID22" s="15"/>
      <c r="AIE22" s="15"/>
      <c r="AIF22" s="15"/>
      <c r="AIG22" s="15"/>
      <c r="AIH22" s="15"/>
      <c r="AII22" s="15"/>
      <c r="AIJ22" s="15"/>
      <c r="AIK22" s="15"/>
      <c r="AIL22" s="15"/>
      <c r="AIM22" s="15"/>
      <c r="AIN22" s="15"/>
      <c r="AIO22" s="15"/>
      <c r="AIP22" s="15"/>
      <c r="AIQ22" s="15"/>
      <c r="AIR22" s="15"/>
      <c r="AIS22" s="15"/>
      <c r="AIT22" s="15"/>
      <c r="AIU22" s="15"/>
      <c r="AIV22" s="15"/>
      <c r="AIW22" s="15"/>
      <c r="AIX22" s="15"/>
      <c r="AIY22" s="15"/>
      <c r="AIZ22" s="15"/>
      <c r="AJA22" s="15"/>
      <c r="AJB22" s="15"/>
      <c r="AJC22" s="15"/>
      <c r="AJD22" s="15"/>
      <c r="AJE22" s="15"/>
      <c r="AJF22" s="15"/>
      <c r="AJG22" s="15"/>
      <c r="AJH22" s="15"/>
      <c r="AJI22" s="15"/>
      <c r="AJJ22" s="15"/>
      <c r="AJK22" s="15"/>
      <c r="AJL22" s="15"/>
      <c r="AJM22" s="15"/>
      <c r="AJN22" s="15"/>
      <c r="AJO22" s="15"/>
      <c r="AJP22" s="15"/>
      <c r="AJQ22" s="15"/>
      <c r="AJR22" s="15"/>
      <c r="AJS22" s="15"/>
      <c r="AJT22" s="15"/>
      <c r="AJU22" s="15"/>
      <c r="AJV22" s="15"/>
      <c r="AJW22" s="15"/>
      <c r="AJX22" s="15"/>
      <c r="AJY22" s="15"/>
      <c r="AJZ22" s="15"/>
      <c r="AKA22" s="15"/>
      <c r="AKB22" s="15"/>
      <c r="AKC22" s="15"/>
      <c r="AKD22" s="15"/>
      <c r="AKE22" s="15"/>
      <c r="AKF22" s="15"/>
      <c r="AKG22" s="15"/>
      <c r="AKH22" s="15"/>
      <c r="AKI22" s="15"/>
      <c r="AKJ22" s="15"/>
      <c r="AKK22" s="15"/>
      <c r="AKL22" s="15"/>
      <c r="AKM22" s="15"/>
      <c r="AKN22" s="15"/>
      <c r="AKO22" s="15"/>
      <c r="AKP22" s="15"/>
      <c r="AKQ22" s="15"/>
      <c r="AKR22" s="15"/>
      <c r="AKS22" s="15"/>
      <c r="AKT22" s="15"/>
      <c r="AKU22" s="15"/>
      <c r="AKV22" s="15"/>
      <c r="AKW22" s="15"/>
      <c r="AKX22" s="15"/>
      <c r="AKY22" s="15"/>
      <c r="AKZ22" s="15"/>
      <c r="ALA22" s="15"/>
      <c r="ALB22" s="15"/>
      <c r="ALC22" s="15"/>
      <c r="ALD22" s="15"/>
      <c r="ALE22" s="15"/>
      <c r="ALF22" s="15"/>
      <c r="ALG22" s="15"/>
      <c r="ALH22" s="15"/>
      <c r="ALI22" s="15"/>
      <c r="ALJ22" s="15"/>
      <c r="ALK22" s="15"/>
      <c r="ALL22" s="15"/>
      <c r="ALM22" s="15"/>
      <c r="ALN22" s="15"/>
      <c r="ALO22" s="15"/>
      <c r="ALP22" s="15"/>
      <c r="ALQ22" s="15"/>
      <c r="ALR22" s="15"/>
      <c r="ALS22" s="15"/>
      <c r="ALT22" s="15"/>
      <c r="ALU22" s="15"/>
      <c r="ALV22" s="15"/>
      <c r="ALW22" s="15"/>
      <c r="ALX22" s="15"/>
      <c r="ALY22" s="15"/>
      <c r="ALZ22" s="15"/>
      <c r="AMA22" s="15"/>
      <c r="AMB22" s="15"/>
      <c r="AMC22" s="15"/>
      <c r="AMD22" s="15"/>
      <c r="AME22" s="15"/>
      <c r="AMF22" s="15"/>
      <c r="AMG22" s="14"/>
      <c r="AMH22" s="14"/>
      <c r="AMI22" s="14"/>
      <c r="AMJ22" s="15"/>
    </row>
    <row r="23" spans="1:1024" s="13" customFormat="1" ht="116" hidden="1" x14ac:dyDescent="0.35">
      <c r="A23" s="19">
        <v>43648</v>
      </c>
      <c r="B23" s="17" t="s">
        <v>25</v>
      </c>
      <c r="C23" s="17" t="s">
        <v>454</v>
      </c>
      <c r="D23" s="18">
        <v>43651</v>
      </c>
      <c r="E23" s="17" t="s">
        <v>27</v>
      </c>
      <c r="F23" s="26">
        <v>0.625</v>
      </c>
      <c r="G23" s="26">
        <v>0.65625</v>
      </c>
      <c r="H23" s="26">
        <v>0.66666666666666696</v>
      </c>
      <c r="I23" s="17">
        <v>717</v>
      </c>
      <c r="J23" s="42" t="s">
        <v>252</v>
      </c>
      <c r="K23" s="17" t="s">
        <v>119</v>
      </c>
      <c r="L23" s="16" t="s">
        <v>17</v>
      </c>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BW23" s="15"/>
      <c r="BX23" s="15"/>
      <c r="BY23" s="15"/>
      <c r="BZ23" s="15"/>
      <c r="CA23" s="15"/>
      <c r="CB23" s="15"/>
      <c r="CC23" s="15"/>
      <c r="CD23" s="15"/>
      <c r="CE23" s="15"/>
      <c r="CF23" s="15"/>
      <c r="CG23" s="15"/>
      <c r="CH23" s="15"/>
      <c r="CI23" s="15"/>
      <c r="CJ23" s="15"/>
      <c r="CK23" s="15"/>
      <c r="CL23" s="15"/>
      <c r="CM23" s="15"/>
      <c r="CN23" s="15"/>
      <c r="CO23" s="15"/>
      <c r="CP23" s="15"/>
      <c r="CQ23" s="15"/>
      <c r="CR23" s="15"/>
      <c r="CS23" s="15"/>
      <c r="CT23" s="15"/>
      <c r="CU23" s="15"/>
      <c r="CV23" s="15"/>
      <c r="CW23" s="15"/>
      <c r="CX23" s="15"/>
      <c r="CY23" s="15"/>
      <c r="CZ23" s="15"/>
      <c r="DA23" s="15"/>
      <c r="DB23" s="15"/>
      <c r="DC23" s="15"/>
      <c r="DD23" s="15"/>
      <c r="DE23" s="15"/>
      <c r="DF23" s="15"/>
      <c r="DG23" s="15"/>
      <c r="DH23" s="15"/>
      <c r="DI23" s="15"/>
      <c r="DJ23" s="15"/>
      <c r="DK23" s="15"/>
      <c r="DL23" s="15"/>
      <c r="DM23" s="15"/>
      <c r="DN23" s="15"/>
      <c r="DO23" s="15"/>
      <c r="DP23" s="15"/>
      <c r="DQ23" s="15"/>
      <c r="DR23" s="15"/>
      <c r="DS23" s="15"/>
      <c r="DT23" s="15"/>
      <c r="DU23" s="15"/>
      <c r="DV23" s="15"/>
      <c r="DW23" s="15"/>
      <c r="DX23" s="15"/>
      <c r="DY23" s="15"/>
      <c r="DZ23" s="15"/>
      <c r="EA23" s="15"/>
      <c r="EB23" s="15"/>
      <c r="EC23" s="15"/>
      <c r="ED23" s="15"/>
      <c r="EE23" s="15"/>
      <c r="EF23" s="15"/>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c r="FO23" s="15"/>
      <c r="FP23" s="15"/>
      <c r="FQ23" s="15"/>
      <c r="FR23" s="15"/>
      <c r="FS23" s="15"/>
      <c r="FT23" s="15"/>
      <c r="FU23" s="15"/>
      <c r="FV23" s="15"/>
      <c r="FW23" s="15"/>
      <c r="FX23" s="15"/>
      <c r="FY23" s="15"/>
      <c r="FZ23" s="15"/>
      <c r="GA23" s="15"/>
      <c r="GB23" s="15"/>
      <c r="GC23" s="15"/>
      <c r="GD23" s="15"/>
      <c r="GE23" s="15"/>
      <c r="GF23" s="15"/>
      <c r="GG23" s="15"/>
      <c r="GH23" s="15"/>
      <c r="GI23" s="15"/>
      <c r="GJ23" s="15"/>
      <c r="GK23" s="15"/>
      <c r="GL23" s="15"/>
      <c r="GM23" s="15"/>
      <c r="GN23" s="15"/>
      <c r="GO23" s="15"/>
      <c r="GP23" s="15"/>
      <c r="GQ23" s="15"/>
      <c r="GR23" s="15"/>
      <c r="GS23" s="15"/>
      <c r="GT23" s="15"/>
      <c r="GU23" s="15"/>
      <c r="GV23" s="15"/>
      <c r="GW23" s="15"/>
      <c r="GX23" s="15"/>
      <c r="GY23" s="15"/>
      <c r="GZ23" s="15"/>
      <c r="HA23" s="15"/>
      <c r="HB23" s="15"/>
      <c r="HC23" s="15"/>
      <c r="HD23" s="15"/>
      <c r="HE23" s="15"/>
      <c r="HF23" s="15"/>
      <c r="HG23" s="15"/>
      <c r="HH23" s="15"/>
      <c r="HI23" s="15"/>
      <c r="HJ23" s="15"/>
      <c r="HK23" s="15"/>
      <c r="HL23" s="15"/>
      <c r="HM23" s="15"/>
      <c r="HN23" s="15"/>
      <c r="HO23" s="15"/>
      <c r="HP23" s="15"/>
      <c r="HQ23" s="15"/>
      <c r="HR23" s="15"/>
      <c r="HS23" s="15"/>
      <c r="HT23" s="15"/>
      <c r="HU23" s="15"/>
      <c r="HV23" s="15"/>
      <c r="HW23" s="15"/>
      <c r="HX23" s="15"/>
      <c r="HY23" s="15"/>
      <c r="HZ23" s="15"/>
      <c r="IA23" s="15"/>
      <c r="IB23" s="15"/>
      <c r="IC23" s="15"/>
      <c r="ID23" s="15"/>
      <c r="IE23" s="15"/>
      <c r="IF23" s="15"/>
      <c r="IG23" s="15"/>
      <c r="IH23" s="15"/>
      <c r="II23" s="15"/>
      <c r="IJ23" s="15"/>
      <c r="IK23" s="15"/>
      <c r="IL23" s="15"/>
      <c r="IM23" s="15"/>
      <c r="IN23" s="15"/>
      <c r="IO23" s="15"/>
      <c r="IP23" s="15"/>
      <c r="IQ23" s="15"/>
      <c r="IR23" s="15"/>
      <c r="IS23" s="15"/>
      <c r="IT23" s="15"/>
      <c r="IU23" s="15"/>
      <c r="IV23" s="15"/>
      <c r="IW23" s="15"/>
      <c r="IX23" s="15"/>
      <c r="IY23" s="15"/>
      <c r="IZ23" s="15"/>
      <c r="JA23" s="15"/>
      <c r="JB23" s="15"/>
      <c r="JC23" s="15"/>
      <c r="JD23" s="15"/>
      <c r="JE23" s="15"/>
      <c r="JF23" s="15"/>
      <c r="JG23" s="15"/>
      <c r="JH23" s="15"/>
      <c r="JI23" s="15"/>
      <c r="JJ23" s="15"/>
      <c r="JK23" s="15"/>
      <c r="JL23" s="15"/>
      <c r="JM23" s="15"/>
      <c r="JN23" s="15"/>
      <c r="JO23" s="15"/>
      <c r="JP23" s="15"/>
      <c r="JQ23" s="15"/>
      <c r="JR23" s="15"/>
      <c r="JS23" s="15"/>
      <c r="JT23" s="15"/>
      <c r="JU23" s="15"/>
      <c r="JV23" s="15"/>
      <c r="JW23" s="15"/>
      <c r="JX23" s="15"/>
      <c r="JY23" s="15"/>
      <c r="JZ23" s="15"/>
      <c r="KA23" s="15"/>
      <c r="KB23" s="15"/>
      <c r="KC23" s="15"/>
      <c r="KD23" s="15"/>
      <c r="KE23" s="15"/>
      <c r="KF23" s="15"/>
      <c r="KG23" s="15"/>
      <c r="KH23" s="15"/>
      <c r="KI23" s="15"/>
      <c r="KJ23" s="15"/>
      <c r="KK23" s="15"/>
      <c r="KL23" s="15"/>
      <c r="KM23" s="15"/>
      <c r="KN23" s="15"/>
      <c r="KO23" s="15"/>
      <c r="KP23" s="15"/>
      <c r="KQ23" s="15"/>
      <c r="KR23" s="15"/>
      <c r="KS23" s="15"/>
      <c r="KT23" s="15"/>
      <c r="KU23" s="15"/>
      <c r="KV23" s="15"/>
      <c r="KW23" s="15"/>
      <c r="KX23" s="15"/>
      <c r="KY23" s="15"/>
      <c r="KZ23" s="15"/>
      <c r="LA23" s="15"/>
      <c r="LB23" s="15"/>
      <c r="LC23" s="15"/>
      <c r="LD23" s="15"/>
      <c r="LE23" s="15"/>
      <c r="LF23" s="15"/>
      <c r="LG23" s="15"/>
      <c r="LH23" s="15"/>
      <c r="LI23" s="15"/>
      <c r="LJ23" s="15"/>
      <c r="LK23" s="15"/>
      <c r="LL23" s="15"/>
      <c r="LM23" s="15"/>
      <c r="LN23" s="15"/>
      <c r="LO23" s="15"/>
      <c r="LP23" s="15"/>
      <c r="LQ23" s="15"/>
      <c r="LR23" s="15"/>
      <c r="LS23" s="15"/>
      <c r="LT23" s="15"/>
      <c r="LU23" s="15"/>
      <c r="LV23" s="15"/>
      <c r="LW23" s="15"/>
      <c r="LX23" s="15"/>
      <c r="LY23" s="15"/>
      <c r="LZ23" s="15"/>
      <c r="MA23" s="15"/>
      <c r="MB23" s="15"/>
      <c r="MC23" s="15"/>
      <c r="MD23" s="15"/>
      <c r="ME23" s="15"/>
      <c r="MF23" s="15"/>
      <c r="MG23" s="15"/>
      <c r="MH23" s="15"/>
      <c r="MI23" s="15"/>
      <c r="MJ23" s="15"/>
      <c r="MK23" s="15"/>
      <c r="ML23" s="15"/>
      <c r="MM23" s="15"/>
      <c r="MN23" s="15"/>
      <c r="MO23" s="15"/>
      <c r="MP23" s="15"/>
      <c r="MQ23" s="15"/>
      <c r="MR23" s="15"/>
      <c r="MS23" s="15"/>
      <c r="MT23" s="15"/>
      <c r="MU23" s="15"/>
      <c r="MV23" s="15"/>
      <c r="MW23" s="15"/>
      <c r="MX23" s="15"/>
      <c r="MY23" s="15"/>
      <c r="MZ23" s="15"/>
      <c r="NA23" s="15"/>
      <c r="NB23" s="15"/>
      <c r="NC23" s="15"/>
      <c r="ND23" s="15"/>
      <c r="NE23" s="15"/>
      <c r="NF23" s="15"/>
      <c r="NG23" s="15"/>
      <c r="NH23" s="15"/>
      <c r="NI23" s="15"/>
      <c r="NJ23" s="15"/>
      <c r="NK23" s="15"/>
      <c r="NL23" s="15"/>
      <c r="NM23" s="15"/>
      <c r="NN23" s="15"/>
      <c r="NO23" s="15"/>
      <c r="NP23" s="15"/>
      <c r="NQ23" s="15"/>
      <c r="NR23" s="15"/>
      <c r="NS23" s="15"/>
      <c r="NT23" s="15"/>
      <c r="NU23" s="15"/>
      <c r="NV23" s="15"/>
      <c r="NW23" s="15"/>
      <c r="NX23" s="15"/>
      <c r="NY23" s="15"/>
      <c r="NZ23" s="15"/>
      <c r="OA23" s="15"/>
      <c r="OB23" s="15"/>
      <c r="OC23" s="15"/>
      <c r="OD23" s="15"/>
      <c r="OE23" s="15"/>
      <c r="OF23" s="15"/>
      <c r="OG23" s="15"/>
      <c r="OH23" s="15"/>
      <c r="OI23" s="15"/>
      <c r="OJ23" s="15"/>
      <c r="OK23" s="15"/>
      <c r="OL23" s="15"/>
      <c r="OM23" s="15"/>
      <c r="ON23" s="15"/>
      <c r="OO23" s="15"/>
      <c r="OP23" s="15"/>
      <c r="OQ23" s="15"/>
      <c r="OR23" s="15"/>
      <c r="OS23" s="15"/>
      <c r="OT23" s="15"/>
      <c r="OU23" s="15"/>
      <c r="OV23" s="15"/>
      <c r="OW23" s="15"/>
      <c r="OX23" s="15"/>
      <c r="OY23" s="15"/>
      <c r="OZ23" s="15"/>
      <c r="PA23" s="15"/>
      <c r="PB23" s="15"/>
      <c r="PC23" s="15"/>
      <c r="PD23" s="15"/>
      <c r="PE23" s="15"/>
      <c r="PF23" s="15"/>
      <c r="PG23" s="15"/>
      <c r="PH23" s="15"/>
      <c r="PI23" s="15"/>
      <c r="PJ23" s="15"/>
      <c r="PK23" s="15"/>
      <c r="PL23" s="15"/>
      <c r="PM23" s="15"/>
      <c r="PN23" s="15"/>
      <c r="PO23" s="15"/>
      <c r="PP23" s="15"/>
      <c r="PQ23" s="15"/>
      <c r="PR23" s="15"/>
      <c r="PS23" s="15"/>
      <c r="PT23" s="15"/>
      <c r="PU23" s="15"/>
      <c r="PV23" s="15"/>
      <c r="PW23" s="15"/>
      <c r="PX23" s="15"/>
      <c r="PY23" s="15"/>
      <c r="PZ23" s="15"/>
      <c r="QA23" s="15"/>
      <c r="QB23" s="15"/>
      <c r="QC23" s="15"/>
      <c r="QD23" s="15"/>
      <c r="QE23" s="15"/>
      <c r="QF23" s="15"/>
      <c r="QG23" s="15"/>
      <c r="QH23" s="15"/>
      <c r="QI23" s="15"/>
      <c r="QJ23" s="15"/>
      <c r="QK23" s="15"/>
      <c r="QL23" s="15"/>
      <c r="QM23" s="15"/>
      <c r="QN23" s="15"/>
      <c r="QO23" s="15"/>
      <c r="QP23" s="15"/>
      <c r="QQ23" s="15"/>
      <c r="QR23" s="15"/>
      <c r="QS23" s="15"/>
      <c r="QT23" s="15"/>
      <c r="QU23" s="15"/>
      <c r="QV23" s="15"/>
      <c r="QW23" s="15"/>
      <c r="QX23" s="15"/>
      <c r="QY23" s="15"/>
      <c r="QZ23" s="15"/>
      <c r="RA23" s="15"/>
      <c r="RB23" s="15"/>
      <c r="RC23" s="15"/>
      <c r="RD23" s="15"/>
      <c r="RE23" s="15"/>
      <c r="RF23" s="15"/>
      <c r="RG23" s="15"/>
      <c r="RH23" s="15"/>
      <c r="RI23" s="15"/>
      <c r="RJ23" s="15"/>
      <c r="RK23" s="15"/>
      <c r="RL23" s="15"/>
      <c r="RM23" s="15"/>
      <c r="RN23" s="15"/>
      <c r="RO23" s="15"/>
      <c r="RP23" s="15"/>
      <c r="RQ23" s="15"/>
      <c r="RR23" s="15"/>
      <c r="RS23" s="15"/>
      <c r="RT23" s="15"/>
      <c r="RU23" s="15"/>
      <c r="RV23" s="15"/>
      <c r="RW23" s="15"/>
      <c r="RX23" s="15"/>
      <c r="RY23" s="15"/>
      <c r="RZ23" s="15"/>
      <c r="SA23" s="15"/>
      <c r="SB23" s="15"/>
      <c r="SC23" s="15"/>
      <c r="SD23" s="15"/>
      <c r="SE23" s="15"/>
      <c r="SF23" s="15"/>
      <c r="SG23" s="15"/>
      <c r="SH23" s="15"/>
      <c r="SI23" s="15"/>
      <c r="SJ23" s="15"/>
      <c r="SK23" s="15"/>
      <c r="SL23" s="15"/>
      <c r="SM23" s="15"/>
      <c r="SN23" s="15"/>
      <c r="SO23" s="15"/>
      <c r="SP23" s="15"/>
      <c r="SQ23" s="15"/>
      <c r="SR23" s="15"/>
      <c r="SS23" s="15"/>
      <c r="ST23" s="15"/>
      <c r="SU23" s="15"/>
      <c r="SV23" s="15"/>
      <c r="SW23" s="15"/>
      <c r="SX23" s="15"/>
      <c r="SY23" s="15"/>
      <c r="SZ23" s="15"/>
      <c r="TA23" s="15"/>
      <c r="TB23" s="15"/>
      <c r="TC23" s="15"/>
      <c r="TD23" s="15"/>
      <c r="TE23" s="15"/>
      <c r="TF23" s="15"/>
      <c r="TG23" s="15"/>
      <c r="TH23" s="15"/>
      <c r="TI23" s="15"/>
      <c r="TJ23" s="15"/>
      <c r="TK23" s="15"/>
      <c r="TL23" s="15"/>
      <c r="TM23" s="15"/>
      <c r="TN23" s="15"/>
      <c r="TO23" s="15"/>
      <c r="TP23" s="15"/>
      <c r="TQ23" s="15"/>
      <c r="TR23" s="15"/>
      <c r="TS23" s="15"/>
      <c r="TT23" s="15"/>
      <c r="TU23" s="15"/>
      <c r="TV23" s="15"/>
      <c r="TW23" s="15"/>
      <c r="TX23" s="15"/>
      <c r="TY23" s="15"/>
      <c r="TZ23" s="15"/>
      <c r="UA23" s="15"/>
      <c r="UB23" s="15"/>
      <c r="UC23" s="15"/>
      <c r="UD23" s="15"/>
      <c r="UE23" s="15"/>
      <c r="UF23" s="15"/>
      <c r="UG23" s="15"/>
      <c r="UH23" s="15"/>
      <c r="UI23" s="15"/>
      <c r="UJ23" s="15"/>
      <c r="UK23" s="15"/>
      <c r="UL23" s="15"/>
      <c r="UM23" s="15"/>
      <c r="UN23" s="15"/>
      <c r="UO23" s="15"/>
      <c r="UP23" s="15"/>
      <c r="UQ23" s="15"/>
      <c r="UR23" s="15"/>
      <c r="US23" s="15"/>
      <c r="UT23" s="15"/>
      <c r="UU23" s="15"/>
      <c r="UV23" s="15"/>
      <c r="UW23" s="15"/>
      <c r="UX23" s="15"/>
      <c r="UY23" s="15"/>
      <c r="UZ23" s="15"/>
      <c r="VA23" s="15"/>
      <c r="VB23" s="15"/>
      <c r="VC23" s="15"/>
      <c r="VD23" s="15"/>
      <c r="VE23" s="15"/>
      <c r="VF23" s="15"/>
      <c r="VG23" s="15"/>
      <c r="VH23" s="15"/>
      <c r="VI23" s="15"/>
      <c r="VJ23" s="15"/>
      <c r="VK23" s="15"/>
      <c r="VL23" s="15"/>
      <c r="VM23" s="15"/>
      <c r="VN23" s="15"/>
      <c r="VO23" s="15"/>
      <c r="VP23" s="15"/>
      <c r="VQ23" s="15"/>
      <c r="VR23" s="15"/>
      <c r="VS23" s="15"/>
      <c r="VT23" s="15"/>
      <c r="VU23" s="15"/>
      <c r="VV23" s="15"/>
      <c r="VW23" s="15"/>
      <c r="VX23" s="15"/>
      <c r="VY23" s="15"/>
      <c r="VZ23" s="15"/>
      <c r="WA23" s="15"/>
      <c r="WB23" s="15"/>
      <c r="WC23" s="15"/>
      <c r="WD23" s="15"/>
      <c r="WE23" s="15"/>
      <c r="WF23" s="15"/>
      <c r="WG23" s="15"/>
      <c r="WH23" s="15"/>
      <c r="WI23" s="15"/>
      <c r="WJ23" s="15"/>
      <c r="WK23" s="15"/>
      <c r="WL23" s="15"/>
      <c r="WM23" s="15"/>
      <c r="WN23" s="15"/>
      <c r="WO23" s="15"/>
      <c r="WP23" s="15"/>
      <c r="WQ23" s="15"/>
      <c r="WR23" s="15"/>
      <c r="WS23" s="15"/>
      <c r="WT23" s="15"/>
      <c r="WU23" s="15"/>
      <c r="WV23" s="15"/>
      <c r="WW23" s="15"/>
      <c r="WX23" s="15"/>
      <c r="WY23" s="15"/>
      <c r="WZ23" s="15"/>
      <c r="XA23" s="15"/>
      <c r="XB23" s="15"/>
      <c r="XC23" s="15"/>
      <c r="XD23" s="15"/>
      <c r="XE23" s="15"/>
      <c r="XF23" s="15"/>
      <c r="XG23" s="15"/>
      <c r="XH23" s="15"/>
      <c r="XI23" s="15"/>
      <c r="XJ23" s="15"/>
      <c r="XK23" s="15"/>
      <c r="XL23" s="15"/>
      <c r="XM23" s="15"/>
      <c r="XN23" s="15"/>
      <c r="XO23" s="15"/>
      <c r="XP23" s="15"/>
      <c r="XQ23" s="15"/>
      <c r="XR23" s="15"/>
      <c r="XS23" s="15"/>
      <c r="XT23" s="15"/>
      <c r="XU23" s="15"/>
      <c r="XV23" s="15"/>
      <c r="XW23" s="15"/>
      <c r="XX23" s="15"/>
      <c r="XY23" s="15"/>
      <c r="XZ23" s="15"/>
      <c r="YA23" s="15"/>
      <c r="YB23" s="15"/>
      <c r="YC23" s="15"/>
      <c r="YD23" s="15"/>
      <c r="YE23" s="15"/>
      <c r="YF23" s="15"/>
      <c r="YG23" s="15"/>
      <c r="YH23" s="15"/>
      <c r="YI23" s="15"/>
      <c r="YJ23" s="15"/>
      <c r="YK23" s="15"/>
      <c r="YL23" s="15"/>
      <c r="YM23" s="15"/>
      <c r="YN23" s="15"/>
      <c r="YO23" s="15"/>
      <c r="YP23" s="15"/>
      <c r="YQ23" s="15"/>
      <c r="YR23" s="15"/>
      <c r="YS23" s="15"/>
      <c r="YT23" s="15"/>
      <c r="YU23" s="15"/>
      <c r="YV23" s="15"/>
      <c r="YW23" s="15"/>
      <c r="YX23" s="15"/>
      <c r="YY23" s="15"/>
      <c r="YZ23" s="15"/>
      <c r="ZA23" s="15"/>
      <c r="ZB23" s="15"/>
      <c r="ZC23" s="15"/>
      <c r="ZD23" s="15"/>
      <c r="ZE23" s="15"/>
      <c r="ZF23" s="15"/>
      <c r="ZG23" s="15"/>
      <c r="ZH23" s="15"/>
      <c r="ZI23" s="15"/>
      <c r="ZJ23" s="15"/>
      <c r="ZK23" s="15"/>
      <c r="ZL23" s="15"/>
      <c r="ZM23" s="15"/>
      <c r="ZN23" s="15"/>
      <c r="ZO23" s="15"/>
      <c r="ZP23" s="15"/>
      <c r="ZQ23" s="15"/>
      <c r="ZR23" s="15"/>
      <c r="ZS23" s="15"/>
      <c r="ZT23" s="15"/>
      <c r="ZU23" s="15"/>
      <c r="ZV23" s="15"/>
      <c r="ZW23" s="15"/>
      <c r="ZX23" s="15"/>
      <c r="ZY23" s="15"/>
      <c r="ZZ23" s="15"/>
      <c r="AAA23" s="15"/>
      <c r="AAB23" s="15"/>
      <c r="AAC23" s="15"/>
      <c r="AAD23" s="15"/>
      <c r="AAE23" s="15"/>
      <c r="AAF23" s="15"/>
      <c r="AAG23" s="15"/>
      <c r="AAH23" s="15"/>
      <c r="AAI23" s="15"/>
      <c r="AAJ23" s="15"/>
      <c r="AAK23" s="15"/>
      <c r="AAL23" s="15"/>
      <c r="AAM23" s="15"/>
      <c r="AAN23" s="15"/>
      <c r="AAO23" s="15"/>
      <c r="AAP23" s="15"/>
      <c r="AAQ23" s="15"/>
      <c r="AAR23" s="15"/>
      <c r="AAS23" s="15"/>
      <c r="AAT23" s="15"/>
      <c r="AAU23" s="15"/>
      <c r="AAV23" s="15"/>
      <c r="AAW23" s="15"/>
      <c r="AAX23" s="15"/>
      <c r="AAY23" s="15"/>
      <c r="AAZ23" s="15"/>
      <c r="ABA23" s="15"/>
      <c r="ABB23" s="15"/>
      <c r="ABC23" s="15"/>
      <c r="ABD23" s="15"/>
      <c r="ABE23" s="15"/>
      <c r="ABF23" s="15"/>
      <c r="ABG23" s="15"/>
      <c r="ABH23" s="15"/>
      <c r="ABI23" s="15"/>
      <c r="ABJ23" s="15"/>
      <c r="ABK23" s="15"/>
      <c r="ABL23" s="15"/>
      <c r="ABM23" s="15"/>
      <c r="ABN23" s="15"/>
      <c r="ABO23" s="15"/>
      <c r="ABP23" s="15"/>
      <c r="ABQ23" s="15"/>
      <c r="ABR23" s="15"/>
      <c r="ABS23" s="15"/>
      <c r="ABT23" s="15"/>
      <c r="ABU23" s="15"/>
      <c r="ABV23" s="15"/>
      <c r="ABW23" s="15"/>
      <c r="ABX23" s="15"/>
      <c r="ABY23" s="15"/>
      <c r="ABZ23" s="15"/>
      <c r="ACA23" s="15"/>
      <c r="ACB23" s="15"/>
      <c r="ACC23" s="15"/>
      <c r="ACD23" s="15"/>
      <c r="ACE23" s="15"/>
      <c r="ACF23" s="15"/>
      <c r="ACG23" s="15"/>
      <c r="ACH23" s="15"/>
      <c r="ACI23" s="15"/>
      <c r="ACJ23" s="15"/>
      <c r="ACK23" s="15"/>
      <c r="ACL23" s="15"/>
      <c r="ACM23" s="15"/>
      <c r="ACN23" s="15"/>
      <c r="ACO23" s="15"/>
      <c r="ACP23" s="15"/>
      <c r="ACQ23" s="15"/>
      <c r="ACR23" s="15"/>
      <c r="ACS23" s="15"/>
      <c r="ACT23" s="15"/>
      <c r="ACU23" s="15"/>
      <c r="ACV23" s="15"/>
      <c r="ACW23" s="15"/>
      <c r="ACX23" s="15"/>
      <c r="ACY23" s="15"/>
      <c r="ACZ23" s="15"/>
      <c r="ADA23" s="15"/>
      <c r="ADB23" s="15"/>
      <c r="ADC23" s="15"/>
      <c r="ADD23" s="15"/>
      <c r="ADE23" s="15"/>
      <c r="ADF23" s="15"/>
      <c r="ADG23" s="15"/>
      <c r="ADH23" s="15"/>
      <c r="ADI23" s="15"/>
      <c r="ADJ23" s="15"/>
      <c r="ADK23" s="15"/>
      <c r="ADL23" s="15"/>
      <c r="ADM23" s="15"/>
      <c r="ADN23" s="15"/>
      <c r="ADO23" s="15"/>
      <c r="ADP23" s="15"/>
      <c r="ADQ23" s="15"/>
      <c r="ADR23" s="15"/>
      <c r="ADS23" s="15"/>
      <c r="ADT23" s="15"/>
      <c r="ADU23" s="15"/>
      <c r="ADV23" s="15"/>
      <c r="ADW23" s="15"/>
      <c r="ADX23" s="15"/>
      <c r="ADY23" s="15"/>
      <c r="ADZ23" s="15"/>
      <c r="AEA23" s="15"/>
      <c r="AEB23" s="15"/>
      <c r="AEC23" s="15"/>
      <c r="AED23" s="15"/>
      <c r="AEE23" s="15"/>
      <c r="AEF23" s="15"/>
      <c r="AEG23" s="15"/>
      <c r="AEH23" s="15"/>
      <c r="AEI23" s="15"/>
      <c r="AEJ23" s="15"/>
      <c r="AEK23" s="15"/>
      <c r="AEL23" s="15"/>
      <c r="AEM23" s="15"/>
      <c r="AEN23" s="15"/>
      <c r="AEO23" s="15"/>
      <c r="AEP23" s="15"/>
      <c r="AEQ23" s="15"/>
      <c r="AER23" s="15"/>
      <c r="AES23" s="15"/>
      <c r="AET23" s="15"/>
      <c r="AEU23" s="15"/>
      <c r="AEV23" s="15"/>
      <c r="AEW23" s="15"/>
      <c r="AEX23" s="15"/>
      <c r="AEY23" s="15"/>
      <c r="AEZ23" s="15"/>
      <c r="AFA23" s="15"/>
      <c r="AFB23" s="15"/>
      <c r="AFC23" s="15"/>
      <c r="AFD23" s="15"/>
      <c r="AFE23" s="15"/>
      <c r="AFF23" s="15"/>
      <c r="AFG23" s="15"/>
      <c r="AFH23" s="15"/>
      <c r="AFI23" s="15"/>
      <c r="AFJ23" s="15"/>
      <c r="AFK23" s="15"/>
      <c r="AFL23" s="15"/>
      <c r="AFM23" s="15"/>
      <c r="AFN23" s="15"/>
      <c r="AFO23" s="15"/>
      <c r="AFP23" s="15"/>
      <c r="AFQ23" s="15"/>
      <c r="AFR23" s="15"/>
      <c r="AFS23" s="15"/>
      <c r="AFT23" s="15"/>
      <c r="AFU23" s="15"/>
      <c r="AFV23" s="15"/>
      <c r="AFW23" s="15"/>
      <c r="AFX23" s="15"/>
      <c r="AFY23" s="15"/>
      <c r="AFZ23" s="15"/>
      <c r="AGA23" s="15"/>
      <c r="AGB23" s="15"/>
      <c r="AGC23" s="15"/>
      <c r="AGD23" s="15"/>
      <c r="AGE23" s="15"/>
      <c r="AGF23" s="15"/>
      <c r="AGG23" s="15"/>
      <c r="AGH23" s="15"/>
      <c r="AGI23" s="15"/>
      <c r="AGJ23" s="15"/>
      <c r="AGK23" s="15"/>
      <c r="AGL23" s="15"/>
      <c r="AGM23" s="15"/>
      <c r="AGN23" s="15"/>
      <c r="AGO23" s="15"/>
      <c r="AGP23" s="15"/>
      <c r="AGQ23" s="15"/>
      <c r="AGR23" s="15"/>
      <c r="AGS23" s="15"/>
      <c r="AGT23" s="15"/>
      <c r="AGU23" s="15"/>
      <c r="AGV23" s="15"/>
      <c r="AGW23" s="15"/>
      <c r="AGX23" s="15"/>
      <c r="AGY23" s="15"/>
      <c r="AGZ23" s="15"/>
      <c r="AHA23" s="15"/>
      <c r="AHB23" s="15"/>
      <c r="AHC23" s="15"/>
      <c r="AHD23" s="15"/>
      <c r="AHE23" s="15"/>
      <c r="AHF23" s="15"/>
      <c r="AHG23" s="15"/>
      <c r="AHH23" s="15"/>
      <c r="AHI23" s="15"/>
      <c r="AHJ23" s="15"/>
      <c r="AHK23" s="15"/>
      <c r="AHL23" s="15"/>
      <c r="AHM23" s="15"/>
      <c r="AHN23" s="15"/>
      <c r="AHO23" s="15"/>
      <c r="AHP23" s="15"/>
      <c r="AHQ23" s="15"/>
      <c r="AHR23" s="15"/>
      <c r="AHS23" s="15"/>
      <c r="AHT23" s="15"/>
      <c r="AHU23" s="15"/>
      <c r="AHV23" s="15"/>
      <c r="AHW23" s="15"/>
      <c r="AHX23" s="15"/>
      <c r="AHY23" s="15"/>
      <c r="AHZ23" s="15"/>
      <c r="AIA23" s="15"/>
      <c r="AIB23" s="15"/>
      <c r="AIC23" s="15"/>
      <c r="AID23" s="15"/>
      <c r="AIE23" s="15"/>
      <c r="AIF23" s="15"/>
      <c r="AIG23" s="15"/>
      <c r="AIH23" s="15"/>
      <c r="AII23" s="15"/>
      <c r="AIJ23" s="15"/>
      <c r="AIK23" s="15"/>
      <c r="AIL23" s="15"/>
      <c r="AIM23" s="15"/>
      <c r="AIN23" s="15"/>
      <c r="AIO23" s="15"/>
      <c r="AIP23" s="15"/>
      <c r="AIQ23" s="15"/>
      <c r="AIR23" s="15"/>
      <c r="AIS23" s="15"/>
      <c r="AIT23" s="15"/>
      <c r="AIU23" s="15"/>
      <c r="AIV23" s="15"/>
      <c r="AIW23" s="15"/>
      <c r="AIX23" s="15"/>
      <c r="AIY23" s="15"/>
      <c r="AIZ23" s="15"/>
      <c r="AJA23" s="15"/>
      <c r="AJB23" s="15"/>
      <c r="AJC23" s="15"/>
      <c r="AJD23" s="15"/>
      <c r="AJE23" s="15"/>
      <c r="AJF23" s="15"/>
      <c r="AJG23" s="15"/>
      <c r="AJH23" s="15"/>
      <c r="AJI23" s="15"/>
      <c r="AJJ23" s="15"/>
      <c r="AJK23" s="15"/>
      <c r="AJL23" s="15"/>
      <c r="AJM23" s="15"/>
      <c r="AJN23" s="15"/>
      <c r="AJO23" s="15"/>
      <c r="AJP23" s="15"/>
      <c r="AJQ23" s="15"/>
      <c r="AJR23" s="15"/>
      <c r="AJS23" s="15"/>
      <c r="AJT23" s="15"/>
      <c r="AJU23" s="15"/>
      <c r="AJV23" s="15"/>
      <c r="AJW23" s="15"/>
      <c r="AJX23" s="15"/>
      <c r="AJY23" s="15"/>
      <c r="AJZ23" s="15"/>
      <c r="AKA23" s="15"/>
      <c r="AKB23" s="15"/>
      <c r="AKC23" s="15"/>
      <c r="AKD23" s="15"/>
      <c r="AKE23" s="15"/>
      <c r="AKF23" s="15"/>
      <c r="AKG23" s="15"/>
      <c r="AKH23" s="15"/>
      <c r="AKI23" s="15"/>
      <c r="AKJ23" s="15"/>
      <c r="AKK23" s="15"/>
      <c r="AKL23" s="15"/>
      <c r="AKM23" s="15"/>
      <c r="AKN23" s="15"/>
      <c r="AKO23" s="15"/>
      <c r="AKP23" s="15"/>
      <c r="AKQ23" s="15"/>
      <c r="AKR23" s="15"/>
      <c r="AKS23" s="15"/>
      <c r="AKT23" s="15"/>
      <c r="AKU23" s="15"/>
      <c r="AKV23" s="15"/>
      <c r="AKW23" s="15"/>
      <c r="AKX23" s="15"/>
      <c r="AKY23" s="15"/>
      <c r="AKZ23" s="15"/>
      <c r="ALA23" s="15"/>
      <c r="ALB23" s="15"/>
      <c r="ALC23" s="15"/>
      <c r="ALD23" s="15"/>
      <c r="ALE23" s="15"/>
      <c r="ALF23" s="15"/>
      <c r="ALG23" s="15"/>
      <c r="ALH23" s="15"/>
      <c r="ALI23" s="15"/>
      <c r="ALJ23" s="15"/>
      <c r="ALK23" s="15"/>
      <c r="ALL23" s="15"/>
      <c r="ALM23" s="15"/>
      <c r="ALN23" s="15"/>
      <c r="ALO23" s="15"/>
      <c r="ALP23" s="15"/>
      <c r="ALQ23" s="15"/>
      <c r="ALR23" s="15"/>
      <c r="ALS23" s="15"/>
      <c r="ALT23" s="15"/>
      <c r="ALU23" s="15"/>
      <c r="ALV23" s="15"/>
      <c r="ALW23" s="15"/>
      <c r="ALX23" s="15"/>
      <c r="ALY23" s="15"/>
      <c r="ALZ23" s="15"/>
      <c r="AMA23" s="15"/>
      <c r="AMB23" s="15"/>
      <c r="AMC23" s="15"/>
      <c r="AMD23" s="15"/>
      <c r="AME23" s="15"/>
      <c r="AMF23" s="15"/>
      <c r="AMG23" s="14"/>
      <c r="AMH23" s="14"/>
      <c r="AMI23" s="14"/>
      <c r="AMJ23" s="15"/>
    </row>
    <row r="24" spans="1:1024" s="13" customFormat="1" ht="43.5" hidden="1" x14ac:dyDescent="0.35">
      <c r="A24" s="19">
        <v>43649</v>
      </c>
      <c r="B24" s="17" t="s">
        <v>453</v>
      </c>
      <c r="C24" s="17" t="s">
        <v>452</v>
      </c>
      <c r="D24" s="18">
        <v>43651</v>
      </c>
      <c r="E24" s="17" t="s">
        <v>115</v>
      </c>
      <c r="F24" s="26">
        <v>0.70833333333333304</v>
      </c>
      <c r="G24" s="26">
        <v>0.70833333333333304</v>
      </c>
      <c r="H24" s="26">
        <v>0.70833333333333304</v>
      </c>
      <c r="I24" s="17">
        <v>260</v>
      </c>
      <c r="J24" s="17" t="s">
        <v>451</v>
      </c>
      <c r="K24" s="17" t="s">
        <v>15</v>
      </c>
      <c r="L24" s="16" t="s">
        <v>17</v>
      </c>
      <c r="M24" s="15">
        <v>260</v>
      </c>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c r="HI24" s="15"/>
      <c r="HJ24" s="15"/>
      <c r="HK24" s="15"/>
      <c r="HL24" s="15"/>
      <c r="HM24" s="15"/>
      <c r="HN24" s="15"/>
      <c r="HO24" s="15"/>
      <c r="HP24" s="15"/>
      <c r="HQ24" s="15"/>
      <c r="HR24" s="15"/>
      <c r="HS24" s="15"/>
      <c r="HT24" s="15"/>
      <c r="HU24" s="15"/>
      <c r="HV24" s="15"/>
      <c r="HW24" s="15"/>
      <c r="HX24" s="15"/>
      <c r="HY24" s="15"/>
      <c r="HZ24" s="15"/>
      <c r="IA24" s="15"/>
      <c r="IB24" s="15"/>
      <c r="IC24" s="15"/>
      <c r="ID24" s="15"/>
      <c r="IE24" s="15"/>
      <c r="IF24" s="15"/>
      <c r="IG24" s="15"/>
      <c r="IH24" s="15"/>
      <c r="II24" s="15"/>
      <c r="IJ24" s="15"/>
      <c r="IK24" s="15"/>
      <c r="IL24" s="15"/>
      <c r="IM24" s="15"/>
      <c r="IN24" s="15"/>
      <c r="IO24" s="15"/>
      <c r="IP24" s="15"/>
      <c r="IQ24" s="15"/>
      <c r="IR24" s="15"/>
      <c r="IS24" s="15"/>
      <c r="IT24" s="15"/>
      <c r="IU24" s="15"/>
      <c r="IV24" s="15"/>
      <c r="IW24" s="15"/>
      <c r="IX24" s="15"/>
      <c r="IY24" s="15"/>
      <c r="IZ24" s="15"/>
      <c r="JA24" s="15"/>
      <c r="JB24" s="15"/>
      <c r="JC24" s="15"/>
      <c r="JD24" s="15"/>
      <c r="JE24" s="15"/>
      <c r="JF24" s="15"/>
      <c r="JG24" s="15"/>
      <c r="JH24" s="15"/>
      <c r="JI24" s="15"/>
      <c r="JJ24" s="15"/>
      <c r="JK24" s="15"/>
      <c r="JL24" s="15"/>
      <c r="JM24" s="15"/>
      <c r="JN24" s="15"/>
      <c r="JO24" s="15"/>
      <c r="JP24" s="15"/>
      <c r="JQ24" s="15"/>
      <c r="JR24" s="15"/>
      <c r="JS24" s="15"/>
      <c r="JT24" s="15"/>
      <c r="JU24" s="15"/>
      <c r="JV24" s="15"/>
      <c r="JW24" s="15"/>
      <c r="JX24" s="15"/>
      <c r="JY24" s="15"/>
      <c r="JZ24" s="15"/>
      <c r="KA24" s="15"/>
      <c r="KB24" s="15"/>
      <c r="KC24" s="15"/>
      <c r="KD24" s="15"/>
      <c r="KE24" s="15"/>
      <c r="KF24" s="15"/>
      <c r="KG24" s="15"/>
      <c r="KH24" s="15"/>
      <c r="KI24" s="15"/>
      <c r="KJ24" s="15"/>
      <c r="KK24" s="15"/>
      <c r="KL24" s="15"/>
      <c r="KM24" s="15"/>
      <c r="KN24" s="15"/>
      <c r="KO24" s="15"/>
      <c r="KP24" s="15"/>
      <c r="KQ24" s="15"/>
      <c r="KR24" s="15"/>
      <c r="KS24" s="15"/>
      <c r="KT24" s="15"/>
      <c r="KU24" s="15"/>
      <c r="KV24" s="15"/>
      <c r="KW24" s="15"/>
      <c r="KX24" s="15"/>
      <c r="KY24" s="15"/>
      <c r="KZ24" s="15"/>
      <c r="LA24" s="15"/>
      <c r="LB24" s="15"/>
      <c r="LC24" s="15"/>
      <c r="LD24" s="15"/>
      <c r="LE24" s="15"/>
      <c r="LF24" s="15"/>
      <c r="LG24" s="15"/>
      <c r="LH24" s="15"/>
      <c r="LI24" s="15"/>
      <c r="LJ24" s="15"/>
      <c r="LK24" s="15"/>
      <c r="LL24" s="15"/>
      <c r="LM24" s="15"/>
      <c r="LN24" s="15"/>
      <c r="LO24" s="15"/>
      <c r="LP24" s="15"/>
      <c r="LQ24" s="15"/>
      <c r="LR24" s="15"/>
      <c r="LS24" s="15"/>
      <c r="LT24" s="15"/>
      <c r="LU24" s="15"/>
      <c r="LV24" s="15"/>
      <c r="LW24" s="15"/>
      <c r="LX24" s="15"/>
      <c r="LY24" s="15"/>
      <c r="LZ24" s="15"/>
      <c r="MA24" s="15"/>
      <c r="MB24" s="15"/>
      <c r="MC24" s="15"/>
      <c r="MD24" s="15"/>
      <c r="ME24" s="15"/>
      <c r="MF24" s="15"/>
      <c r="MG24" s="15"/>
      <c r="MH24" s="15"/>
      <c r="MI24" s="15"/>
      <c r="MJ24" s="15"/>
      <c r="MK24" s="15"/>
      <c r="ML24" s="15"/>
      <c r="MM24" s="15"/>
      <c r="MN24" s="15"/>
      <c r="MO24" s="15"/>
      <c r="MP24" s="15"/>
      <c r="MQ24" s="15"/>
      <c r="MR24" s="15"/>
      <c r="MS24" s="15"/>
      <c r="MT24" s="15"/>
      <c r="MU24" s="15"/>
      <c r="MV24" s="15"/>
      <c r="MW24" s="15"/>
      <c r="MX24" s="15"/>
      <c r="MY24" s="15"/>
      <c r="MZ24" s="15"/>
      <c r="NA24" s="15"/>
      <c r="NB24" s="15"/>
      <c r="NC24" s="15"/>
      <c r="ND24" s="15"/>
      <c r="NE24" s="15"/>
      <c r="NF24" s="15"/>
      <c r="NG24" s="15"/>
      <c r="NH24" s="15"/>
      <c r="NI24" s="15"/>
      <c r="NJ24" s="15"/>
      <c r="NK24" s="15"/>
      <c r="NL24" s="15"/>
      <c r="NM24" s="15"/>
      <c r="NN24" s="15"/>
      <c r="NO24" s="15"/>
      <c r="NP24" s="15"/>
      <c r="NQ24" s="15"/>
      <c r="NR24" s="15"/>
      <c r="NS24" s="15"/>
      <c r="NT24" s="15"/>
      <c r="NU24" s="15"/>
      <c r="NV24" s="15"/>
      <c r="NW24" s="15"/>
      <c r="NX24" s="15"/>
      <c r="NY24" s="15"/>
      <c r="NZ24" s="15"/>
      <c r="OA24" s="15"/>
      <c r="OB24" s="15"/>
      <c r="OC24" s="15"/>
      <c r="OD24" s="15"/>
      <c r="OE24" s="15"/>
      <c r="OF24" s="15"/>
      <c r="OG24" s="15"/>
      <c r="OH24" s="15"/>
      <c r="OI24" s="15"/>
      <c r="OJ24" s="15"/>
      <c r="OK24" s="15"/>
      <c r="OL24" s="15"/>
      <c r="OM24" s="15"/>
      <c r="ON24" s="15"/>
      <c r="OO24" s="15"/>
      <c r="OP24" s="15"/>
      <c r="OQ24" s="15"/>
      <c r="OR24" s="15"/>
      <c r="OS24" s="15"/>
      <c r="OT24" s="15"/>
      <c r="OU24" s="15"/>
      <c r="OV24" s="15"/>
      <c r="OW24" s="15"/>
      <c r="OX24" s="15"/>
      <c r="OY24" s="15"/>
      <c r="OZ24" s="15"/>
      <c r="PA24" s="15"/>
      <c r="PB24" s="15"/>
      <c r="PC24" s="15"/>
      <c r="PD24" s="15"/>
      <c r="PE24" s="15"/>
      <c r="PF24" s="15"/>
      <c r="PG24" s="15"/>
      <c r="PH24" s="15"/>
      <c r="PI24" s="15"/>
      <c r="PJ24" s="15"/>
      <c r="PK24" s="15"/>
      <c r="PL24" s="15"/>
      <c r="PM24" s="15"/>
      <c r="PN24" s="15"/>
      <c r="PO24" s="15"/>
      <c r="PP24" s="15"/>
      <c r="PQ24" s="15"/>
      <c r="PR24" s="15"/>
      <c r="PS24" s="15"/>
      <c r="PT24" s="15"/>
      <c r="PU24" s="15"/>
      <c r="PV24" s="15"/>
      <c r="PW24" s="15"/>
      <c r="PX24" s="15"/>
      <c r="PY24" s="15"/>
      <c r="PZ24" s="15"/>
      <c r="QA24" s="15"/>
      <c r="QB24" s="15"/>
      <c r="QC24" s="15"/>
      <c r="QD24" s="15"/>
      <c r="QE24" s="15"/>
      <c r="QF24" s="15"/>
      <c r="QG24" s="15"/>
      <c r="QH24" s="15"/>
      <c r="QI24" s="15"/>
      <c r="QJ24" s="15"/>
      <c r="QK24" s="15"/>
      <c r="QL24" s="15"/>
      <c r="QM24" s="15"/>
      <c r="QN24" s="15"/>
      <c r="QO24" s="15"/>
      <c r="QP24" s="15"/>
      <c r="QQ24" s="15"/>
      <c r="QR24" s="15"/>
      <c r="QS24" s="15"/>
      <c r="QT24" s="15"/>
      <c r="QU24" s="15"/>
      <c r="QV24" s="15"/>
      <c r="QW24" s="15"/>
      <c r="QX24" s="15"/>
      <c r="QY24" s="15"/>
      <c r="QZ24" s="15"/>
      <c r="RA24" s="15"/>
      <c r="RB24" s="15"/>
      <c r="RC24" s="15"/>
      <c r="RD24" s="15"/>
      <c r="RE24" s="15"/>
      <c r="RF24" s="15"/>
      <c r="RG24" s="15"/>
      <c r="RH24" s="15"/>
      <c r="RI24" s="15"/>
      <c r="RJ24" s="15"/>
      <c r="RK24" s="15"/>
      <c r="RL24" s="15"/>
      <c r="RM24" s="15"/>
      <c r="RN24" s="15"/>
      <c r="RO24" s="15"/>
      <c r="RP24" s="15"/>
      <c r="RQ24" s="15"/>
      <c r="RR24" s="15"/>
      <c r="RS24" s="15"/>
      <c r="RT24" s="15"/>
      <c r="RU24" s="15"/>
      <c r="RV24" s="15"/>
      <c r="RW24" s="15"/>
      <c r="RX24" s="15"/>
      <c r="RY24" s="15"/>
      <c r="RZ24" s="15"/>
      <c r="SA24" s="15"/>
      <c r="SB24" s="15"/>
      <c r="SC24" s="15"/>
      <c r="SD24" s="15"/>
      <c r="SE24" s="15"/>
      <c r="SF24" s="15"/>
      <c r="SG24" s="15"/>
      <c r="SH24" s="15"/>
      <c r="SI24" s="15"/>
      <c r="SJ24" s="15"/>
      <c r="SK24" s="15"/>
      <c r="SL24" s="15"/>
      <c r="SM24" s="15"/>
      <c r="SN24" s="15"/>
      <c r="SO24" s="15"/>
      <c r="SP24" s="15"/>
      <c r="SQ24" s="15"/>
      <c r="SR24" s="15"/>
      <c r="SS24" s="15"/>
      <c r="ST24" s="15"/>
      <c r="SU24" s="15"/>
      <c r="SV24" s="15"/>
      <c r="SW24" s="15"/>
      <c r="SX24" s="15"/>
      <c r="SY24" s="15"/>
      <c r="SZ24" s="15"/>
      <c r="TA24" s="15"/>
      <c r="TB24" s="15"/>
      <c r="TC24" s="15"/>
      <c r="TD24" s="15"/>
      <c r="TE24" s="15"/>
      <c r="TF24" s="15"/>
      <c r="TG24" s="15"/>
      <c r="TH24" s="15"/>
      <c r="TI24" s="15"/>
      <c r="TJ24" s="15"/>
      <c r="TK24" s="15"/>
      <c r="TL24" s="15"/>
      <c r="TM24" s="15"/>
      <c r="TN24" s="15"/>
      <c r="TO24" s="15"/>
      <c r="TP24" s="15"/>
      <c r="TQ24" s="15"/>
      <c r="TR24" s="15"/>
      <c r="TS24" s="15"/>
      <c r="TT24" s="15"/>
      <c r="TU24" s="15"/>
      <c r="TV24" s="15"/>
      <c r="TW24" s="15"/>
      <c r="TX24" s="15"/>
      <c r="TY24" s="15"/>
      <c r="TZ24" s="15"/>
      <c r="UA24" s="15"/>
      <c r="UB24" s="15"/>
      <c r="UC24" s="15"/>
      <c r="UD24" s="15"/>
      <c r="UE24" s="15"/>
      <c r="UF24" s="15"/>
      <c r="UG24" s="15"/>
      <c r="UH24" s="15"/>
      <c r="UI24" s="15"/>
      <c r="UJ24" s="15"/>
      <c r="UK24" s="15"/>
      <c r="UL24" s="15"/>
      <c r="UM24" s="15"/>
      <c r="UN24" s="15"/>
      <c r="UO24" s="15"/>
      <c r="UP24" s="15"/>
      <c r="UQ24" s="15"/>
      <c r="UR24" s="15"/>
      <c r="US24" s="15"/>
      <c r="UT24" s="15"/>
      <c r="UU24" s="15"/>
      <c r="UV24" s="15"/>
      <c r="UW24" s="15"/>
      <c r="UX24" s="15"/>
      <c r="UY24" s="15"/>
      <c r="UZ24" s="15"/>
      <c r="VA24" s="15"/>
      <c r="VB24" s="15"/>
      <c r="VC24" s="15"/>
      <c r="VD24" s="15"/>
      <c r="VE24" s="15"/>
      <c r="VF24" s="15"/>
      <c r="VG24" s="15"/>
      <c r="VH24" s="15"/>
      <c r="VI24" s="15"/>
      <c r="VJ24" s="15"/>
      <c r="VK24" s="15"/>
      <c r="VL24" s="15"/>
      <c r="VM24" s="15"/>
      <c r="VN24" s="15"/>
      <c r="VO24" s="15"/>
      <c r="VP24" s="15"/>
      <c r="VQ24" s="15"/>
      <c r="VR24" s="15"/>
      <c r="VS24" s="15"/>
      <c r="VT24" s="15"/>
      <c r="VU24" s="15"/>
      <c r="VV24" s="15"/>
      <c r="VW24" s="15"/>
      <c r="VX24" s="15"/>
      <c r="VY24" s="15"/>
      <c r="VZ24" s="15"/>
      <c r="WA24" s="15"/>
      <c r="WB24" s="15"/>
      <c r="WC24" s="15"/>
      <c r="WD24" s="15"/>
      <c r="WE24" s="15"/>
      <c r="WF24" s="15"/>
      <c r="WG24" s="15"/>
      <c r="WH24" s="15"/>
      <c r="WI24" s="15"/>
      <c r="WJ24" s="15"/>
      <c r="WK24" s="15"/>
      <c r="WL24" s="15"/>
      <c r="WM24" s="15"/>
      <c r="WN24" s="15"/>
      <c r="WO24" s="15"/>
      <c r="WP24" s="15"/>
      <c r="WQ24" s="15"/>
      <c r="WR24" s="15"/>
      <c r="WS24" s="15"/>
      <c r="WT24" s="15"/>
      <c r="WU24" s="15"/>
      <c r="WV24" s="15"/>
      <c r="WW24" s="15"/>
      <c r="WX24" s="15"/>
      <c r="WY24" s="15"/>
      <c r="WZ24" s="15"/>
      <c r="XA24" s="15"/>
      <c r="XB24" s="15"/>
      <c r="XC24" s="15"/>
      <c r="XD24" s="15"/>
      <c r="XE24" s="15"/>
      <c r="XF24" s="15"/>
      <c r="XG24" s="15"/>
      <c r="XH24" s="15"/>
      <c r="XI24" s="15"/>
      <c r="XJ24" s="15"/>
      <c r="XK24" s="15"/>
      <c r="XL24" s="15"/>
      <c r="XM24" s="15"/>
      <c r="XN24" s="15"/>
      <c r="XO24" s="15"/>
      <c r="XP24" s="15"/>
      <c r="XQ24" s="15"/>
      <c r="XR24" s="15"/>
      <c r="XS24" s="15"/>
      <c r="XT24" s="15"/>
      <c r="XU24" s="15"/>
      <c r="XV24" s="15"/>
      <c r="XW24" s="15"/>
      <c r="XX24" s="15"/>
      <c r="XY24" s="15"/>
      <c r="XZ24" s="15"/>
      <c r="YA24" s="15"/>
      <c r="YB24" s="15"/>
      <c r="YC24" s="15"/>
      <c r="YD24" s="15"/>
      <c r="YE24" s="15"/>
      <c r="YF24" s="15"/>
      <c r="YG24" s="15"/>
      <c r="YH24" s="15"/>
      <c r="YI24" s="15"/>
      <c r="YJ24" s="15"/>
      <c r="YK24" s="15"/>
      <c r="YL24" s="15"/>
      <c r="YM24" s="15"/>
      <c r="YN24" s="15"/>
      <c r="YO24" s="15"/>
      <c r="YP24" s="15"/>
      <c r="YQ24" s="15"/>
      <c r="YR24" s="15"/>
      <c r="YS24" s="15"/>
      <c r="YT24" s="15"/>
      <c r="YU24" s="15"/>
      <c r="YV24" s="15"/>
      <c r="YW24" s="15"/>
      <c r="YX24" s="15"/>
      <c r="YY24" s="15"/>
      <c r="YZ24" s="15"/>
      <c r="ZA24" s="15"/>
      <c r="ZB24" s="15"/>
      <c r="ZC24" s="15"/>
      <c r="ZD24" s="15"/>
      <c r="ZE24" s="15"/>
      <c r="ZF24" s="15"/>
      <c r="ZG24" s="15"/>
      <c r="ZH24" s="15"/>
      <c r="ZI24" s="15"/>
      <c r="ZJ24" s="15"/>
      <c r="ZK24" s="15"/>
      <c r="ZL24" s="15"/>
      <c r="ZM24" s="15"/>
      <c r="ZN24" s="15"/>
      <c r="ZO24" s="15"/>
      <c r="ZP24" s="15"/>
      <c r="ZQ24" s="15"/>
      <c r="ZR24" s="15"/>
      <c r="ZS24" s="15"/>
      <c r="ZT24" s="15"/>
      <c r="ZU24" s="15"/>
      <c r="ZV24" s="15"/>
      <c r="ZW24" s="15"/>
      <c r="ZX24" s="15"/>
      <c r="ZY24" s="15"/>
      <c r="ZZ24" s="15"/>
      <c r="AAA24" s="15"/>
      <c r="AAB24" s="15"/>
      <c r="AAC24" s="15"/>
      <c r="AAD24" s="15"/>
      <c r="AAE24" s="15"/>
      <c r="AAF24" s="15"/>
      <c r="AAG24" s="15"/>
      <c r="AAH24" s="15"/>
      <c r="AAI24" s="15"/>
      <c r="AAJ24" s="15"/>
      <c r="AAK24" s="15"/>
      <c r="AAL24" s="15"/>
      <c r="AAM24" s="15"/>
      <c r="AAN24" s="15"/>
      <c r="AAO24" s="15"/>
      <c r="AAP24" s="15"/>
      <c r="AAQ24" s="15"/>
      <c r="AAR24" s="15"/>
      <c r="AAS24" s="15"/>
      <c r="AAT24" s="15"/>
      <c r="AAU24" s="15"/>
      <c r="AAV24" s="15"/>
      <c r="AAW24" s="15"/>
      <c r="AAX24" s="15"/>
      <c r="AAY24" s="15"/>
      <c r="AAZ24" s="15"/>
      <c r="ABA24" s="15"/>
      <c r="ABB24" s="15"/>
      <c r="ABC24" s="15"/>
      <c r="ABD24" s="15"/>
      <c r="ABE24" s="15"/>
      <c r="ABF24" s="15"/>
      <c r="ABG24" s="15"/>
      <c r="ABH24" s="15"/>
      <c r="ABI24" s="15"/>
      <c r="ABJ24" s="15"/>
      <c r="ABK24" s="15"/>
      <c r="ABL24" s="15"/>
      <c r="ABM24" s="15"/>
      <c r="ABN24" s="15"/>
      <c r="ABO24" s="15"/>
      <c r="ABP24" s="15"/>
      <c r="ABQ24" s="15"/>
      <c r="ABR24" s="15"/>
      <c r="ABS24" s="15"/>
      <c r="ABT24" s="15"/>
      <c r="ABU24" s="15"/>
      <c r="ABV24" s="15"/>
      <c r="ABW24" s="15"/>
      <c r="ABX24" s="15"/>
      <c r="ABY24" s="15"/>
      <c r="ABZ24" s="15"/>
      <c r="ACA24" s="15"/>
      <c r="ACB24" s="15"/>
      <c r="ACC24" s="15"/>
      <c r="ACD24" s="15"/>
      <c r="ACE24" s="15"/>
      <c r="ACF24" s="15"/>
      <c r="ACG24" s="15"/>
      <c r="ACH24" s="15"/>
      <c r="ACI24" s="15"/>
      <c r="ACJ24" s="15"/>
      <c r="ACK24" s="15"/>
      <c r="ACL24" s="15"/>
      <c r="ACM24" s="15"/>
      <c r="ACN24" s="15"/>
      <c r="ACO24" s="15"/>
      <c r="ACP24" s="15"/>
      <c r="ACQ24" s="15"/>
      <c r="ACR24" s="15"/>
      <c r="ACS24" s="15"/>
      <c r="ACT24" s="15"/>
      <c r="ACU24" s="15"/>
      <c r="ACV24" s="15"/>
      <c r="ACW24" s="15"/>
      <c r="ACX24" s="15"/>
      <c r="ACY24" s="15"/>
      <c r="ACZ24" s="15"/>
      <c r="ADA24" s="15"/>
      <c r="ADB24" s="15"/>
      <c r="ADC24" s="15"/>
      <c r="ADD24" s="15"/>
      <c r="ADE24" s="15"/>
      <c r="ADF24" s="15"/>
      <c r="ADG24" s="15"/>
      <c r="ADH24" s="15"/>
      <c r="ADI24" s="15"/>
      <c r="ADJ24" s="15"/>
      <c r="ADK24" s="15"/>
      <c r="ADL24" s="15"/>
      <c r="ADM24" s="15"/>
      <c r="ADN24" s="15"/>
      <c r="ADO24" s="15"/>
      <c r="ADP24" s="15"/>
      <c r="ADQ24" s="15"/>
      <c r="ADR24" s="15"/>
      <c r="ADS24" s="15"/>
      <c r="ADT24" s="15"/>
      <c r="ADU24" s="15"/>
      <c r="ADV24" s="15"/>
      <c r="ADW24" s="15"/>
      <c r="ADX24" s="15"/>
      <c r="ADY24" s="15"/>
      <c r="ADZ24" s="15"/>
      <c r="AEA24" s="15"/>
      <c r="AEB24" s="15"/>
      <c r="AEC24" s="15"/>
      <c r="AED24" s="15"/>
      <c r="AEE24" s="15"/>
      <c r="AEF24" s="15"/>
      <c r="AEG24" s="15"/>
      <c r="AEH24" s="15"/>
      <c r="AEI24" s="15"/>
      <c r="AEJ24" s="15"/>
      <c r="AEK24" s="15"/>
      <c r="AEL24" s="15"/>
      <c r="AEM24" s="15"/>
      <c r="AEN24" s="15"/>
      <c r="AEO24" s="15"/>
      <c r="AEP24" s="15"/>
      <c r="AEQ24" s="15"/>
      <c r="AER24" s="15"/>
      <c r="AES24" s="15"/>
      <c r="AET24" s="15"/>
      <c r="AEU24" s="15"/>
      <c r="AEV24" s="15"/>
      <c r="AEW24" s="15"/>
      <c r="AEX24" s="15"/>
      <c r="AEY24" s="15"/>
      <c r="AEZ24" s="15"/>
      <c r="AFA24" s="15"/>
      <c r="AFB24" s="15"/>
      <c r="AFC24" s="15"/>
      <c r="AFD24" s="15"/>
      <c r="AFE24" s="15"/>
      <c r="AFF24" s="15"/>
      <c r="AFG24" s="15"/>
      <c r="AFH24" s="15"/>
      <c r="AFI24" s="15"/>
      <c r="AFJ24" s="15"/>
      <c r="AFK24" s="15"/>
      <c r="AFL24" s="15"/>
      <c r="AFM24" s="15"/>
      <c r="AFN24" s="15"/>
      <c r="AFO24" s="15"/>
      <c r="AFP24" s="15"/>
      <c r="AFQ24" s="15"/>
      <c r="AFR24" s="15"/>
      <c r="AFS24" s="15"/>
      <c r="AFT24" s="15"/>
      <c r="AFU24" s="15"/>
      <c r="AFV24" s="15"/>
      <c r="AFW24" s="15"/>
      <c r="AFX24" s="15"/>
      <c r="AFY24" s="15"/>
      <c r="AFZ24" s="15"/>
      <c r="AGA24" s="15"/>
      <c r="AGB24" s="15"/>
      <c r="AGC24" s="15"/>
      <c r="AGD24" s="15"/>
      <c r="AGE24" s="15"/>
      <c r="AGF24" s="15"/>
      <c r="AGG24" s="15"/>
      <c r="AGH24" s="15"/>
      <c r="AGI24" s="15"/>
      <c r="AGJ24" s="15"/>
      <c r="AGK24" s="15"/>
      <c r="AGL24" s="15"/>
      <c r="AGM24" s="15"/>
      <c r="AGN24" s="15"/>
      <c r="AGO24" s="15"/>
      <c r="AGP24" s="15"/>
      <c r="AGQ24" s="15"/>
      <c r="AGR24" s="15"/>
      <c r="AGS24" s="15"/>
      <c r="AGT24" s="15"/>
      <c r="AGU24" s="15"/>
      <c r="AGV24" s="15"/>
      <c r="AGW24" s="15"/>
      <c r="AGX24" s="15"/>
      <c r="AGY24" s="15"/>
      <c r="AGZ24" s="15"/>
      <c r="AHA24" s="15"/>
      <c r="AHB24" s="15"/>
      <c r="AHC24" s="15"/>
      <c r="AHD24" s="15"/>
      <c r="AHE24" s="15"/>
      <c r="AHF24" s="15"/>
      <c r="AHG24" s="15"/>
      <c r="AHH24" s="15"/>
      <c r="AHI24" s="15"/>
      <c r="AHJ24" s="15"/>
      <c r="AHK24" s="15"/>
      <c r="AHL24" s="15"/>
      <c r="AHM24" s="15"/>
      <c r="AHN24" s="15"/>
      <c r="AHO24" s="15"/>
      <c r="AHP24" s="15"/>
      <c r="AHQ24" s="15"/>
      <c r="AHR24" s="15"/>
      <c r="AHS24" s="15"/>
      <c r="AHT24" s="15"/>
      <c r="AHU24" s="15"/>
      <c r="AHV24" s="15"/>
      <c r="AHW24" s="15"/>
      <c r="AHX24" s="15"/>
      <c r="AHY24" s="15"/>
      <c r="AHZ24" s="15"/>
      <c r="AIA24" s="15"/>
      <c r="AIB24" s="15"/>
      <c r="AIC24" s="15"/>
      <c r="AID24" s="15"/>
      <c r="AIE24" s="15"/>
      <c r="AIF24" s="15"/>
      <c r="AIG24" s="15"/>
      <c r="AIH24" s="15"/>
      <c r="AII24" s="15"/>
      <c r="AIJ24" s="15"/>
      <c r="AIK24" s="15"/>
      <c r="AIL24" s="15"/>
      <c r="AIM24" s="15"/>
      <c r="AIN24" s="15"/>
      <c r="AIO24" s="15"/>
      <c r="AIP24" s="15"/>
      <c r="AIQ24" s="15"/>
      <c r="AIR24" s="15"/>
      <c r="AIS24" s="15"/>
      <c r="AIT24" s="15"/>
      <c r="AIU24" s="15"/>
      <c r="AIV24" s="15"/>
      <c r="AIW24" s="15"/>
      <c r="AIX24" s="15"/>
      <c r="AIY24" s="15"/>
      <c r="AIZ24" s="15"/>
      <c r="AJA24" s="15"/>
      <c r="AJB24" s="15"/>
      <c r="AJC24" s="15"/>
      <c r="AJD24" s="15"/>
      <c r="AJE24" s="15"/>
      <c r="AJF24" s="15"/>
      <c r="AJG24" s="15"/>
      <c r="AJH24" s="15"/>
      <c r="AJI24" s="15"/>
      <c r="AJJ24" s="15"/>
      <c r="AJK24" s="15"/>
      <c r="AJL24" s="15"/>
      <c r="AJM24" s="15"/>
      <c r="AJN24" s="15"/>
      <c r="AJO24" s="15"/>
      <c r="AJP24" s="15"/>
      <c r="AJQ24" s="15"/>
      <c r="AJR24" s="15"/>
      <c r="AJS24" s="15"/>
      <c r="AJT24" s="15"/>
      <c r="AJU24" s="15"/>
      <c r="AJV24" s="15"/>
      <c r="AJW24" s="15"/>
      <c r="AJX24" s="15"/>
      <c r="AJY24" s="15"/>
      <c r="AJZ24" s="15"/>
      <c r="AKA24" s="15"/>
      <c r="AKB24" s="15"/>
      <c r="AKC24" s="15"/>
      <c r="AKD24" s="15"/>
      <c r="AKE24" s="15"/>
      <c r="AKF24" s="15"/>
      <c r="AKG24" s="15"/>
      <c r="AKH24" s="15"/>
      <c r="AKI24" s="15"/>
      <c r="AKJ24" s="15"/>
      <c r="AKK24" s="15"/>
      <c r="AKL24" s="15"/>
      <c r="AKM24" s="15"/>
      <c r="AKN24" s="15"/>
      <c r="AKO24" s="15"/>
      <c r="AKP24" s="15"/>
      <c r="AKQ24" s="15"/>
      <c r="AKR24" s="15"/>
      <c r="AKS24" s="15"/>
      <c r="AKT24" s="15"/>
      <c r="AKU24" s="15"/>
      <c r="AKV24" s="15"/>
      <c r="AKW24" s="15"/>
      <c r="AKX24" s="15"/>
      <c r="AKY24" s="15"/>
      <c r="AKZ24" s="15"/>
      <c r="ALA24" s="15"/>
      <c r="ALB24" s="15"/>
      <c r="ALC24" s="15"/>
      <c r="ALD24" s="15"/>
      <c r="ALE24" s="15"/>
      <c r="ALF24" s="15"/>
      <c r="ALG24" s="15"/>
      <c r="ALH24" s="15"/>
      <c r="ALI24" s="15"/>
      <c r="ALJ24" s="15"/>
      <c r="ALK24" s="15"/>
      <c r="ALL24" s="15"/>
      <c r="ALM24" s="15"/>
      <c r="ALN24" s="15"/>
      <c r="ALO24" s="15"/>
      <c r="ALP24" s="15"/>
      <c r="ALQ24" s="15"/>
      <c r="ALR24" s="15"/>
      <c r="ALS24" s="15"/>
      <c r="ALT24" s="15"/>
      <c r="ALU24" s="15"/>
      <c r="ALV24" s="15"/>
      <c r="ALW24" s="15"/>
      <c r="ALX24" s="15"/>
      <c r="ALY24" s="15"/>
      <c r="ALZ24" s="15"/>
      <c r="AMA24" s="15"/>
      <c r="AMB24" s="15"/>
      <c r="AMC24" s="15"/>
      <c r="AMD24" s="15"/>
      <c r="AME24" s="15"/>
      <c r="AMF24" s="15"/>
      <c r="AMG24" s="14"/>
      <c r="AMH24" s="14"/>
      <c r="AMI24" s="14"/>
      <c r="AMJ24" s="15"/>
    </row>
    <row r="25" spans="1:1024" s="13" customFormat="1" ht="275.5" hidden="1" x14ac:dyDescent="0.35">
      <c r="A25" s="19">
        <v>43649</v>
      </c>
      <c r="B25" s="17" t="s">
        <v>450</v>
      </c>
      <c r="C25" s="17" t="s">
        <v>449</v>
      </c>
      <c r="D25" s="18">
        <v>43651</v>
      </c>
      <c r="E25" s="17" t="s">
        <v>448</v>
      </c>
      <c r="F25" s="17" t="s">
        <v>15</v>
      </c>
      <c r="G25" s="26">
        <v>0.6875</v>
      </c>
      <c r="H25" s="26">
        <v>0.70833333333333304</v>
      </c>
      <c r="I25" s="17">
        <v>0</v>
      </c>
      <c r="J25" s="17" t="s">
        <v>16</v>
      </c>
      <c r="K25" s="17" t="s">
        <v>119</v>
      </c>
      <c r="L25" s="16" t="s">
        <v>17</v>
      </c>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c r="HI25" s="15"/>
      <c r="HJ25" s="15"/>
      <c r="HK25" s="15"/>
      <c r="HL25" s="15"/>
      <c r="HM25" s="15"/>
      <c r="HN25" s="15"/>
      <c r="HO25" s="15"/>
      <c r="HP25" s="15"/>
      <c r="HQ25" s="15"/>
      <c r="HR25" s="15"/>
      <c r="HS25" s="15"/>
      <c r="HT25" s="15"/>
      <c r="HU25" s="15"/>
      <c r="HV25" s="15"/>
      <c r="HW25" s="15"/>
      <c r="HX25" s="15"/>
      <c r="HY25" s="15"/>
      <c r="HZ25" s="15"/>
      <c r="IA25" s="15"/>
      <c r="IB25" s="15"/>
      <c r="IC25" s="15"/>
      <c r="ID25" s="15"/>
      <c r="IE25" s="15"/>
      <c r="IF25" s="15"/>
      <c r="IG25" s="15"/>
      <c r="IH25" s="15"/>
      <c r="II25" s="15"/>
      <c r="IJ25" s="15"/>
      <c r="IK25" s="15"/>
      <c r="IL25" s="15"/>
      <c r="IM25" s="15"/>
      <c r="IN25" s="15"/>
      <c r="IO25" s="15"/>
      <c r="IP25" s="15"/>
      <c r="IQ25" s="15"/>
      <c r="IR25" s="15"/>
      <c r="IS25" s="15"/>
      <c r="IT25" s="15"/>
      <c r="IU25" s="15"/>
      <c r="IV25" s="15"/>
      <c r="IW25" s="15"/>
      <c r="IX25" s="15"/>
      <c r="IY25" s="15"/>
      <c r="IZ25" s="15"/>
      <c r="JA25" s="15"/>
      <c r="JB25" s="15"/>
      <c r="JC25" s="15"/>
      <c r="JD25" s="15"/>
      <c r="JE25" s="15"/>
      <c r="JF25" s="15"/>
      <c r="JG25" s="15"/>
      <c r="JH25" s="15"/>
      <c r="JI25" s="15"/>
      <c r="JJ25" s="15"/>
      <c r="JK25" s="15"/>
      <c r="JL25" s="15"/>
      <c r="JM25" s="15"/>
      <c r="JN25" s="15"/>
      <c r="JO25" s="15"/>
      <c r="JP25" s="15"/>
      <c r="JQ25" s="15"/>
      <c r="JR25" s="15"/>
      <c r="JS25" s="15"/>
      <c r="JT25" s="15"/>
      <c r="JU25" s="15"/>
      <c r="JV25" s="15"/>
      <c r="JW25" s="15"/>
      <c r="JX25" s="15"/>
      <c r="JY25" s="15"/>
      <c r="JZ25" s="15"/>
      <c r="KA25" s="15"/>
      <c r="KB25" s="15"/>
      <c r="KC25" s="15"/>
      <c r="KD25" s="15"/>
      <c r="KE25" s="15"/>
      <c r="KF25" s="15"/>
      <c r="KG25" s="15"/>
      <c r="KH25" s="15"/>
      <c r="KI25" s="15"/>
      <c r="KJ25" s="15"/>
      <c r="KK25" s="15"/>
      <c r="KL25" s="15"/>
      <c r="KM25" s="15"/>
      <c r="KN25" s="15"/>
      <c r="KO25" s="15"/>
      <c r="KP25" s="15"/>
      <c r="KQ25" s="15"/>
      <c r="KR25" s="15"/>
      <c r="KS25" s="15"/>
      <c r="KT25" s="15"/>
      <c r="KU25" s="15"/>
      <c r="KV25" s="15"/>
      <c r="KW25" s="15"/>
      <c r="KX25" s="15"/>
      <c r="KY25" s="15"/>
      <c r="KZ25" s="15"/>
      <c r="LA25" s="15"/>
      <c r="LB25" s="15"/>
      <c r="LC25" s="15"/>
      <c r="LD25" s="15"/>
      <c r="LE25" s="15"/>
      <c r="LF25" s="15"/>
      <c r="LG25" s="15"/>
      <c r="LH25" s="15"/>
      <c r="LI25" s="15"/>
      <c r="LJ25" s="15"/>
      <c r="LK25" s="15"/>
      <c r="LL25" s="15"/>
      <c r="LM25" s="15"/>
      <c r="LN25" s="15"/>
      <c r="LO25" s="15"/>
      <c r="LP25" s="15"/>
      <c r="LQ25" s="15"/>
      <c r="LR25" s="15"/>
      <c r="LS25" s="15"/>
      <c r="LT25" s="15"/>
      <c r="LU25" s="15"/>
      <c r="LV25" s="15"/>
      <c r="LW25" s="15"/>
      <c r="LX25" s="15"/>
      <c r="LY25" s="15"/>
      <c r="LZ25" s="15"/>
      <c r="MA25" s="15"/>
      <c r="MB25" s="15"/>
      <c r="MC25" s="15"/>
      <c r="MD25" s="15"/>
      <c r="ME25" s="15"/>
      <c r="MF25" s="15"/>
      <c r="MG25" s="15"/>
      <c r="MH25" s="15"/>
      <c r="MI25" s="15"/>
      <c r="MJ25" s="15"/>
      <c r="MK25" s="15"/>
      <c r="ML25" s="15"/>
      <c r="MM25" s="15"/>
      <c r="MN25" s="15"/>
      <c r="MO25" s="15"/>
      <c r="MP25" s="15"/>
      <c r="MQ25" s="15"/>
      <c r="MR25" s="15"/>
      <c r="MS25" s="15"/>
      <c r="MT25" s="15"/>
      <c r="MU25" s="15"/>
      <c r="MV25" s="15"/>
      <c r="MW25" s="15"/>
      <c r="MX25" s="15"/>
      <c r="MY25" s="15"/>
      <c r="MZ25" s="15"/>
      <c r="NA25" s="15"/>
      <c r="NB25" s="15"/>
      <c r="NC25" s="15"/>
      <c r="ND25" s="15"/>
      <c r="NE25" s="15"/>
      <c r="NF25" s="15"/>
      <c r="NG25" s="15"/>
      <c r="NH25" s="15"/>
      <c r="NI25" s="15"/>
      <c r="NJ25" s="15"/>
      <c r="NK25" s="15"/>
      <c r="NL25" s="15"/>
      <c r="NM25" s="15"/>
      <c r="NN25" s="15"/>
      <c r="NO25" s="15"/>
      <c r="NP25" s="15"/>
      <c r="NQ25" s="15"/>
      <c r="NR25" s="15"/>
      <c r="NS25" s="15"/>
      <c r="NT25" s="15"/>
      <c r="NU25" s="15"/>
      <c r="NV25" s="15"/>
      <c r="NW25" s="15"/>
      <c r="NX25" s="15"/>
      <c r="NY25" s="15"/>
      <c r="NZ25" s="15"/>
      <c r="OA25" s="15"/>
      <c r="OB25" s="15"/>
      <c r="OC25" s="15"/>
      <c r="OD25" s="15"/>
      <c r="OE25" s="15"/>
      <c r="OF25" s="15"/>
      <c r="OG25" s="15"/>
      <c r="OH25" s="15"/>
      <c r="OI25" s="15"/>
      <c r="OJ25" s="15"/>
      <c r="OK25" s="15"/>
      <c r="OL25" s="15"/>
      <c r="OM25" s="15"/>
      <c r="ON25" s="15"/>
      <c r="OO25" s="15"/>
      <c r="OP25" s="15"/>
      <c r="OQ25" s="15"/>
      <c r="OR25" s="15"/>
      <c r="OS25" s="15"/>
      <c r="OT25" s="15"/>
      <c r="OU25" s="15"/>
      <c r="OV25" s="15"/>
      <c r="OW25" s="15"/>
      <c r="OX25" s="15"/>
      <c r="OY25" s="15"/>
      <c r="OZ25" s="15"/>
      <c r="PA25" s="15"/>
      <c r="PB25" s="15"/>
      <c r="PC25" s="15"/>
      <c r="PD25" s="15"/>
      <c r="PE25" s="15"/>
      <c r="PF25" s="15"/>
      <c r="PG25" s="15"/>
      <c r="PH25" s="15"/>
      <c r="PI25" s="15"/>
      <c r="PJ25" s="15"/>
      <c r="PK25" s="15"/>
      <c r="PL25" s="15"/>
      <c r="PM25" s="15"/>
      <c r="PN25" s="15"/>
      <c r="PO25" s="15"/>
      <c r="PP25" s="15"/>
      <c r="PQ25" s="15"/>
      <c r="PR25" s="15"/>
      <c r="PS25" s="15"/>
      <c r="PT25" s="15"/>
      <c r="PU25" s="15"/>
      <c r="PV25" s="15"/>
      <c r="PW25" s="15"/>
      <c r="PX25" s="15"/>
      <c r="PY25" s="15"/>
      <c r="PZ25" s="15"/>
      <c r="QA25" s="15"/>
      <c r="QB25" s="15"/>
      <c r="QC25" s="15"/>
      <c r="QD25" s="15"/>
      <c r="QE25" s="15"/>
      <c r="QF25" s="15"/>
      <c r="QG25" s="15"/>
      <c r="QH25" s="15"/>
      <c r="QI25" s="15"/>
      <c r="QJ25" s="15"/>
      <c r="QK25" s="15"/>
      <c r="QL25" s="15"/>
      <c r="QM25" s="15"/>
      <c r="QN25" s="15"/>
      <c r="QO25" s="15"/>
      <c r="QP25" s="15"/>
      <c r="QQ25" s="15"/>
      <c r="QR25" s="15"/>
      <c r="QS25" s="15"/>
      <c r="QT25" s="15"/>
      <c r="QU25" s="15"/>
      <c r="QV25" s="15"/>
      <c r="QW25" s="15"/>
      <c r="QX25" s="15"/>
      <c r="QY25" s="15"/>
      <c r="QZ25" s="15"/>
      <c r="RA25" s="15"/>
      <c r="RB25" s="15"/>
      <c r="RC25" s="15"/>
      <c r="RD25" s="15"/>
      <c r="RE25" s="15"/>
      <c r="RF25" s="15"/>
      <c r="RG25" s="15"/>
      <c r="RH25" s="15"/>
      <c r="RI25" s="15"/>
      <c r="RJ25" s="15"/>
      <c r="RK25" s="15"/>
      <c r="RL25" s="15"/>
      <c r="RM25" s="15"/>
      <c r="RN25" s="15"/>
      <c r="RO25" s="15"/>
      <c r="RP25" s="15"/>
      <c r="RQ25" s="15"/>
      <c r="RR25" s="15"/>
      <c r="RS25" s="15"/>
      <c r="RT25" s="15"/>
      <c r="RU25" s="15"/>
      <c r="RV25" s="15"/>
      <c r="RW25" s="15"/>
      <c r="RX25" s="15"/>
      <c r="RY25" s="15"/>
      <c r="RZ25" s="15"/>
      <c r="SA25" s="15"/>
      <c r="SB25" s="15"/>
      <c r="SC25" s="15"/>
      <c r="SD25" s="15"/>
      <c r="SE25" s="15"/>
      <c r="SF25" s="15"/>
      <c r="SG25" s="15"/>
      <c r="SH25" s="15"/>
      <c r="SI25" s="15"/>
      <c r="SJ25" s="15"/>
      <c r="SK25" s="15"/>
      <c r="SL25" s="15"/>
      <c r="SM25" s="15"/>
      <c r="SN25" s="15"/>
      <c r="SO25" s="15"/>
      <c r="SP25" s="15"/>
      <c r="SQ25" s="15"/>
      <c r="SR25" s="15"/>
      <c r="SS25" s="15"/>
      <c r="ST25" s="15"/>
      <c r="SU25" s="15"/>
      <c r="SV25" s="15"/>
      <c r="SW25" s="15"/>
      <c r="SX25" s="15"/>
      <c r="SY25" s="15"/>
      <c r="SZ25" s="15"/>
      <c r="TA25" s="15"/>
      <c r="TB25" s="15"/>
      <c r="TC25" s="15"/>
      <c r="TD25" s="15"/>
      <c r="TE25" s="15"/>
      <c r="TF25" s="15"/>
      <c r="TG25" s="15"/>
      <c r="TH25" s="15"/>
      <c r="TI25" s="15"/>
      <c r="TJ25" s="15"/>
      <c r="TK25" s="15"/>
      <c r="TL25" s="15"/>
      <c r="TM25" s="15"/>
      <c r="TN25" s="15"/>
      <c r="TO25" s="15"/>
      <c r="TP25" s="15"/>
      <c r="TQ25" s="15"/>
      <c r="TR25" s="15"/>
      <c r="TS25" s="15"/>
      <c r="TT25" s="15"/>
      <c r="TU25" s="15"/>
      <c r="TV25" s="15"/>
      <c r="TW25" s="15"/>
      <c r="TX25" s="15"/>
      <c r="TY25" s="15"/>
      <c r="TZ25" s="15"/>
      <c r="UA25" s="15"/>
      <c r="UB25" s="15"/>
      <c r="UC25" s="15"/>
      <c r="UD25" s="15"/>
      <c r="UE25" s="15"/>
      <c r="UF25" s="15"/>
      <c r="UG25" s="15"/>
      <c r="UH25" s="15"/>
      <c r="UI25" s="15"/>
      <c r="UJ25" s="15"/>
      <c r="UK25" s="15"/>
      <c r="UL25" s="15"/>
      <c r="UM25" s="15"/>
      <c r="UN25" s="15"/>
      <c r="UO25" s="15"/>
      <c r="UP25" s="15"/>
      <c r="UQ25" s="15"/>
      <c r="UR25" s="15"/>
      <c r="US25" s="15"/>
      <c r="UT25" s="15"/>
      <c r="UU25" s="15"/>
      <c r="UV25" s="15"/>
      <c r="UW25" s="15"/>
      <c r="UX25" s="15"/>
      <c r="UY25" s="15"/>
      <c r="UZ25" s="15"/>
      <c r="VA25" s="15"/>
      <c r="VB25" s="15"/>
      <c r="VC25" s="15"/>
      <c r="VD25" s="15"/>
      <c r="VE25" s="15"/>
      <c r="VF25" s="15"/>
      <c r="VG25" s="15"/>
      <c r="VH25" s="15"/>
      <c r="VI25" s="15"/>
      <c r="VJ25" s="15"/>
      <c r="VK25" s="15"/>
      <c r="VL25" s="15"/>
      <c r="VM25" s="15"/>
      <c r="VN25" s="15"/>
      <c r="VO25" s="15"/>
      <c r="VP25" s="15"/>
      <c r="VQ25" s="15"/>
      <c r="VR25" s="15"/>
      <c r="VS25" s="15"/>
      <c r="VT25" s="15"/>
      <c r="VU25" s="15"/>
      <c r="VV25" s="15"/>
      <c r="VW25" s="15"/>
      <c r="VX25" s="15"/>
      <c r="VY25" s="15"/>
      <c r="VZ25" s="15"/>
      <c r="WA25" s="15"/>
      <c r="WB25" s="15"/>
      <c r="WC25" s="15"/>
      <c r="WD25" s="15"/>
      <c r="WE25" s="15"/>
      <c r="WF25" s="15"/>
      <c r="WG25" s="15"/>
      <c r="WH25" s="15"/>
      <c r="WI25" s="15"/>
      <c r="WJ25" s="15"/>
      <c r="WK25" s="15"/>
      <c r="WL25" s="15"/>
      <c r="WM25" s="15"/>
      <c r="WN25" s="15"/>
      <c r="WO25" s="15"/>
      <c r="WP25" s="15"/>
      <c r="WQ25" s="15"/>
      <c r="WR25" s="15"/>
      <c r="WS25" s="15"/>
      <c r="WT25" s="15"/>
      <c r="WU25" s="15"/>
      <c r="WV25" s="15"/>
      <c r="WW25" s="15"/>
      <c r="WX25" s="15"/>
      <c r="WY25" s="15"/>
      <c r="WZ25" s="15"/>
      <c r="XA25" s="15"/>
      <c r="XB25" s="15"/>
      <c r="XC25" s="15"/>
      <c r="XD25" s="15"/>
      <c r="XE25" s="15"/>
      <c r="XF25" s="15"/>
      <c r="XG25" s="15"/>
      <c r="XH25" s="15"/>
      <c r="XI25" s="15"/>
      <c r="XJ25" s="15"/>
      <c r="XK25" s="15"/>
      <c r="XL25" s="15"/>
      <c r="XM25" s="15"/>
      <c r="XN25" s="15"/>
      <c r="XO25" s="15"/>
      <c r="XP25" s="15"/>
      <c r="XQ25" s="15"/>
      <c r="XR25" s="15"/>
      <c r="XS25" s="15"/>
      <c r="XT25" s="15"/>
      <c r="XU25" s="15"/>
      <c r="XV25" s="15"/>
      <c r="XW25" s="15"/>
      <c r="XX25" s="15"/>
      <c r="XY25" s="15"/>
      <c r="XZ25" s="15"/>
      <c r="YA25" s="15"/>
      <c r="YB25" s="15"/>
      <c r="YC25" s="15"/>
      <c r="YD25" s="15"/>
      <c r="YE25" s="15"/>
      <c r="YF25" s="15"/>
      <c r="YG25" s="15"/>
      <c r="YH25" s="15"/>
      <c r="YI25" s="15"/>
      <c r="YJ25" s="15"/>
      <c r="YK25" s="15"/>
      <c r="YL25" s="15"/>
      <c r="YM25" s="15"/>
      <c r="YN25" s="15"/>
      <c r="YO25" s="15"/>
      <c r="YP25" s="15"/>
      <c r="YQ25" s="15"/>
      <c r="YR25" s="15"/>
      <c r="YS25" s="15"/>
      <c r="YT25" s="15"/>
      <c r="YU25" s="15"/>
      <c r="YV25" s="15"/>
      <c r="YW25" s="15"/>
      <c r="YX25" s="15"/>
      <c r="YY25" s="15"/>
      <c r="YZ25" s="15"/>
      <c r="ZA25" s="15"/>
      <c r="ZB25" s="15"/>
      <c r="ZC25" s="15"/>
      <c r="ZD25" s="15"/>
      <c r="ZE25" s="15"/>
      <c r="ZF25" s="15"/>
      <c r="ZG25" s="15"/>
      <c r="ZH25" s="15"/>
      <c r="ZI25" s="15"/>
      <c r="ZJ25" s="15"/>
      <c r="ZK25" s="15"/>
      <c r="ZL25" s="15"/>
      <c r="ZM25" s="15"/>
      <c r="ZN25" s="15"/>
      <c r="ZO25" s="15"/>
      <c r="ZP25" s="15"/>
      <c r="ZQ25" s="15"/>
      <c r="ZR25" s="15"/>
      <c r="ZS25" s="15"/>
      <c r="ZT25" s="15"/>
      <c r="ZU25" s="15"/>
      <c r="ZV25" s="15"/>
      <c r="ZW25" s="15"/>
      <c r="ZX25" s="15"/>
      <c r="ZY25" s="15"/>
      <c r="ZZ25" s="15"/>
      <c r="AAA25" s="15"/>
      <c r="AAB25" s="15"/>
      <c r="AAC25" s="15"/>
      <c r="AAD25" s="15"/>
      <c r="AAE25" s="15"/>
      <c r="AAF25" s="15"/>
      <c r="AAG25" s="15"/>
      <c r="AAH25" s="15"/>
      <c r="AAI25" s="15"/>
      <c r="AAJ25" s="15"/>
      <c r="AAK25" s="15"/>
      <c r="AAL25" s="15"/>
      <c r="AAM25" s="15"/>
      <c r="AAN25" s="15"/>
      <c r="AAO25" s="15"/>
      <c r="AAP25" s="15"/>
      <c r="AAQ25" s="15"/>
      <c r="AAR25" s="15"/>
      <c r="AAS25" s="15"/>
      <c r="AAT25" s="15"/>
      <c r="AAU25" s="15"/>
      <c r="AAV25" s="15"/>
      <c r="AAW25" s="15"/>
      <c r="AAX25" s="15"/>
      <c r="AAY25" s="15"/>
      <c r="AAZ25" s="15"/>
      <c r="ABA25" s="15"/>
      <c r="ABB25" s="15"/>
      <c r="ABC25" s="15"/>
      <c r="ABD25" s="15"/>
      <c r="ABE25" s="15"/>
      <c r="ABF25" s="15"/>
      <c r="ABG25" s="15"/>
      <c r="ABH25" s="15"/>
      <c r="ABI25" s="15"/>
      <c r="ABJ25" s="15"/>
      <c r="ABK25" s="15"/>
      <c r="ABL25" s="15"/>
      <c r="ABM25" s="15"/>
      <c r="ABN25" s="15"/>
      <c r="ABO25" s="15"/>
      <c r="ABP25" s="15"/>
      <c r="ABQ25" s="15"/>
      <c r="ABR25" s="15"/>
      <c r="ABS25" s="15"/>
      <c r="ABT25" s="15"/>
      <c r="ABU25" s="15"/>
      <c r="ABV25" s="15"/>
      <c r="ABW25" s="15"/>
      <c r="ABX25" s="15"/>
      <c r="ABY25" s="15"/>
      <c r="ABZ25" s="15"/>
      <c r="ACA25" s="15"/>
      <c r="ACB25" s="15"/>
      <c r="ACC25" s="15"/>
      <c r="ACD25" s="15"/>
      <c r="ACE25" s="15"/>
      <c r="ACF25" s="15"/>
      <c r="ACG25" s="15"/>
      <c r="ACH25" s="15"/>
      <c r="ACI25" s="15"/>
      <c r="ACJ25" s="15"/>
      <c r="ACK25" s="15"/>
      <c r="ACL25" s="15"/>
      <c r="ACM25" s="15"/>
      <c r="ACN25" s="15"/>
      <c r="ACO25" s="15"/>
      <c r="ACP25" s="15"/>
      <c r="ACQ25" s="15"/>
      <c r="ACR25" s="15"/>
      <c r="ACS25" s="15"/>
      <c r="ACT25" s="15"/>
      <c r="ACU25" s="15"/>
      <c r="ACV25" s="15"/>
      <c r="ACW25" s="15"/>
      <c r="ACX25" s="15"/>
      <c r="ACY25" s="15"/>
      <c r="ACZ25" s="15"/>
      <c r="ADA25" s="15"/>
      <c r="ADB25" s="15"/>
      <c r="ADC25" s="15"/>
      <c r="ADD25" s="15"/>
      <c r="ADE25" s="15"/>
      <c r="ADF25" s="15"/>
      <c r="ADG25" s="15"/>
      <c r="ADH25" s="15"/>
      <c r="ADI25" s="15"/>
      <c r="ADJ25" s="15"/>
      <c r="ADK25" s="15"/>
      <c r="ADL25" s="15"/>
      <c r="ADM25" s="15"/>
      <c r="ADN25" s="15"/>
      <c r="ADO25" s="15"/>
      <c r="ADP25" s="15"/>
      <c r="ADQ25" s="15"/>
      <c r="ADR25" s="15"/>
      <c r="ADS25" s="15"/>
      <c r="ADT25" s="15"/>
      <c r="ADU25" s="15"/>
      <c r="ADV25" s="15"/>
      <c r="ADW25" s="15"/>
      <c r="ADX25" s="15"/>
      <c r="ADY25" s="15"/>
      <c r="ADZ25" s="15"/>
      <c r="AEA25" s="15"/>
      <c r="AEB25" s="15"/>
      <c r="AEC25" s="15"/>
      <c r="AED25" s="15"/>
      <c r="AEE25" s="15"/>
      <c r="AEF25" s="15"/>
      <c r="AEG25" s="15"/>
      <c r="AEH25" s="15"/>
      <c r="AEI25" s="15"/>
      <c r="AEJ25" s="15"/>
      <c r="AEK25" s="15"/>
      <c r="AEL25" s="15"/>
      <c r="AEM25" s="15"/>
      <c r="AEN25" s="15"/>
      <c r="AEO25" s="15"/>
      <c r="AEP25" s="15"/>
      <c r="AEQ25" s="15"/>
      <c r="AER25" s="15"/>
      <c r="AES25" s="15"/>
      <c r="AET25" s="15"/>
      <c r="AEU25" s="15"/>
      <c r="AEV25" s="15"/>
      <c r="AEW25" s="15"/>
      <c r="AEX25" s="15"/>
      <c r="AEY25" s="15"/>
      <c r="AEZ25" s="15"/>
      <c r="AFA25" s="15"/>
      <c r="AFB25" s="15"/>
      <c r="AFC25" s="15"/>
      <c r="AFD25" s="15"/>
      <c r="AFE25" s="15"/>
      <c r="AFF25" s="15"/>
      <c r="AFG25" s="15"/>
      <c r="AFH25" s="15"/>
      <c r="AFI25" s="15"/>
      <c r="AFJ25" s="15"/>
      <c r="AFK25" s="15"/>
      <c r="AFL25" s="15"/>
      <c r="AFM25" s="15"/>
      <c r="AFN25" s="15"/>
      <c r="AFO25" s="15"/>
      <c r="AFP25" s="15"/>
      <c r="AFQ25" s="15"/>
      <c r="AFR25" s="15"/>
      <c r="AFS25" s="15"/>
      <c r="AFT25" s="15"/>
      <c r="AFU25" s="15"/>
      <c r="AFV25" s="15"/>
      <c r="AFW25" s="15"/>
      <c r="AFX25" s="15"/>
      <c r="AFY25" s="15"/>
      <c r="AFZ25" s="15"/>
      <c r="AGA25" s="15"/>
      <c r="AGB25" s="15"/>
      <c r="AGC25" s="15"/>
      <c r="AGD25" s="15"/>
      <c r="AGE25" s="15"/>
      <c r="AGF25" s="15"/>
      <c r="AGG25" s="15"/>
      <c r="AGH25" s="15"/>
      <c r="AGI25" s="15"/>
      <c r="AGJ25" s="15"/>
      <c r="AGK25" s="15"/>
      <c r="AGL25" s="15"/>
      <c r="AGM25" s="15"/>
      <c r="AGN25" s="15"/>
      <c r="AGO25" s="15"/>
      <c r="AGP25" s="15"/>
      <c r="AGQ25" s="15"/>
      <c r="AGR25" s="15"/>
      <c r="AGS25" s="15"/>
      <c r="AGT25" s="15"/>
      <c r="AGU25" s="15"/>
      <c r="AGV25" s="15"/>
      <c r="AGW25" s="15"/>
      <c r="AGX25" s="15"/>
      <c r="AGY25" s="15"/>
      <c r="AGZ25" s="15"/>
      <c r="AHA25" s="15"/>
      <c r="AHB25" s="15"/>
      <c r="AHC25" s="15"/>
      <c r="AHD25" s="15"/>
      <c r="AHE25" s="15"/>
      <c r="AHF25" s="15"/>
      <c r="AHG25" s="15"/>
      <c r="AHH25" s="15"/>
      <c r="AHI25" s="15"/>
      <c r="AHJ25" s="15"/>
      <c r="AHK25" s="15"/>
      <c r="AHL25" s="15"/>
      <c r="AHM25" s="15"/>
      <c r="AHN25" s="15"/>
      <c r="AHO25" s="15"/>
      <c r="AHP25" s="15"/>
      <c r="AHQ25" s="15"/>
      <c r="AHR25" s="15"/>
      <c r="AHS25" s="15"/>
      <c r="AHT25" s="15"/>
      <c r="AHU25" s="15"/>
      <c r="AHV25" s="15"/>
      <c r="AHW25" s="15"/>
      <c r="AHX25" s="15"/>
      <c r="AHY25" s="15"/>
      <c r="AHZ25" s="15"/>
      <c r="AIA25" s="15"/>
      <c r="AIB25" s="15"/>
      <c r="AIC25" s="15"/>
      <c r="AID25" s="15"/>
      <c r="AIE25" s="15"/>
      <c r="AIF25" s="15"/>
      <c r="AIG25" s="15"/>
      <c r="AIH25" s="15"/>
      <c r="AII25" s="15"/>
      <c r="AIJ25" s="15"/>
      <c r="AIK25" s="15"/>
      <c r="AIL25" s="15"/>
      <c r="AIM25" s="15"/>
      <c r="AIN25" s="15"/>
      <c r="AIO25" s="15"/>
      <c r="AIP25" s="15"/>
      <c r="AIQ25" s="15"/>
      <c r="AIR25" s="15"/>
      <c r="AIS25" s="15"/>
      <c r="AIT25" s="15"/>
      <c r="AIU25" s="15"/>
      <c r="AIV25" s="15"/>
      <c r="AIW25" s="15"/>
      <c r="AIX25" s="15"/>
      <c r="AIY25" s="15"/>
      <c r="AIZ25" s="15"/>
      <c r="AJA25" s="15"/>
      <c r="AJB25" s="15"/>
      <c r="AJC25" s="15"/>
      <c r="AJD25" s="15"/>
      <c r="AJE25" s="15"/>
      <c r="AJF25" s="15"/>
      <c r="AJG25" s="15"/>
      <c r="AJH25" s="15"/>
      <c r="AJI25" s="15"/>
      <c r="AJJ25" s="15"/>
      <c r="AJK25" s="15"/>
      <c r="AJL25" s="15"/>
      <c r="AJM25" s="15"/>
      <c r="AJN25" s="15"/>
      <c r="AJO25" s="15"/>
      <c r="AJP25" s="15"/>
      <c r="AJQ25" s="15"/>
      <c r="AJR25" s="15"/>
      <c r="AJS25" s="15"/>
      <c r="AJT25" s="15"/>
      <c r="AJU25" s="15"/>
      <c r="AJV25" s="15"/>
      <c r="AJW25" s="15"/>
      <c r="AJX25" s="15"/>
      <c r="AJY25" s="15"/>
      <c r="AJZ25" s="15"/>
      <c r="AKA25" s="15"/>
      <c r="AKB25" s="15"/>
      <c r="AKC25" s="15"/>
      <c r="AKD25" s="15"/>
      <c r="AKE25" s="15"/>
      <c r="AKF25" s="15"/>
      <c r="AKG25" s="15"/>
      <c r="AKH25" s="15"/>
      <c r="AKI25" s="15"/>
      <c r="AKJ25" s="15"/>
      <c r="AKK25" s="15"/>
      <c r="AKL25" s="15"/>
      <c r="AKM25" s="15"/>
      <c r="AKN25" s="15"/>
      <c r="AKO25" s="15"/>
      <c r="AKP25" s="15"/>
      <c r="AKQ25" s="15"/>
      <c r="AKR25" s="15"/>
      <c r="AKS25" s="15"/>
      <c r="AKT25" s="15"/>
      <c r="AKU25" s="15"/>
      <c r="AKV25" s="15"/>
      <c r="AKW25" s="15"/>
      <c r="AKX25" s="15"/>
      <c r="AKY25" s="15"/>
      <c r="AKZ25" s="15"/>
      <c r="ALA25" s="15"/>
      <c r="ALB25" s="15"/>
      <c r="ALC25" s="15"/>
      <c r="ALD25" s="15"/>
      <c r="ALE25" s="15"/>
      <c r="ALF25" s="15"/>
      <c r="ALG25" s="15"/>
      <c r="ALH25" s="15"/>
      <c r="ALI25" s="15"/>
      <c r="ALJ25" s="15"/>
      <c r="ALK25" s="15"/>
      <c r="ALL25" s="15"/>
      <c r="ALM25" s="15"/>
      <c r="ALN25" s="15"/>
      <c r="ALO25" s="15"/>
      <c r="ALP25" s="15"/>
      <c r="ALQ25" s="15"/>
      <c r="ALR25" s="15"/>
      <c r="ALS25" s="15"/>
      <c r="ALT25" s="15"/>
      <c r="ALU25" s="15"/>
      <c r="ALV25" s="15"/>
      <c r="ALW25" s="15"/>
      <c r="ALX25" s="15"/>
      <c r="ALY25" s="15"/>
      <c r="ALZ25" s="15"/>
      <c r="AMA25" s="15"/>
      <c r="AMB25" s="15"/>
      <c r="AMC25" s="15"/>
      <c r="AMD25" s="15"/>
      <c r="AME25" s="15"/>
      <c r="AMF25" s="15"/>
      <c r="AMG25" s="14"/>
      <c r="AMH25" s="14"/>
      <c r="AMI25" s="14"/>
      <c r="AMJ25" s="14"/>
    </row>
    <row r="26" spans="1:1024" s="13" customFormat="1" ht="87" hidden="1" x14ac:dyDescent="0.35">
      <c r="A26" s="83">
        <v>43635</v>
      </c>
      <c r="B26" s="29" t="s">
        <v>447</v>
      </c>
      <c r="C26" s="29" t="s">
        <v>446</v>
      </c>
      <c r="D26" s="30">
        <v>43652</v>
      </c>
      <c r="E26" s="111" t="s">
        <v>445</v>
      </c>
      <c r="F26" s="31">
        <v>0.5</v>
      </c>
      <c r="G26" s="31">
        <v>0.51388888888888895</v>
      </c>
      <c r="H26" s="31">
        <v>0.52083333333333304</v>
      </c>
      <c r="I26" s="112">
        <v>390</v>
      </c>
      <c r="J26" s="42" t="s">
        <v>444</v>
      </c>
      <c r="K26" s="17" t="s">
        <v>119</v>
      </c>
      <c r="L26" s="16" t="s">
        <v>22</v>
      </c>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c r="HI26" s="15"/>
      <c r="HJ26" s="15"/>
      <c r="HK26" s="15"/>
      <c r="HL26" s="15"/>
      <c r="HM26" s="15"/>
      <c r="HN26" s="15"/>
      <c r="HO26" s="15"/>
      <c r="HP26" s="15"/>
      <c r="HQ26" s="15"/>
      <c r="HR26" s="15"/>
      <c r="HS26" s="15"/>
      <c r="HT26" s="15"/>
      <c r="HU26" s="15"/>
      <c r="HV26" s="15"/>
      <c r="HW26" s="15"/>
      <c r="HX26" s="15"/>
      <c r="HY26" s="15"/>
      <c r="HZ26" s="15"/>
      <c r="IA26" s="15"/>
      <c r="IB26" s="15"/>
      <c r="IC26" s="15"/>
      <c r="ID26" s="15"/>
      <c r="IE26" s="15"/>
      <c r="IF26" s="15"/>
      <c r="IG26" s="15"/>
      <c r="IH26" s="15"/>
      <c r="II26" s="15"/>
      <c r="IJ26" s="15"/>
      <c r="IK26" s="15"/>
      <c r="IL26" s="15"/>
      <c r="IM26" s="15"/>
      <c r="IN26" s="15"/>
      <c r="IO26" s="15"/>
      <c r="IP26" s="15"/>
      <c r="IQ26" s="15"/>
      <c r="IR26" s="15"/>
      <c r="IS26" s="15"/>
      <c r="IT26" s="15"/>
      <c r="IU26" s="15"/>
      <c r="IV26" s="15"/>
      <c r="IW26" s="15"/>
      <c r="IX26" s="15"/>
      <c r="IY26" s="15"/>
      <c r="IZ26" s="15"/>
      <c r="JA26" s="15"/>
      <c r="JB26" s="15"/>
      <c r="JC26" s="15"/>
      <c r="JD26" s="15"/>
      <c r="JE26" s="15"/>
      <c r="JF26" s="15"/>
      <c r="JG26" s="15"/>
      <c r="JH26" s="15"/>
      <c r="JI26" s="15"/>
      <c r="JJ26" s="15"/>
      <c r="JK26" s="15"/>
      <c r="JL26" s="15"/>
      <c r="JM26" s="15"/>
      <c r="JN26" s="15"/>
      <c r="JO26" s="15"/>
      <c r="JP26" s="15"/>
      <c r="JQ26" s="15"/>
      <c r="JR26" s="15"/>
      <c r="JS26" s="15"/>
      <c r="JT26" s="15"/>
      <c r="JU26" s="15"/>
      <c r="JV26" s="15"/>
      <c r="JW26" s="15"/>
      <c r="JX26" s="15"/>
      <c r="JY26" s="15"/>
      <c r="JZ26" s="15"/>
      <c r="KA26" s="15"/>
      <c r="KB26" s="15"/>
      <c r="KC26" s="15"/>
      <c r="KD26" s="15"/>
      <c r="KE26" s="15"/>
      <c r="KF26" s="15"/>
      <c r="KG26" s="15"/>
      <c r="KH26" s="15"/>
      <c r="KI26" s="15"/>
      <c r="KJ26" s="15"/>
      <c r="KK26" s="15"/>
      <c r="KL26" s="15"/>
      <c r="KM26" s="15"/>
      <c r="KN26" s="15"/>
      <c r="KO26" s="15"/>
      <c r="KP26" s="15"/>
      <c r="KQ26" s="15"/>
      <c r="KR26" s="15"/>
      <c r="KS26" s="15"/>
      <c r="KT26" s="15"/>
      <c r="KU26" s="15"/>
      <c r="KV26" s="15"/>
      <c r="KW26" s="15"/>
      <c r="KX26" s="15"/>
      <c r="KY26" s="15"/>
      <c r="KZ26" s="15"/>
      <c r="LA26" s="15"/>
      <c r="LB26" s="15"/>
      <c r="LC26" s="15"/>
      <c r="LD26" s="15"/>
      <c r="LE26" s="15"/>
      <c r="LF26" s="15"/>
      <c r="LG26" s="15"/>
      <c r="LH26" s="15"/>
      <c r="LI26" s="15"/>
      <c r="LJ26" s="15"/>
      <c r="LK26" s="15"/>
      <c r="LL26" s="15"/>
      <c r="LM26" s="15"/>
      <c r="LN26" s="15"/>
      <c r="LO26" s="15"/>
      <c r="LP26" s="15"/>
      <c r="LQ26" s="15"/>
      <c r="LR26" s="15"/>
      <c r="LS26" s="15"/>
      <c r="LT26" s="15"/>
      <c r="LU26" s="15"/>
      <c r="LV26" s="15"/>
      <c r="LW26" s="15"/>
      <c r="LX26" s="15"/>
      <c r="LY26" s="15"/>
      <c r="LZ26" s="15"/>
      <c r="MA26" s="15"/>
      <c r="MB26" s="15"/>
      <c r="MC26" s="15"/>
      <c r="MD26" s="15"/>
      <c r="ME26" s="15"/>
      <c r="MF26" s="15"/>
      <c r="MG26" s="15"/>
      <c r="MH26" s="15"/>
      <c r="MI26" s="15"/>
      <c r="MJ26" s="15"/>
      <c r="MK26" s="15"/>
      <c r="ML26" s="15"/>
      <c r="MM26" s="15"/>
      <c r="MN26" s="15"/>
      <c r="MO26" s="15"/>
      <c r="MP26" s="15"/>
      <c r="MQ26" s="15"/>
      <c r="MR26" s="15"/>
      <c r="MS26" s="15"/>
      <c r="MT26" s="15"/>
      <c r="MU26" s="15"/>
      <c r="MV26" s="15"/>
      <c r="MW26" s="15"/>
      <c r="MX26" s="15"/>
      <c r="MY26" s="15"/>
      <c r="MZ26" s="15"/>
      <c r="NA26" s="15"/>
      <c r="NB26" s="15"/>
      <c r="NC26" s="15"/>
      <c r="ND26" s="15"/>
      <c r="NE26" s="15"/>
      <c r="NF26" s="15"/>
      <c r="NG26" s="15"/>
      <c r="NH26" s="15"/>
      <c r="NI26" s="15"/>
      <c r="NJ26" s="15"/>
      <c r="NK26" s="15"/>
      <c r="NL26" s="15"/>
      <c r="NM26" s="15"/>
      <c r="NN26" s="15"/>
      <c r="NO26" s="15"/>
      <c r="NP26" s="15"/>
      <c r="NQ26" s="15"/>
      <c r="NR26" s="15"/>
      <c r="NS26" s="15"/>
      <c r="NT26" s="15"/>
      <c r="NU26" s="15"/>
      <c r="NV26" s="15"/>
      <c r="NW26" s="15"/>
      <c r="NX26" s="15"/>
      <c r="NY26" s="15"/>
      <c r="NZ26" s="15"/>
      <c r="OA26" s="15"/>
      <c r="OB26" s="15"/>
      <c r="OC26" s="15"/>
      <c r="OD26" s="15"/>
      <c r="OE26" s="15"/>
      <c r="OF26" s="15"/>
      <c r="OG26" s="15"/>
      <c r="OH26" s="15"/>
      <c r="OI26" s="15"/>
      <c r="OJ26" s="15"/>
      <c r="OK26" s="15"/>
      <c r="OL26" s="15"/>
      <c r="OM26" s="15"/>
      <c r="ON26" s="15"/>
      <c r="OO26" s="15"/>
      <c r="OP26" s="15"/>
      <c r="OQ26" s="15"/>
      <c r="OR26" s="15"/>
      <c r="OS26" s="15"/>
      <c r="OT26" s="15"/>
      <c r="OU26" s="15"/>
      <c r="OV26" s="15"/>
      <c r="OW26" s="15"/>
      <c r="OX26" s="15"/>
      <c r="OY26" s="15"/>
      <c r="OZ26" s="15"/>
      <c r="PA26" s="15"/>
      <c r="PB26" s="15"/>
      <c r="PC26" s="15"/>
      <c r="PD26" s="15"/>
      <c r="PE26" s="15"/>
      <c r="PF26" s="15"/>
      <c r="PG26" s="15"/>
      <c r="PH26" s="15"/>
      <c r="PI26" s="15"/>
      <c r="PJ26" s="15"/>
      <c r="PK26" s="15"/>
      <c r="PL26" s="15"/>
      <c r="PM26" s="15"/>
      <c r="PN26" s="15"/>
      <c r="PO26" s="15"/>
      <c r="PP26" s="15"/>
      <c r="PQ26" s="15"/>
      <c r="PR26" s="15"/>
      <c r="PS26" s="15"/>
      <c r="PT26" s="15"/>
      <c r="PU26" s="15"/>
      <c r="PV26" s="15"/>
      <c r="PW26" s="15"/>
      <c r="PX26" s="15"/>
      <c r="PY26" s="15"/>
      <c r="PZ26" s="15"/>
      <c r="QA26" s="15"/>
      <c r="QB26" s="15"/>
      <c r="QC26" s="15"/>
      <c r="QD26" s="15"/>
      <c r="QE26" s="15"/>
      <c r="QF26" s="15"/>
      <c r="QG26" s="15"/>
      <c r="QH26" s="15"/>
      <c r="QI26" s="15"/>
      <c r="QJ26" s="15"/>
      <c r="QK26" s="15"/>
      <c r="QL26" s="15"/>
      <c r="QM26" s="15"/>
      <c r="QN26" s="15"/>
      <c r="QO26" s="15"/>
      <c r="QP26" s="15"/>
      <c r="QQ26" s="15"/>
      <c r="QR26" s="15"/>
      <c r="QS26" s="15"/>
      <c r="QT26" s="15"/>
      <c r="QU26" s="15"/>
      <c r="QV26" s="15"/>
      <c r="QW26" s="15"/>
      <c r="QX26" s="15"/>
      <c r="QY26" s="15"/>
      <c r="QZ26" s="15"/>
      <c r="RA26" s="15"/>
      <c r="RB26" s="15"/>
      <c r="RC26" s="15"/>
      <c r="RD26" s="15"/>
      <c r="RE26" s="15"/>
      <c r="RF26" s="15"/>
      <c r="RG26" s="15"/>
      <c r="RH26" s="15"/>
      <c r="RI26" s="15"/>
      <c r="RJ26" s="15"/>
      <c r="RK26" s="15"/>
      <c r="RL26" s="15"/>
      <c r="RM26" s="15"/>
      <c r="RN26" s="15"/>
      <c r="RO26" s="15"/>
      <c r="RP26" s="15"/>
      <c r="RQ26" s="15"/>
      <c r="RR26" s="15"/>
      <c r="RS26" s="15"/>
      <c r="RT26" s="15"/>
      <c r="RU26" s="15"/>
      <c r="RV26" s="15"/>
      <c r="RW26" s="15"/>
      <c r="RX26" s="15"/>
      <c r="RY26" s="15"/>
      <c r="RZ26" s="15"/>
      <c r="SA26" s="15"/>
      <c r="SB26" s="15"/>
      <c r="SC26" s="15"/>
      <c r="SD26" s="15"/>
      <c r="SE26" s="15"/>
      <c r="SF26" s="15"/>
      <c r="SG26" s="15"/>
      <c r="SH26" s="15"/>
      <c r="SI26" s="15"/>
      <c r="SJ26" s="15"/>
      <c r="SK26" s="15"/>
      <c r="SL26" s="15"/>
      <c r="SM26" s="15"/>
      <c r="SN26" s="15"/>
      <c r="SO26" s="15"/>
      <c r="SP26" s="15"/>
      <c r="SQ26" s="15"/>
      <c r="SR26" s="15"/>
      <c r="SS26" s="15"/>
      <c r="ST26" s="15"/>
      <c r="SU26" s="15"/>
      <c r="SV26" s="15"/>
      <c r="SW26" s="15"/>
      <c r="SX26" s="15"/>
      <c r="SY26" s="15"/>
      <c r="SZ26" s="15"/>
      <c r="TA26" s="15"/>
      <c r="TB26" s="15"/>
      <c r="TC26" s="15"/>
      <c r="TD26" s="15"/>
      <c r="TE26" s="15"/>
      <c r="TF26" s="15"/>
      <c r="TG26" s="15"/>
      <c r="TH26" s="15"/>
      <c r="TI26" s="15"/>
      <c r="TJ26" s="15"/>
      <c r="TK26" s="15"/>
      <c r="TL26" s="15"/>
      <c r="TM26" s="15"/>
      <c r="TN26" s="15"/>
      <c r="TO26" s="15"/>
      <c r="TP26" s="15"/>
      <c r="TQ26" s="15"/>
      <c r="TR26" s="15"/>
      <c r="TS26" s="15"/>
      <c r="TT26" s="15"/>
      <c r="TU26" s="15"/>
      <c r="TV26" s="15"/>
      <c r="TW26" s="15"/>
      <c r="TX26" s="15"/>
      <c r="TY26" s="15"/>
      <c r="TZ26" s="15"/>
      <c r="UA26" s="15"/>
      <c r="UB26" s="15"/>
      <c r="UC26" s="15"/>
      <c r="UD26" s="15"/>
      <c r="UE26" s="15"/>
      <c r="UF26" s="15"/>
      <c r="UG26" s="15"/>
      <c r="UH26" s="15"/>
      <c r="UI26" s="15"/>
      <c r="UJ26" s="15"/>
      <c r="UK26" s="15"/>
      <c r="UL26" s="15"/>
      <c r="UM26" s="15"/>
      <c r="UN26" s="15"/>
      <c r="UO26" s="15"/>
      <c r="UP26" s="15"/>
      <c r="UQ26" s="15"/>
      <c r="UR26" s="15"/>
      <c r="US26" s="15"/>
      <c r="UT26" s="15"/>
      <c r="UU26" s="15"/>
      <c r="UV26" s="15"/>
      <c r="UW26" s="15"/>
      <c r="UX26" s="15"/>
      <c r="UY26" s="15"/>
      <c r="UZ26" s="15"/>
      <c r="VA26" s="15"/>
      <c r="VB26" s="15"/>
      <c r="VC26" s="15"/>
      <c r="VD26" s="15"/>
      <c r="VE26" s="15"/>
      <c r="VF26" s="15"/>
      <c r="VG26" s="15"/>
      <c r="VH26" s="15"/>
      <c r="VI26" s="15"/>
      <c r="VJ26" s="15"/>
      <c r="VK26" s="15"/>
      <c r="VL26" s="15"/>
      <c r="VM26" s="15"/>
      <c r="VN26" s="15"/>
      <c r="VO26" s="15"/>
      <c r="VP26" s="15"/>
      <c r="VQ26" s="15"/>
      <c r="VR26" s="15"/>
      <c r="VS26" s="15"/>
      <c r="VT26" s="15"/>
      <c r="VU26" s="15"/>
      <c r="VV26" s="15"/>
      <c r="VW26" s="15"/>
      <c r="VX26" s="15"/>
      <c r="VY26" s="15"/>
      <c r="VZ26" s="15"/>
      <c r="WA26" s="15"/>
      <c r="WB26" s="15"/>
      <c r="WC26" s="15"/>
      <c r="WD26" s="15"/>
      <c r="WE26" s="15"/>
      <c r="WF26" s="15"/>
      <c r="WG26" s="15"/>
      <c r="WH26" s="15"/>
      <c r="WI26" s="15"/>
      <c r="WJ26" s="15"/>
      <c r="WK26" s="15"/>
      <c r="WL26" s="15"/>
      <c r="WM26" s="15"/>
      <c r="WN26" s="15"/>
      <c r="WO26" s="15"/>
      <c r="WP26" s="15"/>
      <c r="WQ26" s="15"/>
      <c r="WR26" s="15"/>
      <c r="WS26" s="15"/>
      <c r="WT26" s="15"/>
      <c r="WU26" s="15"/>
      <c r="WV26" s="15"/>
      <c r="WW26" s="15"/>
      <c r="WX26" s="15"/>
      <c r="WY26" s="15"/>
      <c r="WZ26" s="15"/>
      <c r="XA26" s="15"/>
      <c r="XB26" s="15"/>
      <c r="XC26" s="15"/>
      <c r="XD26" s="15"/>
      <c r="XE26" s="15"/>
      <c r="XF26" s="15"/>
      <c r="XG26" s="15"/>
      <c r="XH26" s="15"/>
      <c r="XI26" s="15"/>
      <c r="XJ26" s="15"/>
      <c r="XK26" s="15"/>
      <c r="XL26" s="15"/>
      <c r="XM26" s="15"/>
      <c r="XN26" s="15"/>
      <c r="XO26" s="15"/>
      <c r="XP26" s="15"/>
      <c r="XQ26" s="15"/>
      <c r="XR26" s="15"/>
      <c r="XS26" s="15"/>
      <c r="XT26" s="15"/>
      <c r="XU26" s="15"/>
      <c r="XV26" s="15"/>
      <c r="XW26" s="15"/>
      <c r="XX26" s="15"/>
      <c r="XY26" s="15"/>
      <c r="XZ26" s="15"/>
      <c r="YA26" s="15"/>
      <c r="YB26" s="15"/>
      <c r="YC26" s="15"/>
      <c r="YD26" s="15"/>
      <c r="YE26" s="15"/>
      <c r="YF26" s="15"/>
      <c r="YG26" s="15"/>
      <c r="YH26" s="15"/>
      <c r="YI26" s="15"/>
      <c r="YJ26" s="15"/>
      <c r="YK26" s="15"/>
      <c r="YL26" s="15"/>
      <c r="YM26" s="15"/>
      <c r="YN26" s="15"/>
      <c r="YO26" s="15"/>
      <c r="YP26" s="15"/>
      <c r="YQ26" s="15"/>
      <c r="YR26" s="15"/>
      <c r="YS26" s="15"/>
      <c r="YT26" s="15"/>
      <c r="YU26" s="15"/>
      <c r="YV26" s="15"/>
      <c r="YW26" s="15"/>
      <c r="YX26" s="15"/>
      <c r="YY26" s="15"/>
      <c r="YZ26" s="15"/>
      <c r="ZA26" s="15"/>
      <c r="ZB26" s="15"/>
      <c r="ZC26" s="15"/>
      <c r="ZD26" s="15"/>
      <c r="ZE26" s="15"/>
      <c r="ZF26" s="15"/>
      <c r="ZG26" s="15"/>
      <c r="ZH26" s="15"/>
      <c r="ZI26" s="15"/>
      <c r="ZJ26" s="15"/>
      <c r="ZK26" s="15"/>
      <c r="ZL26" s="15"/>
      <c r="ZM26" s="15"/>
      <c r="ZN26" s="15"/>
      <c r="ZO26" s="15"/>
      <c r="ZP26" s="15"/>
      <c r="ZQ26" s="15"/>
      <c r="ZR26" s="15"/>
      <c r="ZS26" s="15"/>
      <c r="ZT26" s="15"/>
      <c r="ZU26" s="15"/>
      <c r="ZV26" s="15"/>
      <c r="ZW26" s="15"/>
      <c r="ZX26" s="15"/>
      <c r="ZY26" s="15"/>
      <c r="ZZ26" s="15"/>
      <c r="AAA26" s="15"/>
      <c r="AAB26" s="15"/>
      <c r="AAC26" s="15"/>
      <c r="AAD26" s="15"/>
      <c r="AAE26" s="15"/>
      <c r="AAF26" s="15"/>
      <c r="AAG26" s="15"/>
      <c r="AAH26" s="15"/>
      <c r="AAI26" s="15"/>
      <c r="AAJ26" s="15"/>
      <c r="AAK26" s="15"/>
      <c r="AAL26" s="15"/>
      <c r="AAM26" s="15"/>
      <c r="AAN26" s="15"/>
      <c r="AAO26" s="15"/>
      <c r="AAP26" s="15"/>
      <c r="AAQ26" s="15"/>
      <c r="AAR26" s="15"/>
      <c r="AAS26" s="15"/>
      <c r="AAT26" s="15"/>
      <c r="AAU26" s="15"/>
      <c r="AAV26" s="15"/>
      <c r="AAW26" s="15"/>
      <c r="AAX26" s="15"/>
      <c r="AAY26" s="15"/>
      <c r="AAZ26" s="15"/>
      <c r="ABA26" s="15"/>
      <c r="ABB26" s="15"/>
      <c r="ABC26" s="15"/>
      <c r="ABD26" s="15"/>
      <c r="ABE26" s="15"/>
      <c r="ABF26" s="15"/>
      <c r="ABG26" s="15"/>
      <c r="ABH26" s="15"/>
      <c r="ABI26" s="15"/>
      <c r="ABJ26" s="15"/>
      <c r="ABK26" s="15"/>
      <c r="ABL26" s="15"/>
      <c r="ABM26" s="15"/>
      <c r="ABN26" s="15"/>
      <c r="ABO26" s="15"/>
      <c r="ABP26" s="15"/>
      <c r="ABQ26" s="15"/>
      <c r="ABR26" s="15"/>
      <c r="ABS26" s="15"/>
      <c r="ABT26" s="15"/>
      <c r="ABU26" s="15"/>
      <c r="ABV26" s="15"/>
      <c r="ABW26" s="15"/>
      <c r="ABX26" s="15"/>
      <c r="ABY26" s="15"/>
      <c r="ABZ26" s="15"/>
      <c r="ACA26" s="15"/>
      <c r="ACB26" s="15"/>
      <c r="ACC26" s="15"/>
      <c r="ACD26" s="15"/>
      <c r="ACE26" s="15"/>
      <c r="ACF26" s="15"/>
      <c r="ACG26" s="15"/>
      <c r="ACH26" s="15"/>
      <c r="ACI26" s="15"/>
      <c r="ACJ26" s="15"/>
      <c r="ACK26" s="15"/>
      <c r="ACL26" s="15"/>
      <c r="ACM26" s="15"/>
      <c r="ACN26" s="15"/>
      <c r="ACO26" s="15"/>
      <c r="ACP26" s="15"/>
      <c r="ACQ26" s="15"/>
      <c r="ACR26" s="15"/>
      <c r="ACS26" s="15"/>
      <c r="ACT26" s="15"/>
      <c r="ACU26" s="15"/>
      <c r="ACV26" s="15"/>
      <c r="ACW26" s="15"/>
      <c r="ACX26" s="15"/>
      <c r="ACY26" s="15"/>
      <c r="ACZ26" s="15"/>
      <c r="ADA26" s="15"/>
      <c r="ADB26" s="15"/>
      <c r="ADC26" s="15"/>
      <c r="ADD26" s="15"/>
      <c r="ADE26" s="15"/>
      <c r="ADF26" s="15"/>
      <c r="ADG26" s="15"/>
      <c r="ADH26" s="15"/>
      <c r="ADI26" s="15"/>
      <c r="ADJ26" s="15"/>
      <c r="ADK26" s="15"/>
      <c r="ADL26" s="15"/>
      <c r="ADM26" s="15"/>
      <c r="ADN26" s="15"/>
      <c r="ADO26" s="15"/>
      <c r="ADP26" s="15"/>
      <c r="ADQ26" s="15"/>
      <c r="ADR26" s="15"/>
      <c r="ADS26" s="15"/>
      <c r="ADT26" s="15"/>
      <c r="ADU26" s="15"/>
      <c r="ADV26" s="15"/>
      <c r="ADW26" s="15"/>
      <c r="ADX26" s="15"/>
      <c r="ADY26" s="15"/>
      <c r="ADZ26" s="15"/>
      <c r="AEA26" s="15"/>
      <c r="AEB26" s="15"/>
      <c r="AEC26" s="15"/>
      <c r="AED26" s="15"/>
      <c r="AEE26" s="15"/>
      <c r="AEF26" s="15"/>
      <c r="AEG26" s="15"/>
      <c r="AEH26" s="15"/>
      <c r="AEI26" s="15"/>
      <c r="AEJ26" s="15"/>
      <c r="AEK26" s="15"/>
      <c r="AEL26" s="15"/>
      <c r="AEM26" s="15"/>
      <c r="AEN26" s="15"/>
      <c r="AEO26" s="15"/>
      <c r="AEP26" s="15"/>
      <c r="AEQ26" s="15"/>
      <c r="AER26" s="15"/>
      <c r="AES26" s="15"/>
      <c r="AET26" s="15"/>
      <c r="AEU26" s="15"/>
      <c r="AEV26" s="15"/>
      <c r="AEW26" s="15"/>
      <c r="AEX26" s="15"/>
      <c r="AEY26" s="15"/>
      <c r="AEZ26" s="15"/>
      <c r="AFA26" s="15"/>
      <c r="AFB26" s="15"/>
      <c r="AFC26" s="15"/>
      <c r="AFD26" s="15"/>
      <c r="AFE26" s="15"/>
      <c r="AFF26" s="15"/>
      <c r="AFG26" s="15"/>
      <c r="AFH26" s="15"/>
      <c r="AFI26" s="15"/>
      <c r="AFJ26" s="15"/>
      <c r="AFK26" s="15"/>
      <c r="AFL26" s="15"/>
      <c r="AFM26" s="15"/>
      <c r="AFN26" s="15"/>
      <c r="AFO26" s="15"/>
      <c r="AFP26" s="15"/>
      <c r="AFQ26" s="15"/>
      <c r="AFR26" s="15"/>
      <c r="AFS26" s="15"/>
      <c r="AFT26" s="15"/>
      <c r="AFU26" s="15"/>
      <c r="AFV26" s="15"/>
      <c r="AFW26" s="15"/>
      <c r="AFX26" s="15"/>
      <c r="AFY26" s="15"/>
      <c r="AFZ26" s="15"/>
      <c r="AGA26" s="15"/>
      <c r="AGB26" s="15"/>
      <c r="AGC26" s="15"/>
      <c r="AGD26" s="15"/>
      <c r="AGE26" s="15"/>
      <c r="AGF26" s="15"/>
      <c r="AGG26" s="15"/>
      <c r="AGH26" s="15"/>
      <c r="AGI26" s="15"/>
      <c r="AGJ26" s="15"/>
      <c r="AGK26" s="15"/>
      <c r="AGL26" s="15"/>
      <c r="AGM26" s="15"/>
      <c r="AGN26" s="15"/>
      <c r="AGO26" s="15"/>
      <c r="AGP26" s="15"/>
      <c r="AGQ26" s="15"/>
      <c r="AGR26" s="15"/>
      <c r="AGS26" s="15"/>
      <c r="AGT26" s="15"/>
      <c r="AGU26" s="15"/>
      <c r="AGV26" s="15"/>
      <c r="AGW26" s="15"/>
      <c r="AGX26" s="15"/>
      <c r="AGY26" s="15"/>
      <c r="AGZ26" s="15"/>
      <c r="AHA26" s="15"/>
      <c r="AHB26" s="15"/>
      <c r="AHC26" s="15"/>
      <c r="AHD26" s="15"/>
      <c r="AHE26" s="15"/>
      <c r="AHF26" s="15"/>
      <c r="AHG26" s="15"/>
      <c r="AHH26" s="15"/>
      <c r="AHI26" s="15"/>
      <c r="AHJ26" s="15"/>
      <c r="AHK26" s="15"/>
      <c r="AHL26" s="15"/>
      <c r="AHM26" s="15"/>
      <c r="AHN26" s="15"/>
      <c r="AHO26" s="15"/>
      <c r="AHP26" s="15"/>
      <c r="AHQ26" s="15"/>
      <c r="AHR26" s="15"/>
      <c r="AHS26" s="15"/>
      <c r="AHT26" s="15"/>
      <c r="AHU26" s="15"/>
      <c r="AHV26" s="15"/>
      <c r="AHW26" s="15"/>
      <c r="AHX26" s="15"/>
      <c r="AHY26" s="15"/>
      <c r="AHZ26" s="15"/>
      <c r="AIA26" s="15"/>
      <c r="AIB26" s="15"/>
      <c r="AIC26" s="15"/>
      <c r="AID26" s="15"/>
      <c r="AIE26" s="15"/>
      <c r="AIF26" s="15"/>
      <c r="AIG26" s="15"/>
      <c r="AIH26" s="15"/>
      <c r="AII26" s="15"/>
      <c r="AIJ26" s="15"/>
      <c r="AIK26" s="15"/>
      <c r="AIL26" s="15"/>
      <c r="AIM26" s="15"/>
      <c r="AIN26" s="15"/>
      <c r="AIO26" s="15"/>
      <c r="AIP26" s="15"/>
      <c r="AIQ26" s="15"/>
      <c r="AIR26" s="15"/>
      <c r="AIS26" s="15"/>
      <c r="AIT26" s="15"/>
      <c r="AIU26" s="15"/>
      <c r="AIV26" s="15"/>
      <c r="AIW26" s="15"/>
      <c r="AIX26" s="15"/>
      <c r="AIY26" s="15"/>
      <c r="AIZ26" s="15"/>
      <c r="AJA26" s="15"/>
      <c r="AJB26" s="15"/>
      <c r="AJC26" s="15"/>
      <c r="AJD26" s="15"/>
      <c r="AJE26" s="15"/>
      <c r="AJF26" s="15"/>
      <c r="AJG26" s="15"/>
      <c r="AJH26" s="15"/>
      <c r="AJI26" s="15"/>
      <c r="AJJ26" s="15"/>
      <c r="AJK26" s="15"/>
      <c r="AJL26" s="15"/>
      <c r="AJM26" s="15"/>
      <c r="AJN26" s="15"/>
      <c r="AJO26" s="15"/>
      <c r="AJP26" s="15"/>
      <c r="AJQ26" s="15"/>
      <c r="AJR26" s="15"/>
      <c r="AJS26" s="15"/>
      <c r="AJT26" s="15"/>
      <c r="AJU26" s="15"/>
      <c r="AJV26" s="15"/>
      <c r="AJW26" s="15"/>
      <c r="AJX26" s="15"/>
      <c r="AJY26" s="15"/>
      <c r="AJZ26" s="15"/>
      <c r="AKA26" s="15"/>
      <c r="AKB26" s="15"/>
      <c r="AKC26" s="15"/>
      <c r="AKD26" s="15"/>
      <c r="AKE26" s="15"/>
      <c r="AKF26" s="15"/>
      <c r="AKG26" s="15"/>
      <c r="AKH26" s="15"/>
      <c r="AKI26" s="15"/>
      <c r="AKJ26" s="15"/>
      <c r="AKK26" s="15"/>
      <c r="AKL26" s="15"/>
      <c r="AKM26" s="15"/>
      <c r="AKN26" s="15"/>
      <c r="AKO26" s="15"/>
      <c r="AKP26" s="15"/>
      <c r="AKQ26" s="15"/>
      <c r="AKR26" s="15"/>
      <c r="AKS26" s="15"/>
      <c r="AKT26" s="15"/>
      <c r="AKU26" s="15"/>
      <c r="AKV26" s="15"/>
      <c r="AKW26" s="15"/>
      <c r="AKX26" s="15"/>
      <c r="AKY26" s="15"/>
      <c r="AKZ26" s="15"/>
      <c r="ALA26" s="15"/>
      <c r="ALB26" s="15"/>
      <c r="ALC26" s="15"/>
      <c r="ALD26" s="15"/>
      <c r="ALE26" s="15"/>
      <c r="ALF26" s="15"/>
      <c r="ALG26" s="15"/>
      <c r="ALH26" s="15"/>
      <c r="ALI26" s="15"/>
      <c r="ALJ26" s="15"/>
      <c r="ALK26" s="15"/>
      <c r="ALL26" s="15"/>
      <c r="ALM26" s="15"/>
      <c r="ALN26" s="15"/>
      <c r="ALO26" s="15"/>
      <c r="ALP26" s="15"/>
      <c r="ALQ26" s="15"/>
      <c r="ALR26" s="15"/>
      <c r="ALS26" s="15"/>
      <c r="ALT26" s="15"/>
      <c r="ALU26" s="15"/>
      <c r="ALV26" s="15"/>
      <c r="ALW26" s="15"/>
      <c r="ALX26" s="15"/>
      <c r="ALY26" s="15"/>
      <c r="ALZ26" s="15"/>
      <c r="AMA26" s="15"/>
      <c r="AMB26" s="15"/>
      <c r="AMC26" s="15"/>
      <c r="AMD26" s="15"/>
      <c r="AME26" s="15"/>
      <c r="AMF26" s="15"/>
      <c r="AMG26" s="14"/>
      <c r="AMH26" s="14"/>
      <c r="AMI26" s="14"/>
      <c r="AMJ26" s="14"/>
    </row>
    <row r="27" spans="1:1024" s="13" customFormat="1" ht="72.5" hidden="1" x14ac:dyDescent="0.35">
      <c r="A27" s="83">
        <v>43647</v>
      </c>
      <c r="B27" s="29" t="s">
        <v>443</v>
      </c>
      <c r="C27" s="29" t="s">
        <v>442</v>
      </c>
      <c r="D27" s="30">
        <v>43652</v>
      </c>
      <c r="E27" s="29" t="s">
        <v>441</v>
      </c>
      <c r="F27" s="31">
        <v>0.5</v>
      </c>
      <c r="G27" s="31">
        <v>0.54166666666666696</v>
      </c>
      <c r="H27" s="31">
        <v>0.5625</v>
      </c>
      <c r="I27" s="17">
        <v>1625</v>
      </c>
      <c r="J27" s="42" t="s">
        <v>440</v>
      </c>
      <c r="K27" s="17" t="s">
        <v>119</v>
      </c>
      <c r="L27" s="16" t="s">
        <v>17</v>
      </c>
      <c r="M27" s="15"/>
      <c r="N27" s="15"/>
      <c r="O27" s="15"/>
      <c r="P27" s="15"/>
      <c r="Q27" s="15"/>
      <c r="R27" s="15"/>
      <c r="S27" s="15"/>
      <c r="T27" s="15"/>
      <c r="U27" s="15"/>
      <c r="V27" s="15"/>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c r="HI27" s="15"/>
      <c r="HJ27" s="15"/>
      <c r="HK27" s="15"/>
      <c r="HL27" s="15"/>
      <c r="HM27" s="15"/>
      <c r="HN27" s="15"/>
      <c r="HO27" s="15"/>
      <c r="HP27" s="15"/>
      <c r="HQ27" s="15"/>
      <c r="HR27" s="15"/>
      <c r="HS27" s="15"/>
      <c r="HT27" s="15"/>
      <c r="HU27" s="15"/>
      <c r="HV27" s="15"/>
      <c r="HW27" s="15"/>
      <c r="HX27" s="15"/>
      <c r="HY27" s="15"/>
      <c r="HZ27" s="15"/>
      <c r="IA27" s="15"/>
      <c r="IB27" s="15"/>
      <c r="IC27" s="15"/>
      <c r="ID27" s="15"/>
      <c r="IE27" s="15"/>
      <c r="IF27" s="15"/>
      <c r="IG27" s="15"/>
      <c r="IH27" s="15"/>
      <c r="II27" s="15"/>
      <c r="IJ27" s="15"/>
      <c r="IK27" s="15"/>
      <c r="IL27" s="15"/>
      <c r="IM27" s="15"/>
      <c r="IN27" s="15"/>
      <c r="IO27" s="15"/>
      <c r="IP27" s="15"/>
      <c r="IQ27" s="15"/>
      <c r="IR27" s="15"/>
      <c r="IS27" s="15"/>
      <c r="IT27" s="15"/>
      <c r="IU27" s="15"/>
      <c r="IV27" s="15"/>
      <c r="IW27" s="15"/>
      <c r="IX27" s="15"/>
      <c r="IY27" s="15"/>
      <c r="IZ27" s="15"/>
      <c r="JA27" s="15"/>
      <c r="JB27" s="15"/>
      <c r="JC27" s="15"/>
      <c r="JD27" s="15"/>
      <c r="JE27" s="15"/>
      <c r="JF27" s="15"/>
      <c r="JG27" s="15"/>
      <c r="JH27" s="15"/>
      <c r="JI27" s="15"/>
      <c r="JJ27" s="15"/>
      <c r="JK27" s="15"/>
      <c r="JL27" s="15"/>
      <c r="JM27" s="15"/>
      <c r="JN27" s="15"/>
      <c r="JO27" s="15"/>
      <c r="JP27" s="15"/>
      <c r="JQ27" s="15"/>
      <c r="JR27" s="15"/>
      <c r="JS27" s="15"/>
      <c r="JT27" s="15"/>
      <c r="JU27" s="15"/>
      <c r="JV27" s="15"/>
      <c r="JW27" s="15"/>
      <c r="JX27" s="15"/>
      <c r="JY27" s="15"/>
      <c r="JZ27" s="15"/>
      <c r="KA27" s="15"/>
      <c r="KB27" s="15"/>
      <c r="KC27" s="15"/>
      <c r="KD27" s="15"/>
      <c r="KE27" s="15"/>
      <c r="KF27" s="15"/>
      <c r="KG27" s="15"/>
      <c r="KH27" s="15"/>
      <c r="KI27" s="15"/>
      <c r="KJ27" s="15"/>
      <c r="KK27" s="15"/>
      <c r="KL27" s="15"/>
      <c r="KM27" s="15"/>
      <c r="KN27" s="15"/>
      <c r="KO27" s="15"/>
      <c r="KP27" s="15"/>
      <c r="KQ27" s="15"/>
      <c r="KR27" s="15"/>
      <c r="KS27" s="15"/>
      <c r="KT27" s="15"/>
      <c r="KU27" s="15"/>
      <c r="KV27" s="15"/>
      <c r="KW27" s="15"/>
      <c r="KX27" s="15"/>
      <c r="KY27" s="15"/>
      <c r="KZ27" s="15"/>
      <c r="LA27" s="15"/>
      <c r="LB27" s="15"/>
      <c r="LC27" s="15"/>
      <c r="LD27" s="15"/>
      <c r="LE27" s="15"/>
      <c r="LF27" s="15"/>
      <c r="LG27" s="15"/>
      <c r="LH27" s="15"/>
      <c r="LI27" s="15"/>
      <c r="LJ27" s="15"/>
      <c r="LK27" s="15"/>
      <c r="LL27" s="15"/>
      <c r="LM27" s="15"/>
      <c r="LN27" s="15"/>
      <c r="LO27" s="15"/>
      <c r="LP27" s="15"/>
      <c r="LQ27" s="15"/>
      <c r="LR27" s="15"/>
      <c r="LS27" s="15"/>
      <c r="LT27" s="15"/>
      <c r="LU27" s="15"/>
      <c r="LV27" s="15"/>
      <c r="LW27" s="15"/>
      <c r="LX27" s="15"/>
      <c r="LY27" s="15"/>
      <c r="LZ27" s="15"/>
      <c r="MA27" s="15"/>
      <c r="MB27" s="15"/>
      <c r="MC27" s="15"/>
      <c r="MD27" s="15"/>
      <c r="ME27" s="15"/>
      <c r="MF27" s="15"/>
      <c r="MG27" s="15"/>
      <c r="MH27" s="15"/>
      <c r="MI27" s="15"/>
      <c r="MJ27" s="15"/>
      <c r="MK27" s="15"/>
      <c r="ML27" s="15"/>
      <c r="MM27" s="15"/>
      <c r="MN27" s="15"/>
      <c r="MO27" s="15"/>
      <c r="MP27" s="15"/>
      <c r="MQ27" s="15"/>
      <c r="MR27" s="15"/>
      <c r="MS27" s="15"/>
      <c r="MT27" s="15"/>
      <c r="MU27" s="15"/>
      <c r="MV27" s="15"/>
      <c r="MW27" s="15"/>
      <c r="MX27" s="15"/>
      <c r="MY27" s="15"/>
      <c r="MZ27" s="15"/>
      <c r="NA27" s="15"/>
      <c r="NB27" s="15"/>
      <c r="NC27" s="15"/>
      <c r="ND27" s="15"/>
      <c r="NE27" s="15"/>
      <c r="NF27" s="15"/>
      <c r="NG27" s="15"/>
      <c r="NH27" s="15"/>
      <c r="NI27" s="15"/>
      <c r="NJ27" s="15"/>
      <c r="NK27" s="15"/>
      <c r="NL27" s="15"/>
      <c r="NM27" s="15"/>
      <c r="NN27" s="15"/>
      <c r="NO27" s="15"/>
      <c r="NP27" s="15"/>
      <c r="NQ27" s="15"/>
      <c r="NR27" s="15"/>
      <c r="NS27" s="15"/>
      <c r="NT27" s="15"/>
      <c r="NU27" s="15"/>
      <c r="NV27" s="15"/>
      <c r="NW27" s="15"/>
      <c r="NX27" s="15"/>
      <c r="NY27" s="15"/>
      <c r="NZ27" s="15"/>
      <c r="OA27" s="15"/>
      <c r="OB27" s="15"/>
      <c r="OC27" s="15"/>
      <c r="OD27" s="15"/>
      <c r="OE27" s="15"/>
      <c r="OF27" s="15"/>
      <c r="OG27" s="15"/>
      <c r="OH27" s="15"/>
      <c r="OI27" s="15"/>
      <c r="OJ27" s="15"/>
      <c r="OK27" s="15"/>
      <c r="OL27" s="15"/>
      <c r="OM27" s="15"/>
      <c r="ON27" s="15"/>
      <c r="OO27" s="15"/>
      <c r="OP27" s="15"/>
      <c r="OQ27" s="15"/>
      <c r="OR27" s="15"/>
      <c r="OS27" s="15"/>
      <c r="OT27" s="15"/>
      <c r="OU27" s="15"/>
      <c r="OV27" s="15"/>
      <c r="OW27" s="15"/>
      <c r="OX27" s="15"/>
      <c r="OY27" s="15"/>
      <c r="OZ27" s="15"/>
      <c r="PA27" s="15"/>
      <c r="PB27" s="15"/>
      <c r="PC27" s="15"/>
      <c r="PD27" s="15"/>
      <c r="PE27" s="15"/>
      <c r="PF27" s="15"/>
      <c r="PG27" s="15"/>
      <c r="PH27" s="15"/>
      <c r="PI27" s="15"/>
      <c r="PJ27" s="15"/>
      <c r="PK27" s="15"/>
      <c r="PL27" s="15"/>
      <c r="PM27" s="15"/>
      <c r="PN27" s="15"/>
      <c r="PO27" s="15"/>
      <c r="PP27" s="15"/>
      <c r="PQ27" s="15"/>
      <c r="PR27" s="15"/>
      <c r="PS27" s="15"/>
      <c r="PT27" s="15"/>
      <c r="PU27" s="15"/>
      <c r="PV27" s="15"/>
      <c r="PW27" s="15"/>
      <c r="PX27" s="15"/>
      <c r="PY27" s="15"/>
      <c r="PZ27" s="15"/>
      <c r="QA27" s="15"/>
      <c r="QB27" s="15"/>
      <c r="QC27" s="15"/>
      <c r="QD27" s="15"/>
      <c r="QE27" s="15"/>
      <c r="QF27" s="15"/>
      <c r="QG27" s="15"/>
      <c r="QH27" s="15"/>
      <c r="QI27" s="15"/>
      <c r="QJ27" s="15"/>
      <c r="QK27" s="15"/>
      <c r="QL27" s="15"/>
      <c r="QM27" s="15"/>
      <c r="QN27" s="15"/>
      <c r="QO27" s="15"/>
      <c r="QP27" s="15"/>
      <c r="QQ27" s="15"/>
      <c r="QR27" s="15"/>
      <c r="QS27" s="15"/>
      <c r="QT27" s="15"/>
      <c r="QU27" s="15"/>
      <c r="QV27" s="15"/>
      <c r="QW27" s="15"/>
      <c r="QX27" s="15"/>
      <c r="QY27" s="15"/>
      <c r="QZ27" s="15"/>
      <c r="RA27" s="15"/>
      <c r="RB27" s="15"/>
      <c r="RC27" s="15"/>
      <c r="RD27" s="15"/>
      <c r="RE27" s="15"/>
      <c r="RF27" s="15"/>
      <c r="RG27" s="15"/>
      <c r="RH27" s="15"/>
      <c r="RI27" s="15"/>
      <c r="RJ27" s="15"/>
      <c r="RK27" s="15"/>
      <c r="RL27" s="15"/>
      <c r="RM27" s="15"/>
      <c r="RN27" s="15"/>
      <c r="RO27" s="15"/>
      <c r="RP27" s="15"/>
      <c r="RQ27" s="15"/>
      <c r="RR27" s="15"/>
      <c r="RS27" s="15"/>
      <c r="RT27" s="15"/>
      <c r="RU27" s="15"/>
      <c r="RV27" s="15"/>
      <c r="RW27" s="15"/>
      <c r="RX27" s="15"/>
      <c r="RY27" s="15"/>
      <c r="RZ27" s="15"/>
      <c r="SA27" s="15"/>
      <c r="SB27" s="15"/>
      <c r="SC27" s="15"/>
      <c r="SD27" s="15"/>
      <c r="SE27" s="15"/>
      <c r="SF27" s="15"/>
      <c r="SG27" s="15"/>
      <c r="SH27" s="15"/>
      <c r="SI27" s="15"/>
      <c r="SJ27" s="15"/>
      <c r="SK27" s="15"/>
      <c r="SL27" s="15"/>
      <c r="SM27" s="15"/>
      <c r="SN27" s="15"/>
      <c r="SO27" s="15"/>
      <c r="SP27" s="15"/>
      <c r="SQ27" s="15"/>
      <c r="SR27" s="15"/>
      <c r="SS27" s="15"/>
      <c r="ST27" s="15"/>
      <c r="SU27" s="15"/>
      <c r="SV27" s="15"/>
      <c r="SW27" s="15"/>
      <c r="SX27" s="15"/>
      <c r="SY27" s="15"/>
      <c r="SZ27" s="15"/>
      <c r="TA27" s="15"/>
      <c r="TB27" s="15"/>
      <c r="TC27" s="15"/>
      <c r="TD27" s="15"/>
      <c r="TE27" s="15"/>
      <c r="TF27" s="15"/>
      <c r="TG27" s="15"/>
      <c r="TH27" s="15"/>
      <c r="TI27" s="15"/>
      <c r="TJ27" s="15"/>
      <c r="TK27" s="15"/>
      <c r="TL27" s="15"/>
      <c r="TM27" s="15"/>
      <c r="TN27" s="15"/>
      <c r="TO27" s="15"/>
      <c r="TP27" s="15"/>
      <c r="TQ27" s="15"/>
      <c r="TR27" s="15"/>
      <c r="TS27" s="15"/>
      <c r="TT27" s="15"/>
      <c r="TU27" s="15"/>
      <c r="TV27" s="15"/>
      <c r="TW27" s="15"/>
      <c r="TX27" s="15"/>
      <c r="TY27" s="15"/>
      <c r="TZ27" s="15"/>
      <c r="UA27" s="15"/>
      <c r="UB27" s="15"/>
      <c r="UC27" s="15"/>
      <c r="UD27" s="15"/>
      <c r="UE27" s="15"/>
      <c r="UF27" s="15"/>
      <c r="UG27" s="15"/>
      <c r="UH27" s="15"/>
      <c r="UI27" s="15"/>
      <c r="UJ27" s="15"/>
      <c r="UK27" s="15"/>
      <c r="UL27" s="15"/>
      <c r="UM27" s="15"/>
      <c r="UN27" s="15"/>
      <c r="UO27" s="15"/>
      <c r="UP27" s="15"/>
      <c r="UQ27" s="15"/>
      <c r="UR27" s="15"/>
      <c r="US27" s="15"/>
      <c r="UT27" s="15"/>
      <c r="UU27" s="15"/>
      <c r="UV27" s="15"/>
      <c r="UW27" s="15"/>
      <c r="UX27" s="15"/>
      <c r="UY27" s="15"/>
      <c r="UZ27" s="15"/>
      <c r="VA27" s="15"/>
      <c r="VB27" s="15"/>
      <c r="VC27" s="15"/>
      <c r="VD27" s="15"/>
      <c r="VE27" s="15"/>
      <c r="VF27" s="15"/>
      <c r="VG27" s="15"/>
      <c r="VH27" s="15"/>
      <c r="VI27" s="15"/>
      <c r="VJ27" s="15"/>
      <c r="VK27" s="15"/>
      <c r="VL27" s="15"/>
      <c r="VM27" s="15"/>
      <c r="VN27" s="15"/>
      <c r="VO27" s="15"/>
      <c r="VP27" s="15"/>
      <c r="VQ27" s="15"/>
      <c r="VR27" s="15"/>
      <c r="VS27" s="15"/>
      <c r="VT27" s="15"/>
      <c r="VU27" s="15"/>
      <c r="VV27" s="15"/>
      <c r="VW27" s="15"/>
      <c r="VX27" s="15"/>
      <c r="VY27" s="15"/>
      <c r="VZ27" s="15"/>
      <c r="WA27" s="15"/>
      <c r="WB27" s="15"/>
      <c r="WC27" s="15"/>
      <c r="WD27" s="15"/>
      <c r="WE27" s="15"/>
      <c r="WF27" s="15"/>
      <c r="WG27" s="15"/>
      <c r="WH27" s="15"/>
      <c r="WI27" s="15"/>
      <c r="WJ27" s="15"/>
      <c r="WK27" s="15"/>
      <c r="WL27" s="15"/>
      <c r="WM27" s="15"/>
      <c r="WN27" s="15"/>
      <c r="WO27" s="15"/>
      <c r="WP27" s="15"/>
      <c r="WQ27" s="15"/>
      <c r="WR27" s="15"/>
      <c r="WS27" s="15"/>
      <c r="WT27" s="15"/>
      <c r="WU27" s="15"/>
      <c r="WV27" s="15"/>
      <c r="WW27" s="15"/>
      <c r="WX27" s="15"/>
      <c r="WY27" s="15"/>
      <c r="WZ27" s="15"/>
      <c r="XA27" s="15"/>
      <c r="XB27" s="15"/>
      <c r="XC27" s="15"/>
      <c r="XD27" s="15"/>
      <c r="XE27" s="15"/>
      <c r="XF27" s="15"/>
      <c r="XG27" s="15"/>
      <c r="XH27" s="15"/>
      <c r="XI27" s="15"/>
      <c r="XJ27" s="15"/>
      <c r="XK27" s="15"/>
      <c r="XL27" s="15"/>
      <c r="XM27" s="15"/>
      <c r="XN27" s="15"/>
      <c r="XO27" s="15"/>
      <c r="XP27" s="15"/>
      <c r="XQ27" s="15"/>
      <c r="XR27" s="15"/>
      <c r="XS27" s="15"/>
      <c r="XT27" s="15"/>
      <c r="XU27" s="15"/>
      <c r="XV27" s="15"/>
      <c r="XW27" s="15"/>
      <c r="XX27" s="15"/>
      <c r="XY27" s="15"/>
      <c r="XZ27" s="15"/>
      <c r="YA27" s="15"/>
      <c r="YB27" s="15"/>
      <c r="YC27" s="15"/>
      <c r="YD27" s="15"/>
      <c r="YE27" s="15"/>
      <c r="YF27" s="15"/>
      <c r="YG27" s="15"/>
      <c r="YH27" s="15"/>
      <c r="YI27" s="15"/>
      <c r="YJ27" s="15"/>
      <c r="YK27" s="15"/>
      <c r="YL27" s="15"/>
      <c r="YM27" s="15"/>
      <c r="YN27" s="15"/>
      <c r="YO27" s="15"/>
      <c r="YP27" s="15"/>
      <c r="YQ27" s="15"/>
      <c r="YR27" s="15"/>
      <c r="YS27" s="15"/>
      <c r="YT27" s="15"/>
      <c r="YU27" s="15"/>
      <c r="YV27" s="15"/>
      <c r="YW27" s="15"/>
      <c r="YX27" s="15"/>
      <c r="YY27" s="15"/>
      <c r="YZ27" s="15"/>
      <c r="ZA27" s="15"/>
      <c r="ZB27" s="15"/>
      <c r="ZC27" s="15"/>
      <c r="ZD27" s="15"/>
      <c r="ZE27" s="15"/>
      <c r="ZF27" s="15"/>
      <c r="ZG27" s="15"/>
      <c r="ZH27" s="15"/>
      <c r="ZI27" s="15"/>
      <c r="ZJ27" s="15"/>
      <c r="ZK27" s="15"/>
      <c r="ZL27" s="15"/>
      <c r="ZM27" s="15"/>
      <c r="ZN27" s="15"/>
      <c r="ZO27" s="15"/>
      <c r="ZP27" s="15"/>
      <c r="ZQ27" s="15"/>
      <c r="ZR27" s="15"/>
      <c r="ZS27" s="15"/>
      <c r="ZT27" s="15"/>
      <c r="ZU27" s="15"/>
      <c r="ZV27" s="15"/>
      <c r="ZW27" s="15"/>
      <c r="ZX27" s="15"/>
      <c r="ZY27" s="15"/>
      <c r="ZZ27" s="15"/>
      <c r="AAA27" s="15"/>
      <c r="AAB27" s="15"/>
      <c r="AAC27" s="15"/>
      <c r="AAD27" s="15"/>
      <c r="AAE27" s="15"/>
      <c r="AAF27" s="15"/>
      <c r="AAG27" s="15"/>
      <c r="AAH27" s="15"/>
      <c r="AAI27" s="15"/>
      <c r="AAJ27" s="15"/>
      <c r="AAK27" s="15"/>
      <c r="AAL27" s="15"/>
      <c r="AAM27" s="15"/>
      <c r="AAN27" s="15"/>
      <c r="AAO27" s="15"/>
      <c r="AAP27" s="15"/>
      <c r="AAQ27" s="15"/>
      <c r="AAR27" s="15"/>
      <c r="AAS27" s="15"/>
      <c r="AAT27" s="15"/>
      <c r="AAU27" s="15"/>
      <c r="AAV27" s="15"/>
      <c r="AAW27" s="15"/>
      <c r="AAX27" s="15"/>
      <c r="AAY27" s="15"/>
      <c r="AAZ27" s="15"/>
      <c r="ABA27" s="15"/>
      <c r="ABB27" s="15"/>
      <c r="ABC27" s="15"/>
      <c r="ABD27" s="15"/>
      <c r="ABE27" s="15"/>
      <c r="ABF27" s="15"/>
      <c r="ABG27" s="15"/>
      <c r="ABH27" s="15"/>
      <c r="ABI27" s="15"/>
      <c r="ABJ27" s="15"/>
      <c r="ABK27" s="15"/>
      <c r="ABL27" s="15"/>
      <c r="ABM27" s="15"/>
      <c r="ABN27" s="15"/>
      <c r="ABO27" s="15"/>
      <c r="ABP27" s="15"/>
      <c r="ABQ27" s="15"/>
      <c r="ABR27" s="15"/>
      <c r="ABS27" s="15"/>
      <c r="ABT27" s="15"/>
      <c r="ABU27" s="15"/>
      <c r="ABV27" s="15"/>
      <c r="ABW27" s="15"/>
      <c r="ABX27" s="15"/>
      <c r="ABY27" s="15"/>
      <c r="ABZ27" s="15"/>
      <c r="ACA27" s="15"/>
      <c r="ACB27" s="15"/>
      <c r="ACC27" s="15"/>
      <c r="ACD27" s="15"/>
      <c r="ACE27" s="15"/>
      <c r="ACF27" s="15"/>
      <c r="ACG27" s="15"/>
      <c r="ACH27" s="15"/>
      <c r="ACI27" s="15"/>
      <c r="ACJ27" s="15"/>
      <c r="ACK27" s="15"/>
      <c r="ACL27" s="15"/>
      <c r="ACM27" s="15"/>
      <c r="ACN27" s="15"/>
      <c r="ACO27" s="15"/>
      <c r="ACP27" s="15"/>
      <c r="ACQ27" s="15"/>
      <c r="ACR27" s="15"/>
      <c r="ACS27" s="15"/>
      <c r="ACT27" s="15"/>
      <c r="ACU27" s="15"/>
      <c r="ACV27" s="15"/>
      <c r="ACW27" s="15"/>
      <c r="ACX27" s="15"/>
      <c r="ACY27" s="15"/>
      <c r="ACZ27" s="15"/>
      <c r="ADA27" s="15"/>
      <c r="ADB27" s="15"/>
      <c r="ADC27" s="15"/>
      <c r="ADD27" s="15"/>
      <c r="ADE27" s="15"/>
      <c r="ADF27" s="15"/>
      <c r="ADG27" s="15"/>
      <c r="ADH27" s="15"/>
      <c r="ADI27" s="15"/>
      <c r="ADJ27" s="15"/>
      <c r="ADK27" s="15"/>
      <c r="ADL27" s="15"/>
      <c r="ADM27" s="15"/>
      <c r="ADN27" s="15"/>
      <c r="ADO27" s="15"/>
      <c r="ADP27" s="15"/>
      <c r="ADQ27" s="15"/>
      <c r="ADR27" s="15"/>
      <c r="ADS27" s="15"/>
      <c r="ADT27" s="15"/>
      <c r="ADU27" s="15"/>
      <c r="ADV27" s="15"/>
      <c r="ADW27" s="15"/>
      <c r="ADX27" s="15"/>
      <c r="ADY27" s="15"/>
      <c r="ADZ27" s="15"/>
      <c r="AEA27" s="15"/>
      <c r="AEB27" s="15"/>
      <c r="AEC27" s="15"/>
      <c r="AED27" s="15"/>
      <c r="AEE27" s="15"/>
      <c r="AEF27" s="15"/>
      <c r="AEG27" s="15"/>
      <c r="AEH27" s="15"/>
      <c r="AEI27" s="15"/>
      <c r="AEJ27" s="15"/>
      <c r="AEK27" s="15"/>
      <c r="AEL27" s="15"/>
      <c r="AEM27" s="15"/>
      <c r="AEN27" s="15"/>
      <c r="AEO27" s="15"/>
      <c r="AEP27" s="15"/>
      <c r="AEQ27" s="15"/>
      <c r="AER27" s="15"/>
      <c r="AES27" s="15"/>
      <c r="AET27" s="15"/>
      <c r="AEU27" s="15"/>
      <c r="AEV27" s="15"/>
      <c r="AEW27" s="15"/>
      <c r="AEX27" s="15"/>
      <c r="AEY27" s="15"/>
      <c r="AEZ27" s="15"/>
      <c r="AFA27" s="15"/>
      <c r="AFB27" s="15"/>
      <c r="AFC27" s="15"/>
      <c r="AFD27" s="15"/>
      <c r="AFE27" s="15"/>
      <c r="AFF27" s="15"/>
      <c r="AFG27" s="15"/>
      <c r="AFH27" s="15"/>
      <c r="AFI27" s="15"/>
      <c r="AFJ27" s="15"/>
      <c r="AFK27" s="15"/>
      <c r="AFL27" s="15"/>
      <c r="AFM27" s="15"/>
      <c r="AFN27" s="15"/>
      <c r="AFO27" s="15"/>
      <c r="AFP27" s="15"/>
      <c r="AFQ27" s="15"/>
      <c r="AFR27" s="15"/>
      <c r="AFS27" s="15"/>
      <c r="AFT27" s="15"/>
      <c r="AFU27" s="15"/>
      <c r="AFV27" s="15"/>
      <c r="AFW27" s="15"/>
      <c r="AFX27" s="15"/>
      <c r="AFY27" s="15"/>
      <c r="AFZ27" s="15"/>
      <c r="AGA27" s="15"/>
      <c r="AGB27" s="15"/>
      <c r="AGC27" s="15"/>
      <c r="AGD27" s="15"/>
      <c r="AGE27" s="15"/>
      <c r="AGF27" s="15"/>
      <c r="AGG27" s="15"/>
      <c r="AGH27" s="15"/>
      <c r="AGI27" s="15"/>
      <c r="AGJ27" s="15"/>
      <c r="AGK27" s="15"/>
      <c r="AGL27" s="15"/>
      <c r="AGM27" s="15"/>
      <c r="AGN27" s="15"/>
      <c r="AGO27" s="15"/>
      <c r="AGP27" s="15"/>
      <c r="AGQ27" s="15"/>
      <c r="AGR27" s="15"/>
      <c r="AGS27" s="15"/>
      <c r="AGT27" s="15"/>
      <c r="AGU27" s="15"/>
      <c r="AGV27" s="15"/>
      <c r="AGW27" s="15"/>
      <c r="AGX27" s="15"/>
      <c r="AGY27" s="15"/>
      <c r="AGZ27" s="15"/>
      <c r="AHA27" s="15"/>
      <c r="AHB27" s="15"/>
      <c r="AHC27" s="15"/>
      <c r="AHD27" s="15"/>
      <c r="AHE27" s="15"/>
      <c r="AHF27" s="15"/>
      <c r="AHG27" s="15"/>
      <c r="AHH27" s="15"/>
      <c r="AHI27" s="15"/>
      <c r="AHJ27" s="15"/>
      <c r="AHK27" s="15"/>
      <c r="AHL27" s="15"/>
      <c r="AHM27" s="15"/>
      <c r="AHN27" s="15"/>
      <c r="AHO27" s="15"/>
      <c r="AHP27" s="15"/>
      <c r="AHQ27" s="15"/>
      <c r="AHR27" s="15"/>
      <c r="AHS27" s="15"/>
      <c r="AHT27" s="15"/>
      <c r="AHU27" s="15"/>
      <c r="AHV27" s="15"/>
      <c r="AHW27" s="15"/>
      <c r="AHX27" s="15"/>
      <c r="AHY27" s="15"/>
      <c r="AHZ27" s="15"/>
      <c r="AIA27" s="15"/>
      <c r="AIB27" s="15"/>
      <c r="AIC27" s="15"/>
      <c r="AID27" s="15"/>
      <c r="AIE27" s="15"/>
      <c r="AIF27" s="15"/>
      <c r="AIG27" s="15"/>
      <c r="AIH27" s="15"/>
      <c r="AII27" s="15"/>
      <c r="AIJ27" s="15"/>
      <c r="AIK27" s="15"/>
      <c r="AIL27" s="15"/>
      <c r="AIM27" s="15"/>
      <c r="AIN27" s="15"/>
      <c r="AIO27" s="15"/>
      <c r="AIP27" s="15"/>
      <c r="AIQ27" s="15"/>
      <c r="AIR27" s="15"/>
      <c r="AIS27" s="15"/>
      <c r="AIT27" s="15"/>
      <c r="AIU27" s="15"/>
      <c r="AIV27" s="15"/>
      <c r="AIW27" s="15"/>
      <c r="AIX27" s="15"/>
      <c r="AIY27" s="15"/>
      <c r="AIZ27" s="15"/>
      <c r="AJA27" s="15"/>
      <c r="AJB27" s="15"/>
      <c r="AJC27" s="15"/>
      <c r="AJD27" s="15"/>
      <c r="AJE27" s="15"/>
      <c r="AJF27" s="15"/>
      <c r="AJG27" s="15"/>
      <c r="AJH27" s="15"/>
      <c r="AJI27" s="15"/>
      <c r="AJJ27" s="15"/>
      <c r="AJK27" s="15"/>
      <c r="AJL27" s="15"/>
      <c r="AJM27" s="15"/>
      <c r="AJN27" s="15"/>
      <c r="AJO27" s="15"/>
      <c r="AJP27" s="15"/>
      <c r="AJQ27" s="15"/>
      <c r="AJR27" s="15"/>
      <c r="AJS27" s="15"/>
      <c r="AJT27" s="15"/>
      <c r="AJU27" s="15"/>
      <c r="AJV27" s="15"/>
      <c r="AJW27" s="15"/>
      <c r="AJX27" s="15"/>
      <c r="AJY27" s="15"/>
      <c r="AJZ27" s="15"/>
      <c r="AKA27" s="15"/>
      <c r="AKB27" s="15"/>
      <c r="AKC27" s="15"/>
      <c r="AKD27" s="15"/>
      <c r="AKE27" s="15"/>
      <c r="AKF27" s="15"/>
      <c r="AKG27" s="15"/>
      <c r="AKH27" s="15"/>
      <c r="AKI27" s="15"/>
      <c r="AKJ27" s="15"/>
      <c r="AKK27" s="15"/>
      <c r="AKL27" s="15"/>
      <c r="AKM27" s="15"/>
      <c r="AKN27" s="15"/>
      <c r="AKO27" s="15"/>
      <c r="AKP27" s="15"/>
      <c r="AKQ27" s="15"/>
      <c r="AKR27" s="15"/>
      <c r="AKS27" s="15"/>
      <c r="AKT27" s="15"/>
      <c r="AKU27" s="15"/>
      <c r="AKV27" s="15"/>
      <c r="AKW27" s="15"/>
      <c r="AKX27" s="15"/>
      <c r="AKY27" s="15"/>
      <c r="AKZ27" s="15"/>
      <c r="ALA27" s="15"/>
      <c r="ALB27" s="15"/>
      <c r="ALC27" s="15"/>
      <c r="ALD27" s="15"/>
      <c r="ALE27" s="15"/>
      <c r="ALF27" s="15"/>
      <c r="ALG27" s="15"/>
      <c r="ALH27" s="15"/>
      <c r="ALI27" s="15"/>
      <c r="ALJ27" s="15"/>
      <c r="ALK27" s="15"/>
      <c r="ALL27" s="15"/>
      <c r="ALM27" s="15"/>
      <c r="ALN27" s="15"/>
      <c r="ALO27" s="15"/>
      <c r="ALP27" s="15"/>
      <c r="ALQ27" s="15"/>
      <c r="ALR27" s="15"/>
      <c r="ALS27" s="15"/>
      <c r="ALT27" s="15"/>
      <c r="ALU27" s="15"/>
      <c r="ALV27" s="15"/>
      <c r="ALW27" s="15"/>
      <c r="ALX27" s="15"/>
      <c r="ALY27" s="15"/>
      <c r="ALZ27" s="15"/>
      <c r="AMA27" s="15"/>
      <c r="AMB27" s="15"/>
      <c r="AMC27" s="15"/>
      <c r="AMD27" s="15"/>
      <c r="AME27" s="15"/>
      <c r="AMF27" s="15"/>
      <c r="AMG27" s="14"/>
      <c r="AMH27" s="14"/>
      <c r="AMI27" s="14"/>
      <c r="AMJ27" s="14"/>
    </row>
    <row r="28" spans="1:1024" s="13" customFormat="1" ht="174" hidden="1" x14ac:dyDescent="0.35">
      <c r="A28" s="83">
        <v>43571</v>
      </c>
      <c r="B28" s="29" t="s">
        <v>439</v>
      </c>
      <c r="C28" s="29" t="s">
        <v>438</v>
      </c>
      <c r="D28" s="30">
        <v>43652</v>
      </c>
      <c r="E28" s="29" t="s">
        <v>437</v>
      </c>
      <c r="F28" s="31">
        <v>0.5</v>
      </c>
      <c r="G28" s="31">
        <v>0.58333333333333304</v>
      </c>
      <c r="H28" s="31">
        <v>0.61805555555555602</v>
      </c>
      <c r="I28" s="17">
        <v>1404</v>
      </c>
      <c r="J28" s="42" t="s">
        <v>75</v>
      </c>
      <c r="K28" s="17" t="s">
        <v>119</v>
      </c>
      <c r="L28" s="16" t="s">
        <v>17</v>
      </c>
      <c r="M28" s="15"/>
      <c r="N28" s="15"/>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c r="BG28" s="15"/>
      <c r="BH28" s="15"/>
      <c r="BI28" s="15"/>
      <c r="BJ28" s="15"/>
      <c r="BK28" s="15"/>
      <c r="BL28" s="15"/>
      <c r="BM28" s="15"/>
      <c r="BN28" s="15"/>
      <c r="BO28" s="15"/>
      <c r="BP28" s="15"/>
      <c r="BQ28" s="15"/>
      <c r="BR28" s="15"/>
      <c r="BS28" s="15"/>
      <c r="BT28" s="15"/>
      <c r="BU28" s="15"/>
      <c r="BV28" s="15"/>
      <c r="BW28" s="15"/>
      <c r="BX28" s="15"/>
      <c r="BY28" s="15"/>
      <c r="BZ28" s="15"/>
      <c r="CA28" s="15"/>
      <c r="CB28" s="15"/>
      <c r="CC28" s="15"/>
      <c r="CD28" s="15"/>
      <c r="CE28" s="15"/>
      <c r="CF28" s="15"/>
      <c r="CG28" s="15"/>
      <c r="CH28" s="15"/>
      <c r="CI28" s="15"/>
      <c r="CJ28" s="15"/>
      <c r="CK28" s="15"/>
      <c r="CL28" s="15"/>
      <c r="CM28" s="15"/>
      <c r="CN28" s="15"/>
      <c r="CO28" s="15"/>
      <c r="CP28" s="15"/>
      <c r="CQ28" s="15"/>
      <c r="CR28" s="15"/>
      <c r="CS28" s="15"/>
      <c r="CT28" s="15"/>
      <c r="CU28" s="15"/>
      <c r="CV28" s="15"/>
      <c r="CW28" s="15"/>
      <c r="CX28" s="15"/>
      <c r="CY28" s="15"/>
      <c r="CZ28" s="15"/>
      <c r="DA28" s="15"/>
      <c r="DB28" s="15"/>
      <c r="DC28" s="15"/>
      <c r="DD28" s="15"/>
      <c r="DE28" s="15"/>
      <c r="DF28" s="15"/>
      <c r="DG28" s="15"/>
      <c r="DH28" s="15"/>
      <c r="DI28" s="15"/>
      <c r="DJ28" s="15"/>
      <c r="DK28" s="15"/>
      <c r="DL28" s="15"/>
      <c r="DM28" s="15"/>
      <c r="DN28" s="15"/>
      <c r="DO28" s="15"/>
      <c r="DP28" s="15"/>
      <c r="DQ28" s="15"/>
      <c r="DR28" s="15"/>
      <c r="DS28" s="15"/>
      <c r="DT28" s="15"/>
      <c r="DU28" s="15"/>
      <c r="DV28" s="15"/>
      <c r="DW28" s="15"/>
      <c r="DX28" s="15"/>
      <c r="DY28" s="15"/>
      <c r="DZ28" s="15"/>
      <c r="EA28" s="15"/>
      <c r="EB28" s="15"/>
      <c r="EC28" s="15"/>
      <c r="ED28" s="15"/>
      <c r="EE28" s="15"/>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c r="FR28" s="15"/>
      <c r="FS28" s="15"/>
      <c r="FT28" s="15"/>
      <c r="FU28" s="15"/>
      <c r="FV28" s="15"/>
      <c r="FW28" s="15"/>
      <c r="FX28" s="15"/>
      <c r="FY28" s="15"/>
      <c r="FZ28" s="15"/>
      <c r="GA28" s="15"/>
      <c r="GB28" s="15"/>
      <c r="GC28" s="15"/>
      <c r="GD28" s="15"/>
      <c r="GE28" s="15"/>
      <c r="GF28" s="15"/>
      <c r="GG28" s="15"/>
      <c r="GH28" s="15"/>
      <c r="GI28" s="15"/>
      <c r="GJ28" s="15"/>
      <c r="GK28" s="15"/>
      <c r="GL28" s="15"/>
      <c r="GM28" s="15"/>
      <c r="GN28" s="15"/>
      <c r="GO28" s="15"/>
      <c r="GP28" s="15"/>
      <c r="GQ28" s="15"/>
      <c r="GR28" s="15"/>
      <c r="GS28" s="15"/>
      <c r="GT28" s="15"/>
      <c r="GU28" s="15"/>
      <c r="GV28" s="15"/>
      <c r="GW28" s="15"/>
      <c r="GX28" s="15"/>
      <c r="GY28" s="15"/>
      <c r="GZ28" s="15"/>
      <c r="HA28" s="15"/>
      <c r="HB28" s="15"/>
      <c r="HC28" s="15"/>
      <c r="HD28" s="15"/>
      <c r="HE28" s="15"/>
      <c r="HF28" s="15"/>
      <c r="HG28" s="15"/>
      <c r="HH28" s="15"/>
      <c r="HI28" s="15"/>
      <c r="HJ28" s="15"/>
      <c r="HK28" s="15"/>
      <c r="HL28" s="15"/>
      <c r="HM28" s="15"/>
      <c r="HN28" s="15"/>
      <c r="HO28" s="15"/>
      <c r="HP28" s="15"/>
      <c r="HQ28" s="15"/>
      <c r="HR28" s="15"/>
      <c r="HS28" s="15"/>
      <c r="HT28" s="15"/>
      <c r="HU28" s="15"/>
      <c r="HV28" s="15"/>
      <c r="HW28" s="15"/>
      <c r="HX28" s="15"/>
      <c r="HY28" s="15"/>
      <c r="HZ28" s="15"/>
      <c r="IA28" s="15"/>
      <c r="IB28" s="15"/>
      <c r="IC28" s="15"/>
      <c r="ID28" s="15"/>
      <c r="IE28" s="15"/>
      <c r="IF28" s="15"/>
      <c r="IG28" s="15"/>
      <c r="IH28" s="15"/>
      <c r="II28" s="15"/>
      <c r="IJ28" s="15"/>
      <c r="IK28" s="15"/>
      <c r="IL28" s="15"/>
      <c r="IM28" s="15"/>
      <c r="IN28" s="15"/>
      <c r="IO28" s="15"/>
      <c r="IP28" s="15"/>
      <c r="IQ28" s="15"/>
      <c r="IR28" s="15"/>
      <c r="IS28" s="15"/>
      <c r="IT28" s="15"/>
      <c r="IU28" s="15"/>
      <c r="IV28" s="15"/>
      <c r="IW28" s="15"/>
      <c r="IX28" s="15"/>
      <c r="IY28" s="15"/>
      <c r="IZ28" s="15"/>
      <c r="JA28" s="15"/>
      <c r="JB28" s="15"/>
      <c r="JC28" s="15"/>
      <c r="JD28" s="15"/>
      <c r="JE28" s="15"/>
      <c r="JF28" s="15"/>
      <c r="JG28" s="15"/>
      <c r="JH28" s="15"/>
      <c r="JI28" s="15"/>
      <c r="JJ28" s="15"/>
      <c r="JK28" s="15"/>
      <c r="JL28" s="15"/>
      <c r="JM28" s="15"/>
      <c r="JN28" s="15"/>
      <c r="JO28" s="15"/>
      <c r="JP28" s="15"/>
      <c r="JQ28" s="15"/>
      <c r="JR28" s="15"/>
      <c r="JS28" s="15"/>
      <c r="JT28" s="15"/>
      <c r="JU28" s="15"/>
      <c r="JV28" s="15"/>
      <c r="JW28" s="15"/>
      <c r="JX28" s="15"/>
      <c r="JY28" s="15"/>
      <c r="JZ28" s="15"/>
      <c r="KA28" s="15"/>
      <c r="KB28" s="15"/>
      <c r="KC28" s="15"/>
      <c r="KD28" s="15"/>
      <c r="KE28" s="15"/>
      <c r="KF28" s="15"/>
      <c r="KG28" s="15"/>
      <c r="KH28" s="15"/>
      <c r="KI28" s="15"/>
      <c r="KJ28" s="15"/>
      <c r="KK28" s="15"/>
      <c r="KL28" s="15"/>
      <c r="KM28" s="15"/>
      <c r="KN28" s="15"/>
      <c r="KO28" s="15"/>
      <c r="KP28" s="15"/>
      <c r="KQ28" s="15"/>
      <c r="KR28" s="15"/>
      <c r="KS28" s="15"/>
      <c r="KT28" s="15"/>
      <c r="KU28" s="15"/>
      <c r="KV28" s="15"/>
      <c r="KW28" s="15"/>
      <c r="KX28" s="15"/>
      <c r="KY28" s="15"/>
      <c r="KZ28" s="15"/>
      <c r="LA28" s="15"/>
      <c r="LB28" s="15"/>
      <c r="LC28" s="15"/>
      <c r="LD28" s="15"/>
      <c r="LE28" s="15"/>
      <c r="LF28" s="15"/>
      <c r="LG28" s="15"/>
      <c r="LH28" s="15"/>
      <c r="LI28" s="15"/>
      <c r="LJ28" s="15"/>
      <c r="LK28" s="15"/>
      <c r="LL28" s="15"/>
      <c r="LM28" s="15"/>
      <c r="LN28" s="15"/>
      <c r="LO28" s="15"/>
      <c r="LP28" s="15"/>
      <c r="LQ28" s="15"/>
      <c r="LR28" s="15"/>
      <c r="LS28" s="15"/>
      <c r="LT28" s="15"/>
      <c r="LU28" s="15"/>
      <c r="LV28" s="15"/>
      <c r="LW28" s="15"/>
      <c r="LX28" s="15"/>
      <c r="LY28" s="15"/>
      <c r="LZ28" s="15"/>
      <c r="MA28" s="15"/>
      <c r="MB28" s="15"/>
      <c r="MC28" s="15"/>
      <c r="MD28" s="15"/>
      <c r="ME28" s="15"/>
      <c r="MF28" s="15"/>
      <c r="MG28" s="15"/>
      <c r="MH28" s="15"/>
      <c r="MI28" s="15"/>
      <c r="MJ28" s="15"/>
      <c r="MK28" s="15"/>
      <c r="ML28" s="15"/>
      <c r="MM28" s="15"/>
      <c r="MN28" s="15"/>
      <c r="MO28" s="15"/>
      <c r="MP28" s="15"/>
      <c r="MQ28" s="15"/>
      <c r="MR28" s="15"/>
      <c r="MS28" s="15"/>
      <c r="MT28" s="15"/>
      <c r="MU28" s="15"/>
      <c r="MV28" s="15"/>
      <c r="MW28" s="15"/>
      <c r="MX28" s="15"/>
      <c r="MY28" s="15"/>
      <c r="MZ28" s="15"/>
      <c r="NA28" s="15"/>
      <c r="NB28" s="15"/>
      <c r="NC28" s="15"/>
      <c r="ND28" s="15"/>
      <c r="NE28" s="15"/>
      <c r="NF28" s="15"/>
      <c r="NG28" s="15"/>
      <c r="NH28" s="15"/>
      <c r="NI28" s="15"/>
      <c r="NJ28" s="15"/>
      <c r="NK28" s="15"/>
      <c r="NL28" s="15"/>
      <c r="NM28" s="15"/>
      <c r="NN28" s="15"/>
      <c r="NO28" s="15"/>
      <c r="NP28" s="15"/>
      <c r="NQ28" s="15"/>
      <c r="NR28" s="15"/>
      <c r="NS28" s="15"/>
      <c r="NT28" s="15"/>
      <c r="NU28" s="15"/>
      <c r="NV28" s="15"/>
      <c r="NW28" s="15"/>
      <c r="NX28" s="15"/>
      <c r="NY28" s="15"/>
      <c r="NZ28" s="15"/>
      <c r="OA28" s="15"/>
      <c r="OB28" s="15"/>
      <c r="OC28" s="15"/>
      <c r="OD28" s="15"/>
      <c r="OE28" s="15"/>
      <c r="OF28" s="15"/>
      <c r="OG28" s="15"/>
      <c r="OH28" s="15"/>
      <c r="OI28" s="15"/>
      <c r="OJ28" s="15"/>
      <c r="OK28" s="15"/>
      <c r="OL28" s="15"/>
      <c r="OM28" s="15"/>
      <c r="ON28" s="15"/>
      <c r="OO28" s="15"/>
      <c r="OP28" s="15"/>
      <c r="OQ28" s="15"/>
      <c r="OR28" s="15"/>
      <c r="OS28" s="15"/>
      <c r="OT28" s="15"/>
      <c r="OU28" s="15"/>
      <c r="OV28" s="15"/>
      <c r="OW28" s="15"/>
      <c r="OX28" s="15"/>
      <c r="OY28" s="15"/>
      <c r="OZ28" s="15"/>
      <c r="PA28" s="15"/>
      <c r="PB28" s="15"/>
      <c r="PC28" s="15"/>
      <c r="PD28" s="15"/>
      <c r="PE28" s="15"/>
      <c r="PF28" s="15"/>
      <c r="PG28" s="15"/>
      <c r="PH28" s="15"/>
      <c r="PI28" s="15"/>
      <c r="PJ28" s="15"/>
      <c r="PK28" s="15"/>
      <c r="PL28" s="15"/>
      <c r="PM28" s="15"/>
      <c r="PN28" s="15"/>
      <c r="PO28" s="15"/>
      <c r="PP28" s="15"/>
      <c r="PQ28" s="15"/>
      <c r="PR28" s="15"/>
      <c r="PS28" s="15"/>
      <c r="PT28" s="15"/>
      <c r="PU28" s="15"/>
      <c r="PV28" s="15"/>
      <c r="PW28" s="15"/>
      <c r="PX28" s="15"/>
      <c r="PY28" s="15"/>
      <c r="PZ28" s="15"/>
      <c r="QA28" s="15"/>
      <c r="QB28" s="15"/>
      <c r="QC28" s="15"/>
      <c r="QD28" s="15"/>
      <c r="QE28" s="15"/>
      <c r="QF28" s="15"/>
      <c r="QG28" s="15"/>
      <c r="QH28" s="15"/>
      <c r="QI28" s="15"/>
      <c r="QJ28" s="15"/>
      <c r="QK28" s="15"/>
      <c r="QL28" s="15"/>
      <c r="QM28" s="15"/>
      <c r="QN28" s="15"/>
      <c r="QO28" s="15"/>
      <c r="QP28" s="15"/>
      <c r="QQ28" s="15"/>
      <c r="QR28" s="15"/>
      <c r="QS28" s="15"/>
      <c r="QT28" s="15"/>
      <c r="QU28" s="15"/>
      <c r="QV28" s="15"/>
      <c r="QW28" s="15"/>
      <c r="QX28" s="15"/>
      <c r="QY28" s="15"/>
      <c r="QZ28" s="15"/>
      <c r="RA28" s="15"/>
      <c r="RB28" s="15"/>
      <c r="RC28" s="15"/>
      <c r="RD28" s="15"/>
      <c r="RE28" s="15"/>
      <c r="RF28" s="15"/>
      <c r="RG28" s="15"/>
      <c r="RH28" s="15"/>
      <c r="RI28" s="15"/>
      <c r="RJ28" s="15"/>
      <c r="RK28" s="15"/>
      <c r="RL28" s="15"/>
      <c r="RM28" s="15"/>
      <c r="RN28" s="15"/>
      <c r="RO28" s="15"/>
      <c r="RP28" s="15"/>
      <c r="RQ28" s="15"/>
      <c r="RR28" s="15"/>
      <c r="RS28" s="15"/>
      <c r="RT28" s="15"/>
      <c r="RU28" s="15"/>
      <c r="RV28" s="15"/>
      <c r="RW28" s="15"/>
      <c r="RX28" s="15"/>
      <c r="RY28" s="15"/>
      <c r="RZ28" s="15"/>
      <c r="SA28" s="15"/>
      <c r="SB28" s="15"/>
      <c r="SC28" s="15"/>
      <c r="SD28" s="15"/>
      <c r="SE28" s="15"/>
      <c r="SF28" s="15"/>
      <c r="SG28" s="15"/>
      <c r="SH28" s="15"/>
      <c r="SI28" s="15"/>
      <c r="SJ28" s="15"/>
      <c r="SK28" s="15"/>
      <c r="SL28" s="15"/>
      <c r="SM28" s="15"/>
      <c r="SN28" s="15"/>
      <c r="SO28" s="15"/>
      <c r="SP28" s="15"/>
      <c r="SQ28" s="15"/>
      <c r="SR28" s="15"/>
      <c r="SS28" s="15"/>
      <c r="ST28" s="15"/>
      <c r="SU28" s="15"/>
      <c r="SV28" s="15"/>
      <c r="SW28" s="15"/>
      <c r="SX28" s="15"/>
      <c r="SY28" s="15"/>
      <c r="SZ28" s="15"/>
      <c r="TA28" s="15"/>
      <c r="TB28" s="15"/>
      <c r="TC28" s="15"/>
      <c r="TD28" s="15"/>
      <c r="TE28" s="15"/>
      <c r="TF28" s="15"/>
      <c r="TG28" s="15"/>
      <c r="TH28" s="15"/>
      <c r="TI28" s="15"/>
      <c r="TJ28" s="15"/>
      <c r="TK28" s="15"/>
      <c r="TL28" s="15"/>
      <c r="TM28" s="15"/>
      <c r="TN28" s="15"/>
      <c r="TO28" s="15"/>
      <c r="TP28" s="15"/>
      <c r="TQ28" s="15"/>
      <c r="TR28" s="15"/>
      <c r="TS28" s="15"/>
      <c r="TT28" s="15"/>
      <c r="TU28" s="15"/>
      <c r="TV28" s="15"/>
      <c r="TW28" s="15"/>
      <c r="TX28" s="15"/>
      <c r="TY28" s="15"/>
      <c r="TZ28" s="15"/>
      <c r="UA28" s="15"/>
      <c r="UB28" s="15"/>
      <c r="UC28" s="15"/>
      <c r="UD28" s="15"/>
      <c r="UE28" s="15"/>
      <c r="UF28" s="15"/>
      <c r="UG28" s="15"/>
      <c r="UH28" s="15"/>
      <c r="UI28" s="15"/>
      <c r="UJ28" s="15"/>
      <c r="UK28" s="15"/>
      <c r="UL28" s="15"/>
      <c r="UM28" s="15"/>
      <c r="UN28" s="15"/>
      <c r="UO28" s="15"/>
      <c r="UP28" s="15"/>
      <c r="UQ28" s="15"/>
      <c r="UR28" s="15"/>
      <c r="US28" s="15"/>
      <c r="UT28" s="15"/>
      <c r="UU28" s="15"/>
      <c r="UV28" s="15"/>
      <c r="UW28" s="15"/>
      <c r="UX28" s="15"/>
      <c r="UY28" s="15"/>
      <c r="UZ28" s="15"/>
      <c r="VA28" s="15"/>
      <c r="VB28" s="15"/>
      <c r="VC28" s="15"/>
      <c r="VD28" s="15"/>
      <c r="VE28" s="15"/>
      <c r="VF28" s="15"/>
      <c r="VG28" s="15"/>
      <c r="VH28" s="15"/>
      <c r="VI28" s="15"/>
      <c r="VJ28" s="15"/>
      <c r="VK28" s="15"/>
      <c r="VL28" s="15"/>
      <c r="VM28" s="15"/>
      <c r="VN28" s="15"/>
      <c r="VO28" s="15"/>
      <c r="VP28" s="15"/>
      <c r="VQ28" s="15"/>
      <c r="VR28" s="15"/>
      <c r="VS28" s="15"/>
      <c r="VT28" s="15"/>
      <c r="VU28" s="15"/>
      <c r="VV28" s="15"/>
      <c r="VW28" s="15"/>
      <c r="VX28" s="15"/>
      <c r="VY28" s="15"/>
      <c r="VZ28" s="15"/>
      <c r="WA28" s="15"/>
      <c r="WB28" s="15"/>
      <c r="WC28" s="15"/>
      <c r="WD28" s="15"/>
      <c r="WE28" s="15"/>
      <c r="WF28" s="15"/>
      <c r="WG28" s="15"/>
      <c r="WH28" s="15"/>
      <c r="WI28" s="15"/>
      <c r="WJ28" s="15"/>
      <c r="WK28" s="15"/>
      <c r="WL28" s="15"/>
      <c r="WM28" s="15"/>
      <c r="WN28" s="15"/>
      <c r="WO28" s="15"/>
      <c r="WP28" s="15"/>
      <c r="WQ28" s="15"/>
      <c r="WR28" s="15"/>
      <c r="WS28" s="15"/>
      <c r="WT28" s="15"/>
      <c r="WU28" s="15"/>
      <c r="WV28" s="15"/>
      <c r="WW28" s="15"/>
      <c r="WX28" s="15"/>
      <c r="WY28" s="15"/>
      <c r="WZ28" s="15"/>
      <c r="XA28" s="15"/>
      <c r="XB28" s="15"/>
      <c r="XC28" s="15"/>
      <c r="XD28" s="15"/>
      <c r="XE28" s="15"/>
      <c r="XF28" s="15"/>
      <c r="XG28" s="15"/>
      <c r="XH28" s="15"/>
      <c r="XI28" s="15"/>
      <c r="XJ28" s="15"/>
      <c r="XK28" s="15"/>
      <c r="XL28" s="15"/>
      <c r="XM28" s="15"/>
      <c r="XN28" s="15"/>
      <c r="XO28" s="15"/>
      <c r="XP28" s="15"/>
      <c r="XQ28" s="15"/>
      <c r="XR28" s="15"/>
      <c r="XS28" s="15"/>
      <c r="XT28" s="15"/>
      <c r="XU28" s="15"/>
      <c r="XV28" s="15"/>
      <c r="XW28" s="15"/>
      <c r="XX28" s="15"/>
      <c r="XY28" s="15"/>
      <c r="XZ28" s="15"/>
      <c r="YA28" s="15"/>
      <c r="YB28" s="15"/>
      <c r="YC28" s="15"/>
      <c r="YD28" s="15"/>
      <c r="YE28" s="15"/>
      <c r="YF28" s="15"/>
      <c r="YG28" s="15"/>
      <c r="YH28" s="15"/>
      <c r="YI28" s="15"/>
      <c r="YJ28" s="15"/>
      <c r="YK28" s="15"/>
      <c r="YL28" s="15"/>
      <c r="YM28" s="15"/>
      <c r="YN28" s="15"/>
      <c r="YO28" s="15"/>
      <c r="YP28" s="15"/>
      <c r="YQ28" s="15"/>
      <c r="YR28" s="15"/>
      <c r="YS28" s="15"/>
      <c r="YT28" s="15"/>
      <c r="YU28" s="15"/>
      <c r="YV28" s="15"/>
      <c r="YW28" s="15"/>
      <c r="YX28" s="15"/>
      <c r="YY28" s="15"/>
      <c r="YZ28" s="15"/>
      <c r="ZA28" s="15"/>
      <c r="ZB28" s="15"/>
      <c r="ZC28" s="15"/>
      <c r="ZD28" s="15"/>
      <c r="ZE28" s="15"/>
      <c r="ZF28" s="15"/>
      <c r="ZG28" s="15"/>
      <c r="ZH28" s="15"/>
      <c r="ZI28" s="15"/>
      <c r="ZJ28" s="15"/>
      <c r="ZK28" s="15"/>
      <c r="ZL28" s="15"/>
      <c r="ZM28" s="15"/>
      <c r="ZN28" s="15"/>
      <c r="ZO28" s="15"/>
      <c r="ZP28" s="15"/>
      <c r="ZQ28" s="15"/>
      <c r="ZR28" s="15"/>
      <c r="ZS28" s="15"/>
      <c r="ZT28" s="15"/>
      <c r="ZU28" s="15"/>
      <c r="ZV28" s="15"/>
      <c r="ZW28" s="15"/>
      <c r="ZX28" s="15"/>
      <c r="ZY28" s="15"/>
      <c r="ZZ28" s="15"/>
      <c r="AAA28" s="15"/>
      <c r="AAB28" s="15"/>
      <c r="AAC28" s="15"/>
      <c r="AAD28" s="15"/>
      <c r="AAE28" s="15"/>
      <c r="AAF28" s="15"/>
      <c r="AAG28" s="15"/>
      <c r="AAH28" s="15"/>
      <c r="AAI28" s="15"/>
      <c r="AAJ28" s="15"/>
      <c r="AAK28" s="15"/>
      <c r="AAL28" s="15"/>
      <c r="AAM28" s="15"/>
      <c r="AAN28" s="15"/>
      <c r="AAO28" s="15"/>
      <c r="AAP28" s="15"/>
      <c r="AAQ28" s="15"/>
      <c r="AAR28" s="15"/>
      <c r="AAS28" s="15"/>
      <c r="AAT28" s="15"/>
      <c r="AAU28" s="15"/>
      <c r="AAV28" s="15"/>
      <c r="AAW28" s="15"/>
      <c r="AAX28" s="15"/>
      <c r="AAY28" s="15"/>
      <c r="AAZ28" s="15"/>
      <c r="ABA28" s="15"/>
      <c r="ABB28" s="15"/>
      <c r="ABC28" s="15"/>
      <c r="ABD28" s="15"/>
      <c r="ABE28" s="15"/>
      <c r="ABF28" s="15"/>
      <c r="ABG28" s="15"/>
      <c r="ABH28" s="15"/>
      <c r="ABI28" s="15"/>
      <c r="ABJ28" s="15"/>
      <c r="ABK28" s="15"/>
      <c r="ABL28" s="15"/>
      <c r="ABM28" s="15"/>
      <c r="ABN28" s="15"/>
      <c r="ABO28" s="15"/>
      <c r="ABP28" s="15"/>
      <c r="ABQ28" s="15"/>
      <c r="ABR28" s="15"/>
      <c r="ABS28" s="15"/>
      <c r="ABT28" s="15"/>
      <c r="ABU28" s="15"/>
      <c r="ABV28" s="15"/>
      <c r="ABW28" s="15"/>
      <c r="ABX28" s="15"/>
      <c r="ABY28" s="15"/>
      <c r="ABZ28" s="15"/>
      <c r="ACA28" s="15"/>
      <c r="ACB28" s="15"/>
      <c r="ACC28" s="15"/>
      <c r="ACD28" s="15"/>
      <c r="ACE28" s="15"/>
      <c r="ACF28" s="15"/>
      <c r="ACG28" s="15"/>
      <c r="ACH28" s="15"/>
      <c r="ACI28" s="15"/>
      <c r="ACJ28" s="15"/>
      <c r="ACK28" s="15"/>
      <c r="ACL28" s="15"/>
      <c r="ACM28" s="15"/>
      <c r="ACN28" s="15"/>
      <c r="ACO28" s="15"/>
      <c r="ACP28" s="15"/>
      <c r="ACQ28" s="15"/>
      <c r="ACR28" s="15"/>
      <c r="ACS28" s="15"/>
      <c r="ACT28" s="15"/>
      <c r="ACU28" s="15"/>
      <c r="ACV28" s="15"/>
      <c r="ACW28" s="15"/>
      <c r="ACX28" s="15"/>
      <c r="ACY28" s="15"/>
      <c r="ACZ28" s="15"/>
      <c r="ADA28" s="15"/>
      <c r="ADB28" s="15"/>
      <c r="ADC28" s="15"/>
      <c r="ADD28" s="15"/>
      <c r="ADE28" s="15"/>
      <c r="ADF28" s="15"/>
      <c r="ADG28" s="15"/>
      <c r="ADH28" s="15"/>
      <c r="ADI28" s="15"/>
      <c r="ADJ28" s="15"/>
      <c r="ADK28" s="15"/>
      <c r="ADL28" s="15"/>
      <c r="ADM28" s="15"/>
      <c r="ADN28" s="15"/>
      <c r="ADO28" s="15"/>
      <c r="ADP28" s="15"/>
      <c r="ADQ28" s="15"/>
      <c r="ADR28" s="15"/>
      <c r="ADS28" s="15"/>
      <c r="ADT28" s="15"/>
      <c r="ADU28" s="15"/>
      <c r="ADV28" s="15"/>
      <c r="ADW28" s="15"/>
      <c r="ADX28" s="15"/>
      <c r="ADY28" s="15"/>
      <c r="ADZ28" s="15"/>
      <c r="AEA28" s="15"/>
      <c r="AEB28" s="15"/>
      <c r="AEC28" s="15"/>
      <c r="AED28" s="15"/>
      <c r="AEE28" s="15"/>
      <c r="AEF28" s="15"/>
      <c r="AEG28" s="15"/>
      <c r="AEH28" s="15"/>
      <c r="AEI28" s="15"/>
      <c r="AEJ28" s="15"/>
      <c r="AEK28" s="15"/>
      <c r="AEL28" s="15"/>
      <c r="AEM28" s="15"/>
      <c r="AEN28" s="15"/>
      <c r="AEO28" s="15"/>
      <c r="AEP28" s="15"/>
      <c r="AEQ28" s="15"/>
      <c r="AER28" s="15"/>
      <c r="AES28" s="15"/>
      <c r="AET28" s="15"/>
      <c r="AEU28" s="15"/>
      <c r="AEV28" s="15"/>
      <c r="AEW28" s="15"/>
      <c r="AEX28" s="15"/>
      <c r="AEY28" s="15"/>
      <c r="AEZ28" s="15"/>
      <c r="AFA28" s="15"/>
      <c r="AFB28" s="15"/>
      <c r="AFC28" s="15"/>
      <c r="AFD28" s="15"/>
      <c r="AFE28" s="15"/>
      <c r="AFF28" s="15"/>
      <c r="AFG28" s="15"/>
      <c r="AFH28" s="15"/>
      <c r="AFI28" s="15"/>
      <c r="AFJ28" s="15"/>
      <c r="AFK28" s="15"/>
      <c r="AFL28" s="15"/>
      <c r="AFM28" s="15"/>
      <c r="AFN28" s="15"/>
      <c r="AFO28" s="15"/>
      <c r="AFP28" s="15"/>
      <c r="AFQ28" s="15"/>
      <c r="AFR28" s="15"/>
      <c r="AFS28" s="15"/>
      <c r="AFT28" s="15"/>
      <c r="AFU28" s="15"/>
      <c r="AFV28" s="15"/>
      <c r="AFW28" s="15"/>
      <c r="AFX28" s="15"/>
      <c r="AFY28" s="15"/>
      <c r="AFZ28" s="15"/>
      <c r="AGA28" s="15"/>
      <c r="AGB28" s="15"/>
      <c r="AGC28" s="15"/>
      <c r="AGD28" s="15"/>
      <c r="AGE28" s="15"/>
      <c r="AGF28" s="15"/>
      <c r="AGG28" s="15"/>
      <c r="AGH28" s="15"/>
      <c r="AGI28" s="15"/>
      <c r="AGJ28" s="15"/>
      <c r="AGK28" s="15"/>
      <c r="AGL28" s="15"/>
      <c r="AGM28" s="15"/>
      <c r="AGN28" s="15"/>
      <c r="AGO28" s="15"/>
      <c r="AGP28" s="15"/>
      <c r="AGQ28" s="15"/>
      <c r="AGR28" s="15"/>
      <c r="AGS28" s="15"/>
      <c r="AGT28" s="15"/>
      <c r="AGU28" s="15"/>
      <c r="AGV28" s="15"/>
      <c r="AGW28" s="15"/>
      <c r="AGX28" s="15"/>
      <c r="AGY28" s="15"/>
      <c r="AGZ28" s="15"/>
      <c r="AHA28" s="15"/>
      <c r="AHB28" s="15"/>
      <c r="AHC28" s="15"/>
      <c r="AHD28" s="15"/>
      <c r="AHE28" s="15"/>
      <c r="AHF28" s="15"/>
      <c r="AHG28" s="15"/>
      <c r="AHH28" s="15"/>
      <c r="AHI28" s="15"/>
      <c r="AHJ28" s="15"/>
      <c r="AHK28" s="15"/>
      <c r="AHL28" s="15"/>
      <c r="AHM28" s="15"/>
      <c r="AHN28" s="15"/>
      <c r="AHO28" s="15"/>
      <c r="AHP28" s="15"/>
      <c r="AHQ28" s="15"/>
      <c r="AHR28" s="15"/>
      <c r="AHS28" s="15"/>
      <c r="AHT28" s="15"/>
      <c r="AHU28" s="15"/>
      <c r="AHV28" s="15"/>
      <c r="AHW28" s="15"/>
      <c r="AHX28" s="15"/>
      <c r="AHY28" s="15"/>
      <c r="AHZ28" s="15"/>
      <c r="AIA28" s="15"/>
      <c r="AIB28" s="15"/>
      <c r="AIC28" s="15"/>
      <c r="AID28" s="15"/>
      <c r="AIE28" s="15"/>
      <c r="AIF28" s="15"/>
      <c r="AIG28" s="15"/>
      <c r="AIH28" s="15"/>
      <c r="AII28" s="15"/>
      <c r="AIJ28" s="15"/>
      <c r="AIK28" s="15"/>
      <c r="AIL28" s="15"/>
      <c r="AIM28" s="15"/>
      <c r="AIN28" s="15"/>
      <c r="AIO28" s="15"/>
      <c r="AIP28" s="15"/>
      <c r="AIQ28" s="15"/>
      <c r="AIR28" s="15"/>
      <c r="AIS28" s="15"/>
      <c r="AIT28" s="15"/>
      <c r="AIU28" s="15"/>
      <c r="AIV28" s="15"/>
      <c r="AIW28" s="15"/>
      <c r="AIX28" s="15"/>
      <c r="AIY28" s="15"/>
      <c r="AIZ28" s="15"/>
      <c r="AJA28" s="15"/>
      <c r="AJB28" s="15"/>
      <c r="AJC28" s="15"/>
      <c r="AJD28" s="15"/>
      <c r="AJE28" s="15"/>
      <c r="AJF28" s="15"/>
      <c r="AJG28" s="15"/>
      <c r="AJH28" s="15"/>
      <c r="AJI28" s="15"/>
      <c r="AJJ28" s="15"/>
      <c r="AJK28" s="15"/>
      <c r="AJL28" s="15"/>
      <c r="AJM28" s="15"/>
      <c r="AJN28" s="15"/>
      <c r="AJO28" s="15"/>
      <c r="AJP28" s="15"/>
      <c r="AJQ28" s="15"/>
      <c r="AJR28" s="15"/>
      <c r="AJS28" s="15"/>
      <c r="AJT28" s="15"/>
      <c r="AJU28" s="15"/>
      <c r="AJV28" s="15"/>
      <c r="AJW28" s="15"/>
      <c r="AJX28" s="15"/>
      <c r="AJY28" s="15"/>
      <c r="AJZ28" s="15"/>
      <c r="AKA28" s="15"/>
      <c r="AKB28" s="15"/>
      <c r="AKC28" s="15"/>
      <c r="AKD28" s="15"/>
      <c r="AKE28" s="15"/>
      <c r="AKF28" s="15"/>
      <c r="AKG28" s="15"/>
      <c r="AKH28" s="15"/>
      <c r="AKI28" s="15"/>
      <c r="AKJ28" s="15"/>
      <c r="AKK28" s="15"/>
      <c r="AKL28" s="15"/>
      <c r="AKM28" s="15"/>
      <c r="AKN28" s="15"/>
      <c r="AKO28" s="15"/>
      <c r="AKP28" s="15"/>
      <c r="AKQ28" s="15"/>
      <c r="AKR28" s="15"/>
      <c r="AKS28" s="15"/>
      <c r="AKT28" s="15"/>
      <c r="AKU28" s="15"/>
      <c r="AKV28" s="15"/>
      <c r="AKW28" s="15"/>
      <c r="AKX28" s="15"/>
      <c r="AKY28" s="15"/>
      <c r="AKZ28" s="15"/>
      <c r="ALA28" s="15"/>
      <c r="ALB28" s="15"/>
      <c r="ALC28" s="15"/>
      <c r="ALD28" s="15"/>
      <c r="ALE28" s="15"/>
      <c r="ALF28" s="15"/>
      <c r="ALG28" s="15"/>
      <c r="ALH28" s="15"/>
      <c r="ALI28" s="15"/>
      <c r="ALJ28" s="15"/>
      <c r="ALK28" s="15"/>
      <c r="ALL28" s="15"/>
      <c r="ALM28" s="15"/>
      <c r="ALN28" s="15"/>
      <c r="ALO28" s="15"/>
      <c r="ALP28" s="15"/>
      <c r="ALQ28" s="15"/>
      <c r="ALR28" s="15"/>
      <c r="ALS28" s="15"/>
      <c r="ALT28" s="15"/>
      <c r="ALU28" s="15"/>
      <c r="ALV28" s="15"/>
      <c r="ALW28" s="15"/>
      <c r="ALX28" s="15"/>
      <c r="ALY28" s="15"/>
      <c r="ALZ28" s="15"/>
      <c r="AMA28" s="15"/>
      <c r="AMB28" s="15"/>
      <c r="AMC28" s="15"/>
      <c r="AMD28" s="15"/>
      <c r="AME28" s="15"/>
      <c r="AMF28" s="15"/>
      <c r="AMG28" s="14"/>
      <c r="AMH28" s="14"/>
      <c r="AMI28" s="14"/>
      <c r="AMJ28" s="15"/>
    </row>
    <row r="29" spans="1:1024" s="13" customFormat="1" ht="159.5" hidden="1" x14ac:dyDescent="0.35">
      <c r="A29" s="83">
        <v>43627</v>
      </c>
      <c r="B29" s="111" t="s">
        <v>436</v>
      </c>
      <c r="C29" s="111" t="s">
        <v>435</v>
      </c>
      <c r="D29" s="30">
        <v>43652</v>
      </c>
      <c r="E29" s="29" t="s">
        <v>434</v>
      </c>
      <c r="F29" s="31">
        <v>0.63888888888888895</v>
      </c>
      <c r="G29" s="31">
        <v>0.76041666666666696</v>
      </c>
      <c r="H29" s="31">
        <v>0.77083333333333304</v>
      </c>
      <c r="I29" s="17">
        <v>390</v>
      </c>
      <c r="J29" s="17" t="s">
        <v>178</v>
      </c>
      <c r="K29" s="17" t="s">
        <v>119</v>
      </c>
      <c r="L29" s="16" t="s">
        <v>22</v>
      </c>
      <c r="M29" s="15">
        <v>390</v>
      </c>
      <c r="N29" s="15"/>
      <c r="O29" s="15"/>
      <c r="P29" s="15"/>
      <c r="Q29" s="15"/>
      <c r="R29" s="15"/>
      <c r="S29" s="15"/>
      <c r="T29" s="15"/>
      <c r="U29" s="15"/>
      <c r="V29" s="15"/>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15"/>
      <c r="CR29" s="15"/>
      <c r="CS29" s="15"/>
      <c r="CT29" s="15"/>
      <c r="CU29" s="15"/>
      <c r="CV29" s="15"/>
      <c r="CW29" s="15"/>
      <c r="CX29" s="15"/>
      <c r="CY29" s="15"/>
      <c r="CZ29" s="15"/>
      <c r="DA29" s="15"/>
      <c r="DB29" s="15"/>
      <c r="DC29" s="15"/>
      <c r="DD29" s="15"/>
      <c r="DE29" s="15"/>
      <c r="DF29" s="15"/>
      <c r="DG29" s="15"/>
      <c r="DH29" s="15"/>
      <c r="DI29" s="15"/>
      <c r="DJ29" s="15"/>
      <c r="DK29" s="15"/>
      <c r="DL29" s="15"/>
      <c r="DM29" s="15"/>
      <c r="DN29" s="15"/>
      <c r="DO29" s="15"/>
      <c r="DP29" s="15"/>
      <c r="DQ29" s="15"/>
      <c r="DR29" s="15"/>
      <c r="DS29" s="15"/>
      <c r="DT29" s="15"/>
      <c r="DU29" s="15"/>
      <c r="DV29" s="15"/>
      <c r="DW29" s="15"/>
      <c r="DX29" s="15"/>
      <c r="DY29" s="15"/>
      <c r="DZ29" s="15"/>
      <c r="EA29" s="15"/>
      <c r="EB29" s="15"/>
      <c r="EC29" s="15"/>
      <c r="ED29" s="15"/>
      <c r="EE29" s="15"/>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c r="FR29" s="15"/>
      <c r="FS29" s="15"/>
      <c r="FT29" s="15"/>
      <c r="FU29" s="15"/>
      <c r="FV29" s="15"/>
      <c r="FW29" s="15"/>
      <c r="FX29" s="15"/>
      <c r="FY29" s="15"/>
      <c r="FZ29" s="15"/>
      <c r="GA29" s="15"/>
      <c r="GB29" s="15"/>
      <c r="GC29" s="15"/>
      <c r="GD29" s="15"/>
      <c r="GE29" s="15"/>
      <c r="GF29" s="15"/>
      <c r="GG29" s="15"/>
      <c r="GH29" s="15"/>
      <c r="GI29" s="15"/>
      <c r="GJ29" s="15"/>
      <c r="GK29" s="15"/>
      <c r="GL29" s="15"/>
      <c r="GM29" s="15"/>
      <c r="GN29" s="15"/>
      <c r="GO29" s="15"/>
      <c r="GP29" s="15"/>
      <c r="GQ29" s="15"/>
      <c r="GR29" s="15"/>
      <c r="GS29" s="15"/>
      <c r="GT29" s="15"/>
      <c r="GU29" s="15"/>
      <c r="GV29" s="15"/>
      <c r="GW29" s="15"/>
      <c r="GX29" s="15"/>
      <c r="GY29" s="15"/>
      <c r="GZ29" s="15"/>
      <c r="HA29" s="15"/>
      <c r="HB29" s="15"/>
      <c r="HC29" s="15"/>
      <c r="HD29" s="15"/>
      <c r="HE29" s="15"/>
      <c r="HF29" s="15"/>
      <c r="HG29" s="15"/>
      <c r="HH29" s="15"/>
      <c r="HI29" s="15"/>
      <c r="HJ29" s="15"/>
      <c r="HK29" s="15"/>
      <c r="HL29" s="15"/>
      <c r="HM29" s="15"/>
      <c r="HN29" s="15"/>
      <c r="HO29" s="15"/>
      <c r="HP29" s="15"/>
      <c r="HQ29" s="15"/>
      <c r="HR29" s="15"/>
      <c r="HS29" s="15"/>
      <c r="HT29" s="15"/>
      <c r="HU29" s="15"/>
      <c r="HV29" s="15"/>
      <c r="HW29" s="15"/>
      <c r="HX29" s="15"/>
      <c r="HY29" s="15"/>
      <c r="HZ29" s="15"/>
      <c r="IA29" s="15"/>
      <c r="IB29" s="15"/>
      <c r="IC29" s="15"/>
      <c r="ID29" s="15"/>
      <c r="IE29" s="15"/>
      <c r="IF29" s="15"/>
      <c r="IG29" s="15"/>
      <c r="IH29" s="15"/>
      <c r="II29" s="15"/>
      <c r="IJ29" s="15"/>
      <c r="IK29" s="15"/>
      <c r="IL29" s="15"/>
      <c r="IM29" s="15"/>
      <c r="IN29" s="15"/>
      <c r="IO29" s="15"/>
      <c r="IP29" s="15"/>
      <c r="IQ29" s="15"/>
      <c r="IR29" s="15"/>
      <c r="IS29" s="15"/>
      <c r="IT29" s="15"/>
      <c r="IU29" s="15"/>
      <c r="IV29" s="15"/>
      <c r="IW29" s="15"/>
      <c r="IX29" s="15"/>
      <c r="IY29" s="15"/>
      <c r="IZ29" s="15"/>
      <c r="JA29" s="15"/>
      <c r="JB29" s="15"/>
      <c r="JC29" s="15"/>
      <c r="JD29" s="15"/>
      <c r="JE29" s="15"/>
      <c r="JF29" s="15"/>
      <c r="JG29" s="15"/>
      <c r="JH29" s="15"/>
      <c r="JI29" s="15"/>
      <c r="JJ29" s="15"/>
      <c r="JK29" s="15"/>
      <c r="JL29" s="15"/>
      <c r="JM29" s="15"/>
      <c r="JN29" s="15"/>
      <c r="JO29" s="15"/>
      <c r="JP29" s="15"/>
      <c r="JQ29" s="15"/>
      <c r="JR29" s="15"/>
      <c r="JS29" s="15"/>
      <c r="JT29" s="15"/>
      <c r="JU29" s="15"/>
      <c r="JV29" s="15"/>
      <c r="JW29" s="15"/>
      <c r="JX29" s="15"/>
      <c r="JY29" s="15"/>
      <c r="JZ29" s="15"/>
      <c r="KA29" s="15"/>
      <c r="KB29" s="15"/>
      <c r="KC29" s="15"/>
      <c r="KD29" s="15"/>
      <c r="KE29" s="15"/>
      <c r="KF29" s="15"/>
      <c r="KG29" s="15"/>
      <c r="KH29" s="15"/>
      <c r="KI29" s="15"/>
      <c r="KJ29" s="15"/>
      <c r="KK29" s="15"/>
      <c r="KL29" s="15"/>
      <c r="KM29" s="15"/>
      <c r="KN29" s="15"/>
      <c r="KO29" s="15"/>
      <c r="KP29" s="15"/>
      <c r="KQ29" s="15"/>
      <c r="KR29" s="15"/>
      <c r="KS29" s="15"/>
      <c r="KT29" s="15"/>
      <c r="KU29" s="15"/>
      <c r="KV29" s="15"/>
      <c r="KW29" s="15"/>
      <c r="KX29" s="15"/>
      <c r="KY29" s="15"/>
      <c r="KZ29" s="15"/>
      <c r="LA29" s="15"/>
      <c r="LB29" s="15"/>
      <c r="LC29" s="15"/>
      <c r="LD29" s="15"/>
      <c r="LE29" s="15"/>
      <c r="LF29" s="15"/>
      <c r="LG29" s="15"/>
      <c r="LH29" s="15"/>
      <c r="LI29" s="15"/>
      <c r="LJ29" s="15"/>
      <c r="LK29" s="15"/>
      <c r="LL29" s="15"/>
      <c r="LM29" s="15"/>
      <c r="LN29" s="15"/>
      <c r="LO29" s="15"/>
      <c r="LP29" s="15"/>
      <c r="LQ29" s="15"/>
      <c r="LR29" s="15"/>
      <c r="LS29" s="15"/>
      <c r="LT29" s="15"/>
      <c r="LU29" s="15"/>
      <c r="LV29" s="15"/>
      <c r="LW29" s="15"/>
      <c r="LX29" s="15"/>
      <c r="LY29" s="15"/>
      <c r="LZ29" s="15"/>
      <c r="MA29" s="15"/>
      <c r="MB29" s="15"/>
      <c r="MC29" s="15"/>
      <c r="MD29" s="15"/>
      <c r="ME29" s="15"/>
      <c r="MF29" s="15"/>
      <c r="MG29" s="15"/>
      <c r="MH29" s="15"/>
      <c r="MI29" s="15"/>
      <c r="MJ29" s="15"/>
      <c r="MK29" s="15"/>
      <c r="ML29" s="15"/>
      <c r="MM29" s="15"/>
      <c r="MN29" s="15"/>
      <c r="MO29" s="15"/>
      <c r="MP29" s="15"/>
      <c r="MQ29" s="15"/>
      <c r="MR29" s="15"/>
      <c r="MS29" s="15"/>
      <c r="MT29" s="15"/>
      <c r="MU29" s="15"/>
      <c r="MV29" s="15"/>
      <c r="MW29" s="15"/>
      <c r="MX29" s="15"/>
      <c r="MY29" s="15"/>
      <c r="MZ29" s="15"/>
      <c r="NA29" s="15"/>
      <c r="NB29" s="15"/>
      <c r="NC29" s="15"/>
      <c r="ND29" s="15"/>
      <c r="NE29" s="15"/>
      <c r="NF29" s="15"/>
      <c r="NG29" s="15"/>
      <c r="NH29" s="15"/>
      <c r="NI29" s="15"/>
      <c r="NJ29" s="15"/>
      <c r="NK29" s="15"/>
      <c r="NL29" s="15"/>
      <c r="NM29" s="15"/>
      <c r="NN29" s="15"/>
      <c r="NO29" s="15"/>
      <c r="NP29" s="15"/>
      <c r="NQ29" s="15"/>
      <c r="NR29" s="15"/>
      <c r="NS29" s="15"/>
      <c r="NT29" s="15"/>
      <c r="NU29" s="15"/>
      <c r="NV29" s="15"/>
      <c r="NW29" s="15"/>
      <c r="NX29" s="15"/>
      <c r="NY29" s="15"/>
      <c r="NZ29" s="15"/>
      <c r="OA29" s="15"/>
      <c r="OB29" s="15"/>
      <c r="OC29" s="15"/>
      <c r="OD29" s="15"/>
      <c r="OE29" s="15"/>
      <c r="OF29" s="15"/>
      <c r="OG29" s="15"/>
      <c r="OH29" s="15"/>
      <c r="OI29" s="15"/>
      <c r="OJ29" s="15"/>
      <c r="OK29" s="15"/>
      <c r="OL29" s="15"/>
      <c r="OM29" s="15"/>
      <c r="ON29" s="15"/>
      <c r="OO29" s="15"/>
      <c r="OP29" s="15"/>
      <c r="OQ29" s="15"/>
      <c r="OR29" s="15"/>
      <c r="OS29" s="15"/>
      <c r="OT29" s="15"/>
      <c r="OU29" s="15"/>
      <c r="OV29" s="15"/>
      <c r="OW29" s="15"/>
      <c r="OX29" s="15"/>
      <c r="OY29" s="15"/>
      <c r="OZ29" s="15"/>
      <c r="PA29" s="15"/>
      <c r="PB29" s="15"/>
      <c r="PC29" s="15"/>
      <c r="PD29" s="15"/>
      <c r="PE29" s="15"/>
      <c r="PF29" s="15"/>
      <c r="PG29" s="15"/>
      <c r="PH29" s="15"/>
      <c r="PI29" s="15"/>
      <c r="PJ29" s="15"/>
      <c r="PK29" s="15"/>
      <c r="PL29" s="15"/>
      <c r="PM29" s="15"/>
      <c r="PN29" s="15"/>
      <c r="PO29" s="15"/>
      <c r="PP29" s="15"/>
      <c r="PQ29" s="15"/>
      <c r="PR29" s="15"/>
      <c r="PS29" s="15"/>
      <c r="PT29" s="15"/>
      <c r="PU29" s="15"/>
      <c r="PV29" s="15"/>
      <c r="PW29" s="15"/>
      <c r="PX29" s="15"/>
      <c r="PY29" s="15"/>
      <c r="PZ29" s="15"/>
      <c r="QA29" s="15"/>
      <c r="QB29" s="15"/>
      <c r="QC29" s="15"/>
      <c r="QD29" s="15"/>
      <c r="QE29" s="15"/>
      <c r="QF29" s="15"/>
      <c r="QG29" s="15"/>
      <c r="QH29" s="15"/>
      <c r="QI29" s="15"/>
      <c r="QJ29" s="15"/>
      <c r="QK29" s="15"/>
      <c r="QL29" s="15"/>
      <c r="QM29" s="15"/>
      <c r="QN29" s="15"/>
      <c r="QO29" s="15"/>
      <c r="QP29" s="15"/>
      <c r="QQ29" s="15"/>
      <c r="QR29" s="15"/>
      <c r="QS29" s="15"/>
      <c r="QT29" s="15"/>
      <c r="QU29" s="15"/>
      <c r="QV29" s="15"/>
      <c r="QW29" s="15"/>
      <c r="QX29" s="15"/>
      <c r="QY29" s="15"/>
      <c r="QZ29" s="15"/>
      <c r="RA29" s="15"/>
      <c r="RB29" s="15"/>
      <c r="RC29" s="15"/>
      <c r="RD29" s="15"/>
      <c r="RE29" s="15"/>
      <c r="RF29" s="15"/>
      <c r="RG29" s="15"/>
      <c r="RH29" s="15"/>
      <c r="RI29" s="15"/>
      <c r="RJ29" s="15"/>
      <c r="RK29" s="15"/>
      <c r="RL29" s="15"/>
      <c r="RM29" s="15"/>
      <c r="RN29" s="15"/>
      <c r="RO29" s="15"/>
      <c r="RP29" s="15"/>
      <c r="RQ29" s="15"/>
      <c r="RR29" s="15"/>
      <c r="RS29" s="15"/>
      <c r="RT29" s="15"/>
      <c r="RU29" s="15"/>
      <c r="RV29" s="15"/>
      <c r="RW29" s="15"/>
      <c r="RX29" s="15"/>
      <c r="RY29" s="15"/>
      <c r="RZ29" s="15"/>
      <c r="SA29" s="15"/>
      <c r="SB29" s="15"/>
      <c r="SC29" s="15"/>
      <c r="SD29" s="15"/>
      <c r="SE29" s="15"/>
      <c r="SF29" s="15"/>
      <c r="SG29" s="15"/>
      <c r="SH29" s="15"/>
      <c r="SI29" s="15"/>
      <c r="SJ29" s="15"/>
      <c r="SK29" s="15"/>
      <c r="SL29" s="15"/>
      <c r="SM29" s="15"/>
      <c r="SN29" s="15"/>
      <c r="SO29" s="15"/>
      <c r="SP29" s="15"/>
      <c r="SQ29" s="15"/>
      <c r="SR29" s="15"/>
      <c r="SS29" s="15"/>
      <c r="ST29" s="15"/>
      <c r="SU29" s="15"/>
      <c r="SV29" s="15"/>
      <c r="SW29" s="15"/>
      <c r="SX29" s="15"/>
      <c r="SY29" s="15"/>
      <c r="SZ29" s="15"/>
      <c r="TA29" s="15"/>
      <c r="TB29" s="15"/>
      <c r="TC29" s="15"/>
      <c r="TD29" s="15"/>
      <c r="TE29" s="15"/>
      <c r="TF29" s="15"/>
      <c r="TG29" s="15"/>
      <c r="TH29" s="15"/>
      <c r="TI29" s="15"/>
      <c r="TJ29" s="15"/>
      <c r="TK29" s="15"/>
      <c r="TL29" s="15"/>
      <c r="TM29" s="15"/>
      <c r="TN29" s="15"/>
      <c r="TO29" s="15"/>
      <c r="TP29" s="15"/>
      <c r="TQ29" s="15"/>
      <c r="TR29" s="15"/>
      <c r="TS29" s="15"/>
      <c r="TT29" s="15"/>
      <c r="TU29" s="15"/>
      <c r="TV29" s="15"/>
      <c r="TW29" s="15"/>
      <c r="TX29" s="15"/>
      <c r="TY29" s="15"/>
      <c r="TZ29" s="15"/>
      <c r="UA29" s="15"/>
      <c r="UB29" s="15"/>
      <c r="UC29" s="15"/>
      <c r="UD29" s="15"/>
      <c r="UE29" s="15"/>
      <c r="UF29" s="15"/>
      <c r="UG29" s="15"/>
      <c r="UH29" s="15"/>
      <c r="UI29" s="15"/>
      <c r="UJ29" s="15"/>
      <c r="UK29" s="15"/>
      <c r="UL29" s="15"/>
      <c r="UM29" s="15"/>
      <c r="UN29" s="15"/>
      <c r="UO29" s="15"/>
      <c r="UP29" s="15"/>
      <c r="UQ29" s="15"/>
      <c r="UR29" s="15"/>
      <c r="US29" s="15"/>
      <c r="UT29" s="15"/>
      <c r="UU29" s="15"/>
      <c r="UV29" s="15"/>
      <c r="UW29" s="15"/>
      <c r="UX29" s="15"/>
      <c r="UY29" s="15"/>
      <c r="UZ29" s="15"/>
      <c r="VA29" s="15"/>
      <c r="VB29" s="15"/>
      <c r="VC29" s="15"/>
      <c r="VD29" s="15"/>
      <c r="VE29" s="15"/>
      <c r="VF29" s="15"/>
      <c r="VG29" s="15"/>
      <c r="VH29" s="15"/>
      <c r="VI29" s="15"/>
      <c r="VJ29" s="15"/>
      <c r="VK29" s="15"/>
      <c r="VL29" s="15"/>
      <c r="VM29" s="15"/>
      <c r="VN29" s="15"/>
      <c r="VO29" s="15"/>
      <c r="VP29" s="15"/>
      <c r="VQ29" s="15"/>
      <c r="VR29" s="15"/>
      <c r="VS29" s="15"/>
      <c r="VT29" s="15"/>
      <c r="VU29" s="15"/>
      <c r="VV29" s="15"/>
      <c r="VW29" s="15"/>
      <c r="VX29" s="15"/>
      <c r="VY29" s="15"/>
      <c r="VZ29" s="15"/>
      <c r="WA29" s="15"/>
      <c r="WB29" s="15"/>
      <c r="WC29" s="15"/>
      <c r="WD29" s="15"/>
      <c r="WE29" s="15"/>
      <c r="WF29" s="15"/>
      <c r="WG29" s="15"/>
      <c r="WH29" s="15"/>
      <c r="WI29" s="15"/>
      <c r="WJ29" s="15"/>
      <c r="WK29" s="15"/>
      <c r="WL29" s="15"/>
      <c r="WM29" s="15"/>
      <c r="WN29" s="15"/>
      <c r="WO29" s="15"/>
      <c r="WP29" s="15"/>
      <c r="WQ29" s="15"/>
      <c r="WR29" s="15"/>
      <c r="WS29" s="15"/>
      <c r="WT29" s="15"/>
      <c r="WU29" s="15"/>
      <c r="WV29" s="15"/>
      <c r="WW29" s="15"/>
      <c r="WX29" s="15"/>
      <c r="WY29" s="15"/>
      <c r="WZ29" s="15"/>
      <c r="XA29" s="15"/>
      <c r="XB29" s="15"/>
      <c r="XC29" s="15"/>
      <c r="XD29" s="15"/>
      <c r="XE29" s="15"/>
      <c r="XF29" s="15"/>
      <c r="XG29" s="15"/>
      <c r="XH29" s="15"/>
      <c r="XI29" s="15"/>
      <c r="XJ29" s="15"/>
      <c r="XK29" s="15"/>
      <c r="XL29" s="15"/>
      <c r="XM29" s="15"/>
      <c r="XN29" s="15"/>
      <c r="XO29" s="15"/>
      <c r="XP29" s="15"/>
      <c r="XQ29" s="15"/>
      <c r="XR29" s="15"/>
      <c r="XS29" s="15"/>
      <c r="XT29" s="15"/>
      <c r="XU29" s="15"/>
      <c r="XV29" s="15"/>
      <c r="XW29" s="15"/>
      <c r="XX29" s="15"/>
      <c r="XY29" s="15"/>
      <c r="XZ29" s="15"/>
      <c r="YA29" s="15"/>
      <c r="YB29" s="15"/>
      <c r="YC29" s="15"/>
      <c r="YD29" s="15"/>
      <c r="YE29" s="15"/>
      <c r="YF29" s="15"/>
      <c r="YG29" s="15"/>
      <c r="YH29" s="15"/>
      <c r="YI29" s="15"/>
      <c r="YJ29" s="15"/>
      <c r="YK29" s="15"/>
      <c r="YL29" s="15"/>
      <c r="YM29" s="15"/>
      <c r="YN29" s="15"/>
      <c r="YO29" s="15"/>
      <c r="YP29" s="15"/>
      <c r="YQ29" s="15"/>
      <c r="YR29" s="15"/>
      <c r="YS29" s="15"/>
      <c r="YT29" s="15"/>
      <c r="YU29" s="15"/>
      <c r="YV29" s="15"/>
      <c r="YW29" s="15"/>
      <c r="YX29" s="15"/>
      <c r="YY29" s="15"/>
      <c r="YZ29" s="15"/>
      <c r="ZA29" s="15"/>
      <c r="ZB29" s="15"/>
      <c r="ZC29" s="15"/>
      <c r="ZD29" s="15"/>
      <c r="ZE29" s="15"/>
      <c r="ZF29" s="15"/>
      <c r="ZG29" s="15"/>
      <c r="ZH29" s="15"/>
      <c r="ZI29" s="15"/>
      <c r="ZJ29" s="15"/>
      <c r="ZK29" s="15"/>
      <c r="ZL29" s="15"/>
      <c r="ZM29" s="15"/>
      <c r="ZN29" s="15"/>
      <c r="ZO29" s="15"/>
      <c r="ZP29" s="15"/>
      <c r="ZQ29" s="15"/>
      <c r="ZR29" s="15"/>
      <c r="ZS29" s="15"/>
      <c r="ZT29" s="15"/>
      <c r="ZU29" s="15"/>
      <c r="ZV29" s="15"/>
      <c r="ZW29" s="15"/>
      <c r="ZX29" s="15"/>
      <c r="ZY29" s="15"/>
      <c r="ZZ29" s="15"/>
      <c r="AAA29" s="15"/>
      <c r="AAB29" s="15"/>
      <c r="AAC29" s="15"/>
      <c r="AAD29" s="15"/>
      <c r="AAE29" s="15"/>
      <c r="AAF29" s="15"/>
      <c r="AAG29" s="15"/>
      <c r="AAH29" s="15"/>
      <c r="AAI29" s="15"/>
      <c r="AAJ29" s="15"/>
      <c r="AAK29" s="15"/>
      <c r="AAL29" s="15"/>
      <c r="AAM29" s="15"/>
      <c r="AAN29" s="15"/>
      <c r="AAO29" s="15"/>
      <c r="AAP29" s="15"/>
      <c r="AAQ29" s="15"/>
      <c r="AAR29" s="15"/>
      <c r="AAS29" s="15"/>
      <c r="AAT29" s="15"/>
      <c r="AAU29" s="15"/>
      <c r="AAV29" s="15"/>
      <c r="AAW29" s="15"/>
      <c r="AAX29" s="15"/>
      <c r="AAY29" s="15"/>
      <c r="AAZ29" s="15"/>
      <c r="ABA29" s="15"/>
      <c r="ABB29" s="15"/>
      <c r="ABC29" s="15"/>
      <c r="ABD29" s="15"/>
      <c r="ABE29" s="15"/>
      <c r="ABF29" s="15"/>
      <c r="ABG29" s="15"/>
      <c r="ABH29" s="15"/>
      <c r="ABI29" s="15"/>
      <c r="ABJ29" s="15"/>
      <c r="ABK29" s="15"/>
      <c r="ABL29" s="15"/>
      <c r="ABM29" s="15"/>
      <c r="ABN29" s="15"/>
      <c r="ABO29" s="15"/>
      <c r="ABP29" s="15"/>
      <c r="ABQ29" s="15"/>
      <c r="ABR29" s="15"/>
      <c r="ABS29" s="15"/>
      <c r="ABT29" s="15"/>
      <c r="ABU29" s="15"/>
      <c r="ABV29" s="15"/>
      <c r="ABW29" s="15"/>
      <c r="ABX29" s="15"/>
      <c r="ABY29" s="15"/>
      <c r="ABZ29" s="15"/>
      <c r="ACA29" s="15"/>
      <c r="ACB29" s="15"/>
      <c r="ACC29" s="15"/>
      <c r="ACD29" s="15"/>
      <c r="ACE29" s="15"/>
      <c r="ACF29" s="15"/>
      <c r="ACG29" s="15"/>
      <c r="ACH29" s="15"/>
      <c r="ACI29" s="15"/>
      <c r="ACJ29" s="15"/>
      <c r="ACK29" s="15"/>
      <c r="ACL29" s="15"/>
      <c r="ACM29" s="15"/>
      <c r="ACN29" s="15"/>
      <c r="ACO29" s="15"/>
      <c r="ACP29" s="15"/>
      <c r="ACQ29" s="15"/>
      <c r="ACR29" s="15"/>
      <c r="ACS29" s="15"/>
      <c r="ACT29" s="15"/>
      <c r="ACU29" s="15"/>
      <c r="ACV29" s="15"/>
      <c r="ACW29" s="15"/>
      <c r="ACX29" s="15"/>
      <c r="ACY29" s="15"/>
      <c r="ACZ29" s="15"/>
      <c r="ADA29" s="15"/>
      <c r="ADB29" s="15"/>
      <c r="ADC29" s="15"/>
      <c r="ADD29" s="15"/>
      <c r="ADE29" s="15"/>
      <c r="ADF29" s="15"/>
      <c r="ADG29" s="15"/>
      <c r="ADH29" s="15"/>
      <c r="ADI29" s="15"/>
      <c r="ADJ29" s="15"/>
      <c r="ADK29" s="15"/>
      <c r="ADL29" s="15"/>
      <c r="ADM29" s="15"/>
      <c r="ADN29" s="15"/>
      <c r="ADO29" s="15"/>
      <c r="ADP29" s="15"/>
      <c r="ADQ29" s="15"/>
      <c r="ADR29" s="15"/>
      <c r="ADS29" s="15"/>
      <c r="ADT29" s="15"/>
      <c r="ADU29" s="15"/>
      <c r="ADV29" s="15"/>
      <c r="ADW29" s="15"/>
      <c r="ADX29" s="15"/>
      <c r="ADY29" s="15"/>
      <c r="ADZ29" s="15"/>
      <c r="AEA29" s="15"/>
      <c r="AEB29" s="15"/>
      <c r="AEC29" s="15"/>
      <c r="AED29" s="15"/>
      <c r="AEE29" s="15"/>
      <c r="AEF29" s="15"/>
      <c r="AEG29" s="15"/>
      <c r="AEH29" s="15"/>
      <c r="AEI29" s="15"/>
      <c r="AEJ29" s="15"/>
      <c r="AEK29" s="15"/>
      <c r="AEL29" s="15"/>
      <c r="AEM29" s="15"/>
      <c r="AEN29" s="15"/>
      <c r="AEO29" s="15"/>
      <c r="AEP29" s="15"/>
      <c r="AEQ29" s="15"/>
      <c r="AER29" s="15"/>
      <c r="AES29" s="15"/>
      <c r="AET29" s="15"/>
      <c r="AEU29" s="15"/>
      <c r="AEV29" s="15"/>
      <c r="AEW29" s="15"/>
      <c r="AEX29" s="15"/>
      <c r="AEY29" s="15"/>
      <c r="AEZ29" s="15"/>
      <c r="AFA29" s="15"/>
      <c r="AFB29" s="15"/>
      <c r="AFC29" s="15"/>
      <c r="AFD29" s="15"/>
      <c r="AFE29" s="15"/>
      <c r="AFF29" s="15"/>
      <c r="AFG29" s="15"/>
      <c r="AFH29" s="15"/>
      <c r="AFI29" s="15"/>
      <c r="AFJ29" s="15"/>
      <c r="AFK29" s="15"/>
      <c r="AFL29" s="15"/>
      <c r="AFM29" s="15"/>
      <c r="AFN29" s="15"/>
      <c r="AFO29" s="15"/>
      <c r="AFP29" s="15"/>
      <c r="AFQ29" s="15"/>
      <c r="AFR29" s="15"/>
      <c r="AFS29" s="15"/>
      <c r="AFT29" s="15"/>
      <c r="AFU29" s="15"/>
      <c r="AFV29" s="15"/>
      <c r="AFW29" s="15"/>
      <c r="AFX29" s="15"/>
      <c r="AFY29" s="15"/>
      <c r="AFZ29" s="15"/>
      <c r="AGA29" s="15"/>
      <c r="AGB29" s="15"/>
      <c r="AGC29" s="15"/>
      <c r="AGD29" s="15"/>
      <c r="AGE29" s="15"/>
      <c r="AGF29" s="15"/>
      <c r="AGG29" s="15"/>
      <c r="AGH29" s="15"/>
      <c r="AGI29" s="15"/>
      <c r="AGJ29" s="15"/>
      <c r="AGK29" s="15"/>
      <c r="AGL29" s="15"/>
      <c r="AGM29" s="15"/>
      <c r="AGN29" s="15"/>
      <c r="AGO29" s="15"/>
      <c r="AGP29" s="15"/>
      <c r="AGQ29" s="15"/>
      <c r="AGR29" s="15"/>
      <c r="AGS29" s="15"/>
      <c r="AGT29" s="15"/>
      <c r="AGU29" s="15"/>
      <c r="AGV29" s="15"/>
      <c r="AGW29" s="15"/>
      <c r="AGX29" s="15"/>
      <c r="AGY29" s="15"/>
      <c r="AGZ29" s="15"/>
      <c r="AHA29" s="15"/>
      <c r="AHB29" s="15"/>
      <c r="AHC29" s="15"/>
      <c r="AHD29" s="15"/>
      <c r="AHE29" s="15"/>
      <c r="AHF29" s="15"/>
      <c r="AHG29" s="15"/>
      <c r="AHH29" s="15"/>
      <c r="AHI29" s="15"/>
      <c r="AHJ29" s="15"/>
      <c r="AHK29" s="15"/>
      <c r="AHL29" s="15"/>
      <c r="AHM29" s="15"/>
      <c r="AHN29" s="15"/>
      <c r="AHO29" s="15"/>
      <c r="AHP29" s="15"/>
      <c r="AHQ29" s="15"/>
      <c r="AHR29" s="15"/>
      <c r="AHS29" s="15"/>
      <c r="AHT29" s="15"/>
      <c r="AHU29" s="15"/>
      <c r="AHV29" s="15"/>
      <c r="AHW29" s="15"/>
      <c r="AHX29" s="15"/>
      <c r="AHY29" s="15"/>
      <c r="AHZ29" s="15"/>
      <c r="AIA29" s="15"/>
      <c r="AIB29" s="15"/>
      <c r="AIC29" s="15"/>
      <c r="AID29" s="15"/>
      <c r="AIE29" s="15"/>
      <c r="AIF29" s="15"/>
      <c r="AIG29" s="15"/>
      <c r="AIH29" s="15"/>
      <c r="AII29" s="15"/>
      <c r="AIJ29" s="15"/>
      <c r="AIK29" s="15"/>
      <c r="AIL29" s="15"/>
      <c r="AIM29" s="15"/>
      <c r="AIN29" s="15"/>
      <c r="AIO29" s="15"/>
      <c r="AIP29" s="15"/>
      <c r="AIQ29" s="15"/>
      <c r="AIR29" s="15"/>
      <c r="AIS29" s="15"/>
      <c r="AIT29" s="15"/>
      <c r="AIU29" s="15"/>
      <c r="AIV29" s="15"/>
      <c r="AIW29" s="15"/>
      <c r="AIX29" s="15"/>
      <c r="AIY29" s="15"/>
      <c r="AIZ29" s="15"/>
      <c r="AJA29" s="15"/>
      <c r="AJB29" s="15"/>
      <c r="AJC29" s="15"/>
      <c r="AJD29" s="15"/>
      <c r="AJE29" s="15"/>
      <c r="AJF29" s="15"/>
      <c r="AJG29" s="15"/>
      <c r="AJH29" s="15"/>
      <c r="AJI29" s="15"/>
      <c r="AJJ29" s="15"/>
      <c r="AJK29" s="15"/>
      <c r="AJL29" s="15"/>
      <c r="AJM29" s="15"/>
      <c r="AJN29" s="15"/>
      <c r="AJO29" s="15"/>
      <c r="AJP29" s="15"/>
      <c r="AJQ29" s="15"/>
      <c r="AJR29" s="15"/>
      <c r="AJS29" s="15"/>
      <c r="AJT29" s="15"/>
      <c r="AJU29" s="15"/>
      <c r="AJV29" s="15"/>
      <c r="AJW29" s="15"/>
      <c r="AJX29" s="15"/>
      <c r="AJY29" s="15"/>
      <c r="AJZ29" s="15"/>
      <c r="AKA29" s="15"/>
      <c r="AKB29" s="15"/>
      <c r="AKC29" s="15"/>
      <c r="AKD29" s="15"/>
      <c r="AKE29" s="15"/>
      <c r="AKF29" s="15"/>
      <c r="AKG29" s="15"/>
      <c r="AKH29" s="15"/>
      <c r="AKI29" s="15"/>
      <c r="AKJ29" s="15"/>
      <c r="AKK29" s="15"/>
      <c r="AKL29" s="15"/>
      <c r="AKM29" s="15"/>
      <c r="AKN29" s="15"/>
      <c r="AKO29" s="15"/>
      <c r="AKP29" s="15"/>
      <c r="AKQ29" s="15"/>
      <c r="AKR29" s="15"/>
      <c r="AKS29" s="15"/>
      <c r="AKT29" s="15"/>
      <c r="AKU29" s="15"/>
      <c r="AKV29" s="15"/>
      <c r="AKW29" s="15"/>
      <c r="AKX29" s="15"/>
      <c r="AKY29" s="15"/>
      <c r="AKZ29" s="15"/>
      <c r="ALA29" s="15"/>
      <c r="ALB29" s="15"/>
      <c r="ALC29" s="15"/>
      <c r="ALD29" s="15"/>
      <c r="ALE29" s="15"/>
      <c r="ALF29" s="15"/>
      <c r="ALG29" s="15"/>
      <c r="ALH29" s="15"/>
      <c r="ALI29" s="15"/>
      <c r="ALJ29" s="15"/>
      <c r="ALK29" s="15"/>
      <c r="ALL29" s="15"/>
      <c r="ALM29" s="15"/>
      <c r="ALN29" s="15"/>
      <c r="ALO29" s="15"/>
      <c r="ALP29" s="15"/>
      <c r="ALQ29" s="15"/>
      <c r="ALR29" s="15"/>
      <c r="ALS29" s="15"/>
      <c r="ALT29" s="15"/>
      <c r="ALU29" s="15"/>
      <c r="ALV29" s="15"/>
      <c r="ALW29" s="15"/>
      <c r="ALX29" s="15"/>
      <c r="ALY29" s="15"/>
      <c r="ALZ29" s="15"/>
      <c r="AMA29" s="15"/>
      <c r="AMB29" s="15"/>
      <c r="AMC29" s="15"/>
      <c r="AMD29" s="15"/>
      <c r="AME29" s="15"/>
      <c r="AMF29" s="15"/>
      <c r="AMG29" s="14"/>
      <c r="AMH29" s="14"/>
      <c r="AMI29" s="14"/>
      <c r="AMJ29" s="15"/>
    </row>
    <row r="30" spans="1:1024" s="13" customFormat="1" ht="246.5" x14ac:dyDescent="0.35">
      <c r="A30" s="83">
        <v>43593</v>
      </c>
      <c r="B30" s="29" t="s">
        <v>433</v>
      </c>
      <c r="C30" s="29" t="s">
        <v>432</v>
      </c>
      <c r="D30" s="30">
        <v>43652</v>
      </c>
      <c r="E30" s="29" t="s">
        <v>73</v>
      </c>
      <c r="F30" s="31">
        <v>0.63888888888888895</v>
      </c>
      <c r="G30" s="31">
        <v>0.77777777777777801</v>
      </c>
      <c r="H30" s="110">
        <v>0.80555555555555503</v>
      </c>
      <c r="I30" s="109">
        <v>2577.5</v>
      </c>
      <c r="J30" s="42" t="s">
        <v>431</v>
      </c>
      <c r="K30" s="29" t="s">
        <v>119</v>
      </c>
      <c r="L30" s="81" t="s">
        <v>17</v>
      </c>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15"/>
      <c r="CR30" s="15"/>
      <c r="CS30" s="15"/>
      <c r="CT30" s="15"/>
      <c r="CU30" s="15"/>
      <c r="CV30" s="15"/>
      <c r="CW30" s="15"/>
      <c r="CX30" s="15"/>
      <c r="CY30" s="15"/>
      <c r="CZ30" s="15"/>
      <c r="DA30" s="15"/>
      <c r="DB30" s="15"/>
      <c r="DC30" s="15"/>
      <c r="DD30" s="15"/>
      <c r="DE30" s="15"/>
      <c r="DF30" s="15"/>
      <c r="DG30" s="15"/>
      <c r="DH30" s="15"/>
      <c r="DI30" s="15"/>
      <c r="DJ30" s="15"/>
      <c r="DK30" s="15"/>
      <c r="DL30" s="15"/>
      <c r="DM30" s="15"/>
      <c r="DN30" s="15"/>
      <c r="DO30" s="15"/>
      <c r="DP30" s="15"/>
      <c r="DQ30" s="15"/>
      <c r="DR30" s="15"/>
      <c r="DS30" s="15"/>
      <c r="DT30" s="15"/>
      <c r="DU30" s="15"/>
      <c r="DV30" s="15"/>
      <c r="DW30" s="15"/>
      <c r="DX30" s="15"/>
      <c r="DY30" s="15"/>
      <c r="DZ30" s="15"/>
      <c r="EA30" s="15"/>
      <c r="EB30" s="15"/>
      <c r="EC30" s="15"/>
      <c r="ED30" s="15"/>
      <c r="EE30" s="15"/>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c r="FR30" s="15"/>
      <c r="FS30" s="15"/>
      <c r="FT30" s="15"/>
      <c r="FU30" s="15"/>
      <c r="FV30" s="15"/>
      <c r="FW30" s="15"/>
      <c r="FX30" s="15"/>
      <c r="FY30" s="15"/>
      <c r="FZ30" s="15"/>
      <c r="GA30" s="15"/>
      <c r="GB30" s="15"/>
      <c r="GC30" s="15"/>
      <c r="GD30" s="15"/>
      <c r="GE30" s="15"/>
      <c r="GF30" s="15"/>
      <c r="GG30" s="15"/>
      <c r="GH30" s="15"/>
      <c r="GI30" s="15"/>
      <c r="GJ30" s="15"/>
      <c r="GK30" s="15"/>
      <c r="GL30" s="15"/>
      <c r="GM30" s="15"/>
      <c r="GN30" s="15"/>
      <c r="GO30" s="15"/>
      <c r="GP30" s="15"/>
      <c r="GQ30" s="15"/>
      <c r="GR30" s="15"/>
      <c r="GS30" s="15"/>
      <c r="GT30" s="15"/>
      <c r="GU30" s="15"/>
      <c r="GV30" s="15"/>
      <c r="GW30" s="15"/>
      <c r="GX30" s="15"/>
      <c r="GY30" s="15"/>
      <c r="GZ30" s="15"/>
      <c r="HA30" s="15"/>
      <c r="HB30" s="15"/>
      <c r="HC30" s="15"/>
      <c r="HD30" s="15"/>
      <c r="HE30" s="15"/>
      <c r="HF30" s="15"/>
      <c r="HG30" s="15"/>
      <c r="HH30" s="15"/>
      <c r="HI30" s="15"/>
      <c r="HJ30" s="15"/>
      <c r="HK30" s="15"/>
      <c r="HL30" s="15"/>
      <c r="HM30" s="15"/>
      <c r="HN30" s="15"/>
      <c r="HO30" s="15"/>
      <c r="HP30" s="15"/>
      <c r="HQ30" s="15"/>
      <c r="HR30" s="15"/>
      <c r="HS30" s="15"/>
      <c r="HT30" s="15"/>
      <c r="HU30" s="15"/>
      <c r="HV30" s="15"/>
      <c r="HW30" s="15"/>
      <c r="HX30" s="15"/>
      <c r="HY30" s="15"/>
      <c r="HZ30" s="15"/>
      <c r="IA30" s="15"/>
      <c r="IB30" s="15"/>
      <c r="IC30" s="15"/>
      <c r="ID30" s="15"/>
      <c r="IE30" s="15"/>
      <c r="IF30" s="15"/>
      <c r="IG30" s="15"/>
      <c r="IH30" s="15"/>
      <c r="II30" s="15"/>
      <c r="IJ30" s="15"/>
      <c r="IK30" s="15"/>
      <c r="IL30" s="15"/>
      <c r="IM30" s="15"/>
      <c r="IN30" s="15"/>
      <c r="IO30" s="15"/>
      <c r="IP30" s="15"/>
      <c r="IQ30" s="15"/>
      <c r="IR30" s="15"/>
      <c r="IS30" s="15"/>
      <c r="IT30" s="15"/>
      <c r="IU30" s="15"/>
      <c r="IV30" s="15"/>
      <c r="IW30" s="15"/>
      <c r="IX30" s="15"/>
      <c r="IY30" s="15"/>
      <c r="IZ30" s="15"/>
      <c r="JA30" s="15"/>
      <c r="JB30" s="15"/>
      <c r="JC30" s="15"/>
      <c r="JD30" s="15"/>
      <c r="JE30" s="15"/>
      <c r="JF30" s="15"/>
      <c r="JG30" s="15"/>
      <c r="JH30" s="15"/>
      <c r="JI30" s="15"/>
      <c r="JJ30" s="15"/>
      <c r="JK30" s="15"/>
      <c r="JL30" s="15"/>
      <c r="JM30" s="15"/>
      <c r="JN30" s="15"/>
      <c r="JO30" s="15"/>
      <c r="JP30" s="15"/>
      <c r="JQ30" s="15"/>
      <c r="JR30" s="15"/>
      <c r="JS30" s="15"/>
      <c r="JT30" s="15"/>
      <c r="JU30" s="15"/>
      <c r="JV30" s="15"/>
      <c r="JW30" s="15"/>
      <c r="JX30" s="15"/>
      <c r="JY30" s="15"/>
      <c r="JZ30" s="15"/>
      <c r="KA30" s="15"/>
      <c r="KB30" s="15"/>
      <c r="KC30" s="15"/>
      <c r="KD30" s="15"/>
      <c r="KE30" s="15"/>
      <c r="KF30" s="15"/>
      <c r="KG30" s="15"/>
      <c r="KH30" s="15"/>
      <c r="KI30" s="15"/>
      <c r="KJ30" s="15"/>
      <c r="KK30" s="15"/>
      <c r="KL30" s="15"/>
      <c r="KM30" s="15"/>
      <c r="KN30" s="15"/>
      <c r="KO30" s="15"/>
      <c r="KP30" s="15"/>
      <c r="KQ30" s="15"/>
      <c r="KR30" s="15"/>
      <c r="KS30" s="15"/>
      <c r="KT30" s="15"/>
      <c r="KU30" s="15"/>
      <c r="KV30" s="15"/>
      <c r="KW30" s="15"/>
      <c r="KX30" s="15"/>
      <c r="KY30" s="15"/>
      <c r="KZ30" s="15"/>
      <c r="LA30" s="15"/>
      <c r="LB30" s="15"/>
      <c r="LC30" s="15"/>
      <c r="LD30" s="15"/>
      <c r="LE30" s="15"/>
      <c r="LF30" s="15"/>
      <c r="LG30" s="15"/>
      <c r="LH30" s="15"/>
      <c r="LI30" s="15"/>
      <c r="LJ30" s="15"/>
      <c r="LK30" s="15"/>
      <c r="LL30" s="15"/>
      <c r="LM30" s="15"/>
      <c r="LN30" s="15"/>
      <c r="LO30" s="15"/>
      <c r="LP30" s="15"/>
      <c r="LQ30" s="15"/>
      <c r="LR30" s="15"/>
      <c r="LS30" s="15"/>
      <c r="LT30" s="15"/>
      <c r="LU30" s="15"/>
      <c r="LV30" s="15"/>
      <c r="LW30" s="15"/>
      <c r="LX30" s="15"/>
      <c r="LY30" s="15"/>
      <c r="LZ30" s="15"/>
      <c r="MA30" s="15"/>
      <c r="MB30" s="15"/>
      <c r="MC30" s="15"/>
      <c r="MD30" s="15"/>
      <c r="ME30" s="15"/>
      <c r="MF30" s="15"/>
      <c r="MG30" s="15"/>
      <c r="MH30" s="15"/>
      <c r="MI30" s="15"/>
      <c r="MJ30" s="15"/>
      <c r="MK30" s="15"/>
      <c r="ML30" s="15"/>
      <c r="MM30" s="15"/>
      <c r="MN30" s="15"/>
      <c r="MO30" s="15"/>
      <c r="MP30" s="15"/>
      <c r="MQ30" s="15"/>
      <c r="MR30" s="15"/>
      <c r="MS30" s="15"/>
      <c r="MT30" s="15"/>
      <c r="MU30" s="15"/>
      <c r="MV30" s="15"/>
      <c r="MW30" s="15"/>
      <c r="MX30" s="15"/>
      <c r="MY30" s="15"/>
      <c r="MZ30" s="15"/>
      <c r="NA30" s="15"/>
      <c r="NB30" s="15"/>
      <c r="NC30" s="15"/>
      <c r="ND30" s="15"/>
      <c r="NE30" s="15"/>
      <c r="NF30" s="15"/>
      <c r="NG30" s="15"/>
      <c r="NH30" s="15"/>
      <c r="NI30" s="15"/>
      <c r="NJ30" s="15"/>
      <c r="NK30" s="15"/>
      <c r="NL30" s="15"/>
      <c r="NM30" s="15"/>
      <c r="NN30" s="15"/>
      <c r="NO30" s="15"/>
      <c r="NP30" s="15"/>
      <c r="NQ30" s="15"/>
      <c r="NR30" s="15"/>
      <c r="NS30" s="15"/>
      <c r="NT30" s="15"/>
      <c r="NU30" s="15"/>
      <c r="NV30" s="15"/>
      <c r="NW30" s="15"/>
      <c r="NX30" s="15"/>
      <c r="NY30" s="15"/>
      <c r="NZ30" s="15"/>
      <c r="OA30" s="15"/>
      <c r="OB30" s="15"/>
      <c r="OC30" s="15"/>
      <c r="OD30" s="15"/>
      <c r="OE30" s="15"/>
      <c r="OF30" s="15"/>
      <c r="OG30" s="15"/>
      <c r="OH30" s="15"/>
      <c r="OI30" s="15"/>
      <c r="OJ30" s="15"/>
      <c r="OK30" s="15"/>
      <c r="OL30" s="15"/>
      <c r="OM30" s="15"/>
      <c r="ON30" s="15"/>
      <c r="OO30" s="15"/>
      <c r="OP30" s="15"/>
      <c r="OQ30" s="15"/>
      <c r="OR30" s="15"/>
      <c r="OS30" s="15"/>
      <c r="OT30" s="15"/>
      <c r="OU30" s="15"/>
      <c r="OV30" s="15"/>
      <c r="OW30" s="15"/>
      <c r="OX30" s="15"/>
      <c r="OY30" s="15"/>
      <c r="OZ30" s="15"/>
      <c r="PA30" s="15"/>
      <c r="PB30" s="15"/>
      <c r="PC30" s="15"/>
      <c r="PD30" s="15"/>
      <c r="PE30" s="15"/>
      <c r="PF30" s="15"/>
      <c r="PG30" s="15"/>
      <c r="PH30" s="15"/>
      <c r="PI30" s="15"/>
      <c r="PJ30" s="15"/>
      <c r="PK30" s="15"/>
      <c r="PL30" s="15"/>
      <c r="PM30" s="15"/>
      <c r="PN30" s="15"/>
      <c r="PO30" s="15"/>
      <c r="PP30" s="15"/>
      <c r="PQ30" s="15"/>
      <c r="PR30" s="15"/>
      <c r="PS30" s="15"/>
      <c r="PT30" s="15"/>
      <c r="PU30" s="15"/>
      <c r="PV30" s="15"/>
      <c r="PW30" s="15"/>
      <c r="PX30" s="15"/>
      <c r="PY30" s="15"/>
      <c r="PZ30" s="15"/>
      <c r="QA30" s="15"/>
      <c r="QB30" s="15"/>
      <c r="QC30" s="15"/>
      <c r="QD30" s="15"/>
      <c r="QE30" s="15"/>
      <c r="QF30" s="15"/>
      <c r="QG30" s="15"/>
      <c r="QH30" s="15"/>
      <c r="QI30" s="15"/>
      <c r="QJ30" s="15"/>
      <c r="QK30" s="15"/>
      <c r="QL30" s="15"/>
      <c r="QM30" s="15"/>
      <c r="QN30" s="15"/>
      <c r="QO30" s="15"/>
      <c r="QP30" s="15"/>
      <c r="QQ30" s="15"/>
      <c r="QR30" s="15"/>
      <c r="QS30" s="15"/>
      <c r="QT30" s="15"/>
      <c r="QU30" s="15"/>
      <c r="QV30" s="15"/>
      <c r="QW30" s="15"/>
      <c r="QX30" s="15"/>
      <c r="QY30" s="15"/>
      <c r="QZ30" s="15"/>
      <c r="RA30" s="15"/>
      <c r="RB30" s="15"/>
      <c r="RC30" s="15"/>
      <c r="RD30" s="15"/>
      <c r="RE30" s="15"/>
      <c r="RF30" s="15"/>
      <c r="RG30" s="15"/>
      <c r="RH30" s="15"/>
      <c r="RI30" s="15"/>
      <c r="RJ30" s="15"/>
      <c r="RK30" s="15"/>
      <c r="RL30" s="15"/>
      <c r="RM30" s="15"/>
      <c r="RN30" s="15"/>
      <c r="RO30" s="15"/>
      <c r="RP30" s="15"/>
      <c r="RQ30" s="15"/>
      <c r="RR30" s="15"/>
      <c r="RS30" s="15"/>
      <c r="RT30" s="15"/>
      <c r="RU30" s="15"/>
      <c r="RV30" s="15"/>
      <c r="RW30" s="15"/>
      <c r="RX30" s="15"/>
      <c r="RY30" s="15"/>
      <c r="RZ30" s="15"/>
      <c r="SA30" s="15"/>
      <c r="SB30" s="15"/>
      <c r="SC30" s="15"/>
      <c r="SD30" s="15"/>
      <c r="SE30" s="15"/>
      <c r="SF30" s="15"/>
      <c r="SG30" s="15"/>
      <c r="SH30" s="15"/>
      <c r="SI30" s="15"/>
      <c r="SJ30" s="15"/>
      <c r="SK30" s="15"/>
      <c r="SL30" s="15"/>
      <c r="SM30" s="15"/>
      <c r="SN30" s="15"/>
      <c r="SO30" s="15"/>
      <c r="SP30" s="15"/>
      <c r="SQ30" s="15"/>
      <c r="SR30" s="15"/>
      <c r="SS30" s="15"/>
      <c r="ST30" s="15"/>
      <c r="SU30" s="15"/>
      <c r="SV30" s="15"/>
      <c r="SW30" s="15"/>
      <c r="SX30" s="15"/>
      <c r="SY30" s="15"/>
      <c r="SZ30" s="15"/>
      <c r="TA30" s="15"/>
      <c r="TB30" s="15"/>
      <c r="TC30" s="15"/>
      <c r="TD30" s="15"/>
      <c r="TE30" s="15"/>
      <c r="TF30" s="15"/>
      <c r="TG30" s="15"/>
      <c r="TH30" s="15"/>
      <c r="TI30" s="15"/>
      <c r="TJ30" s="15"/>
      <c r="TK30" s="15"/>
      <c r="TL30" s="15"/>
      <c r="TM30" s="15"/>
      <c r="TN30" s="15"/>
      <c r="TO30" s="15"/>
      <c r="TP30" s="15"/>
      <c r="TQ30" s="15"/>
      <c r="TR30" s="15"/>
      <c r="TS30" s="15"/>
      <c r="TT30" s="15"/>
      <c r="TU30" s="15"/>
      <c r="TV30" s="15"/>
      <c r="TW30" s="15"/>
      <c r="TX30" s="15"/>
      <c r="TY30" s="15"/>
      <c r="TZ30" s="15"/>
      <c r="UA30" s="15"/>
      <c r="UB30" s="15"/>
      <c r="UC30" s="15"/>
      <c r="UD30" s="15"/>
      <c r="UE30" s="15"/>
      <c r="UF30" s="15"/>
      <c r="UG30" s="15"/>
      <c r="UH30" s="15"/>
      <c r="UI30" s="15"/>
      <c r="UJ30" s="15"/>
      <c r="UK30" s="15"/>
      <c r="UL30" s="15"/>
      <c r="UM30" s="15"/>
      <c r="UN30" s="15"/>
      <c r="UO30" s="15"/>
      <c r="UP30" s="15"/>
      <c r="UQ30" s="15"/>
      <c r="UR30" s="15"/>
      <c r="US30" s="15"/>
      <c r="UT30" s="15"/>
      <c r="UU30" s="15"/>
      <c r="UV30" s="15"/>
      <c r="UW30" s="15"/>
      <c r="UX30" s="15"/>
      <c r="UY30" s="15"/>
      <c r="UZ30" s="15"/>
      <c r="VA30" s="15"/>
      <c r="VB30" s="15"/>
      <c r="VC30" s="15"/>
      <c r="VD30" s="15"/>
      <c r="VE30" s="15"/>
      <c r="VF30" s="15"/>
      <c r="VG30" s="15"/>
      <c r="VH30" s="15"/>
      <c r="VI30" s="15"/>
      <c r="VJ30" s="15"/>
      <c r="VK30" s="15"/>
      <c r="VL30" s="15"/>
      <c r="VM30" s="15"/>
      <c r="VN30" s="15"/>
      <c r="VO30" s="15"/>
      <c r="VP30" s="15"/>
      <c r="VQ30" s="15"/>
      <c r="VR30" s="15"/>
      <c r="VS30" s="15"/>
      <c r="VT30" s="15"/>
      <c r="VU30" s="15"/>
      <c r="VV30" s="15"/>
      <c r="VW30" s="15"/>
      <c r="VX30" s="15"/>
      <c r="VY30" s="15"/>
      <c r="VZ30" s="15"/>
      <c r="WA30" s="15"/>
      <c r="WB30" s="15"/>
      <c r="WC30" s="15"/>
      <c r="WD30" s="15"/>
      <c r="WE30" s="15"/>
      <c r="WF30" s="15"/>
      <c r="WG30" s="15"/>
      <c r="WH30" s="15"/>
      <c r="WI30" s="15"/>
      <c r="WJ30" s="15"/>
      <c r="WK30" s="15"/>
      <c r="WL30" s="15"/>
      <c r="WM30" s="15"/>
      <c r="WN30" s="15"/>
      <c r="WO30" s="15"/>
      <c r="WP30" s="15"/>
      <c r="WQ30" s="15"/>
      <c r="WR30" s="15"/>
      <c r="WS30" s="15"/>
      <c r="WT30" s="15"/>
      <c r="WU30" s="15"/>
      <c r="WV30" s="15"/>
      <c r="WW30" s="15"/>
      <c r="WX30" s="15"/>
      <c r="WY30" s="15"/>
      <c r="WZ30" s="15"/>
      <c r="XA30" s="15"/>
      <c r="XB30" s="15"/>
      <c r="XC30" s="15"/>
      <c r="XD30" s="15"/>
      <c r="XE30" s="15"/>
      <c r="XF30" s="15"/>
      <c r="XG30" s="15"/>
      <c r="XH30" s="15"/>
      <c r="XI30" s="15"/>
      <c r="XJ30" s="15"/>
      <c r="XK30" s="15"/>
      <c r="XL30" s="15"/>
      <c r="XM30" s="15"/>
      <c r="XN30" s="15"/>
      <c r="XO30" s="15"/>
      <c r="XP30" s="15"/>
      <c r="XQ30" s="15"/>
      <c r="XR30" s="15"/>
      <c r="XS30" s="15"/>
      <c r="XT30" s="15"/>
      <c r="XU30" s="15"/>
      <c r="XV30" s="15"/>
      <c r="XW30" s="15"/>
      <c r="XX30" s="15"/>
      <c r="XY30" s="15"/>
      <c r="XZ30" s="15"/>
      <c r="YA30" s="15"/>
      <c r="YB30" s="15"/>
      <c r="YC30" s="15"/>
      <c r="YD30" s="15"/>
      <c r="YE30" s="15"/>
      <c r="YF30" s="15"/>
      <c r="YG30" s="15"/>
      <c r="YH30" s="15"/>
      <c r="YI30" s="15"/>
      <c r="YJ30" s="15"/>
      <c r="YK30" s="15"/>
      <c r="YL30" s="15"/>
      <c r="YM30" s="15"/>
      <c r="YN30" s="15"/>
      <c r="YO30" s="15"/>
      <c r="YP30" s="15"/>
      <c r="YQ30" s="15"/>
      <c r="YR30" s="15"/>
      <c r="YS30" s="15"/>
      <c r="YT30" s="15"/>
      <c r="YU30" s="15"/>
      <c r="YV30" s="15"/>
      <c r="YW30" s="15"/>
      <c r="YX30" s="15"/>
      <c r="YY30" s="15"/>
      <c r="YZ30" s="15"/>
      <c r="ZA30" s="15"/>
      <c r="ZB30" s="15"/>
      <c r="ZC30" s="15"/>
      <c r="ZD30" s="15"/>
      <c r="ZE30" s="15"/>
      <c r="ZF30" s="15"/>
      <c r="ZG30" s="15"/>
      <c r="ZH30" s="15"/>
      <c r="ZI30" s="15"/>
      <c r="ZJ30" s="15"/>
      <c r="ZK30" s="15"/>
      <c r="ZL30" s="15"/>
      <c r="ZM30" s="15"/>
      <c r="ZN30" s="15"/>
      <c r="ZO30" s="15"/>
      <c r="ZP30" s="15"/>
      <c r="ZQ30" s="15"/>
      <c r="ZR30" s="15"/>
      <c r="ZS30" s="15"/>
      <c r="ZT30" s="15"/>
      <c r="ZU30" s="15"/>
      <c r="ZV30" s="15"/>
      <c r="ZW30" s="15"/>
      <c r="ZX30" s="15"/>
      <c r="ZY30" s="15"/>
      <c r="ZZ30" s="15"/>
      <c r="AAA30" s="15"/>
      <c r="AAB30" s="15"/>
      <c r="AAC30" s="15"/>
      <c r="AAD30" s="15"/>
      <c r="AAE30" s="15"/>
      <c r="AAF30" s="15"/>
      <c r="AAG30" s="15"/>
      <c r="AAH30" s="15"/>
      <c r="AAI30" s="15"/>
      <c r="AAJ30" s="15"/>
      <c r="AAK30" s="15"/>
      <c r="AAL30" s="15"/>
      <c r="AAM30" s="15"/>
      <c r="AAN30" s="15"/>
      <c r="AAO30" s="15"/>
      <c r="AAP30" s="15"/>
      <c r="AAQ30" s="15"/>
      <c r="AAR30" s="15"/>
      <c r="AAS30" s="15"/>
      <c r="AAT30" s="15"/>
      <c r="AAU30" s="15"/>
      <c r="AAV30" s="15"/>
      <c r="AAW30" s="15"/>
      <c r="AAX30" s="15"/>
      <c r="AAY30" s="15"/>
      <c r="AAZ30" s="15"/>
      <c r="ABA30" s="15"/>
      <c r="ABB30" s="15"/>
      <c r="ABC30" s="15"/>
      <c r="ABD30" s="15"/>
      <c r="ABE30" s="15"/>
      <c r="ABF30" s="15"/>
      <c r="ABG30" s="15"/>
      <c r="ABH30" s="15"/>
      <c r="ABI30" s="15"/>
      <c r="ABJ30" s="15"/>
      <c r="ABK30" s="15"/>
      <c r="ABL30" s="15"/>
      <c r="ABM30" s="15"/>
      <c r="ABN30" s="15"/>
      <c r="ABO30" s="15"/>
      <c r="ABP30" s="15"/>
      <c r="ABQ30" s="15"/>
      <c r="ABR30" s="15"/>
      <c r="ABS30" s="15"/>
      <c r="ABT30" s="15"/>
      <c r="ABU30" s="15"/>
      <c r="ABV30" s="15"/>
      <c r="ABW30" s="15"/>
      <c r="ABX30" s="15"/>
      <c r="ABY30" s="15"/>
      <c r="ABZ30" s="15"/>
      <c r="ACA30" s="15"/>
      <c r="ACB30" s="15"/>
      <c r="ACC30" s="15"/>
      <c r="ACD30" s="15"/>
      <c r="ACE30" s="15"/>
      <c r="ACF30" s="15"/>
      <c r="ACG30" s="15"/>
      <c r="ACH30" s="15"/>
      <c r="ACI30" s="15"/>
      <c r="ACJ30" s="15"/>
      <c r="ACK30" s="15"/>
      <c r="ACL30" s="15"/>
      <c r="ACM30" s="15"/>
      <c r="ACN30" s="15"/>
      <c r="ACO30" s="15"/>
      <c r="ACP30" s="15"/>
      <c r="ACQ30" s="15"/>
      <c r="ACR30" s="15"/>
      <c r="ACS30" s="15"/>
      <c r="ACT30" s="15"/>
      <c r="ACU30" s="15"/>
      <c r="ACV30" s="15"/>
      <c r="ACW30" s="15"/>
      <c r="ACX30" s="15"/>
      <c r="ACY30" s="15"/>
      <c r="ACZ30" s="15"/>
      <c r="ADA30" s="15"/>
      <c r="ADB30" s="15"/>
      <c r="ADC30" s="15"/>
      <c r="ADD30" s="15"/>
      <c r="ADE30" s="15"/>
      <c r="ADF30" s="15"/>
      <c r="ADG30" s="15"/>
      <c r="ADH30" s="15"/>
      <c r="ADI30" s="15"/>
      <c r="ADJ30" s="15"/>
      <c r="ADK30" s="15"/>
      <c r="ADL30" s="15"/>
      <c r="ADM30" s="15"/>
      <c r="ADN30" s="15"/>
      <c r="ADO30" s="15"/>
      <c r="ADP30" s="15"/>
      <c r="ADQ30" s="15"/>
      <c r="ADR30" s="15"/>
      <c r="ADS30" s="15"/>
      <c r="ADT30" s="15"/>
      <c r="ADU30" s="15"/>
      <c r="ADV30" s="15"/>
      <c r="ADW30" s="15"/>
      <c r="ADX30" s="15"/>
      <c r="ADY30" s="15"/>
      <c r="ADZ30" s="15"/>
      <c r="AEA30" s="15"/>
      <c r="AEB30" s="15"/>
      <c r="AEC30" s="15"/>
      <c r="AED30" s="15"/>
      <c r="AEE30" s="15"/>
      <c r="AEF30" s="15"/>
      <c r="AEG30" s="15"/>
      <c r="AEH30" s="15"/>
      <c r="AEI30" s="15"/>
      <c r="AEJ30" s="15"/>
      <c r="AEK30" s="15"/>
      <c r="AEL30" s="15"/>
      <c r="AEM30" s="15"/>
      <c r="AEN30" s="15"/>
      <c r="AEO30" s="15"/>
      <c r="AEP30" s="15"/>
      <c r="AEQ30" s="15"/>
      <c r="AER30" s="15"/>
      <c r="AES30" s="15"/>
      <c r="AET30" s="15"/>
      <c r="AEU30" s="15"/>
      <c r="AEV30" s="15"/>
      <c r="AEW30" s="15"/>
      <c r="AEX30" s="15"/>
      <c r="AEY30" s="15"/>
      <c r="AEZ30" s="15"/>
      <c r="AFA30" s="15"/>
      <c r="AFB30" s="15"/>
      <c r="AFC30" s="15"/>
      <c r="AFD30" s="15"/>
      <c r="AFE30" s="15"/>
      <c r="AFF30" s="15"/>
      <c r="AFG30" s="15"/>
      <c r="AFH30" s="15"/>
      <c r="AFI30" s="15"/>
      <c r="AFJ30" s="15"/>
      <c r="AFK30" s="15"/>
      <c r="AFL30" s="15"/>
      <c r="AFM30" s="15"/>
      <c r="AFN30" s="15"/>
      <c r="AFO30" s="15"/>
      <c r="AFP30" s="15"/>
      <c r="AFQ30" s="15"/>
      <c r="AFR30" s="15"/>
      <c r="AFS30" s="15"/>
      <c r="AFT30" s="15"/>
      <c r="AFU30" s="15"/>
      <c r="AFV30" s="15"/>
      <c r="AFW30" s="15"/>
      <c r="AFX30" s="15"/>
      <c r="AFY30" s="15"/>
      <c r="AFZ30" s="15"/>
      <c r="AGA30" s="15"/>
      <c r="AGB30" s="15"/>
      <c r="AGC30" s="15"/>
      <c r="AGD30" s="15"/>
      <c r="AGE30" s="15"/>
      <c r="AGF30" s="15"/>
      <c r="AGG30" s="15"/>
      <c r="AGH30" s="15"/>
      <c r="AGI30" s="15"/>
      <c r="AGJ30" s="15"/>
      <c r="AGK30" s="15"/>
      <c r="AGL30" s="15"/>
      <c r="AGM30" s="15"/>
      <c r="AGN30" s="15"/>
      <c r="AGO30" s="15"/>
      <c r="AGP30" s="15"/>
      <c r="AGQ30" s="15"/>
      <c r="AGR30" s="15"/>
      <c r="AGS30" s="15"/>
      <c r="AGT30" s="15"/>
      <c r="AGU30" s="15"/>
      <c r="AGV30" s="15"/>
      <c r="AGW30" s="15"/>
      <c r="AGX30" s="15"/>
      <c r="AGY30" s="15"/>
      <c r="AGZ30" s="15"/>
      <c r="AHA30" s="15"/>
      <c r="AHB30" s="15"/>
      <c r="AHC30" s="15"/>
      <c r="AHD30" s="15"/>
      <c r="AHE30" s="15"/>
      <c r="AHF30" s="15"/>
      <c r="AHG30" s="15"/>
      <c r="AHH30" s="15"/>
      <c r="AHI30" s="15"/>
      <c r="AHJ30" s="15"/>
      <c r="AHK30" s="15"/>
      <c r="AHL30" s="15"/>
      <c r="AHM30" s="15"/>
      <c r="AHN30" s="15"/>
      <c r="AHO30" s="15"/>
      <c r="AHP30" s="15"/>
      <c r="AHQ30" s="15"/>
      <c r="AHR30" s="15"/>
      <c r="AHS30" s="15"/>
      <c r="AHT30" s="15"/>
      <c r="AHU30" s="15"/>
      <c r="AHV30" s="15"/>
      <c r="AHW30" s="15"/>
      <c r="AHX30" s="15"/>
      <c r="AHY30" s="15"/>
      <c r="AHZ30" s="15"/>
      <c r="AIA30" s="15"/>
      <c r="AIB30" s="15"/>
      <c r="AIC30" s="15"/>
      <c r="AID30" s="15"/>
      <c r="AIE30" s="15"/>
      <c r="AIF30" s="15"/>
      <c r="AIG30" s="15"/>
      <c r="AIH30" s="15"/>
      <c r="AII30" s="15"/>
      <c r="AIJ30" s="15"/>
      <c r="AIK30" s="15"/>
      <c r="AIL30" s="15"/>
      <c r="AIM30" s="15"/>
      <c r="AIN30" s="15"/>
      <c r="AIO30" s="15"/>
      <c r="AIP30" s="15"/>
      <c r="AIQ30" s="15"/>
      <c r="AIR30" s="15"/>
      <c r="AIS30" s="15"/>
      <c r="AIT30" s="15"/>
      <c r="AIU30" s="15"/>
      <c r="AIV30" s="15"/>
      <c r="AIW30" s="15"/>
      <c r="AIX30" s="15"/>
      <c r="AIY30" s="15"/>
      <c r="AIZ30" s="15"/>
      <c r="AJA30" s="15"/>
      <c r="AJB30" s="15"/>
      <c r="AJC30" s="15"/>
      <c r="AJD30" s="15"/>
      <c r="AJE30" s="15"/>
      <c r="AJF30" s="15"/>
      <c r="AJG30" s="15"/>
      <c r="AJH30" s="15"/>
      <c r="AJI30" s="15"/>
      <c r="AJJ30" s="15"/>
      <c r="AJK30" s="15"/>
      <c r="AJL30" s="15"/>
      <c r="AJM30" s="15"/>
      <c r="AJN30" s="15"/>
      <c r="AJO30" s="15"/>
      <c r="AJP30" s="15"/>
      <c r="AJQ30" s="15"/>
      <c r="AJR30" s="15"/>
      <c r="AJS30" s="15"/>
      <c r="AJT30" s="15"/>
      <c r="AJU30" s="15"/>
      <c r="AJV30" s="15"/>
      <c r="AJW30" s="15"/>
      <c r="AJX30" s="15"/>
      <c r="AJY30" s="15"/>
      <c r="AJZ30" s="15"/>
      <c r="AKA30" s="15"/>
      <c r="AKB30" s="15"/>
      <c r="AKC30" s="15"/>
      <c r="AKD30" s="15"/>
      <c r="AKE30" s="15"/>
      <c r="AKF30" s="15"/>
      <c r="AKG30" s="15"/>
      <c r="AKH30" s="15"/>
      <c r="AKI30" s="15"/>
      <c r="AKJ30" s="15"/>
      <c r="AKK30" s="15"/>
      <c r="AKL30" s="15"/>
      <c r="AKM30" s="15"/>
      <c r="AKN30" s="15"/>
      <c r="AKO30" s="15"/>
      <c r="AKP30" s="15"/>
      <c r="AKQ30" s="15"/>
      <c r="AKR30" s="15"/>
      <c r="AKS30" s="15"/>
      <c r="AKT30" s="15"/>
      <c r="AKU30" s="15"/>
      <c r="AKV30" s="15"/>
      <c r="AKW30" s="15"/>
      <c r="AKX30" s="15"/>
      <c r="AKY30" s="15"/>
      <c r="AKZ30" s="15"/>
      <c r="ALA30" s="15"/>
      <c r="ALB30" s="15"/>
      <c r="ALC30" s="15"/>
      <c r="ALD30" s="15"/>
      <c r="ALE30" s="15"/>
      <c r="ALF30" s="15"/>
      <c r="ALG30" s="15"/>
      <c r="ALH30" s="15"/>
      <c r="ALI30" s="15"/>
      <c r="ALJ30" s="15"/>
      <c r="ALK30" s="15"/>
      <c r="ALL30" s="15"/>
      <c r="ALM30" s="15"/>
      <c r="ALN30" s="15"/>
      <c r="ALO30" s="15"/>
      <c r="ALP30" s="15"/>
      <c r="ALQ30" s="15"/>
      <c r="ALR30" s="15"/>
      <c r="ALS30" s="15"/>
      <c r="ALT30" s="15"/>
      <c r="ALU30" s="15"/>
      <c r="ALV30" s="15"/>
      <c r="ALW30" s="15"/>
      <c r="ALX30" s="15"/>
      <c r="ALY30" s="15"/>
      <c r="ALZ30" s="15"/>
      <c r="AMA30" s="15"/>
      <c r="AMB30" s="15"/>
      <c r="AMC30" s="15"/>
      <c r="AMD30" s="15"/>
      <c r="AME30" s="15"/>
      <c r="AMF30" s="15"/>
      <c r="AMG30" s="14"/>
      <c r="AMH30" s="14"/>
      <c r="AMI30" s="14"/>
      <c r="AMJ30" s="15"/>
    </row>
    <row r="31" spans="1:1024" s="13" customFormat="1" ht="261" hidden="1" x14ac:dyDescent="0.35">
      <c r="A31" s="83">
        <v>43649</v>
      </c>
      <c r="B31" s="29" t="s">
        <v>131</v>
      </c>
      <c r="C31" s="29" t="s">
        <v>430</v>
      </c>
      <c r="D31" s="30">
        <v>43652</v>
      </c>
      <c r="E31" s="29" t="s">
        <v>129</v>
      </c>
      <c r="F31" s="31">
        <v>0.64583333333333304</v>
      </c>
      <c r="G31" s="31">
        <v>0.65972222222222199</v>
      </c>
      <c r="H31" s="31">
        <v>0.66666666666666696</v>
      </c>
      <c r="I31" s="17">
        <v>2663</v>
      </c>
      <c r="J31" s="42" t="s">
        <v>429</v>
      </c>
      <c r="K31" s="17" t="s">
        <v>119</v>
      </c>
      <c r="L31" s="16" t="s">
        <v>17</v>
      </c>
      <c r="M31" s="15"/>
      <c r="N31" s="15"/>
      <c r="O31" s="15"/>
      <c r="P31" s="15"/>
      <c r="Q31" s="15"/>
      <c r="R31" s="15"/>
      <c r="S31" s="15"/>
      <c r="T31" s="15"/>
      <c r="U31" s="15"/>
      <c r="V31" s="15"/>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15"/>
      <c r="CR31" s="15"/>
      <c r="CS31" s="15"/>
      <c r="CT31" s="15"/>
      <c r="CU31" s="15"/>
      <c r="CV31" s="15"/>
      <c r="CW31" s="15"/>
      <c r="CX31" s="15"/>
      <c r="CY31" s="15"/>
      <c r="CZ31" s="15"/>
      <c r="DA31" s="15"/>
      <c r="DB31" s="15"/>
      <c r="DC31" s="15"/>
      <c r="DD31" s="15"/>
      <c r="DE31" s="15"/>
      <c r="DF31" s="15"/>
      <c r="DG31" s="15"/>
      <c r="DH31" s="15"/>
      <c r="DI31" s="15"/>
      <c r="DJ31" s="15"/>
      <c r="DK31" s="15"/>
      <c r="DL31" s="15"/>
      <c r="DM31" s="15"/>
      <c r="DN31" s="15"/>
      <c r="DO31" s="15"/>
      <c r="DP31" s="15"/>
      <c r="DQ31" s="15"/>
      <c r="DR31" s="15"/>
      <c r="DS31" s="15"/>
      <c r="DT31" s="15"/>
      <c r="DU31" s="15"/>
      <c r="DV31" s="15"/>
      <c r="DW31" s="15"/>
      <c r="DX31" s="15"/>
      <c r="DY31" s="15"/>
      <c r="DZ31" s="15"/>
      <c r="EA31" s="15"/>
      <c r="EB31" s="15"/>
      <c r="EC31" s="15"/>
      <c r="ED31" s="15"/>
      <c r="EE31" s="15"/>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c r="FR31" s="15"/>
      <c r="FS31" s="15"/>
      <c r="FT31" s="15"/>
      <c r="FU31" s="15"/>
      <c r="FV31" s="15"/>
      <c r="FW31" s="15"/>
      <c r="FX31" s="15"/>
      <c r="FY31" s="15"/>
      <c r="FZ31" s="15"/>
      <c r="GA31" s="15"/>
      <c r="GB31" s="15"/>
      <c r="GC31" s="15"/>
      <c r="GD31" s="15"/>
      <c r="GE31" s="15"/>
      <c r="GF31" s="15"/>
      <c r="GG31" s="15"/>
      <c r="GH31" s="15"/>
      <c r="GI31" s="15"/>
      <c r="GJ31" s="15"/>
      <c r="GK31" s="15"/>
      <c r="GL31" s="15"/>
      <c r="GM31" s="15"/>
      <c r="GN31" s="15"/>
      <c r="GO31" s="15"/>
      <c r="GP31" s="15"/>
      <c r="GQ31" s="15"/>
      <c r="GR31" s="15"/>
      <c r="GS31" s="15"/>
      <c r="GT31" s="15"/>
      <c r="GU31" s="15"/>
      <c r="GV31" s="15"/>
      <c r="GW31" s="15"/>
      <c r="GX31" s="15"/>
      <c r="GY31" s="15"/>
      <c r="GZ31" s="15"/>
      <c r="HA31" s="15"/>
      <c r="HB31" s="15"/>
      <c r="HC31" s="15"/>
      <c r="HD31" s="15"/>
      <c r="HE31" s="15"/>
      <c r="HF31" s="15"/>
      <c r="HG31" s="15"/>
      <c r="HH31" s="15"/>
      <c r="HI31" s="15"/>
      <c r="HJ31" s="15"/>
      <c r="HK31" s="15"/>
      <c r="HL31" s="15"/>
      <c r="HM31" s="15"/>
      <c r="HN31" s="15"/>
      <c r="HO31" s="15"/>
      <c r="HP31" s="15"/>
      <c r="HQ31" s="15"/>
      <c r="HR31" s="15"/>
      <c r="HS31" s="15"/>
      <c r="HT31" s="15"/>
      <c r="HU31" s="15"/>
      <c r="HV31" s="15"/>
      <c r="HW31" s="15"/>
      <c r="HX31" s="15"/>
      <c r="HY31" s="15"/>
      <c r="HZ31" s="15"/>
      <c r="IA31" s="15"/>
      <c r="IB31" s="15"/>
      <c r="IC31" s="15"/>
      <c r="ID31" s="15"/>
      <c r="IE31" s="15"/>
      <c r="IF31" s="15"/>
      <c r="IG31" s="15"/>
      <c r="IH31" s="15"/>
      <c r="II31" s="15"/>
      <c r="IJ31" s="15"/>
      <c r="IK31" s="15"/>
      <c r="IL31" s="15"/>
      <c r="IM31" s="15"/>
      <c r="IN31" s="15"/>
      <c r="IO31" s="15"/>
      <c r="IP31" s="15"/>
      <c r="IQ31" s="15"/>
      <c r="IR31" s="15"/>
      <c r="IS31" s="15"/>
      <c r="IT31" s="15"/>
      <c r="IU31" s="15"/>
      <c r="IV31" s="15"/>
      <c r="IW31" s="15"/>
      <c r="IX31" s="15"/>
      <c r="IY31" s="15"/>
      <c r="IZ31" s="15"/>
      <c r="JA31" s="15"/>
      <c r="JB31" s="15"/>
      <c r="JC31" s="15"/>
      <c r="JD31" s="15"/>
      <c r="JE31" s="15"/>
      <c r="JF31" s="15"/>
      <c r="JG31" s="15"/>
      <c r="JH31" s="15"/>
      <c r="JI31" s="15"/>
      <c r="JJ31" s="15"/>
      <c r="JK31" s="15"/>
      <c r="JL31" s="15"/>
      <c r="JM31" s="15"/>
      <c r="JN31" s="15"/>
      <c r="JO31" s="15"/>
      <c r="JP31" s="15"/>
      <c r="JQ31" s="15"/>
      <c r="JR31" s="15"/>
      <c r="JS31" s="15"/>
      <c r="JT31" s="15"/>
      <c r="JU31" s="15"/>
      <c r="JV31" s="15"/>
      <c r="JW31" s="15"/>
      <c r="JX31" s="15"/>
      <c r="JY31" s="15"/>
      <c r="JZ31" s="15"/>
      <c r="KA31" s="15"/>
      <c r="KB31" s="15"/>
      <c r="KC31" s="15"/>
      <c r="KD31" s="15"/>
      <c r="KE31" s="15"/>
      <c r="KF31" s="15"/>
      <c r="KG31" s="15"/>
      <c r="KH31" s="15"/>
      <c r="KI31" s="15"/>
      <c r="KJ31" s="15"/>
      <c r="KK31" s="15"/>
      <c r="KL31" s="15"/>
      <c r="KM31" s="15"/>
      <c r="KN31" s="15"/>
      <c r="KO31" s="15"/>
      <c r="KP31" s="15"/>
      <c r="KQ31" s="15"/>
      <c r="KR31" s="15"/>
      <c r="KS31" s="15"/>
      <c r="KT31" s="15"/>
      <c r="KU31" s="15"/>
      <c r="KV31" s="15"/>
      <c r="KW31" s="15"/>
      <c r="KX31" s="15"/>
      <c r="KY31" s="15"/>
      <c r="KZ31" s="15"/>
      <c r="LA31" s="15"/>
      <c r="LB31" s="15"/>
      <c r="LC31" s="15"/>
      <c r="LD31" s="15"/>
      <c r="LE31" s="15"/>
      <c r="LF31" s="15"/>
      <c r="LG31" s="15"/>
      <c r="LH31" s="15"/>
      <c r="LI31" s="15"/>
      <c r="LJ31" s="15"/>
      <c r="LK31" s="15"/>
      <c r="LL31" s="15"/>
      <c r="LM31" s="15"/>
      <c r="LN31" s="15"/>
      <c r="LO31" s="15"/>
      <c r="LP31" s="15"/>
      <c r="LQ31" s="15"/>
      <c r="LR31" s="15"/>
      <c r="LS31" s="15"/>
      <c r="LT31" s="15"/>
      <c r="LU31" s="15"/>
      <c r="LV31" s="15"/>
      <c r="LW31" s="15"/>
      <c r="LX31" s="15"/>
      <c r="LY31" s="15"/>
      <c r="LZ31" s="15"/>
      <c r="MA31" s="15"/>
      <c r="MB31" s="15"/>
      <c r="MC31" s="15"/>
      <c r="MD31" s="15"/>
      <c r="ME31" s="15"/>
      <c r="MF31" s="15"/>
      <c r="MG31" s="15"/>
      <c r="MH31" s="15"/>
      <c r="MI31" s="15"/>
      <c r="MJ31" s="15"/>
      <c r="MK31" s="15"/>
      <c r="ML31" s="15"/>
      <c r="MM31" s="15"/>
      <c r="MN31" s="15"/>
      <c r="MO31" s="15"/>
      <c r="MP31" s="15"/>
      <c r="MQ31" s="15"/>
      <c r="MR31" s="15"/>
      <c r="MS31" s="15"/>
      <c r="MT31" s="15"/>
      <c r="MU31" s="15"/>
      <c r="MV31" s="15"/>
      <c r="MW31" s="15"/>
      <c r="MX31" s="15"/>
      <c r="MY31" s="15"/>
      <c r="MZ31" s="15"/>
      <c r="NA31" s="15"/>
      <c r="NB31" s="15"/>
      <c r="NC31" s="15"/>
      <c r="ND31" s="15"/>
      <c r="NE31" s="15"/>
      <c r="NF31" s="15"/>
      <c r="NG31" s="15"/>
      <c r="NH31" s="15"/>
      <c r="NI31" s="15"/>
      <c r="NJ31" s="15"/>
      <c r="NK31" s="15"/>
      <c r="NL31" s="15"/>
      <c r="NM31" s="15"/>
      <c r="NN31" s="15"/>
      <c r="NO31" s="15"/>
      <c r="NP31" s="15"/>
      <c r="NQ31" s="15"/>
      <c r="NR31" s="15"/>
      <c r="NS31" s="15"/>
      <c r="NT31" s="15"/>
      <c r="NU31" s="15"/>
      <c r="NV31" s="15"/>
      <c r="NW31" s="15"/>
      <c r="NX31" s="15"/>
      <c r="NY31" s="15"/>
      <c r="NZ31" s="15"/>
      <c r="OA31" s="15"/>
      <c r="OB31" s="15"/>
      <c r="OC31" s="15"/>
      <c r="OD31" s="15"/>
      <c r="OE31" s="15"/>
      <c r="OF31" s="15"/>
      <c r="OG31" s="15"/>
      <c r="OH31" s="15"/>
      <c r="OI31" s="15"/>
      <c r="OJ31" s="15"/>
      <c r="OK31" s="15"/>
      <c r="OL31" s="15"/>
      <c r="OM31" s="15"/>
      <c r="ON31" s="15"/>
      <c r="OO31" s="15"/>
      <c r="OP31" s="15"/>
      <c r="OQ31" s="15"/>
      <c r="OR31" s="15"/>
      <c r="OS31" s="15"/>
      <c r="OT31" s="15"/>
      <c r="OU31" s="15"/>
      <c r="OV31" s="15"/>
      <c r="OW31" s="15"/>
      <c r="OX31" s="15"/>
      <c r="OY31" s="15"/>
      <c r="OZ31" s="15"/>
      <c r="PA31" s="15"/>
      <c r="PB31" s="15"/>
      <c r="PC31" s="15"/>
      <c r="PD31" s="15"/>
      <c r="PE31" s="15"/>
      <c r="PF31" s="15"/>
      <c r="PG31" s="15"/>
      <c r="PH31" s="15"/>
      <c r="PI31" s="15"/>
      <c r="PJ31" s="15"/>
      <c r="PK31" s="15"/>
      <c r="PL31" s="15"/>
      <c r="PM31" s="15"/>
      <c r="PN31" s="15"/>
      <c r="PO31" s="15"/>
      <c r="PP31" s="15"/>
      <c r="PQ31" s="15"/>
      <c r="PR31" s="15"/>
      <c r="PS31" s="15"/>
      <c r="PT31" s="15"/>
      <c r="PU31" s="15"/>
      <c r="PV31" s="15"/>
      <c r="PW31" s="15"/>
      <c r="PX31" s="15"/>
      <c r="PY31" s="15"/>
      <c r="PZ31" s="15"/>
      <c r="QA31" s="15"/>
      <c r="QB31" s="15"/>
      <c r="QC31" s="15"/>
      <c r="QD31" s="15"/>
      <c r="QE31" s="15"/>
      <c r="QF31" s="15"/>
      <c r="QG31" s="15"/>
      <c r="QH31" s="15"/>
      <c r="QI31" s="15"/>
      <c r="QJ31" s="15"/>
      <c r="QK31" s="15"/>
      <c r="QL31" s="15"/>
      <c r="QM31" s="15"/>
      <c r="QN31" s="15"/>
      <c r="QO31" s="15"/>
      <c r="QP31" s="15"/>
      <c r="QQ31" s="15"/>
      <c r="QR31" s="15"/>
      <c r="QS31" s="15"/>
      <c r="QT31" s="15"/>
      <c r="QU31" s="15"/>
      <c r="QV31" s="15"/>
      <c r="QW31" s="15"/>
      <c r="QX31" s="15"/>
      <c r="QY31" s="15"/>
      <c r="QZ31" s="15"/>
      <c r="RA31" s="15"/>
      <c r="RB31" s="15"/>
      <c r="RC31" s="15"/>
      <c r="RD31" s="15"/>
      <c r="RE31" s="15"/>
      <c r="RF31" s="15"/>
      <c r="RG31" s="15"/>
      <c r="RH31" s="15"/>
      <c r="RI31" s="15"/>
      <c r="RJ31" s="15"/>
      <c r="RK31" s="15"/>
      <c r="RL31" s="15"/>
      <c r="RM31" s="15"/>
      <c r="RN31" s="15"/>
      <c r="RO31" s="15"/>
      <c r="RP31" s="15"/>
      <c r="RQ31" s="15"/>
      <c r="RR31" s="15"/>
      <c r="RS31" s="15"/>
      <c r="RT31" s="15"/>
      <c r="RU31" s="15"/>
      <c r="RV31" s="15"/>
      <c r="RW31" s="15"/>
      <c r="RX31" s="15"/>
      <c r="RY31" s="15"/>
      <c r="RZ31" s="15"/>
      <c r="SA31" s="15"/>
      <c r="SB31" s="15"/>
      <c r="SC31" s="15"/>
      <c r="SD31" s="15"/>
      <c r="SE31" s="15"/>
      <c r="SF31" s="15"/>
      <c r="SG31" s="15"/>
      <c r="SH31" s="15"/>
      <c r="SI31" s="15"/>
      <c r="SJ31" s="15"/>
      <c r="SK31" s="15"/>
      <c r="SL31" s="15"/>
      <c r="SM31" s="15"/>
      <c r="SN31" s="15"/>
      <c r="SO31" s="15"/>
      <c r="SP31" s="15"/>
      <c r="SQ31" s="15"/>
      <c r="SR31" s="15"/>
      <c r="SS31" s="15"/>
      <c r="ST31" s="15"/>
      <c r="SU31" s="15"/>
      <c r="SV31" s="15"/>
      <c r="SW31" s="15"/>
      <c r="SX31" s="15"/>
      <c r="SY31" s="15"/>
      <c r="SZ31" s="15"/>
      <c r="TA31" s="15"/>
      <c r="TB31" s="15"/>
      <c r="TC31" s="15"/>
      <c r="TD31" s="15"/>
      <c r="TE31" s="15"/>
      <c r="TF31" s="15"/>
      <c r="TG31" s="15"/>
      <c r="TH31" s="15"/>
      <c r="TI31" s="15"/>
      <c r="TJ31" s="15"/>
      <c r="TK31" s="15"/>
      <c r="TL31" s="15"/>
      <c r="TM31" s="15"/>
      <c r="TN31" s="15"/>
      <c r="TO31" s="15"/>
      <c r="TP31" s="15"/>
      <c r="TQ31" s="15"/>
      <c r="TR31" s="15"/>
      <c r="TS31" s="15"/>
      <c r="TT31" s="15"/>
      <c r="TU31" s="15"/>
      <c r="TV31" s="15"/>
      <c r="TW31" s="15"/>
      <c r="TX31" s="15"/>
      <c r="TY31" s="15"/>
      <c r="TZ31" s="15"/>
      <c r="UA31" s="15"/>
      <c r="UB31" s="15"/>
      <c r="UC31" s="15"/>
      <c r="UD31" s="15"/>
      <c r="UE31" s="15"/>
      <c r="UF31" s="15"/>
      <c r="UG31" s="15"/>
      <c r="UH31" s="15"/>
      <c r="UI31" s="15"/>
      <c r="UJ31" s="15"/>
      <c r="UK31" s="15"/>
      <c r="UL31" s="15"/>
      <c r="UM31" s="15"/>
      <c r="UN31" s="15"/>
      <c r="UO31" s="15"/>
      <c r="UP31" s="15"/>
      <c r="UQ31" s="15"/>
      <c r="UR31" s="15"/>
      <c r="US31" s="15"/>
      <c r="UT31" s="15"/>
      <c r="UU31" s="15"/>
      <c r="UV31" s="15"/>
      <c r="UW31" s="15"/>
      <c r="UX31" s="15"/>
      <c r="UY31" s="15"/>
      <c r="UZ31" s="15"/>
      <c r="VA31" s="15"/>
      <c r="VB31" s="15"/>
      <c r="VC31" s="15"/>
      <c r="VD31" s="15"/>
      <c r="VE31" s="15"/>
      <c r="VF31" s="15"/>
      <c r="VG31" s="15"/>
      <c r="VH31" s="15"/>
      <c r="VI31" s="15"/>
      <c r="VJ31" s="15"/>
      <c r="VK31" s="15"/>
      <c r="VL31" s="15"/>
      <c r="VM31" s="15"/>
      <c r="VN31" s="15"/>
      <c r="VO31" s="15"/>
      <c r="VP31" s="15"/>
      <c r="VQ31" s="15"/>
      <c r="VR31" s="15"/>
      <c r="VS31" s="15"/>
      <c r="VT31" s="15"/>
      <c r="VU31" s="15"/>
      <c r="VV31" s="15"/>
      <c r="VW31" s="15"/>
      <c r="VX31" s="15"/>
      <c r="VY31" s="15"/>
      <c r="VZ31" s="15"/>
      <c r="WA31" s="15"/>
      <c r="WB31" s="15"/>
      <c r="WC31" s="15"/>
      <c r="WD31" s="15"/>
      <c r="WE31" s="15"/>
      <c r="WF31" s="15"/>
      <c r="WG31" s="15"/>
      <c r="WH31" s="15"/>
      <c r="WI31" s="15"/>
      <c r="WJ31" s="15"/>
      <c r="WK31" s="15"/>
      <c r="WL31" s="15"/>
      <c r="WM31" s="15"/>
      <c r="WN31" s="15"/>
      <c r="WO31" s="15"/>
      <c r="WP31" s="15"/>
      <c r="WQ31" s="15"/>
      <c r="WR31" s="15"/>
      <c r="WS31" s="15"/>
      <c r="WT31" s="15"/>
      <c r="WU31" s="15"/>
      <c r="WV31" s="15"/>
      <c r="WW31" s="15"/>
      <c r="WX31" s="15"/>
      <c r="WY31" s="15"/>
      <c r="WZ31" s="15"/>
      <c r="XA31" s="15"/>
      <c r="XB31" s="15"/>
      <c r="XC31" s="15"/>
      <c r="XD31" s="15"/>
      <c r="XE31" s="15"/>
      <c r="XF31" s="15"/>
      <c r="XG31" s="15"/>
      <c r="XH31" s="15"/>
      <c r="XI31" s="15"/>
      <c r="XJ31" s="15"/>
      <c r="XK31" s="15"/>
      <c r="XL31" s="15"/>
      <c r="XM31" s="15"/>
      <c r="XN31" s="15"/>
      <c r="XO31" s="15"/>
      <c r="XP31" s="15"/>
      <c r="XQ31" s="15"/>
      <c r="XR31" s="15"/>
      <c r="XS31" s="15"/>
      <c r="XT31" s="15"/>
      <c r="XU31" s="15"/>
      <c r="XV31" s="15"/>
      <c r="XW31" s="15"/>
      <c r="XX31" s="15"/>
      <c r="XY31" s="15"/>
      <c r="XZ31" s="15"/>
      <c r="YA31" s="15"/>
      <c r="YB31" s="15"/>
      <c r="YC31" s="15"/>
      <c r="YD31" s="15"/>
      <c r="YE31" s="15"/>
      <c r="YF31" s="15"/>
      <c r="YG31" s="15"/>
      <c r="YH31" s="15"/>
      <c r="YI31" s="15"/>
      <c r="YJ31" s="15"/>
      <c r="YK31" s="15"/>
      <c r="YL31" s="15"/>
      <c r="YM31" s="15"/>
      <c r="YN31" s="15"/>
      <c r="YO31" s="15"/>
      <c r="YP31" s="15"/>
      <c r="YQ31" s="15"/>
      <c r="YR31" s="15"/>
      <c r="YS31" s="15"/>
      <c r="YT31" s="15"/>
      <c r="YU31" s="15"/>
      <c r="YV31" s="15"/>
      <c r="YW31" s="15"/>
      <c r="YX31" s="15"/>
      <c r="YY31" s="15"/>
      <c r="YZ31" s="15"/>
      <c r="ZA31" s="15"/>
      <c r="ZB31" s="15"/>
      <c r="ZC31" s="15"/>
      <c r="ZD31" s="15"/>
      <c r="ZE31" s="15"/>
      <c r="ZF31" s="15"/>
      <c r="ZG31" s="15"/>
      <c r="ZH31" s="15"/>
      <c r="ZI31" s="15"/>
      <c r="ZJ31" s="15"/>
      <c r="ZK31" s="15"/>
      <c r="ZL31" s="15"/>
      <c r="ZM31" s="15"/>
      <c r="ZN31" s="15"/>
      <c r="ZO31" s="15"/>
      <c r="ZP31" s="15"/>
      <c r="ZQ31" s="15"/>
      <c r="ZR31" s="15"/>
      <c r="ZS31" s="15"/>
      <c r="ZT31" s="15"/>
      <c r="ZU31" s="15"/>
      <c r="ZV31" s="15"/>
      <c r="ZW31" s="15"/>
      <c r="ZX31" s="15"/>
      <c r="ZY31" s="15"/>
      <c r="ZZ31" s="15"/>
      <c r="AAA31" s="15"/>
      <c r="AAB31" s="15"/>
      <c r="AAC31" s="15"/>
      <c r="AAD31" s="15"/>
      <c r="AAE31" s="15"/>
      <c r="AAF31" s="15"/>
      <c r="AAG31" s="15"/>
      <c r="AAH31" s="15"/>
      <c r="AAI31" s="15"/>
      <c r="AAJ31" s="15"/>
      <c r="AAK31" s="15"/>
      <c r="AAL31" s="15"/>
      <c r="AAM31" s="15"/>
      <c r="AAN31" s="15"/>
      <c r="AAO31" s="15"/>
      <c r="AAP31" s="15"/>
      <c r="AAQ31" s="15"/>
      <c r="AAR31" s="15"/>
      <c r="AAS31" s="15"/>
      <c r="AAT31" s="15"/>
      <c r="AAU31" s="15"/>
      <c r="AAV31" s="15"/>
      <c r="AAW31" s="15"/>
      <c r="AAX31" s="15"/>
      <c r="AAY31" s="15"/>
      <c r="AAZ31" s="15"/>
      <c r="ABA31" s="15"/>
      <c r="ABB31" s="15"/>
      <c r="ABC31" s="15"/>
      <c r="ABD31" s="15"/>
      <c r="ABE31" s="15"/>
      <c r="ABF31" s="15"/>
      <c r="ABG31" s="15"/>
      <c r="ABH31" s="15"/>
      <c r="ABI31" s="15"/>
      <c r="ABJ31" s="15"/>
      <c r="ABK31" s="15"/>
      <c r="ABL31" s="15"/>
      <c r="ABM31" s="15"/>
      <c r="ABN31" s="15"/>
      <c r="ABO31" s="15"/>
      <c r="ABP31" s="15"/>
      <c r="ABQ31" s="15"/>
      <c r="ABR31" s="15"/>
      <c r="ABS31" s="15"/>
      <c r="ABT31" s="15"/>
      <c r="ABU31" s="15"/>
      <c r="ABV31" s="15"/>
      <c r="ABW31" s="15"/>
      <c r="ABX31" s="15"/>
      <c r="ABY31" s="15"/>
      <c r="ABZ31" s="15"/>
      <c r="ACA31" s="15"/>
      <c r="ACB31" s="15"/>
      <c r="ACC31" s="15"/>
      <c r="ACD31" s="15"/>
      <c r="ACE31" s="15"/>
      <c r="ACF31" s="15"/>
      <c r="ACG31" s="15"/>
      <c r="ACH31" s="15"/>
      <c r="ACI31" s="15"/>
      <c r="ACJ31" s="15"/>
      <c r="ACK31" s="15"/>
      <c r="ACL31" s="15"/>
      <c r="ACM31" s="15"/>
      <c r="ACN31" s="15"/>
      <c r="ACO31" s="15"/>
      <c r="ACP31" s="15"/>
      <c r="ACQ31" s="15"/>
      <c r="ACR31" s="15"/>
      <c r="ACS31" s="15"/>
      <c r="ACT31" s="15"/>
      <c r="ACU31" s="15"/>
      <c r="ACV31" s="15"/>
      <c r="ACW31" s="15"/>
      <c r="ACX31" s="15"/>
      <c r="ACY31" s="15"/>
      <c r="ACZ31" s="15"/>
      <c r="ADA31" s="15"/>
      <c r="ADB31" s="15"/>
      <c r="ADC31" s="15"/>
      <c r="ADD31" s="15"/>
      <c r="ADE31" s="15"/>
      <c r="ADF31" s="15"/>
      <c r="ADG31" s="15"/>
      <c r="ADH31" s="15"/>
      <c r="ADI31" s="15"/>
      <c r="ADJ31" s="15"/>
      <c r="ADK31" s="15"/>
      <c r="ADL31" s="15"/>
      <c r="ADM31" s="15"/>
      <c r="ADN31" s="15"/>
      <c r="ADO31" s="15"/>
      <c r="ADP31" s="15"/>
      <c r="ADQ31" s="15"/>
      <c r="ADR31" s="15"/>
      <c r="ADS31" s="15"/>
      <c r="ADT31" s="15"/>
      <c r="ADU31" s="15"/>
      <c r="ADV31" s="15"/>
      <c r="ADW31" s="15"/>
      <c r="ADX31" s="15"/>
      <c r="ADY31" s="15"/>
      <c r="ADZ31" s="15"/>
      <c r="AEA31" s="15"/>
      <c r="AEB31" s="15"/>
      <c r="AEC31" s="15"/>
      <c r="AED31" s="15"/>
      <c r="AEE31" s="15"/>
      <c r="AEF31" s="15"/>
      <c r="AEG31" s="15"/>
      <c r="AEH31" s="15"/>
      <c r="AEI31" s="15"/>
      <c r="AEJ31" s="15"/>
      <c r="AEK31" s="15"/>
      <c r="AEL31" s="15"/>
      <c r="AEM31" s="15"/>
      <c r="AEN31" s="15"/>
      <c r="AEO31" s="15"/>
      <c r="AEP31" s="15"/>
      <c r="AEQ31" s="15"/>
      <c r="AER31" s="15"/>
      <c r="AES31" s="15"/>
      <c r="AET31" s="15"/>
      <c r="AEU31" s="15"/>
      <c r="AEV31" s="15"/>
      <c r="AEW31" s="15"/>
      <c r="AEX31" s="15"/>
      <c r="AEY31" s="15"/>
      <c r="AEZ31" s="15"/>
      <c r="AFA31" s="15"/>
      <c r="AFB31" s="15"/>
      <c r="AFC31" s="15"/>
      <c r="AFD31" s="15"/>
      <c r="AFE31" s="15"/>
      <c r="AFF31" s="15"/>
      <c r="AFG31" s="15"/>
      <c r="AFH31" s="15"/>
      <c r="AFI31" s="15"/>
      <c r="AFJ31" s="15"/>
      <c r="AFK31" s="15"/>
      <c r="AFL31" s="15"/>
      <c r="AFM31" s="15"/>
      <c r="AFN31" s="15"/>
      <c r="AFO31" s="15"/>
      <c r="AFP31" s="15"/>
      <c r="AFQ31" s="15"/>
      <c r="AFR31" s="15"/>
      <c r="AFS31" s="15"/>
      <c r="AFT31" s="15"/>
      <c r="AFU31" s="15"/>
      <c r="AFV31" s="15"/>
      <c r="AFW31" s="15"/>
      <c r="AFX31" s="15"/>
      <c r="AFY31" s="15"/>
      <c r="AFZ31" s="15"/>
      <c r="AGA31" s="15"/>
      <c r="AGB31" s="15"/>
      <c r="AGC31" s="15"/>
      <c r="AGD31" s="15"/>
      <c r="AGE31" s="15"/>
      <c r="AGF31" s="15"/>
      <c r="AGG31" s="15"/>
      <c r="AGH31" s="15"/>
      <c r="AGI31" s="15"/>
      <c r="AGJ31" s="15"/>
      <c r="AGK31" s="15"/>
      <c r="AGL31" s="15"/>
      <c r="AGM31" s="15"/>
      <c r="AGN31" s="15"/>
      <c r="AGO31" s="15"/>
      <c r="AGP31" s="15"/>
      <c r="AGQ31" s="15"/>
      <c r="AGR31" s="15"/>
      <c r="AGS31" s="15"/>
      <c r="AGT31" s="15"/>
      <c r="AGU31" s="15"/>
      <c r="AGV31" s="15"/>
      <c r="AGW31" s="15"/>
      <c r="AGX31" s="15"/>
      <c r="AGY31" s="15"/>
      <c r="AGZ31" s="15"/>
      <c r="AHA31" s="15"/>
      <c r="AHB31" s="15"/>
      <c r="AHC31" s="15"/>
      <c r="AHD31" s="15"/>
      <c r="AHE31" s="15"/>
      <c r="AHF31" s="15"/>
      <c r="AHG31" s="15"/>
      <c r="AHH31" s="15"/>
      <c r="AHI31" s="15"/>
      <c r="AHJ31" s="15"/>
      <c r="AHK31" s="15"/>
      <c r="AHL31" s="15"/>
      <c r="AHM31" s="15"/>
      <c r="AHN31" s="15"/>
      <c r="AHO31" s="15"/>
      <c r="AHP31" s="15"/>
      <c r="AHQ31" s="15"/>
      <c r="AHR31" s="15"/>
      <c r="AHS31" s="15"/>
      <c r="AHT31" s="15"/>
      <c r="AHU31" s="15"/>
      <c r="AHV31" s="15"/>
      <c r="AHW31" s="15"/>
      <c r="AHX31" s="15"/>
      <c r="AHY31" s="15"/>
      <c r="AHZ31" s="15"/>
      <c r="AIA31" s="15"/>
      <c r="AIB31" s="15"/>
      <c r="AIC31" s="15"/>
      <c r="AID31" s="15"/>
      <c r="AIE31" s="15"/>
      <c r="AIF31" s="15"/>
      <c r="AIG31" s="15"/>
      <c r="AIH31" s="15"/>
      <c r="AII31" s="15"/>
      <c r="AIJ31" s="15"/>
      <c r="AIK31" s="15"/>
      <c r="AIL31" s="15"/>
      <c r="AIM31" s="15"/>
      <c r="AIN31" s="15"/>
      <c r="AIO31" s="15"/>
      <c r="AIP31" s="15"/>
      <c r="AIQ31" s="15"/>
      <c r="AIR31" s="15"/>
      <c r="AIS31" s="15"/>
      <c r="AIT31" s="15"/>
      <c r="AIU31" s="15"/>
      <c r="AIV31" s="15"/>
      <c r="AIW31" s="15"/>
      <c r="AIX31" s="15"/>
      <c r="AIY31" s="15"/>
      <c r="AIZ31" s="15"/>
      <c r="AJA31" s="15"/>
      <c r="AJB31" s="15"/>
      <c r="AJC31" s="15"/>
      <c r="AJD31" s="15"/>
      <c r="AJE31" s="15"/>
      <c r="AJF31" s="15"/>
      <c r="AJG31" s="15"/>
      <c r="AJH31" s="15"/>
      <c r="AJI31" s="15"/>
      <c r="AJJ31" s="15"/>
      <c r="AJK31" s="15"/>
      <c r="AJL31" s="15"/>
      <c r="AJM31" s="15"/>
      <c r="AJN31" s="15"/>
      <c r="AJO31" s="15"/>
      <c r="AJP31" s="15"/>
      <c r="AJQ31" s="15"/>
      <c r="AJR31" s="15"/>
      <c r="AJS31" s="15"/>
      <c r="AJT31" s="15"/>
      <c r="AJU31" s="15"/>
      <c r="AJV31" s="15"/>
      <c r="AJW31" s="15"/>
      <c r="AJX31" s="15"/>
      <c r="AJY31" s="15"/>
      <c r="AJZ31" s="15"/>
      <c r="AKA31" s="15"/>
      <c r="AKB31" s="15"/>
      <c r="AKC31" s="15"/>
      <c r="AKD31" s="15"/>
      <c r="AKE31" s="15"/>
      <c r="AKF31" s="15"/>
      <c r="AKG31" s="15"/>
      <c r="AKH31" s="15"/>
      <c r="AKI31" s="15"/>
      <c r="AKJ31" s="15"/>
      <c r="AKK31" s="15"/>
      <c r="AKL31" s="15"/>
      <c r="AKM31" s="15"/>
      <c r="AKN31" s="15"/>
      <c r="AKO31" s="15"/>
      <c r="AKP31" s="15"/>
      <c r="AKQ31" s="15"/>
      <c r="AKR31" s="15"/>
      <c r="AKS31" s="15"/>
      <c r="AKT31" s="15"/>
      <c r="AKU31" s="15"/>
      <c r="AKV31" s="15"/>
      <c r="AKW31" s="15"/>
      <c r="AKX31" s="15"/>
      <c r="AKY31" s="15"/>
      <c r="AKZ31" s="15"/>
      <c r="ALA31" s="15"/>
      <c r="ALB31" s="15"/>
      <c r="ALC31" s="15"/>
      <c r="ALD31" s="15"/>
      <c r="ALE31" s="15"/>
      <c r="ALF31" s="15"/>
      <c r="ALG31" s="15"/>
      <c r="ALH31" s="15"/>
      <c r="ALI31" s="15"/>
      <c r="ALJ31" s="15"/>
      <c r="ALK31" s="15"/>
      <c r="ALL31" s="15"/>
      <c r="ALM31" s="15"/>
      <c r="ALN31" s="15"/>
      <c r="ALO31" s="15"/>
      <c r="ALP31" s="15"/>
      <c r="ALQ31" s="15"/>
      <c r="ALR31" s="15"/>
      <c r="ALS31" s="15"/>
      <c r="ALT31" s="15"/>
      <c r="ALU31" s="15"/>
      <c r="ALV31" s="15"/>
      <c r="ALW31" s="15"/>
      <c r="ALX31" s="15"/>
      <c r="ALY31" s="15"/>
      <c r="ALZ31" s="15"/>
      <c r="AMA31" s="15"/>
      <c r="AMB31" s="15"/>
      <c r="AMC31" s="15"/>
      <c r="AMD31" s="15"/>
      <c r="AME31" s="15"/>
      <c r="AMF31" s="15"/>
      <c r="AMG31" s="14"/>
      <c r="AMH31" s="14"/>
      <c r="AMI31" s="14"/>
      <c r="AMJ31" s="15"/>
    </row>
    <row r="32" spans="1:1024" s="13" customFormat="1" ht="87" hidden="1" x14ac:dyDescent="0.35">
      <c r="A32" s="83">
        <v>43646</v>
      </c>
      <c r="B32" s="29" t="s">
        <v>292</v>
      </c>
      <c r="C32" s="29" t="s">
        <v>428</v>
      </c>
      <c r="D32" s="30">
        <v>43652</v>
      </c>
      <c r="E32" s="29" t="s">
        <v>290</v>
      </c>
      <c r="F32" s="31">
        <v>0.64583333333333304</v>
      </c>
      <c r="G32" s="31">
        <v>0.6875</v>
      </c>
      <c r="H32" s="110">
        <v>0.69791666666666696</v>
      </c>
      <c r="I32" s="109">
        <v>610.5</v>
      </c>
      <c r="J32" s="42" t="s">
        <v>427</v>
      </c>
      <c r="K32" s="17" t="s">
        <v>119</v>
      </c>
      <c r="L32" s="16" t="s">
        <v>22</v>
      </c>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15"/>
      <c r="CR32" s="15"/>
      <c r="CS32" s="15"/>
      <c r="CT32" s="15"/>
      <c r="CU32" s="15"/>
      <c r="CV32" s="15"/>
      <c r="CW32" s="15"/>
      <c r="CX32" s="15"/>
      <c r="CY32" s="15"/>
      <c r="CZ32" s="15"/>
      <c r="DA32" s="15"/>
      <c r="DB32" s="15"/>
      <c r="DC32" s="15"/>
      <c r="DD32" s="15"/>
      <c r="DE32" s="15"/>
      <c r="DF32" s="15"/>
      <c r="DG32" s="15"/>
      <c r="DH32" s="15"/>
      <c r="DI32" s="15"/>
      <c r="DJ32" s="15"/>
      <c r="DK32" s="15"/>
      <c r="DL32" s="15"/>
      <c r="DM32" s="15"/>
      <c r="DN32" s="15"/>
      <c r="DO32" s="15"/>
      <c r="DP32" s="15"/>
      <c r="DQ32" s="15"/>
      <c r="DR32" s="15"/>
      <c r="DS32" s="15"/>
      <c r="DT32" s="15"/>
      <c r="DU32" s="15"/>
      <c r="DV32" s="15"/>
      <c r="DW32" s="15"/>
      <c r="DX32" s="15"/>
      <c r="DY32" s="15"/>
      <c r="DZ32" s="15"/>
      <c r="EA32" s="15"/>
      <c r="EB32" s="15"/>
      <c r="EC32" s="15"/>
      <c r="ED32" s="15"/>
      <c r="EE32" s="15"/>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c r="FR32" s="15"/>
      <c r="FS32" s="15"/>
      <c r="FT32" s="15"/>
      <c r="FU32" s="15"/>
      <c r="FV32" s="15"/>
      <c r="FW32" s="15"/>
      <c r="FX32" s="15"/>
      <c r="FY32" s="15"/>
      <c r="FZ32" s="15"/>
      <c r="GA32" s="15"/>
      <c r="GB32" s="15"/>
      <c r="GC32" s="15"/>
      <c r="GD32" s="15"/>
      <c r="GE32" s="15"/>
      <c r="GF32" s="15"/>
      <c r="GG32" s="15"/>
      <c r="GH32" s="15"/>
      <c r="GI32" s="15"/>
      <c r="GJ32" s="15"/>
      <c r="GK32" s="15"/>
      <c r="GL32" s="15"/>
      <c r="GM32" s="15"/>
      <c r="GN32" s="15"/>
      <c r="GO32" s="15"/>
      <c r="GP32" s="15"/>
      <c r="GQ32" s="15"/>
      <c r="GR32" s="15"/>
      <c r="GS32" s="15"/>
      <c r="GT32" s="15"/>
      <c r="GU32" s="15"/>
      <c r="GV32" s="15"/>
      <c r="GW32" s="15"/>
      <c r="GX32" s="15"/>
      <c r="GY32" s="15"/>
      <c r="GZ32" s="15"/>
      <c r="HA32" s="15"/>
      <c r="HB32" s="15"/>
      <c r="HC32" s="15"/>
      <c r="HD32" s="15"/>
      <c r="HE32" s="15"/>
      <c r="HF32" s="15"/>
      <c r="HG32" s="15"/>
      <c r="HH32" s="15"/>
      <c r="HI32" s="15"/>
      <c r="HJ32" s="15"/>
      <c r="HK32" s="15"/>
      <c r="HL32" s="15"/>
      <c r="HM32" s="15"/>
      <c r="HN32" s="15"/>
      <c r="HO32" s="15"/>
      <c r="HP32" s="15"/>
      <c r="HQ32" s="15"/>
      <c r="HR32" s="15"/>
      <c r="HS32" s="15"/>
      <c r="HT32" s="15"/>
      <c r="HU32" s="15"/>
      <c r="HV32" s="15"/>
      <c r="HW32" s="15"/>
      <c r="HX32" s="15"/>
      <c r="HY32" s="15"/>
      <c r="HZ32" s="15"/>
      <c r="IA32" s="15"/>
      <c r="IB32" s="15"/>
      <c r="IC32" s="15"/>
      <c r="ID32" s="15"/>
      <c r="IE32" s="15"/>
      <c r="IF32" s="15"/>
      <c r="IG32" s="15"/>
      <c r="IH32" s="15"/>
      <c r="II32" s="15"/>
      <c r="IJ32" s="15"/>
      <c r="IK32" s="15"/>
      <c r="IL32" s="15"/>
      <c r="IM32" s="15"/>
      <c r="IN32" s="15"/>
      <c r="IO32" s="15"/>
      <c r="IP32" s="15"/>
      <c r="IQ32" s="15"/>
      <c r="IR32" s="15"/>
      <c r="IS32" s="15"/>
      <c r="IT32" s="15"/>
      <c r="IU32" s="15"/>
      <c r="IV32" s="15"/>
      <c r="IW32" s="15"/>
      <c r="IX32" s="15"/>
      <c r="IY32" s="15"/>
      <c r="IZ32" s="15"/>
      <c r="JA32" s="15"/>
      <c r="JB32" s="15"/>
      <c r="JC32" s="15"/>
      <c r="JD32" s="15"/>
      <c r="JE32" s="15"/>
      <c r="JF32" s="15"/>
      <c r="JG32" s="15"/>
      <c r="JH32" s="15"/>
      <c r="JI32" s="15"/>
      <c r="JJ32" s="15"/>
      <c r="JK32" s="15"/>
      <c r="JL32" s="15"/>
      <c r="JM32" s="15"/>
      <c r="JN32" s="15"/>
      <c r="JO32" s="15"/>
      <c r="JP32" s="15"/>
      <c r="JQ32" s="15"/>
      <c r="JR32" s="15"/>
      <c r="JS32" s="15"/>
      <c r="JT32" s="15"/>
      <c r="JU32" s="15"/>
      <c r="JV32" s="15"/>
      <c r="JW32" s="15"/>
      <c r="JX32" s="15"/>
      <c r="JY32" s="15"/>
      <c r="JZ32" s="15"/>
      <c r="KA32" s="15"/>
      <c r="KB32" s="15"/>
      <c r="KC32" s="15"/>
      <c r="KD32" s="15"/>
      <c r="KE32" s="15"/>
      <c r="KF32" s="15"/>
      <c r="KG32" s="15"/>
      <c r="KH32" s="15"/>
      <c r="KI32" s="15"/>
      <c r="KJ32" s="15"/>
      <c r="KK32" s="15"/>
      <c r="KL32" s="15"/>
      <c r="KM32" s="15"/>
      <c r="KN32" s="15"/>
      <c r="KO32" s="15"/>
      <c r="KP32" s="15"/>
      <c r="KQ32" s="15"/>
      <c r="KR32" s="15"/>
      <c r="KS32" s="15"/>
      <c r="KT32" s="15"/>
      <c r="KU32" s="15"/>
      <c r="KV32" s="15"/>
      <c r="KW32" s="15"/>
      <c r="KX32" s="15"/>
      <c r="KY32" s="15"/>
      <c r="KZ32" s="15"/>
      <c r="LA32" s="15"/>
      <c r="LB32" s="15"/>
      <c r="LC32" s="15"/>
      <c r="LD32" s="15"/>
      <c r="LE32" s="15"/>
      <c r="LF32" s="15"/>
      <c r="LG32" s="15"/>
      <c r="LH32" s="15"/>
      <c r="LI32" s="15"/>
      <c r="LJ32" s="15"/>
      <c r="LK32" s="15"/>
      <c r="LL32" s="15"/>
      <c r="LM32" s="15"/>
      <c r="LN32" s="15"/>
      <c r="LO32" s="15"/>
      <c r="LP32" s="15"/>
      <c r="LQ32" s="15"/>
      <c r="LR32" s="15"/>
      <c r="LS32" s="15"/>
      <c r="LT32" s="15"/>
      <c r="LU32" s="15"/>
      <c r="LV32" s="15"/>
      <c r="LW32" s="15"/>
      <c r="LX32" s="15"/>
      <c r="LY32" s="15"/>
      <c r="LZ32" s="15"/>
      <c r="MA32" s="15"/>
      <c r="MB32" s="15"/>
      <c r="MC32" s="15"/>
      <c r="MD32" s="15"/>
      <c r="ME32" s="15"/>
      <c r="MF32" s="15"/>
      <c r="MG32" s="15"/>
      <c r="MH32" s="15"/>
      <c r="MI32" s="15"/>
      <c r="MJ32" s="15"/>
      <c r="MK32" s="15"/>
      <c r="ML32" s="15"/>
      <c r="MM32" s="15"/>
      <c r="MN32" s="15"/>
      <c r="MO32" s="15"/>
      <c r="MP32" s="15"/>
      <c r="MQ32" s="15"/>
      <c r="MR32" s="15"/>
      <c r="MS32" s="15"/>
      <c r="MT32" s="15"/>
      <c r="MU32" s="15"/>
      <c r="MV32" s="15"/>
      <c r="MW32" s="15"/>
      <c r="MX32" s="15"/>
      <c r="MY32" s="15"/>
      <c r="MZ32" s="15"/>
      <c r="NA32" s="15"/>
      <c r="NB32" s="15"/>
      <c r="NC32" s="15"/>
      <c r="ND32" s="15"/>
      <c r="NE32" s="15"/>
      <c r="NF32" s="15"/>
      <c r="NG32" s="15"/>
      <c r="NH32" s="15"/>
      <c r="NI32" s="15"/>
      <c r="NJ32" s="15"/>
      <c r="NK32" s="15"/>
      <c r="NL32" s="15"/>
      <c r="NM32" s="15"/>
      <c r="NN32" s="15"/>
      <c r="NO32" s="15"/>
      <c r="NP32" s="15"/>
      <c r="NQ32" s="15"/>
      <c r="NR32" s="15"/>
      <c r="NS32" s="15"/>
      <c r="NT32" s="15"/>
      <c r="NU32" s="15"/>
      <c r="NV32" s="15"/>
      <c r="NW32" s="15"/>
      <c r="NX32" s="15"/>
      <c r="NY32" s="15"/>
      <c r="NZ32" s="15"/>
      <c r="OA32" s="15"/>
      <c r="OB32" s="15"/>
      <c r="OC32" s="15"/>
      <c r="OD32" s="15"/>
      <c r="OE32" s="15"/>
      <c r="OF32" s="15"/>
      <c r="OG32" s="15"/>
      <c r="OH32" s="15"/>
      <c r="OI32" s="15"/>
      <c r="OJ32" s="15"/>
      <c r="OK32" s="15"/>
      <c r="OL32" s="15"/>
      <c r="OM32" s="15"/>
      <c r="ON32" s="15"/>
      <c r="OO32" s="15"/>
      <c r="OP32" s="15"/>
      <c r="OQ32" s="15"/>
      <c r="OR32" s="15"/>
      <c r="OS32" s="15"/>
      <c r="OT32" s="15"/>
      <c r="OU32" s="15"/>
      <c r="OV32" s="15"/>
      <c r="OW32" s="15"/>
      <c r="OX32" s="15"/>
      <c r="OY32" s="15"/>
      <c r="OZ32" s="15"/>
      <c r="PA32" s="15"/>
      <c r="PB32" s="15"/>
      <c r="PC32" s="15"/>
      <c r="PD32" s="15"/>
      <c r="PE32" s="15"/>
      <c r="PF32" s="15"/>
      <c r="PG32" s="15"/>
      <c r="PH32" s="15"/>
      <c r="PI32" s="15"/>
      <c r="PJ32" s="15"/>
      <c r="PK32" s="15"/>
      <c r="PL32" s="15"/>
      <c r="PM32" s="15"/>
      <c r="PN32" s="15"/>
      <c r="PO32" s="15"/>
      <c r="PP32" s="15"/>
      <c r="PQ32" s="15"/>
      <c r="PR32" s="15"/>
      <c r="PS32" s="15"/>
      <c r="PT32" s="15"/>
      <c r="PU32" s="15"/>
      <c r="PV32" s="15"/>
      <c r="PW32" s="15"/>
      <c r="PX32" s="15"/>
      <c r="PY32" s="15"/>
      <c r="PZ32" s="15"/>
      <c r="QA32" s="15"/>
      <c r="QB32" s="15"/>
      <c r="QC32" s="15"/>
      <c r="QD32" s="15"/>
      <c r="QE32" s="15"/>
      <c r="QF32" s="15"/>
      <c r="QG32" s="15"/>
      <c r="QH32" s="15"/>
      <c r="QI32" s="15"/>
      <c r="QJ32" s="15"/>
      <c r="QK32" s="15"/>
      <c r="QL32" s="15"/>
      <c r="QM32" s="15"/>
      <c r="QN32" s="15"/>
      <c r="QO32" s="15"/>
      <c r="QP32" s="15"/>
      <c r="QQ32" s="15"/>
      <c r="QR32" s="15"/>
      <c r="QS32" s="15"/>
      <c r="QT32" s="15"/>
      <c r="QU32" s="15"/>
      <c r="QV32" s="15"/>
      <c r="QW32" s="15"/>
      <c r="QX32" s="15"/>
      <c r="QY32" s="15"/>
      <c r="QZ32" s="15"/>
      <c r="RA32" s="15"/>
      <c r="RB32" s="15"/>
      <c r="RC32" s="15"/>
      <c r="RD32" s="15"/>
      <c r="RE32" s="15"/>
      <c r="RF32" s="15"/>
      <c r="RG32" s="15"/>
      <c r="RH32" s="15"/>
      <c r="RI32" s="15"/>
      <c r="RJ32" s="15"/>
      <c r="RK32" s="15"/>
      <c r="RL32" s="15"/>
      <c r="RM32" s="15"/>
      <c r="RN32" s="15"/>
      <c r="RO32" s="15"/>
      <c r="RP32" s="15"/>
      <c r="RQ32" s="15"/>
      <c r="RR32" s="15"/>
      <c r="RS32" s="15"/>
      <c r="RT32" s="15"/>
      <c r="RU32" s="15"/>
      <c r="RV32" s="15"/>
      <c r="RW32" s="15"/>
      <c r="RX32" s="15"/>
      <c r="RY32" s="15"/>
      <c r="RZ32" s="15"/>
      <c r="SA32" s="15"/>
      <c r="SB32" s="15"/>
      <c r="SC32" s="15"/>
      <c r="SD32" s="15"/>
      <c r="SE32" s="15"/>
      <c r="SF32" s="15"/>
      <c r="SG32" s="15"/>
      <c r="SH32" s="15"/>
      <c r="SI32" s="15"/>
      <c r="SJ32" s="15"/>
      <c r="SK32" s="15"/>
      <c r="SL32" s="15"/>
      <c r="SM32" s="15"/>
      <c r="SN32" s="15"/>
      <c r="SO32" s="15"/>
      <c r="SP32" s="15"/>
      <c r="SQ32" s="15"/>
      <c r="SR32" s="15"/>
      <c r="SS32" s="15"/>
      <c r="ST32" s="15"/>
      <c r="SU32" s="15"/>
      <c r="SV32" s="15"/>
      <c r="SW32" s="15"/>
      <c r="SX32" s="15"/>
      <c r="SY32" s="15"/>
      <c r="SZ32" s="15"/>
      <c r="TA32" s="15"/>
      <c r="TB32" s="15"/>
      <c r="TC32" s="15"/>
      <c r="TD32" s="15"/>
      <c r="TE32" s="15"/>
      <c r="TF32" s="15"/>
      <c r="TG32" s="15"/>
      <c r="TH32" s="15"/>
      <c r="TI32" s="15"/>
      <c r="TJ32" s="15"/>
      <c r="TK32" s="15"/>
      <c r="TL32" s="15"/>
      <c r="TM32" s="15"/>
      <c r="TN32" s="15"/>
      <c r="TO32" s="15"/>
      <c r="TP32" s="15"/>
      <c r="TQ32" s="15"/>
      <c r="TR32" s="15"/>
      <c r="TS32" s="15"/>
      <c r="TT32" s="15"/>
      <c r="TU32" s="15"/>
      <c r="TV32" s="15"/>
      <c r="TW32" s="15"/>
      <c r="TX32" s="15"/>
      <c r="TY32" s="15"/>
      <c r="TZ32" s="15"/>
      <c r="UA32" s="15"/>
      <c r="UB32" s="15"/>
      <c r="UC32" s="15"/>
      <c r="UD32" s="15"/>
      <c r="UE32" s="15"/>
      <c r="UF32" s="15"/>
      <c r="UG32" s="15"/>
      <c r="UH32" s="15"/>
      <c r="UI32" s="15"/>
      <c r="UJ32" s="15"/>
      <c r="UK32" s="15"/>
      <c r="UL32" s="15"/>
      <c r="UM32" s="15"/>
      <c r="UN32" s="15"/>
      <c r="UO32" s="15"/>
      <c r="UP32" s="15"/>
      <c r="UQ32" s="15"/>
      <c r="UR32" s="15"/>
      <c r="US32" s="15"/>
      <c r="UT32" s="15"/>
      <c r="UU32" s="15"/>
      <c r="UV32" s="15"/>
      <c r="UW32" s="15"/>
      <c r="UX32" s="15"/>
      <c r="UY32" s="15"/>
      <c r="UZ32" s="15"/>
      <c r="VA32" s="15"/>
      <c r="VB32" s="15"/>
      <c r="VC32" s="15"/>
      <c r="VD32" s="15"/>
      <c r="VE32" s="15"/>
      <c r="VF32" s="15"/>
      <c r="VG32" s="15"/>
      <c r="VH32" s="15"/>
      <c r="VI32" s="15"/>
      <c r="VJ32" s="15"/>
      <c r="VK32" s="15"/>
      <c r="VL32" s="15"/>
      <c r="VM32" s="15"/>
      <c r="VN32" s="15"/>
      <c r="VO32" s="15"/>
      <c r="VP32" s="15"/>
      <c r="VQ32" s="15"/>
      <c r="VR32" s="15"/>
      <c r="VS32" s="15"/>
      <c r="VT32" s="15"/>
      <c r="VU32" s="15"/>
      <c r="VV32" s="15"/>
      <c r="VW32" s="15"/>
      <c r="VX32" s="15"/>
      <c r="VY32" s="15"/>
      <c r="VZ32" s="15"/>
      <c r="WA32" s="15"/>
      <c r="WB32" s="15"/>
      <c r="WC32" s="15"/>
      <c r="WD32" s="15"/>
      <c r="WE32" s="15"/>
      <c r="WF32" s="15"/>
      <c r="WG32" s="15"/>
      <c r="WH32" s="15"/>
      <c r="WI32" s="15"/>
      <c r="WJ32" s="15"/>
      <c r="WK32" s="15"/>
      <c r="WL32" s="15"/>
      <c r="WM32" s="15"/>
      <c r="WN32" s="15"/>
      <c r="WO32" s="15"/>
      <c r="WP32" s="15"/>
      <c r="WQ32" s="15"/>
      <c r="WR32" s="15"/>
      <c r="WS32" s="15"/>
      <c r="WT32" s="15"/>
      <c r="WU32" s="15"/>
      <c r="WV32" s="15"/>
      <c r="WW32" s="15"/>
      <c r="WX32" s="15"/>
      <c r="WY32" s="15"/>
      <c r="WZ32" s="15"/>
      <c r="XA32" s="15"/>
      <c r="XB32" s="15"/>
      <c r="XC32" s="15"/>
      <c r="XD32" s="15"/>
      <c r="XE32" s="15"/>
      <c r="XF32" s="15"/>
      <c r="XG32" s="15"/>
      <c r="XH32" s="15"/>
      <c r="XI32" s="15"/>
      <c r="XJ32" s="15"/>
      <c r="XK32" s="15"/>
      <c r="XL32" s="15"/>
      <c r="XM32" s="15"/>
      <c r="XN32" s="15"/>
      <c r="XO32" s="15"/>
      <c r="XP32" s="15"/>
      <c r="XQ32" s="15"/>
      <c r="XR32" s="15"/>
      <c r="XS32" s="15"/>
      <c r="XT32" s="15"/>
      <c r="XU32" s="15"/>
      <c r="XV32" s="15"/>
      <c r="XW32" s="15"/>
      <c r="XX32" s="15"/>
      <c r="XY32" s="15"/>
      <c r="XZ32" s="15"/>
      <c r="YA32" s="15"/>
      <c r="YB32" s="15"/>
      <c r="YC32" s="15"/>
      <c r="YD32" s="15"/>
      <c r="YE32" s="15"/>
      <c r="YF32" s="15"/>
      <c r="YG32" s="15"/>
      <c r="YH32" s="15"/>
      <c r="YI32" s="15"/>
      <c r="YJ32" s="15"/>
      <c r="YK32" s="15"/>
      <c r="YL32" s="15"/>
      <c r="YM32" s="15"/>
      <c r="YN32" s="15"/>
      <c r="YO32" s="15"/>
      <c r="YP32" s="15"/>
      <c r="YQ32" s="15"/>
      <c r="YR32" s="15"/>
      <c r="YS32" s="15"/>
      <c r="YT32" s="15"/>
      <c r="YU32" s="15"/>
      <c r="YV32" s="15"/>
      <c r="YW32" s="15"/>
      <c r="YX32" s="15"/>
      <c r="YY32" s="15"/>
      <c r="YZ32" s="15"/>
      <c r="ZA32" s="15"/>
      <c r="ZB32" s="15"/>
      <c r="ZC32" s="15"/>
      <c r="ZD32" s="15"/>
      <c r="ZE32" s="15"/>
      <c r="ZF32" s="15"/>
      <c r="ZG32" s="15"/>
      <c r="ZH32" s="15"/>
      <c r="ZI32" s="15"/>
      <c r="ZJ32" s="15"/>
      <c r="ZK32" s="15"/>
      <c r="ZL32" s="15"/>
      <c r="ZM32" s="15"/>
      <c r="ZN32" s="15"/>
      <c r="ZO32" s="15"/>
      <c r="ZP32" s="15"/>
      <c r="ZQ32" s="15"/>
      <c r="ZR32" s="15"/>
      <c r="ZS32" s="15"/>
      <c r="ZT32" s="15"/>
      <c r="ZU32" s="15"/>
      <c r="ZV32" s="15"/>
      <c r="ZW32" s="15"/>
      <c r="ZX32" s="15"/>
      <c r="ZY32" s="15"/>
      <c r="ZZ32" s="15"/>
      <c r="AAA32" s="15"/>
      <c r="AAB32" s="15"/>
      <c r="AAC32" s="15"/>
      <c r="AAD32" s="15"/>
      <c r="AAE32" s="15"/>
      <c r="AAF32" s="15"/>
      <c r="AAG32" s="15"/>
      <c r="AAH32" s="15"/>
      <c r="AAI32" s="15"/>
      <c r="AAJ32" s="15"/>
      <c r="AAK32" s="15"/>
      <c r="AAL32" s="15"/>
      <c r="AAM32" s="15"/>
      <c r="AAN32" s="15"/>
      <c r="AAO32" s="15"/>
      <c r="AAP32" s="15"/>
      <c r="AAQ32" s="15"/>
      <c r="AAR32" s="15"/>
      <c r="AAS32" s="15"/>
      <c r="AAT32" s="15"/>
      <c r="AAU32" s="15"/>
      <c r="AAV32" s="15"/>
      <c r="AAW32" s="15"/>
      <c r="AAX32" s="15"/>
      <c r="AAY32" s="15"/>
      <c r="AAZ32" s="15"/>
      <c r="ABA32" s="15"/>
      <c r="ABB32" s="15"/>
      <c r="ABC32" s="15"/>
      <c r="ABD32" s="15"/>
      <c r="ABE32" s="15"/>
      <c r="ABF32" s="15"/>
      <c r="ABG32" s="15"/>
      <c r="ABH32" s="15"/>
      <c r="ABI32" s="15"/>
      <c r="ABJ32" s="15"/>
      <c r="ABK32" s="15"/>
      <c r="ABL32" s="15"/>
      <c r="ABM32" s="15"/>
      <c r="ABN32" s="15"/>
      <c r="ABO32" s="15"/>
      <c r="ABP32" s="15"/>
      <c r="ABQ32" s="15"/>
      <c r="ABR32" s="15"/>
      <c r="ABS32" s="15"/>
      <c r="ABT32" s="15"/>
      <c r="ABU32" s="15"/>
      <c r="ABV32" s="15"/>
      <c r="ABW32" s="15"/>
      <c r="ABX32" s="15"/>
      <c r="ABY32" s="15"/>
      <c r="ABZ32" s="15"/>
      <c r="ACA32" s="15"/>
      <c r="ACB32" s="15"/>
      <c r="ACC32" s="15"/>
      <c r="ACD32" s="15"/>
      <c r="ACE32" s="15"/>
      <c r="ACF32" s="15"/>
      <c r="ACG32" s="15"/>
      <c r="ACH32" s="15"/>
      <c r="ACI32" s="15"/>
      <c r="ACJ32" s="15"/>
      <c r="ACK32" s="15"/>
      <c r="ACL32" s="15"/>
      <c r="ACM32" s="15"/>
      <c r="ACN32" s="15"/>
      <c r="ACO32" s="15"/>
      <c r="ACP32" s="15"/>
      <c r="ACQ32" s="15"/>
      <c r="ACR32" s="15"/>
      <c r="ACS32" s="15"/>
      <c r="ACT32" s="15"/>
      <c r="ACU32" s="15"/>
      <c r="ACV32" s="15"/>
      <c r="ACW32" s="15"/>
      <c r="ACX32" s="15"/>
      <c r="ACY32" s="15"/>
      <c r="ACZ32" s="15"/>
      <c r="ADA32" s="15"/>
      <c r="ADB32" s="15"/>
      <c r="ADC32" s="15"/>
      <c r="ADD32" s="15"/>
      <c r="ADE32" s="15"/>
      <c r="ADF32" s="15"/>
      <c r="ADG32" s="15"/>
      <c r="ADH32" s="15"/>
      <c r="ADI32" s="15"/>
      <c r="ADJ32" s="15"/>
      <c r="ADK32" s="15"/>
      <c r="ADL32" s="15"/>
      <c r="ADM32" s="15"/>
      <c r="ADN32" s="15"/>
      <c r="ADO32" s="15"/>
      <c r="ADP32" s="15"/>
      <c r="ADQ32" s="15"/>
      <c r="ADR32" s="15"/>
      <c r="ADS32" s="15"/>
      <c r="ADT32" s="15"/>
      <c r="ADU32" s="15"/>
      <c r="ADV32" s="15"/>
      <c r="ADW32" s="15"/>
      <c r="ADX32" s="15"/>
      <c r="ADY32" s="15"/>
      <c r="ADZ32" s="15"/>
      <c r="AEA32" s="15"/>
      <c r="AEB32" s="15"/>
      <c r="AEC32" s="15"/>
      <c r="AED32" s="15"/>
      <c r="AEE32" s="15"/>
      <c r="AEF32" s="15"/>
      <c r="AEG32" s="15"/>
      <c r="AEH32" s="15"/>
      <c r="AEI32" s="15"/>
      <c r="AEJ32" s="15"/>
      <c r="AEK32" s="15"/>
      <c r="AEL32" s="15"/>
      <c r="AEM32" s="15"/>
      <c r="AEN32" s="15"/>
      <c r="AEO32" s="15"/>
      <c r="AEP32" s="15"/>
      <c r="AEQ32" s="15"/>
      <c r="AER32" s="15"/>
      <c r="AES32" s="15"/>
      <c r="AET32" s="15"/>
      <c r="AEU32" s="15"/>
      <c r="AEV32" s="15"/>
      <c r="AEW32" s="15"/>
      <c r="AEX32" s="15"/>
      <c r="AEY32" s="15"/>
      <c r="AEZ32" s="15"/>
      <c r="AFA32" s="15"/>
      <c r="AFB32" s="15"/>
      <c r="AFC32" s="15"/>
      <c r="AFD32" s="15"/>
      <c r="AFE32" s="15"/>
      <c r="AFF32" s="15"/>
      <c r="AFG32" s="15"/>
      <c r="AFH32" s="15"/>
      <c r="AFI32" s="15"/>
      <c r="AFJ32" s="15"/>
      <c r="AFK32" s="15"/>
      <c r="AFL32" s="15"/>
      <c r="AFM32" s="15"/>
      <c r="AFN32" s="15"/>
      <c r="AFO32" s="15"/>
      <c r="AFP32" s="15"/>
      <c r="AFQ32" s="15"/>
      <c r="AFR32" s="15"/>
      <c r="AFS32" s="15"/>
      <c r="AFT32" s="15"/>
      <c r="AFU32" s="15"/>
      <c r="AFV32" s="15"/>
      <c r="AFW32" s="15"/>
      <c r="AFX32" s="15"/>
      <c r="AFY32" s="15"/>
      <c r="AFZ32" s="15"/>
      <c r="AGA32" s="15"/>
      <c r="AGB32" s="15"/>
      <c r="AGC32" s="15"/>
      <c r="AGD32" s="15"/>
      <c r="AGE32" s="15"/>
      <c r="AGF32" s="15"/>
      <c r="AGG32" s="15"/>
      <c r="AGH32" s="15"/>
      <c r="AGI32" s="15"/>
      <c r="AGJ32" s="15"/>
      <c r="AGK32" s="15"/>
      <c r="AGL32" s="15"/>
      <c r="AGM32" s="15"/>
      <c r="AGN32" s="15"/>
      <c r="AGO32" s="15"/>
      <c r="AGP32" s="15"/>
      <c r="AGQ32" s="15"/>
      <c r="AGR32" s="15"/>
      <c r="AGS32" s="15"/>
      <c r="AGT32" s="15"/>
      <c r="AGU32" s="15"/>
      <c r="AGV32" s="15"/>
      <c r="AGW32" s="15"/>
      <c r="AGX32" s="15"/>
      <c r="AGY32" s="15"/>
      <c r="AGZ32" s="15"/>
      <c r="AHA32" s="15"/>
      <c r="AHB32" s="15"/>
      <c r="AHC32" s="15"/>
      <c r="AHD32" s="15"/>
      <c r="AHE32" s="15"/>
      <c r="AHF32" s="15"/>
      <c r="AHG32" s="15"/>
      <c r="AHH32" s="15"/>
      <c r="AHI32" s="15"/>
      <c r="AHJ32" s="15"/>
      <c r="AHK32" s="15"/>
      <c r="AHL32" s="15"/>
      <c r="AHM32" s="15"/>
      <c r="AHN32" s="15"/>
      <c r="AHO32" s="15"/>
      <c r="AHP32" s="15"/>
      <c r="AHQ32" s="15"/>
      <c r="AHR32" s="15"/>
      <c r="AHS32" s="15"/>
      <c r="AHT32" s="15"/>
      <c r="AHU32" s="15"/>
      <c r="AHV32" s="15"/>
      <c r="AHW32" s="15"/>
      <c r="AHX32" s="15"/>
      <c r="AHY32" s="15"/>
      <c r="AHZ32" s="15"/>
      <c r="AIA32" s="15"/>
      <c r="AIB32" s="15"/>
      <c r="AIC32" s="15"/>
      <c r="AID32" s="15"/>
      <c r="AIE32" s="15"/>
      <c r="AIF32" s="15"/>
      <c r="AIG32" s="15"/>
      <c r="AIH32" s="15"/>
      <c r="AII32" s="15"/>
      <c r="AIJ32" s="15"/>
      <c r="AIK32" s="15"/>
      <c r="AIL32" s="15"/>
      <c r="AIM32" s="15"/>
      <c r="AIN32" s="15"/>
      <c r="AIO32" s="15"/>
      <c r="AIP32" s="15"/>
      <c r="AIQ32" s="15"/>
      <c r="AIR32" s="15"/>
      <c r="AIS32" s="15"/>
      <c r="AIT32" s="15"/>
      <c r="AIU32" s="15"/>
      <c r="AIV32" s="15"/>
      <c r="AIW32" s="15"/>
      <c r="AIX32" s="15"/>
      <c r="AIY32" s="15"/>
      <c r="AIZ32" s="15"/>
      <c r="AJA32" s="15"/>
      <c r="AJB32" s="15"/>
      <c r="AJC32" s="15"/>
      <c r="AJD32" s="15"/>
      <c r="AJE32" s="15"/>
      <c r="AJF32" s="15"/>
      <c r="AJG32" s="15"/>
      <c r="AJH32" s="15"/>
      <c r="AJI32" s="15"/>
      <c r="AJJ32" s="15"/>
      <c r="AJK32" s="15"/>
      <c r="AJL32" s="15"/>
      <c r="AJM32" s="15"/>
      <c r="AJN32" s="15"/>
      <c r="AJO32" s="15"/>
      <c r="AJP32" s="15"/>
      <c r="AJQ32" s="15"/>
      <c r="AJR32" s="15"/>
      <c r="AJS32" s="15"/>
      <c r="AJT32" s="15"/>
      <c r="AJU32" s="15"/>
      <c r="AJV32" s="15"/>
      <c r="AJW32" s="15"/>
      <c r="AJX32" s="15"/>
      <c r="AJY32" s="15"/>
      <c r="AJZ32" s="15"/>
      <c r="AKA32" s="15"/>
      <c r="AKB32" s="15"/>
      <c r="AKC32" s="15"/>
      <c r="AKD32" s="15"/>
      <c r="AKE32" s="15"/>
      <c r="AKF32" s="15"/>
      <c r="AKG32" s="15"/>
      <c r="AKH32" s="15"/>
      <c r="AKI32" s="15"/>
      <c r="AKJ32" s="15"/>
      <c r="AKK32" s="15"/>
      <c r="AKL32" s="15"/>
      <c r="AKM32" s="15"/>
      <c r="AKN32" s="15"/>
      <c r="AKO32" s="15"/>
      <c r="AKP32" s="15"/>
      <c r="AKQ32" s="15"/>
      <c r="AKR32" s="15"/>
      <c r="AKS32" s="15"/>
      <c r="AKT32" s="15"/>
      <c r="AKU32" s="15"/>
      <c r="AKV32" s="15"/>
      <c r="AKW32" s="15"/>
      <c r="AKX32" s="15"/>
      <c r="AKY32" s="15"/>
      <c r="AKZ32" s="15"/>
      <c r="ALA32" s="15"/>
      <c r="ALB32" s="15"/>
      <c r="ALC32" s="15"/>
      <c r="ALD32" s="15"/>
      <c r="ALE32" s="15"/>
      <c r="ALF32" s="15"/>
      <c r="ALG32" s="15"/>
      <c r="ALH32" s="15"/>
      <c r="ALI32" s="15"/>
      <c r="ALJ32" s="15"/>
      <c r="ALK32" s="15"/>
      <c r="ALL32" s="15"/>
      <c r="ALM32" s="15"/>
      <c r="ALN32" s="15"/>
      <c r="ALO32" s="15"/>
      <c r="ALP32" s="15"/>
      <c r="ALQ32" s="15"/>
      <c r="ALR32" s="15"/>
      <c r="ALS32" s="15"/>
      <c r="ALT32" s="15"/>
      <c r="ALU32" s="15"/>
      <c r="ALV32" s="15"/>
      <c r="ALW32" s="15"/>
      <c r="ALX32" s="15"/>
      <c r="ALY32" s="15"/>
      <c r="ALZ32" s="15"/>
      <c r="AMA32" s="15"/>
      <c r="AMB32" s="15"/>
      <c r="AMC32" s="15"/>
      <c r="AMD32" s="15"/>
      <c r="AME32" s="15"/>
      <c r="AMF32" s="15"/>
      <c r="AMG32" s="14"/>
      <c r="AMH32" s="14"/>
      <c r="AMI32" s="14"/>
      <c r="AMJ32" s="15"/>
    </row>
    <row r="33" spans="1:1024" s="13" customFormat="1" ht="58" hidden="1" x14ac:dyDescent="0.35">
      <c r="A33" s="83">
        <v>43647</v>
      </c>
      <c r="B33" s="29" t="s">
        <v>426</v>
      </c>
      <c r="C33" s="29" t="s">
        <v>425</v>
      </c>
      <c r="D33" s="30">
        <v>43652</v>
      </c>
      <c r="E33" s="29" t="s">
        <v>424</v>
      </c>
      <c r="F33" s="31">
        <v>0.64583333333333304</v>
      </c>
      <c r="G33" s="31">
        <v>0.72222222222222199</v>
      </c>
      <c r="H33" s="31">
        <v>0.73611111111111105</v>
      </c>
      <c r="I33" s="17">
        <v>400</v>
      </c>
      <c r="J33" s="17" t="s">
        <v>45</v>
      </c>
      <c r="K33" s="17" t="s">
        <v>119</v>
      </c>
      <c r="L33" s="16" t="s">
        <v>22</v>
      </c>
      <c r="M33" s="15">
        <v>400</v>
      </c>
      <c r="N33" s="15"/>
      <c r="O33" s="15"/>
      <c r="P33" s="15"/>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15"/>
      <c r="CR33" s="15"/>
      <c r="CS33" s="15"/>
      <c r="CT33" s="15"/>
      <c r="CU33" s="15"/>
      <c r="CV33" s="15"/>
      <c r="CW33" s="15"/>
      <c r="CX33" s="15"/>
      <c r="CY33" s="15"/>
      <c r="CZ33" s="15"/>
      <c r="DA33" s="15"/>
      <c r="DB33" s="15"/>
      <c r="DC33" s="15"/>
      <c r="DD33" s="15"/>
      <c r="DE33" s="15"/>
      <c r="DF33" s="15"/>
      <c r="DG33" s="15"/>
      <c r="DH33" s="15"/>
      <c r="DI33" s="15"/>
      <c r="DJ33" s="15"/>
      <c r="DK33" s="15"/>
      <c r="DL33" s="15"/>
      <c r="DM33" s="15"/>
      <c r="DN33" s="15"/>
      <c r="DO33" s="15"/>
      <c r="DP33" s="15"/>
      <c r="DQ33" s="15"/>
      <c r="DR33" s="15"/>
      <c r="DS33" s="15"/>
      <c r="DT33" s="15"/>
      <c r="DU33" s="15"/>
      <c r="DV33" s="15"/>
      <c r="DW33" s="15"/>
      <c r="DX33" s="15"/>
      <c r="DY33" s="15"/>
      <c r="DZ33" s="15"/>
      <c r="EA33" s="15"/>
      <c r="EB33" s="15"/>
      <c r="EC33" s="15"/>
      <c r="ED33" s="15"/>
      <c r="EE33" s="15"/>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c r="FR33" s="15"/>
      <c r="FS33" s="15"/>
      <c r="FT33" s="15"/>
      <c r="FU33" s="15"/>
      <c r="FV33" s="15"/>
      <c r="FW33" s="15"/>
      <c r="FX33" s="15"/>
      <c r="FY33" s="15"/>
      <c r="FZ33" s="15"/>
      <c r="GA33" s="15"/>
      <c r="GB33" s="15"/>
      <c r="GC33" s="15"/>
      <c r="GD33" s="15"/>
      <c r="GE33" s="15"/>
      <c r="GF33" s="15"/>
      <c r="GG33" s="15"/>
      <c r="GH33" s="15"/>
      <c r="GI33" s="15"/>
      <c r="GJ33" s="15"/>
      <c r="GK33" s="15"/>
      <c r="GL33" s="15"/>
      <c r="GM33" s="15"/>
      <c r="GN33" s="15"/>
      <c r="GO33" s="15"/>
      <c r="GP33" s="15"/>
      <c r="GQ33" s="15"/>
      <c r="GR33" s="15"/>
      <c r="GS33" s="15"/>
      <c r="GT33" s="15"/>
      <c r="GU33" s="15"/>
      <c r="GV33" s="15"/>
      <c r="GW33" s="15"/>
      <c r="GX33" s="15"/>
      <c r="GY33" s="15"/>
      <c r="GZ33" s="15"/>
      <c r="HA33" s="15"/>
      <c r="HB33" s="15"/>
      <c r="HC33" s="15"/>
      <c r="HD33" s="15"/>
      <c r="HE33" s="15"/>
      <c r="HF33" s="15"/>
      <c r="HG33" s="15"/>
      <c r="HH33" s="15"/>
      <c r="HI33" s="15"/>
      <c r="HJ33" s="15"/>
      <c r="HK33" s="15"/>
      <c r="HL33" s="15"/>
      <c r="HM33" s="15"/>
      <c r="HN33" s="15"/>
      <c r="HO33" s="15"/>
      <c r="HP33" s="15"/>
      <c r="HQ33" s="15"/>
      <c r="HR33" s="15"/>
      <c r="HS33" s="15"/>
      <c r="HT33" s="15"/>
      <c r="HU33" s="15"/>
      <c r="HV33" s="15"/>
      <c r="HW33" s="15"/>
      <c r="HX33" s="15"/>
      <c r="HY33" s="15"/>
      <c r="HZ33" s="15"/>
      <c r="IA33" s="15"/>
      <c r="IB33" s="15"/>
      <c r="IC33" s="15"/>
      <c r="ID33" s="15"/>
      <c r="IE33" s="15"/>
      <c r="IF33" s="15"/>
      <c r="IG33" s="15"/>
      <c r="IH33" s="15"/>
      <c r="II33" s="15"/>
      <c r="IJ33" s="15"/>
      <c r="IK33" s="15"/>
      <c r="IL33" s="15"/>
      <c r="IM33" s="15"/>
      <c r="IN33" s="15"/>
      <c r="IO33" s="15"/>
      <c r="IP33" s="15"/>
      <c r="IQ33" s="15"/>
      <c r="IR33" s="15"/>
      <c r="IS33" s="15"/>
      <c r="IT33" s="15"/>
      <c r="IU33" s="15"/>
      <c r="IV33" s="15"/>
      <c r="IW33" s="15"/>
      <c r="IX33" s="15"/>
      <c r="IY33" s="15"/>
      <c r="IZ33" s="15"/>
      <c r="JA33" s="15"/>
      <c r="JB33" s="15"/>
      <c r="JC33" s="15"/>
      <c r="JD33" s="15"/>
      <c r="JE33" s="15"/>
      <c r="JF33" s="15"/>
      <c r="JG33" s="15"/>
      <c r="JH33" s="15"/>
      <c r="JI33" s="15"/>
      <c r="JJ33" s="15"/>
      <c r="JK33" s="15"/>
      <c r="JL33" s="15"/>
      <c r="JM33" s="15"/>
      <c r="JN33" s="15"/>
      <c r="JO33" s="15"/>
      <c r="JP33" s="15"/>
      <c r="JQ33" s="15"/>
      <c r="JR33" s="15"/>
      <c r="JS33" s="15"/>
      <c r="JT33" s="15"/>
      <c r="JU33" s="15"/>
      <c r="JV33" s="15"/>
      <c r="JW33" s="15"/>
      <c r="JX33" s="15"/>
      <c r="JY33" s="15"/>
      <c r="JZ33" s="15"/>
      <c r="KA33" s="15"/>
      <c r="KB33" s="15"/>
      <c r="KC33" s="15"/>
      <c r="KD33" s="15"/>
      <c r="KE33" s="15"/>
      <c r="KF33" s="15"/>
      <c r="KG33" s="15"/>
      <c r="KH33" s="15"/>
      <c r="KI33" s="15"/>
      <c r="KJ33" s="15"/>
      <c r="KK33" s="15"/>
      <c r="KL33" s="15"/>
      <c r="KM33" s="15"/>
      <c r="KN33" s="15"/>
      <c r="KO33" s="15"/>
      <c r="KP33" s="15"/>
      <c r="KQ33" s="15"/>
      <c r="KR33" s="15"/>
      <c r="KS33" s="15"/>
      <c r="KT33" s="15"/>
      <c r="KU33" s="15"/>
      <c r="KV33" s="15"/>
      <c r="KW33" s="15"/>
      <c r="KX33" s="15"/>
      <c r="KY33" s="15"/>
      <c r="KZ33" s="15"/>
      <c r="LA33" s="15"/>
      <c r="LB33" s="15"/>
      <c r="LC33" s="15"/>
      <c r="LD33" s="15"/>
      <c r="LE33" s="15"/>
      <c r="LF33" s="15"/>
      <c r="LG33" s="15"/>
      <c r="LH33" s="15"/>
      <c r="LI33" s="15"/>
      <c r="LJ33" s="15"/>
      <c r="LK33" s="15"/>
      <c r="LL33" s="15"/>
      <c r="LM33" s="15"/>
      <c r="LN33" s="15"/>
      <c r="LO33" s="15"/>
      <c r="LP33" s="15"/>
      <c r="LQ33" s="15"/>
      <c r="LR33" s="15"/>
      <c r="LS33" s="15"/>
      <c r="LT33" s="15"/>
      <c r="LU33" s="15"/>
      <c r="LV33" s="15"/>
      <c r="LW33" s="15"/>
      <c r="LX33" s="15"/>
      <c r="LY33" s="15"/>
      <c r="LZ33" s="15"/>
      <c r="MA33" s="15"/>
      <c r="MB33" s="15"/>
      <c r="MC33" s="15"/>
      <c r="MD33" s="15"/>
      <c r="ME33" s="15"/>
      <c r="MF33" s="15"/>
      <c r="MG33" s="15"/>
      <c r="MH33" s="15"/>
      <c r="MI33" s="15"/>
      <c r="MJ33" s="15"/>
      <c r="MK33" s="15"/>
      <c r="ML33" s="15"/>
      <c r="MM33" s="15"/>
      <c r="MN33" s="15"/>
      <c r="MO33" s="15"/>
      <c r="MP33" s="15"/>
      <c r="MQ33" s="15"/>
      <c r="MR33" s="15"/>
      <c r="MS33" s="15"/>
      <c r="MT33" s="15"/>
      <c r="MU33" s="15"/>
      <c r="MV33" s="15"/>
      <c r="MW33" s="15"/>
      <c r="MX33" s="15"/>
      <c r="MY33" s="15"/>
      <c r="MZ33" s="15"/>
      <c r="NA33" s="15"/>
      <c r="NB33" s="15"/>
      <c r="NC33" s="15"/>
      <c r="ND33" s="15"/>
      <c r="NE33" s="15"/>
      <c r="NF33" s="15"/>
      <c r="NG33" s="15"/>
      <c r="NH33" s="15"/>
      <c r="NI33" s="15"/>
      <c r="NJ33" s="15"/>
      <c r="NK33" s="15"/>
      <c r="NL33" s="15"/>
      <c r="NM33" s="15"/>
      <c r="NN33" s="15"/>
      <c r="NO33" s="15"/>
      <c r="NP33" s="15"/>
      <c r="NQ33" s="15"/>
      <c r="NR33" s="15"/>
      <c r="NS33" s="15"/>
      <c r="NT33" s="15"/>
      <c r="NU33" s="15"/>
      <c r="NV33" s="15"/>
      <c r="NW33" s="15"/>
      <c r="NX33" s="15"/>
      <c r="NY33" s="15"/>
      <c r="NZ33" s="15"/>
      <c r="OA33" s="15"/>
      <c r="OB33" s="15"/>
      <c r="OC33" s="15"/>
      <c r="OD33" s="15"/>
      <c r="OE33" s="15"/>
      <c r="OF33" s="15"/>
      <c r="OG33" s="15"/>
      <c r="OH33" s="15"/>
      <c r="OI33" s="15"/>
      <c r="OJ33" s="15"/>
      <c r="OK33" s="15"/>
      <c r="OL33" s="15"/>
      <c r="OM33" s="15"/>
      <c r="ON33" s="15"/>
      <c r="OO33" s="15"/>
      <c r="OP33" s="15"/>
      <c r="OQ33" s="15"/>
      <c r="OR33" s="15"/>
      <c r="OS33" s="15"/>
      <c r="OT33" s="15"/>
      <c r="OU33" s="15"/>
      <c r="OV33" s="15"/>
      <c r="OW33" s="15"/>
      <c r="OX33" s="15"/>
      <c r="OY33" s="15"/>
      <c r="OZ33" s="15"/>
      <c r="PA33" s="15"/>
      <c r="PB33" s="15"/>
      <c r="PC33" s="15"/>
      <c r="PD33" s="15"/>
      <c r="PE33" s="15"/>
      <c r="PF33" s="15"/>
      <c r="PG33" s="15"/>
      <c r="PH33" s="15"/>
      <c r="PI33" s="15"/>
      <c r="PJ33" s="15"/>
      <c r="PK33" s="15"/>
      <c r="PL33" s="15"/>
      <c r="PM33" s="15"/>
      <c r="PN33" s="15"/>
      <c r="PO33" s="15"/>
      <c r="PP33" s="15"/>
      <c r="PQ33" s="15"/>
      <c r="PR33" s="15"/>
      <c r="PS33" s="15"/>
      <c r="PT33" s="15"/>
      <c r="PU33" s="15"/>
      <c r="PV33" s="15"/>
      <c r="PW33" s="15"/>
      <c r="PX33" s="15"/>
      <c r="PY33" s="15"/>
      <c r="PZ33" s="15"/>
      <c r="QA33" s="15"/>
      <c r="QB33" s="15"/>
      <c r="QC33" s="15"/>
      <c r="QD33" s="15"/>
      <c r="QE33" s="15"/>
      <c r="QF33" s="15"/>
      <c r="QG33" s="15"/>
      <c r="QH33" s="15"/>
      <c r="QI33" s="15"/>
      <c r="QJ33" s="15"/>
      <c r="QK33" s="15"/>
      <c r="QL33" s="15"/>
      <c r="QM33" s="15"/>
      <c r="QN33" s="15"/>
      <c r="QO33" s="15"/>
      <c r="QP33" s="15"/>
      <c r="QQ33" s="15"/>
      <c r="QR33" s="15"/>
      <c r="QS33" s="15"/>
      <c r="QT33" s="15"/>
      <c r="QU33" s="15"/>
      <c r="QV33" s="15"/>
      <c r="QW33" s="15"/>
      <c r="QX33" s="15"/>
      <c r="QY33" s="15"/>
      <c r="QZ33" s="15"/>
      <c r="RA33" s="15"/>
      <c r="RB33" s="15"/>
      <c r="RC33" s="15"/>
      <c r="RD33" s="15"/>
      <c r="RE33" s="15"/>
      <c r="RF33" s="15"/>
      <c r="RG33" s="15"/>
      <c r="RH33" s="15"/>
      <c r="RI33" s="15"/>
      <c r="RJ33" s="15"/>
      <c r="RK33" s="15"/>
      <c r="RL33" s="15"/>
      <c r="RM33" s="15"/>
      <c r="RN33" s="15"/>
      <c r="RO33" s="15"/>
      <c r="RP33" s="15"/>
      <c r="RQ33" s="15"/>
      <c r="RR33" s="15"/>
      <c r="RS33" s="15"/>
      <c r="RT33" s="15"/>
      <c r="RU33" s="15"/>
      <c r="RV33" s="15"/>
      <c r="RW33" s="15"/>
      <c r="RX33" s="15"/>
      <c r="RY33" s="15"/>
      <c r="RZ33" s="15"/>
      <c r="SA33" s="15"/>
      <c r="SB33" s="15"/>
      <c r="SC33" s="15"/>
      <c r="SD33" s="15"/>
      <c r="SE33" s="15"/>
      <c r="SF33" s="15"/>
      <c r="SG33" s="15"/>
      <c r="SH33" s="15"/>
      <c r="SI33" s="15"/>
      <c r="SJ33" s="15"/>
      <c r="SK33" s="15"/>
      <c r="SL33" s="15"/>
      <c r="SM33" s="15"/>
      <c r="SN33" s="15"/>
      <c r="SO33" s="15"/>
      <c r="SP33" s="15"/>
      <c r="SQ33" s="15"/>
      <c r="SR33" s="15"/>
      <c r="SS33" s="15"/>
      <c r="ST33" s="15"/>
      <c r="SU33" s="15"/>
      <c r="SV33" s="15"/>
      <c r="SW33" s="15"/>
      <c r="SX33" s="15"/>
      <c r="SY33" s="15"/>
      <c r="SZ33" s="15"/>
      <c r="TA33" s="15"/>
      <c r="TB33" s="15"/>
      <c r="TC33" s="15"/>
      <c r="TD33" s="15"/>
      <c r="TE33" s="15"/>
      <c r="TF33" s="15"/>
      <c r="TG33" s="15"/>
      <c r="TH33" s="15"/>
      <c r="TI33" s="15"/>
      <c r="TJ33" s="15"/>
      <c r="TK33" s="15"/>
      <c r="TL33" s="15"/>
      <c r="TM33" s="15"/>
      <c r="TN33" s="15"/>
      <c r="TO33" s="15"/>
      <c r="TP33" s="15"/>
      <c r="TQ33" s="15"/>
      <c r="TR33" s="15"/>
      <c r="TS33" s="15"/>
      <c r="TT33" s="15"/>
      <c r="TU33" s="15"/>
      <c r="TV33" s="15"/>
      <c r="TW33" s="15"/>
      <c r="TX33" s="15"/>
      <c r="TY33" s="15"/>
      <c r="TZ33" s="15"/>
      <c r="UA33" s="15"/>
      <c r="UB33" s="15"/>
      <c r="UC33" s="15"/>
      <c r="UD33" s="15"/>
      <c r="UE33" s="15"/>
      <c r="UF33" s="15"/>
      <c r="UG33" s="15"/>
      <c r="UH33" s="15"/>
      <c r="UI33" s="15"/>
      <c r="UJ33" s="15"/>
      <c r="UK33" s="15"/>
      <c r="UL33" s="15"/>
      <c r="UM33" s="15"/>
      <c r="UN33" s="15"/>
      <c r="UO33" s="15"/>
      <c r="UP33" s="15"/>
      <c r="UQ33" s="15"/>
      <c r="UR33" s="15"/>
      <c r="US33" s="15"/>
      <c r="UT33" s="15"/>
      <c r="UU33" s="15"/>
      <c r="UV33" s="15"/>
      <c r="UW33" s="15"/>
      <c r="UX33" s="15"/>
      <c r="UY33" s="15"/>
      <c r="UZ33" s="15"/>
      <c r="VA33" s="15"/>
      <c r="VB33" s="15"/>
      <c r="VC33" s="15"/>
      <c r="VD33" s="15"/>
      <c r="VE33" s="15"/>
      <c r="VF33" s="15"/>
      <c r="VG33" s="15"/>
      <c r="VH33" s="15"/>
      <c r="VI33" s="15"/>
      <c r="VJ33" s="15"/>
      <c r="VK33" s="15"/>
      <c r="VL33" s="15"/>
      <c r="VM33" s="15"/>
      <c r="VN33" s="15"/>
      <c r="VO33" s="15"/>
      <c r="VP33" s="15"/>
      <c r="VQ33" s="15"/>
      <c r="VR33" s="15"/>
      <c r="VS33" s="15"/>
      <c r="VT33" s="15"/>
      <c r="VU33" s="15"/>
      <c r="VV33" s="15"/>
      <c r="VW33" s="15"/>
      <c r="VX33" s="15"/>
      <c r="VY33" s="15"/>
      <c r="VZ33" s="15"/>
      <c r="WA33" s="15"/>
      <c r="WB33" s="15"/>
      <c r="WC33" s="15"/>
      <c r="WD33" s="15"/>
      <c r="WE33" s="15"/>
      <c r="WF33" s="15"/>
      <c r="WG33" s="15"/>
      <c r="WH33" s="15"/>
      <c r="WI33" s="15"/>
      <c r="WJ33" s="15"/>
      <c r="WK33" s="15"/>
      <c r="WL33" s="15"/>
      <c r="WM33" s="15"/>
      <c r="WN33" s="15"/>
      <c r="WO33" s="15"/>
      <c r="WP33" s="15"/>
      <c r="WQ33" s="15"/>
      <c r="WR33" s="15"/>
      <c r="WS33" s="15"/>
      <c r="WT33" s="15"/>
      <c r="WU33" s="15"/>
      <c r="WV33" s="15"/>
      <c r="WW33" s="15"/>
      <c r="WX33" s="15"/>
      <c r="WY33" s="15"/>
      <c r="WZ33" s="15"/>
      <c r="XA33" s="15"/>
      <c r="XB33" s="15"/>
      <c r="XC33" s="15"/>
      <c r="XD33" s="15"/>
      <c r="XE33" s="15"/>
      <c r="XF33" s="15"/>
      <c r="XG33" s="15"/>
      <c r="XH33" s="15"/>
      <c r="XI33" s="15"/>
      <c r="XJ33" s="15"/>
      <c r="XK33" s="15"/>
      <c r="XL33" s="15"/>
      <c r="XM33" s="15"/>
      <c r="XN33" s="15"/>
      <c r="XO33" s="15"/>
      <c r="XP33" s="15"/>
      <c r="XQ33" s="15"/>
      <c r="XR33" s="15"/>
      <c r="XS33" s="15"/>
      <c r="XT33" s="15"/>
      <c r="XU33" s="15"/>
      <c r="XV33" s="15"/>
      <c r="XW33" s="15"/>
      <c r="XX33" s="15"/>
      <c r="XY33" s="15"/>
      <c r="XZ33" s="15"/>
      <c r="YA33" s="15"/>
      <c r="YB33" s="15"/>
      <c r="YC33" s="15"/>
      <c r="YD33" s="15"/>
      <c r="YE33" s="15"/>
      <c r="YF33" s="15"/>
      <c r="YG33" s="15"/>
      <c r="YH33" s="15"/>
      <c r="YI33" s="15"/>
      <c r="YJ33" s="15"/>
      <c r="YK33" s="15"/>
      <c r="YL33" s="15"/>
      <c r="YM33" s="15"/>
      <c r="YN33" s="15"/>
      <c r="YO33" s="15"/>
      <c r="YP33" s="15"/>
      <c r="YQ33" s="15"/>
      <c r="YR33" s="15"/>
      <c r="YS33" s="15"/>
      <c r="YT33" s="15"/>
      <c r="YU33" s="15"/>
      <c r="YV33" s="15"/>
      <c r="YW33" s="15"/>
      <c r="YX33" s="15"/>
      <c r="YY33" s="15"/>
      <c r="YZ33" s="15"/>
      <c r="ZA33" s="15"/>
      <c r="ZB33" s="15"/>
      <c r="ZC33" s="15"/>
      <c r="ZD33" s="15"/>
      <c r="ZE33" s="15"/>
      <c r="ZF33" s="15"/>
      <c r="ZG33" s="15"/>
      <c r="ZH33" s="15"/>
      <c r="ZI33" s="15"/>
      <c r="ZJ33" s="15"/>
      <c r="ZK33" s="15"/>
      <c r="ZL33" s="15"/>
      <c r="ZM33" s="15"/>
      <c r="ZN33" s="15"/>
      <c r="ZO33" s="15"/>
      <c r="ZP33" s="15"/>
      <c r="ZQ33" s="15"/>
      <c r="ZR33" s="15"/>
      <c r="ZS33" s="15"/>
      <c r="ZT33" s="15"/>
      <c r="ZU33" s="15"/>
      <c r="ZV33" s="15"/>
      <c r="ZW33" s="15"/>
      <c r="ZX33" s="15"/>
      <c r="ZY33" s="15"/>
      <c r="ZZ33" s="15"/>
      <c r="AAA33" s="15"/>
      <c r="AAB33" s="15"/>
      <c r="AAC33" s="15"/>
      <c r="AAD33" s="15"/>
      <c r="AAE33" s="15"/>
      <c r="AAF33" s="15"/>
      <c r="AAG33" s="15"/>
      <c r="AAH33" s="15"/>
      <c r="AAI33" s="15"/>
      <c r="AAJ33" s="15"/>
      <c r="AAK33" s="15"/>
      <c r="AAL33" s="15"/>
      <c r="AAM33" s="15"/>
      <c r="AAN33" s="15"/>
      <c r="AAO33" s="15"/>
      <c r="AAP33" s="15"/>
      <c r="AAQ33" s="15"/>
      <c r="AAR33" s="15"/>
      <c r="AAS33" s="15"/>
      <c r="AAT33" s="15"/>
      <c r="AAU33" s="15"/>
      <c r="AAV33" s="15"/>
      <c r="AAW33" s="15"/>
      <c r="AAX33" s="15"/>
      <c r="AAY33" s="15"/>
      <c r="AAZ33" s="15"/>
      <c r="ABA33" s="15"/>
      <c r="ABB33" s="15"/>
      <c r="ABC33" s="15"/>
      <c r="ABD33" s="15"/>
      <c r="ABE33" s="15"/>
      <c r="ABF33" s="15"/>
      <c r="ABG33" s="15"/>
      <c r="ABH33" s="15"/>
      <c r="ABI33" s="15"/>
      <c r="ABJ33" s="15"/>
      <c r="ABK33" s="15"/>
      <c r="ABL33" s="15"/>
      <c r="ABM33" s="15"/>
      <c r="ABN33" s="15"/>
      <c r="ABO33" s="15"/>
      <c r="ABP33" s="15"/>
      <c r="ABQ33" s="15"/>
      <c r="ABR33" s="15"/>
      <c r="ABS33" s="15"/>
      <c r="ABT33" s="15"/>
      <c r="ABU33" s="15"/>
      <c r="ABV33" s="15"/>
      <c r="ABW33" s="15"/>
      <c r="ABX33" s="15"/>
      <c r="ABY33" s="15"/>
      <c r="ABZ33" s="15"/>
      <c r="ACA33" s="15"/>
      <c r="ACB33" s="15"/>
      <c r="ACC33" s="15"/>
      <c r="ACD33" s="15"/>
      <c r="ACE33" s="15"/>
      <c r="ACF33" s="15"/>
      <c r="ACG33" s="15"/>
      <c r="ACH33" s="15"/>
      <c r="ACI33" s="15"/>
      <c r="ACJ33" s="15"/>
      <c r="ACK33" s="15"/>
      <c r="ACL33" s="15"/>
      <c r="ACM33" s="15"/>
      <c r="ACN33" s="15"/>
      <c r="ACO33" s="15"/>
      <c r="ACP33" s="15"/>
      <c r="ACQ33" s="15"/>
      <c r="ACR33" s="15"/>
      <c r="ACS33" s="15"/>
      <c r="ACT33" s="15"/>
      <c r="ACU33" s="15"/>
      <c r="ACV33" s="15"/>
      <c r="ACW33" s="15"/>
      <c r="ACX33" s="15"/>
      <c r="ACY33" s="15"/>
      <c r="ACZ33" s="15"/>
      <c r="ADA33" s="15"/>
      <c r="ADB33" s="15"/>
      <c r="ADC33" s="15"/>
      <c r="ADD33" s="15"/>
      <c r="ADE33" s="15"/>
      <c r="ADF33" s="15"/>
      <c r="ADG33" s="15"/>
      <c r="ADH33" s="15"/>
      <c r="ADI33" s="15"/>
      <c r="ADJ33" s="15"/>
      <c r="ADK33" s="15"/>
      <c r="ADL33" s="15"/>
      <c r="ADM33" s="15"/>
      <c r="ADN33" s="15"/>
      <c r="ADO33" s="15"/>
      <c r="ADP33" s="15"/>
      <c r="ADQ33" s="15"/>
      <c r="ADR33" s="15"/>
      <c r="ADS33" s="15"/>
      <c r="ADT33" s="15"/>
      <c r="ADU33" s="15"/>
      <c r="ADV33" s="15"/>
      <c r="ADW33" s="15"/>
      <c r="ADX33" s="15"/>
      <c r="ADY33" s="15"/>
      <c r="ADZ33" s="15"/>
      <c r="AEA33" s="15"/>
      <c r="AEB33" s="15"/>
      <c r="AEC33" s="15"/>
      <c r="AED33" s="15"/>
      <c r="AEE33" s="15"/>
      <c r="AEF33" s="15"/>
      <c r="AEG33" s="15"/>
      <c r="AEH33" s="15"/>
      <c r="AEI33" s="15"/>
      <c r="AEJ33" s="15"/>
      <c r="AEK33" s="15"/>
      <c r="AEL33" s="15"/>
      <c r="AEM33" s="15"/>
      <c r="AEN33" s="15"/>
      <c r="AEO33" s="15"/>
      <c r="AEP33" s="15"/>
      <c r="AEQ33" s="15"/>
      <c r="AER33" s="15"/>
      <c r="AES33" s="15"/>
      <c r="AET33" s="15"/>
      <c r="AEU33" s="15"/>
      <c r="AEV33" s="15"/>
      <c r="AEW33" s="15"/>
      <c r="AEX33" s="15"/>
      <c r="AEY33" s="15"/>
      <c r="AEZ33" s="15"/>
      <c r="AFA33" s="15"/>
      <c r="AFB33" s="15"/>
      <c r="AFC33" s="15"/>
      <c r="AFD33" s="15"/>
      <c r="AFE33" s="15"/>
      <c r="AFF33" s="15"/>
      <c r="AFG33" s="15"/>
      <c r="AFH33" s="15"/>
      <c r="AFI33" s="15"/>
      <c r="AFJ33" s="15"/>
      <c r="AFK33" s="15"/>
      <c r="AFL33" s="15"/>
      <c r="AFM33" s="15"/>
      <c r="AFN33" s="15"/>
      <c r="AFO33" s="15"/>
      <c r="AFP33" s="15"/>
      <c r="AFQ33" s="15"/>
      <c r="AFR33" s="15"/>
      <c r="AFS33" s="15"/>
      <c r="AFT33" s="15"/>
      <c r="AFU33" s="15"/>
      <c r="AFV33" s="15"/>
      <c r="AFW33" s="15"/>
      <c r="AFX33" s="15"/>
      <c r="AFY33" s="15"/>
      <c r="AFZ33" s="15"/>
      <c r="AGA33" s="15"/>
      <c r="AGB33" s="15"/>
      <c r="AGC33" s="15"/>
      <c r="AGD33" s="15"/>
      <c r="AGE33" s="15"/>
      <c r="AGF33" s="15"/>
      <c r="AGG33" s="15"/>
      <c r="AGH33" s="15"/>
      <c r="AGI33" s="15"/>
      <c r="AGJ33" s="15"/>
      <c r="AGK33" s="15"/>
      <c r="AGL33" s="15"/>
      <c r="AGM33" s="15"/>
      <c r="AGN33" s="15"/>
      <c r="AGO33" s="15"/>
      <c r="AGP33" s="15"/>
      <c r="AGQ33" s="15"/>
      <c r="AGR33" s="15"/>
      <c r="AGS33" s="15"/>
      <c r="AGT33" s="15"/>
      <c r="AGU33" s="15"/>
      <c r="AGV33" s="15"/>
      <c r="AGW33" s="15"/>
      <c r="AGX33" s="15"/>
      <c r="AGY33" s="15"/>
      <c r="AGZ33" s="15"/>
      <c r="AHA33" s="15"/>
      <c r="AHB33" s="15"/>
      <c r="AHC33" s="15"/>
      <c r="AHD33" s="15"/>
      <c r="AHE33" s="15"/>
      <c r="AHF33" s="15"/>
      <c r="AHG33" s="15"/>
      <c r="AHH33" s="15"/>
      <c r="AHI33" s="15"/>
      <c r="AHJ33" s="15"/>
      <c r="AHK33" s="15"/>
      <c r="AHL33" s="15"/>
      <c r="AHM33" s="15"/>
      <c r="AHN33" s="15"/>
      <c r="AHO33" s="15"/>
      <c r="AHP33" s="15"/>
      <c r="AHQ33" s="15"/>
      <c r="AHR33" s="15"/>
      <c r="AHS33" s="15"/>
      <c r="AHT33" s="15"/>
      <c r="AHU33" s="15"/>
      <c r="AHV33" s="15"/>
      <c r="AHW33" s="15"/>
      <c r="AHX33" s="15"/>
      <c r="AHY33" s="15"/>
      <c r="AHZ33" s="15"/>
      <c r="AIA33" s="15"/>
      <c r="AIB33" s="15"/>
      <c r="AIC33" s="15"/>
      <c r="AID33" s="15"/>
      <c r="AIE33" s="15"/>
      <c r="AIF33" s="15"/>
      <c r="AIG33" s="15"/>
      <c r="AIH33" s="15"/>
      <c r="AII33" s="15"/>
      <c r="AIJ33" s="15"/>
      <c r="AIK33" s="15"/>
      <c r="AIL33" s="15"/>
      <c r="AIM33" s="15"/>
      <c r="AIN33" s="15"/>
      <c r="AIO33" s="15"/>
      <c r="AIP33" s="15"/>
      <c r="AIQ33" s="15"/>
      <c r="AIR33" s="15"/>
      <c r="AIS33" s="15"/>
      <c r="AIT33" s="15"/>
      <c r="AIU33" s="15"/>
      <c r="AIV33" s="15"/>
      <c r="AIW33" s="15"/>
      <c r="AIX33" s="15"/>
      <c r="AIY33" s="15"/>
      <c r="AIZ33" s="15"/>
      <c r="AJA33" s="15"/>
      <c r="AJB33" s="15"/>
      <c r="AJC33" s="15"/>
      <c r="AJD33" s="15"/>
      <c r="AJE33" s="15"/>
      <c r="AJF33" s="15"/>
      <c r="AJG33" s="15"/>
      <c r="AJH33" s="15"/>
      <c r="AJI33" s="15"/>
      <c r="AJJ33" s="15"/>
      <c r="AJK33" s="15"/>
      <c r="AJL33" s="15"/>
      <c r="AJM33" s="15"/>
      <c r="AJN33" s="15"/>
      <c r="AJO33" s="15"/>
      <c r="AJP33" s="15"/>
      <c r="AJQ33" s="15"/>
      <c r="AJR33" s="15"/>
      <c r="AJS33" s="15"/>
      <c r="AJT33" s="15"/>
      <c r="AJU33" s="15"/>
      <c r="AJV33" s="15"/>
      <c r="AJW33" s="15"/>
      <c r="AJX33" s="15"/>
      <c r="AJY33" s="15"/>
      <c r="AJZ33" s="15"/>
      <c r="AKA33" s="15"/>
      <c r="AKB33" s="15"/>
      <c r="AKC33" s="15"/>
      <c r="AKD33" s="15"/>
      <c r="AKE33" s="15"/>
      <c r="AKF33" s="15"/>
      <c r="AKG33" s="15"/>
      <c r="AKH33" s="15"/>
      <c r="AKI33" s="15"/>
      <c r="AKJ33" s="15"/>
      <c r="AKK33" s="15"/>
      <c r="AKL33" s="15"/>
      <c r="AKM33" s="15"/>
      <c r="AKN33" s="15"/>
      <c r="AKO33" s="15"/>
      <c r="AKP33" s="15"/>
      <c r="AKQ33" s="15"/>
      <c r="AKR33" s="15"/>
      <c r="AKS33" s="15"/>
      <c r="AKT33" s="15"/>
      <c r="AKU33" s="15"/>
      <c r="AKV33" s="15"/>
      <c r="AKW33" s="15"/>
      <c r="AKX33" s="15"/>
      <c r="AKY33" s="15"/>
      <c r="AKZ33" s="15"/>
      <c r="ALA33" s="15"/>
      <c r="ALB33" s="15"/>
      <c r="ALC33" s="15"/>
      <c r="ALD33" s="15"/>
      <c r="ALE33" s="15"/>
      <c r="ALF33" s="15"/>
      <c r="ALG33" s="15"/>
      <c r="ALH33" s="15"/>
      <c r="ALI33" s="15"/>
      <c r="ALJ33" s="15"/>
      <c r="ALK33" s="15"/>
      <c r="ALL33" s="15"/>
      <c r="ALM33" s="15"/>
      <c r="ALN33" s="15"/>
      <c r="ALO33" s="15"/>
      <c r="ALP33" s="15"/>
      <c r="ALQ33" s="15"/>
      <c r="ALR33" s="15"/>
      <c r="ALS33" s="15"/>
      <c r="ALT33" s="15"/>
      <c r="ALU33" s="15"/>
      <c r="ALV33" s="15"/>
      <c r="ALW33" s="15"/>
      <c r="ALX33" s="15"/>
      <c r="ALY33" s="15"/>
      <c r="ALZ33" s="15"/>
      <c r="AMA33" s="15"/>
      <c r="AMB33" s="15"/>
      <c r="AMC33" s="15"/>
      <c r="AMD33" s="15"/>
      <c r="AME33" s="15"/>
      <c r="AMF33" s="15"/>
      <c r="AMG33" s="14"/>
      <c r="AMH33" s="14"/>
      <c r="AMI33" s="14"/>
      <c r="AMJ33" s="14"/>
    </row>
    <row r="34" spans="1:1024" s="13" customFormat="1" ht="72.5" hidden="1" x14ac:dyDescent="0.35">
      <c r="A34" s="83">
        <v>43649</v>
      </c>
      <c r="B34" s="29" t="s">
        <v>423</v>
      </c>
      <c r="C34" s="29" t="s">
        <v>422</v>
      </c>
      <c r="D34" s="30">
        <v>43653</v>
      </c>
      <c r="E34" s="29" t="s">
        <v>421</v>
      </c>
      <c r="F34" s="31">
        <v>0.40625</v>
      </c>
      <c r="G34" s="31">
        <v>0.41666666666666702</v>
      </c>
      <c r="H34" s="31">
        <v>0.4375</v>
      </c>
      <c r="I34" s="100">
        <v>300</v>
      </c>
      <c r="J34" s="42" t="s">
        <v>420</v>
      </c>
      <c r="K34" s="17" t="s">
        <v>119</v>
      </c>
      <c r="L34" s="16" t="s">
        <v>216</v>
      </c>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15"/>
      <c r="CR34" s="15"/>
      <c r="CS34" s="15"/>
      <c r="CT34" s="15"/>
      <c r="CU34" s="15"/>
      <c r="CV34" s="15"/>
      <c r="CW34" s="15"/>
      <c r="CX34" s="15"/>
      <c r="CY34" s="15"/>
      <c r="CZ34" s="15"/>
      <c r="DA34" s="15"/>
      <c r="DB34" s="15"/>
      <c r="DC34" s="15"/>
      <c r="DD34" s="15"/>
      <c r="DE34" s="15"/>
      <c r="DF34" s="15"/>
      <c r="DG34" s="15"/>
      <c r="DH34" s="15"/>
      <c r="DI34" s="15"/>
      <c r="DJ34" s="15"/>
      <c r="DK34" s="15"/>
      <c r="DL34" s="15"/>
      <c r="DM34" s="15"/>
      <c r="DN34" s="15"/>
      <c r="DO34" s="15"/>
      <c r="DP34" s="15"/>
      <c r="DQ34" s="15"/>
      <c r="DR34" s="15"/>
      <c r="DS34" s="15"/>
      <c r="DT34" s="15"/>
      <c r="DU34" s="15"/>
      <c r="DV34" s="15"/>
      <c r="DW34" s="15"/>
      <c r="DX34" s="15"/>
      <c r="DY34" s="15"/>
      <c r="DZ34" s="15"/>
      <c r="EA34" s="15"/>
      <c r="EB34" s="15"/>
      <c r="EC34" s="15"/>
      <c r="ED34" s="15"/>
      <c r="EE34" s="15"/>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c r="FR34" s="15"/>
      <c r="FS34" s="15"/>
      <c r="FT34" s="15"/>
      <c r="FU34" s="15"/>
      <c r="FV34" s="15"/>
      <c r="FW34" s="15"/>
      <c r="FX34" s="15"/>
      <c r="FY34" s="15"/>
      <c r="FZ34" s="15"/>
      <c r="GA34" s="15"/>
      <c r="GB34" s="15"/>
      <c r="GC34" s="15"/>
      <c r="GD34" s="15"/>
      <c r="GE34" s="15"/>
      <c r="GF34" s="15"/>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c r="ID34" s="15"/>
      <c r="IE34" s="15"/>
      <c r="IF34" s="15"/>
      <c r="IG34" s="15"/>
      <c r="IH34" s="15"/>
      <c r="II34" s="15"/>
      <c r="IJ34" s="15"/>
      <c r="IK34" s="15"/>
      <c r="IL34" s="15"/>
      <c r="IM34" s="15"/>
      <c r="IN34" s="15"/>
      <c r="IO34" s="15"/>
      <c r="IP34" s="15"/>
      <c r="IQ34" s="15"/>
      <c r="IR34" s="15"/>
      <c r="IS34" s="15"/>
      <c r="IT34" s="15"/>
      <c r="IU34" s="15"/>
      <c r="IV34" s="15"/>
      <c r="IW34" s="15"/>
      <c r="IX34" s="15"/>
      <c r="IY34" s="15"/>
      <c r="IZ34" s="15"/>
      <c r="JA34" s="15"/>
      <c r="JB34" s="15"/>
      <c r="JC34" s="15"/>
      <c r="JD34" s="15"/>
      <c r="JE34" s="15"/>
      <c r="JF34" s="15"/>
      <c r="JG34" s="15"/>
      <c r="JH34" s="15"/>
      <c r="JI34" s="15"/>
      <c r="JJ34" s="15"/>
      <c r="JK34" s="15"/>
      <c r="JL34" s="15"/>
      <c r="JM34" s="15"/>
      <c r="JN34" s="15"/>
      <c r="JO34" s="15"/>
      <c r="JP34" s="15"/>
      <c r="JQ34" s="15"/>
      <c r="JR34" s="15"/>
      <c r="JS34" s="15"/>
      <c r="JT34" s="15"/>
      <c r="JU34" s="15"/>
      <c r="JV34" s="15"/>
      <c r="JW34" s="15"/>
      <c r="JX34" s="15"/>
      <c r="JY34" s="15"/>
      <c r="JZ34" s="15"/>
      <c r="KA34" s="15"/>
      <c r="KB34" s="15"/>
      <c r="KC34" s="15"/>
      <c r="KD34" s="15"/>
      <c r="KE34" s="15"/>
      <c r="KF34" s="15"/>
      <c r="KG34" s="15"/>
      <c r="KH34" s="15"/>
      <c r="KI34" s="15"/>
      <c r="KJ34" s="15"/>
      <c r="KK34" s="15"/>
      <c r="KL34" s="15"/>
      <c r="KM34" s="15"/>
      <c r="KN34" s="15"/>
      <c r="KO34" s="15"/>
      <c r="KP34" s="15"/>
      <c r="KQ34" s="15"/>
      <c r="KR34" s="15"/>
      <c r="KS34" s="15"/>
      <c r="KT34" s="15"/>
      <c r="KU34" s="15"/>
      <c r="KV34" s="15"/>
      <c r="KW34" s="15"/>
      <c r="KX34" s="15"/>
      <c r="KY34" s="15"/>
      <c r="KZ34" s="15"/>
      <c r="LA34" s="15"/>
      <c r="LB34" s="15"/>
      <c r="LC34" s="15"/>
      <c r="LD34" s="15"/>
      <c r="LE34" s="15"/>
      <c r="LF34" s="15"/>
      <c r="LG34" s="15"/>
      <c r="LH34" s="15"/>
      <c r="LI34" s="15"/>
      <c r="LJ34" s="15"/>
      <c r="LK34" s="15"/>
      <c r="LL34" s="15"/>
      <c r="LM34" s="15"/>
      <c r="LN34" s="15"/>
      <c r="LO34" s="15"/>
      <c r="LP34" s="15"/>
      <c r="LQ34" s="15"/>
      <c r="LR34" s="15"/>
      <c r="LS34" s="15"/>
      <c r="LT34" s="15"/>
      <c r="LU34" s="15"/>
      <c r="LV34" s="15"/>
      <c r="LW34" s="15"/>
      <c r="LX34" s="15"/>
      <c r="LY34" s="15"/>
      <c r="LZ34" s="15"/>
      <c r="MA34" s="15"/>
      <c r="MB34" s="15"/>
      <c r="MC34" s="15"/>
      <c r="MD34" s="15"/>
      <c r="ME34" s="15"/>
      <c r="MF34" s="15"/>
      <c r="MG34" s="15"/>
      <c r="MH34" s="15"/>
      <c r="MI34" s="15"/>
      <c r="MJ34" s="15"/>
      <c r="MK34" s="15"/>
      <c r="ML34" s="15"/>
      <c r="MM34" s="15"/>
      <c r="MN34" s="15"/>
      <c r="MO34" s="15"/>
      <c r="MP34" s="15"/>
      <c r="MQ34" s="15"/>
      <c r="MR34" s="15"/>
      <c r="MS34" s="15"/>
      <c r="MT34" s="15"/>
      <c r="MU34" s="15"/>
      <c r="MV34" s="15"/>
      <c r="MW34" s="15"/>
      <c r="MX34" s="15"/>
      <c r="MY34" s="15"/>
      <c r="MZ34" s="15"/>
      <c r="NA34" s="15"/>
      <c r="NB34" s="15"/>
      <c r="NC34" s="15"/>
      <c r="ND34" s="15"/>
      <c r="NE34" s="15"/>
      <c r="NF34" s="15"/>
      <c r="NG34" s="15"/>
      <c r="NH34" s="15"/>
      <c r="NI34" s="15"/>
      <c r="NJ34" s="15"/>
      <c r="NK34" s="15"/>
      <c r="NL34" s="15"/>
      <c r="NM34" s="15"/>
      <c r="NN34" s="15"/>
      <c r="NO34" s="15"/>
      <c r="NP34" s="15"/>
      <c r="NQ34" s="15"/>
      <c r="NR34" s="15"/>
      <c r="NS34" s="15"/>
      <c r="NT34" s="15"/>
      <c r="NU34" s="15"/>
      <c r="NV34" s="15"/>
      <c r="NW34" s="15"/>
      <c r="NX34" s="15"/>
      <c r="NY34" s="15"/>
      <c r="NZ34" s="15"/>
      <c r="OA34" s="15"/>
      <c r="OB34" s="15"/>
      <c r="OC34" s="15"/>
      <c r="OD34" s="15"/>
      <c r="OE34" s="15"/>
      <c r="OF34" s="15"/>
      <c r="OG34" s="15"/>
      <c r="OH34" s="15"/>
      <c r="OI34" s="15"/>
      <c r="OJ34" s="15"/>
      <c r="OK34" s="15"/>
      <c r="OL34" s="15"/>
      <c r="OM34" s="15"/>
      <c r="ON34" s="15"/>
      <c r="OO34" s="15"/>
      <c r="OP34" s="15"/>
      <c r="OQ34" s="15"/>
      <c r="OR34" s="15"/>
      <c r="OS34" s="15"/>
      <c r="OT34" s="15"/>
      <c r="OU34" s="15"/>
      <c r="OV34" s="15"/>
      <c r="OW34" s="15"/>
      <c r="OX34" s="15"/>
      <c r="OY34" s="15"/>
      <c r="OZ34" s="15"/>
      <c r="PA34" s="15"/>
      <c r="PB34" s="15"/>
      <c r="PC34" s="15"/>
      <c r="PD34" s="15"/>
      <c r="PE34" s="15"/>
      <c r="PF34" s="15"/>
      <c r="PG34" s="15"/>
      <c r="PH34" s="15"/>
      <c r="PI34" s="15"/>
      <c r="PJ34" s="15"/>
      <c r="PK34" s="15"/>
      <c r="PL34" s="15"/>
      <c r="PM34" s="15"/>
      <c r="PN34" s="15"/>
      <c r="PO34" s="15"/>
      <c r="PP34" s="15"/>
      <c r="PQ34" s="15"/>
      <c r="PR34" s="15"/>
      <c r="PS34" s="15"/>
      <c r="PT34" s="15"/>
      <c r="PU34" s="15"/>
      <c r="PV34" s="15"/>
      <c r="PW34" s="15"/>
      <c r="PX34" s="15"/>
      <c r="PY34" s="15"/>
      <c r="PZ34" s="15"/>
      <c r="QA34" s="15"/>
      <c r="QB34" s="15"/>
      <c r="QC34" s="15"/>
      <c r="QD34" s="15"/>
      <c r="QE34" s="15"/>
      <c r="QF34" s="15"/>
      <c r="QG34" s="15"/>
      <c r="QH34" s="15"/>
      <c r="QI34" s="15"/>
      <c r="QJ34" s="15"/>
      <c r="QK34" s="15"/>
      <c r="QL34" s="15"/>
      <c r="QM34" s="15"/>
      <c r="QN34" s="15"/>
      <c r="QO34" s="15"/>
      <c r="QP34" s="15"/>
      <c r="QQ34" s="15"/>
      <c r="QR34" s="15"/>
      <c r="QS34" s="15"/>
      <c r="QT34" s="15"/>
      <c r="QU34" s="15"/>
      <c r="QV34" s="15"/>
      <c r="QW34" s="15"/>
      <c r="QX34" s="15"/>
      <c r="QY34" s="15"/>
      <c r="QZ34" s="15"/>
      <c r="RA34" s="15"/>
      <c r="RB34" s="15"/>
      <c r="RC34" s="15"/>
      <c r="RD34" s="15"/>
      <c r="RE34" s="15"/>
      <c r="RF34" s="15"/>
      <c r="RG34" s="15"/>
      <c r="RH34" s="15"/>
      <c r="RI34" s="15"/>
      <c r="RJ34" s="15"/>
      <c r="RK34" s="15"/>
      <c r="RL34" s="15"/>
      <c r="RM34" s="15"/>
      <c r="RN34" s="15"/>
      <c r="RO34" s="15"/>
      <c r="RP34" s="15"/>
      <c r="RQ34" s="15"/>
      <c r="RR34" s="15"/>
      <c r="RS34" s="15"/>
      <c r="RT34" s="15"/>
      <c r="RU34" s="15"/>
      <c r="RV34" s="15"/>
      <c r="RW34" s="15"/>
      <c r="RX34" s="15"/>
      <c r="RY34" s="15"/>
      <c r="RZ34" s="15"/>
      <c r="SA34" s="15"/>
      <c r="SB34" s="15"/>
      <c r="SC34" s="15"/>
      <c r="SD34" s="15"/>
      <c r="SE34" s="15"/>
      <c r="SF34" s="15"/>
      <c r="SG34" s="15"/>
      <c r="SH34" s="15"/>
      <c r="SI34" s="15"/>
      <c r="SJ34" s="15"/>
      <c r="SK34" s="15"/>
      <c r="SL34" s="15"/>
      <c r="SM34" s="15"/>
      <c r="SN34" s="15"/>
      <c r="SO34" s="15"/>
      <c r="SP34" s="15"/>
      <c r="SQ34" s="15"/>
      <c r="SR34" s="15"/>
      <c r="SS34" s="15"/>
      <c r="ST34" s="15"/>
      <c r="SU34" s="15"/>
      <c r="SV34" s="15"/>
      <c r="SW34" s="15"/>
      <c r="SX34" s="15"/>
      <c r="SY34" s="15"/>
      <c r="SZ34" s="15"/>
      <c r="TA34" s="15"/>
      <c r="TB34" s="15"/>
      <c r="TC34" s="15"/>
      <c r="TD34" s="15"/>
      <c r="TE34" s="15"/>
      <c r="TF34" s="15"/>
      <c r="TG34" s="15"/>
      <c r="TH34" s="15"/>
      <c r="TI34" s="15"/>
      <c r="TJ34" s="15"/>
      <c r="TK34" s="15"/>
      <c r="TL34" s="15"/>
      <c r="TM34" s="15"/>
      <c r="TN34" s="15"/>
      <c r="TO34" s="15"/>
      <c r="TP34" s="15"/>
      <c r="TQ34" s="15"/>
      <c r="TR34" s="15"/>
      <c r="TS34" s="15"/>
      <c r="TT34" s="15"/>
      <c r="TU34" s="15"/>
      <c r="TV34" s="15"/>
      <c r="TW34" s="15"/>
      <c r="TX34" s="15"/>
      <c r="TY34" s="15"/>
      <c r="TZ34" s="15"/>
      <c r="UA34" s="15"/>
      <c r="UB34" s="15"/>
      <c r="UC34" s="15"/>
      <c r="UD34" s="15"/>
      <c r="UE34" s="15"/>
      <c r="UF34" s="15"/>
      <c r="UG34" s="15"/>
      <c r="UH34" s="15"/>
      <c r="UI34" s="15"/>
      <c r="UJ34" s="15"/>
      <c r="UK34" s="15"/>
      <c r="UL34" s="15"/>
      <c r="UM34" s="15"/>
      <c r="UN34" s="15"/>
      <c r="UO34" s="15"/>
      <c r="UP34" s="15"/>
      <c r="UQ34" s="15"/>
      <c r="UR34" s="15"/>
      <c r="US34" s="15"/>
      <c r="UT34" s="15"/>
      <c r="UU34" s="15"/>
      <c r="UV34" s="15"/>
      <c r="UW34" s="15"/>
      <c r="UX34" s="15"/>
      <c r="UY34" s="15"/>
      <c r="UZ34" s="15"/>
      <c r="VA34" s="15"/>
      <c r="VB34" s="15"/>
      <c r="VC34" s="15"/>
      <c r="VD34" s="15"/>
      <c r="VE34" s="15"/>
      <c r="VF34" s="15"/>
      <c r="VG34" s="15"/>
      <c r="VH34" s="15"/>
      <c r="VI34" s="15"/>
      <c r="VJ34" s="15"/>
      <c r="VK34" s="15"/>
      <c r="VL34" s="15"/>
      <c r="VM34" s="15"/>
      <c r="VN34" s="15"/>
      <c r="VO34" s="15"/>
      <c r="VP34" s="15"/>
      <c r="VQ34" s="15"/>
      <c r="VR34" s="15"/>
      <c r="VS34" s="15"/>
      <c r="VT34" s="15"/>
      <c r="VU34" s="15"/>
      <c r="VV34" s="15"/>
      <c r="VW34" s="15"/>
      <c r="VX34" s="15"/>
      <c r="VY34" s="15"/>
      <c r="VZ34" s="15"/>
      <c r="WA34" s="15"/>
      <c r="WB34" s="15"/>
      <c r="WC34" s="15"/>
      <c r="WD34" s="15"/>
      <c r="WE34" s="15"/>
      <c r="WF34" s="15"/>
      <c r="WG34" s="15"/>
      <c r="WH34" s="15"/>
      <c r="WI34" s="15"/>
      <c r="WJ34" s="15"/>
      <c r="WK34" s="15"/>
      <c r="WL34" s="15"/>
      <c r="WM34" s="15"/>
      <c r="WN34" s="15"/>
      <c r="WO34" s="15"/>
      <c r="WP34" s="15"/>
      <c r="WQ34" s="15"/>
      <c r="WR34" s="15"/>
      <c r="WS34" s="15"/>
      <c r="WT34" s="15"/>
      <c r="WU34" s="15"/>
      <c r="WV34" s="15"/>
      <c r="WW34" s="15"/>
      <c r="WX34" s="15"/>
      <c r="WY34" s="15"/>
      <c r="WZ34" s="15"/>
      <c r="XA34" s="15"/>
      <c r="XB34" s="15"/>
      <c r="XC34" s="15"/>
      <c r="XD34" s="15"/>
      <c r="XE34" s="15"/>
      <c r="XF34" s="15"/>
      <c r="XG34" s="15"/>
      <c r="XH34" s="15"/>
      <c r="XI34" s="15"/>
      <c r="XJ34" s="15"/>
      <c r="XK34" s="15"/>
      <c r="XL34" s="15"/>
      <c r="XM34" s="15"/>
      <c r="XN34" s="15"/>
      <c r="XO34" s="15"/>
      <c r="XP34" s="15"/>
      <c r="XQ34" s="15"/>
      <c r="XR34" s="15"/>
      <c r="XS34" s="15"/>
      <c r="XT34" s="15"/>
      <c r="XU34" s="15"/>
      <c r="XV34" s="15"/>
      <c r="XW34" s="15"/>
      <c r="XX34" s="15"/>
      <c r="XY34" s="15"/>
      <c r="XZ34" s="15"/>
      <c r="YA34" s="15"/>
      <c r="YB34" s="15"/>
      <c r="YC34" s="15"/>
      <c r="YD34" s="15"/>
      <c r="YE34" s="15"/>
      <c r="YF34" s="15"/>
      <c r="YG34" s="15"/>
      <c r="YH34" s="15"/>
      <c r="YI34" s="15"/>
      <c r="YJ34" s="15"/>
      <c r="YK34" s="15"/>
      <c r="YL34" s="15"/>
      <c r="YM34" s="15"/>
      <c r="YN34" s="15"/>
      <c r="YO34" s="15"/>
      <c r="YP34" s="15"/>
      <c r="YQ34" s="15"/>
      <c r="YR34" s="15"/>
      <c r="YS34" s="15"/>
      <c r="YT34" s="15"/>
      <c r="YU34" s="15"/>
      <c r="YV34" s="15"/>
      <c r="YW34" s="15"/>
      <c r="YX34" s="15"/>
      <c r="YY34" s="15"/>
      <c r="YZ34" s="15"/>
      <c r="ZA34" s="15"/>
      <c r="ZB34" s="15"/>
      <c r="ZC34" s="15"/>
      <c r="ZD34" s="15"/>
      <c r="ZE34" s="15"/>
      <c r="ZF34" s="15"/>
      <c r="ZG34" s="15"/>
      <c r="ZH34" s="15"/>
      <c r="ZI34" s="15"/>
      <c r="ZJ34" s="15"/>
      <c r="ZK34" s="15"/>
      <c r="ZL34" s="15"/>
      <c r="ZM34" s="15"/>
      <c r="ZN34" s="15"/>
      <c r="ZO34" s="15"/>
      <c r="ZP34" s="15"/>
      <c r="ZQ34" s="15"/>
      <c r="ZR34" s="15"/>
      <c r="ZS34" s="15"/>
      <c r="ZT34" s="15"/>
      <c r="ZU34" s="15"/>
      <c r="ZV34" s="15"/>
      <c r="ZW34" s="15"/>
      <c r="ZX34" s="15"/>
      <c r="ZY34" s="15"/>
      <c r="ZZ34" s="15"/>
      <c r="AAA34" s="15"/>
      <c r="AAB34" s="15"/>
      <c r="AAC34" s="15"/>
      <c r="AAD34" s="15"/>
      <c r="AAE34" s="15"/>
      <c r="AAF34" s="15"/>
      <c r="AAG34" s="15"/>
      <c r="AAH34" s="15"/>
      <c r="AAI34" s="15"/>
      <c r="AAJ34" s="15"/>
      <c r="AAK34" s="15"/>
      <c r="AAL34" s="15"/>
      <c r="AAM34" s="15"/>
      <c r="AAN34" s="15"/>
      <c r="AAO34" s="15"/>
      <c r="AAP34" s="15"/>
      <c r="AAQ34" s="15"/>
      <c r="AAR34" s="15"/>
      <c r="AAS34" s="15"/>
      <c r="AAT34" s="15"/>
      <c r="AAU34" s="15"/>
      <c r="AAV34" s="15"/>
      <c r="AAW34" s="15"/>
      <c r="AAX34" s="15"/>
      <c r="AAY34" s="15"/>
      <c r="AAZ34" s="15"/>
      <c r="ABA34" s="15"/>
      <c r="ABB34" s="15"/>
      <c r="ABC34" s="15"/>
      <c r="ABD34" s="15"/>
      <c r="ABE34" s="15"/>
      <c r="ABF34" s="15"/>
      <c r="ABG34" s="15"/>
      <c r="ABH34" s="15"/>
      <c r="ABI34" s="15"/>
      <c r="ABJ34" s="15"/>
      <c r="ABK34" s="15"/>
      <c r="ABL34" s="15"/>
      <c r="ABM34" s="15"/>
      <c r="ABN34" s="15"/>
      <c r="ABO34" s="15"/>
      <c r="ABP34" s="15"/>
      <c r="ABQ34" s="15"/>
      <c r="ABR34" s="15"/>
      <c r="ABS34" s="15"/>
      <c r="ABT34" s="15"/>
      <c r="ABU34" s="15"/>
      <c r="ABV34" s="15"/>
      <c r="ABW34" s="15"/>
      <c r="ABX34" s="15"/>
      <c r="ABY34" s="15"/>
      <c r="ABZ34" s="15"/>
      <c r="ACA34" s="15"/>
      <c r="ACB34" s="15"/>
      <c r="ACC34" s="15"/>
      <c r="ACD34" s="15"/>
      <c r="ACE34" s="15"/>
      <c r="ACF34" s="15"/>
      <c r="ACG34" s="15"/>
      <c r="ACH34" s="15"/>
      <c r="ACI34" s="15"/>
      <c r="ACJ34" s="15"/>
      <c r="ACK34" s="15"/>
      <c r="ACL34" s="15"/>
      <c r="ACM34" s="15"/>
      <c r="ACN34" s="15"/>
      <c r="ACO34" s="15"/>
      <c r="ACP34" s="15"/>
      <c r="ACQ34" s="15"/>
      <c r="ACR34" s="15"/>
      <c r="ACS34" s="15"/>
      <c r="ACT34" s="15"/>
      <c r="ACU34" s="15"/>
      <c r="ACV34" s="15"/>
      <c r="ACW34" s="15"/>
      <c r="ACX34" s="15"/>
      <c r="ACY34" s="15"/>
      <c r="ACZ34" s="15"/>
      <c r="ADA34" s="15"/>
      <c r="ADB34" s="15"/>
      <c r="ADC34" s="15"/>
      <c r="ADD34" s="15"/>
      <c r="ADE34" s="15"/>
      <c r="ADF34" s="15"/>
      <c r="ADG34" s="15"/>
      <c r="ADH34" s="15"/>
      <c r="ADI34" s="15"/>
      <c r="ADJ34" s="15"/>
      <c r="ADK34" s="15"/>
      <c r="ADL34" s="15"/>
      <c r="ADM34" s="15"/>
      <c r="ADN34" s="15"/>
      <c r="ADO34" s="15"/>
      <c r="ADP34" s="15"/>
      <c r="ADQ34" s="15"/>
      <c r="ADR34" s="15"/>
      <c r="ADS34" s="15"/>
      <c r="ADT34" s="15"/>
      <c r="ADU34" s="15"/>
      <c r="ADV34" s="15"/>
      <c r="ADW34" s="15"/>
      <c r="ADX34" s="15"/>
      <c r="ADY34" s="15"/>
      <c r="ADZ34" s="15"/>
      <c r="AEA34" s="15"/>
      <c r="AEB34" s="15"/>
      <c r="AEC34" s="15"/>
      <c r="AED34" s="15"/>
      <c r="AEE34" s="15"/>
      <c r="AEF34" s="15"/>
      <c r="AEG34" s="15"/>
      <c r="AEH34" s="15"/>
      <c r="AEI34" s="15"/>
      <c r="AEJ34" s="15"/>
      <c r="AEK34" s="15"/>
      <c r="AEL34" s="15"/>
      <c r="AEM34" s="15"/>
      <c r="AEN34" s="15"/>
      <c r="AEO34" s="15"/>
      <c r="AEP34" s="15"/>
      <c r="AEQ34" s="15"/>
      <c r="AER34" s="15"/>
      <c r="AES34" s="15"/>
      <c r="AET34" s="15"/>
      <c r="AEU34" s="15"/>
      <c r="AEV34" s="15"/>
      <c r="AEW34" s="15"/>
      <c r="AEX34" s="15"/>
      <c r="AEY34" s="15"/>
      <c r="AEZ34" s="15"/>
      <c r="AFA34" s="15"/>
      <c r="AFB34" s="15"/>
      <c r="AFC34" s="15"/>
      <c r="AFD34" s="15"/>
      <c r="AFE34" s="15"/>
      <c r="AFF34" s="15"/>
      <c r="AFG34" s="15"/>
      <c r="AFH34" s="15"/>
      <c r="AFI34" s="15"/>
      <c r="AFJ34" s="15"/>
      <c r="AFK34" s="15"/>
      <c r="AFL34" s="15"/>
      <c r="AFM34" s="15"/>
      <c r="AFN34" s="15"/>
      <c r="AFO34" s="15"/>
      <c r="AFP34" s="15"/>
      <c r="AFQ34" s="15"/>
      <c r="AFR34" s="15"/>
      <c r="AFS34" s="15"/>
      <c r="AFT34" s="15"/>
      <c r="AFU34" s="15"/>
      <c r="AFV34" s="15"/>
      <c r="AFW34" s="15"/>
      <c r="AFX34" s="15"/>
      <c r="AFY34" s="15"/>
      <c r="AFZ34" s="15"/>
      <c r="AGA34" s="15"/>
      <c r="AGB34" s="15"/>
      <c r="AGC34" s="15"/>
      <c r="AGD34" s="15"/>
      <c r="AGE34" s="15"/>
      <c r="AGF34" s="15"/>
      <c r="AGG34" s="15"/>
      <c r="AGH34" s="15"/>
      <c r="AGI34" s="15"/>
      <c r="AGJ34" s="15"/>
      <c r="AGK34" s="15"/>
      <c r="AGL34" s="15"/>
      <c r="AGM34" s="15"/>
      <c r="AGN34" s="15"/>
      <c r="AGO34" s="15"/>
      <c r="AGP34" s="15"/>
      <c r="AGQ34" s="15"/>
      <c r="AGR34" s="15"/>
      <c r="AGS34" s="15"/>
      <c r="AGT34" s="15"/>
      <c r="AGU34" s="15"/>
      <c r="AGV34" s="15"/>
      <c r="AGW34" s="15"/>
      <c r="AGX34" s="15"/>
      <c r="AGY34" s="15"/>
      <c r="AGZ34" s="15"/>
      <c r="AHA34" s="15"/>
      <c r="AHB34" s="15"/>
      <c r="AHC34" s="15"/>
      <c r="AHD34" s="15"/>
      <c r="AHE34" s="15"/>
      <c r="AHF34" s="15"/>
      <c r="AHG34" s="15"/>
      <c r="AHH34" s="15"/>
      <c r="AHI34" s="15"/>
      <c r="AHJ34" s="15"/>
      <c r="AHK34" s="15"/>
      <c r="AHL34" s="15"/>
      <c r="AHM34" s="15"/>
      <c r="AHN34" s="15"/>
      <c r="AHO34" s="15"/>
      <c r="AHP34" s="15"/>
      <c r="AHQ34" s="15"/>
      <c r="AHR34" s="15"/>
      <c r="AHS34" s="15"/>
      <c r="AHT34" s="15"/>
      <c r="AHU34" s="15"/>
      <c r="AHV34" s="15"/>
      <c r="AHW34" s="15"/>
      <c r="AHX34" s="15"/>
      <c r="AHY34" s="15"/>
      <c r="AHZ34" s="15"/>
      <c r="AIA34" s="15"/>
      <c r="AIB34" s="15"/>
      <c r="AIC34" s="15"/>
      <c r="AID34" s="15"/>
      <c r="AIE34" s="15"/>
      <c r="AIF34" s="15"/>
      <c r="AIG34" s="15"/>
      <c r="AIH34" s="15"/>
      <c r="AII34" s="15"/>
      <c r="AIJ34" s="15"/>
      <c r="AIK34" s="15"/>
      <c r="AIL34" s="15"/>
      <c r="AIM34" s="15"/>
      <c r="AIN34" s="15"/>
      <c r="AIO34" s="15"/>
      <c r="AIP34" s="15"/>
      <c r="AIQ34" s="15"/>
      <c r="AIR34" s="15"/>
      <c r="AIS34" s="15"/>
      <c r="AIT34" s="15"/>
      <c r="AIU34" s="15"/>
      <c r="AIV34" s="15"/>
      <c r="AIW34" s="15"/>
      <c r="AIX34" s="15"/>
      <c r="AIY34" s="15"/>
      <c r="AIZ34" s="15"/>
      <c r="AJA34" s="15"/>
      <c r="AJB34" s="15"/>
      <c r="AJC34" s="15"/>
      <c r="AJD34" s="15"/>
      <c r="AJE34" s="15"/>
      <c r="AJF34" s="15"/>
      <c r="AJG34" s="15"/>
      <c r="AJH34" s="15"/>
      <c r="AJI34" s="15"/>
      <c r="AJJ34" s="15"/>
      <c r="AJK34" s="15"/>
      <c r="AJL34" s="15"/>
      <c r="AJM34" s="15"/>
      <c r="AJN34" s="15"/>
      <c r="AJO34" s="15"/>
      <c r="AJP34" s="15"/>
      <c r="AJQ34" s="15"/>
      <c r="AJR34" s="15"/>
      <c r="AJS34" s="15"/>
      <c r="AJT34" s="15"/>
      <c r="AJU34" s="15"/>
      <c r="AJV34" s="15"/>
      <c r="AJW34" s="15"/>
      <c r="AJX34" s="15"/>
      <c r="AJY34" s="15"/>
      <c r="AJZ34" s="15"/>
      <c r="AKA34" s="15"/>
      <c r="AKB34" s="15"/>
      <c r="AKC34" s="15"/>
      <c r="AKD34" s="15"/>
      <c r="AKE34" s="15"/>
      <c r="AKF34" s="15"/>
      <c r="AKG34" s="15"/>
      <c r="AKH34" s="15"/>
      <c r="AKI34" s="15"/>
      <c r="AKJ34" s="15"/>
      <c r="AKK34" s="15"/>
      <c r="AKL34" s="15"/>
      <c r="AKM34" s="15"/>
      <c r="AKN34" s="15"/>
      <c r="AKO34" s="15"/>
      <c r="AKP34" s="15"/>
      <c r="AKQ34" s="15"/>
      <c r="AKR34" s="15"/>
      <c r="AKS34" s="15"/>
      <c r="AKT34" s="15"/>
      <c r="AKU34" s="15"/>
      <c r="AKV34" s="15"/>
      <c r="AKW34" s="15"/>
      <c r="AKX34" s="15"/>
      <c r="AKY34" s="15"/>
      <c r="AKZ34" s="15"/>
      <c r="ALA34" s="15"/>
      <c r="ALB34" s="15"/>
      <c r="ALC34" s="15"/>
      <c r="ALD34" s="15"/>
      <c r="ALE34" s="15"/>
      <c r="ALF34" s="15"/>
      <c r="ALG34" s="15"/>
      <c r="ALH34" s="15"/>
      <c r="ALI34" s="15"/>
      <c r="ALJ34" s="15"/>
      <c r="ALK34" s="15"/>
      <c r="ALL34" s="15"/>
      <c r="ALM34" s="15"/>
      <c r="ALN34" s="15"/>
      <c r="ALO34" s="15"/>
      <c r="ALP34" s="15"/>
      <c r="ALQ34" s="15"/>
      <c r="ALR34" s="15"/>
      <c r="ALS34" s="15"/>
      <c r="ALT34" s="15"/>
      <c r="ALU34" s="15"/>
      <c r="ALV34" s="15"/>
      <c r="ALW34" s="15"/>
      <c r="ALX34" s="15"/>
      <c r="ALY34" s="15"/>
      <c r="ALZ34" s="15"/>
      <c r="AMA34" s="15"/>
      <c r="AMB34" s="15"/>
      <c r="AMC34" s="15"/>
      <c r="AMD34" s="15"/>
      <c r="AME34" s="15"/>
      <c r="AMF34" s="15"/>
      <c r="AMG34" s="14"/>
      <c r="AMH34" s="14"/>
      <c r="AMI34" s="14"/>
      <c r="AMJ34" s="14"/>
    </row>
    <row r="35" spans="1:1024" s="13" customFormat="1" ht="101.5" hidden="1" x14ac:dyDescent="0.35">
      <c r="A35" s="19">
        <v>43651</v>
      </c>
      <c r="B35" s="17" t="s">
        <v>419</v>
      </c>
      <c r="C35" s="17" t="s">
        <v>418</v>
      </c>
      <c r="D35" s="18">
        <v>43653</v>
      </c>
      <c r="E35" s="17" t="s">
        <v>417</v>
      </c>
      <c r="F35" s="26">
        <v>0.40625</v>
      </c>
      <c r="G35" s="26">
        <v>0.45833333333333298</v>
      </c>
      <c r="H35" s="26">
        <v>0.47916666666666702</v>
      </c>
      <c r="I35" s="17">
        <v>300</v>
      </c>
      <c r="J35" s="17" t="s">
        <v>257</v>
      </c>
      <c r="K35" s="17" t="s">
        <v>119</v>
      </c>
      <c r="L35" s="16" t="s">
        <v>17</v>
      </c>
      <c r="M35" s="15">
        <v>300</v>
      </c>
      <c r="N35" s="15"/>
      <c r="O35" s="15"/>
      <c r="P35" s="15"/>
      <c r="Q35" s="15"/>
      <c r="R35" s="15"/>
      <c r="S35" s="15"/>
      <c r="T35" s="15"/>
      <c r="U35" s="15"/>
      <c r="V35" s="15"/>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15"/>
      <c r="CR35" s="15"/>
      <c r="CS35" s="15"/>
      <c r="CT35" s="15"/>
      <c r="CU35" s="15"/>
      <c r="CV35" s="15"/>
      <c r="CW35" s="15"/>
      <c r="CX35" s="15"/>
      <c r="CY35" s="15"/>
      <c r="CZ35" s="15"/>
      <c r="DA35" s="15"/>
      <c r="DB35" s="15"/>
      <c r="DC35" s="15"/>
      <c r="DD35" s="15"/>
      <c r="DE35" s="15"/>
      <c r="DF35" s="15"/>
      <c r="DG35" s="15"/>
      <c r="DH35" s="15"/>
      <c r="DI35" s="15"/>
      <c r="DJ35" s="15"/>
      <c r="DK35" s="15"/>
      <c r="DL35" s="15"/>
      <c r="DM35" s="15"/>
      <c r="DN35" s="15"/>
      <c r="DO35" s="15"/>
      <c r="DP35" s="15"/>
      <c r="DQ35" s="15"/>
      <c r="DR35" s="15"/>
      <c r="DS35" s="15"/>
      <c r="DT35" s="15"/>
      <c r="DU35" s="15"/>
      <c r="DV35" s="15"/>
      <c r="DW35" s="15"/>
      <c r="DX35" s="15"/>
      <c r="DY35" s="15"/>
      <c r="DZ35" s="15"/>
      <c r="EA35" s="15"/>
      <c r="EB35" s="15"/>
      <c r="EC35" s="15"/>
      <c r="ED35" s="15"/>
      <c r="EE35" s="15"/>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c r="ID35" s="15"/>
      <c r="IE35" s="15"/>
      <c r="IF35" s="15"/>
      <c r="IG35" s="15"/>
      <c r="IH35" s="15"/>
      <c r="II35" s="15"/>
      <c r="IJ35" s="15"/>
      <c r="IK35" s="15"/>
      <c r="IL35" s="15"/>
      <c r="IM35" s="15"/>
      <c r="IN35" s="15"/>
      <c r="IO35" s="15"/>
      <c r="IP35" s="15"/>
      <c r="IQ35" s="15"/>
      <c r="IR35" s="15"/>
      <c r="IS35" s="15"/>
      <c r="IT35" s="15"/>
      <c r="IU35" s="15"/>
      <c r="IV35" s="15"/>
      <c r="IW35" s="15"/>
      <c r="IX35" s="15"/>
      <c r="IY35" s="15"/>
      <c r="IZ35" s="15"/>
      <c r="JA35" s="15"/>
      <c r="JB35" s="15"/>
      <c r="JC35" s="15"/>
      <c r="JD35" s="15"/>
      <c r="JE35" s="15"/>
      <c r="JF35" s="15"/>
      <c r="JG35" s="15"/>
      <c r="JH35" s="15"/>
      <c r="JI35" s="15"/>
      <c r="JJ35" s="15"/>
      <c r="JK35" s="15"/>
      <c r="JL35" s="15"/>
      <c r="JM35" s="15"/>
      <c r="JN35" s="15"/>
      <c r="JO35" s="15"/>
      <c r="JP35" s="15"/>
      <c r="JQ35" s="15"/>
      <c r="JR35" s="15"/>
      <c r="JS35" s="15"/>
      <c r="JT35" s="15"/>
      <c r="JU35" s="15"/>
      <c r="JV35" s="15"/>
      <c r="JW35" s="15"/>
      <c r="JX35" s="15"/>
      <c r="JY35" s="15"/>
      <c r="JZ35" s="15"/>
      <c r="KA35" s="15"/>
      <c r="KB35" s="15"/>
      <c r="KC35" s="15"/>
      <c r="KD35" s="15"/>
      <c r="KE35" s="15"/>
      <c r="KF35" s="15"/>
      <c r="KG35" s="15"/>
      <c r="KH35" s="15"/>
      <c r="KI35" s="15"/>
      <c r="KJ35" s="15"/>
      <c r="KK35" s="15"/>
      <c r="KL35" s="15"/>
      <c r="KM35" s="15"/>
      <c r="KN35" s="15"/>
      <c r="KO35" s="15"/>
      <c r="KP35" s="15"/>
      <c r="KQ35" s="15"/>
      <c r="KR35" s="15"/>
      <c r="KS35" s="15"/>
      <c r="KT35" s="15"/>
      <c r="KU35" s="15"/>
      <c r="KV35" s="15"/>
      <c r="KW35" s="15"/>
      <c r="KX35" s="15"/>
      <c r="KY35" s="15"/>
      <c r="KZ35" s="15"/>
      <c r="LA35" s="15"/>
      <c r="LB35" s="15"/>
      <c r="LC35" s="15"/>
      <c r="LD35" s="15"/>
      <c r="LE35" s="15"/>
      <c r="LF35" s="15"/>
      <c r="LG35" s="15"/>
      <c r="LH35" s="15"/>
      <c r="LI35" s="15"/>
      <c r="LJ35" s="15"/>
      <c r="LK35" s="15"/>
      <c r="LL35" s="15"/>
      <c r="LM35" s="15"/>
      <c r="LN35" s="15"/>
      <c r="LO35" s="15"/>
      <c r="LP35" s="15"/>
      <c r="LQ35" s="15"/>
      <c r="LR35" s="15"/>
      <c r="LS35" s="15"/>
      <c r="LT35" s="15"/>
      <c r="LU35" s="15"/>
      <c r="LV35" s="15"/>
      <c r="LW35" s="15"/>
      <c r="LX35" s="15"/>
      <c r="LY35" s="15"/>
      <c r="LZ35" s="15"/>
      <c r="MA35" s="15"/>
      <c r="MB35" s="15"/>
      <c r="MC35" s="15"/>
      <c r="MD35" s="15"/>
      <c r="ME35" s="15"/>
      <c r="MF35" s="15"/>
      <c r="MG35" s="15"/>
      <c r="MH35" s="15"/>
      <c r="MI35" s="15"/>
      <c r="MJ35" s="15"/>
      <c r="MK35" s="15"/>
      <c r="ML35" s="15"/>
      <c r="MM35" s="15"/>
      <c r="MN35" s="15"/>
      <c r="MO35" s="15"/>
      <c r="MP35" s="15"/>
      <c r="MQ35" s="15"/>
      <c r="MR35" s="15"/>
      <c r="MS35" s="15"/>
      <c r="MT35" s="15"/>
      <c r="MU35" s="15"/>
      <c r="MV35" s="15"/>
      <c r="MW35" s="15"/>
      <c r="MX35" s="15"/>
      <c r="MY35" s="15"/>
      <c r="MZ35" s="15"/>
      <c r="NA35" s="15"/>
      <c r="NB35" s="15"/>
      <c r="NC35" s="15"/>
      <c r="ND35" s="15"/>
      <c r="NE35" s="15"/>
      <c r="NF35" s="15"/>
      <c r="NG35" s="15"/>
      <c r="NH35" s="15"/>
      <c r="NI35" s="15"/>
      <c r="NJ35" s="15"/>
      <c r="NK35" s="15"/>
      <c r="NL35" s="15"/>
      <c r="NM35" s="15"/>
      <c r="NN35" s="15"/>
      <c r="NO35" s="15"/>
      <c r="NP35" s="15"/>
      <c r="NQ35" s="15"/>
      <c r="NR35" s="15"/>
      <c r="NS35" s="15"/>
      <c r="NT35" s="15"/>
      <c r="NU35" s="15"/>
      <c r="NV35" s="15"/>
      <c r="NW35" s="15"/>
      <c r="NX35" s="15"/>
      <c r="NY35" s="15"/>
      <c r="NZ35" s="15"/>
      <c r="OA35" s="15"/>
      <c r="OB35" s="15"/>
      <c r="OC35" s="15"/>
      <c r="OD35" s="15"/>
      <c r="OE35" s="15"/>
      <c r="OF35" s="15"/>
      <c r="OG35" s="15"/>
      <c r="OH35" s="15"/>
      <c r="OI35" s="15"/>
      <c r="OJ35" s="15"/>
      <c r="OK35" s="15"/>
      <c r="OL35" s="15"/>
      <c r="OM35" s="15"/>
      <c r="ON35" s="15"/>
      <c r="OO35" s="15"/>
      <c r="OP35" s="15"/>
      <c r="OQ35" s="15"/>
      <c r="OR35" s="15"/>
      <c r="OS35" s="15"/>
      <c r="OT35" s="15"/>
      <c r="OU35" s="15"/>
      <c r="OV35" s="15"/>
      <c r="OW35" s="15"/>
      <c r="OX35" s="15"/>
      <c r="OY35" s="15"/>
      <c r="OZ35" s="15"/>
      <c r="PA35" s="15"/>
      <c r="PB35" s="15"/>
      <c r="PC35" s="15"/>
      <c r="PD35" s="15"/>
      <c r="PE35" s="15"/>
      <c r="PF35" s="15"/>
      <c r="PG35" s="15"/>
      <c r="PH35" s="15"/>
      <c r="PI35" s="15"/>
      <c r="PJ35" s="15"/>
      <c r="PK35" s="15"/>
      <c r="PL35" s="15"/>
      <c r="PM35" s="15"/>
      <c r="PN35" s="15"/>
      <c r="PO35" s="15"/>
      <c r="PP35" s="15"/>
      <c r="PQ35" s="15"/>
      <c r="PR35" s="15"/>
      <c r="PS35" s="15"/>
      <c r="PT35" s="15"/>
      <c r="PU35" s="15"/>
      <c r="PV35" s="15"/>
      <c r="PW35" s="15"/>
      <c r="PX35" s="15"/>
      <c r="PY35" s="15"/>
      <c r="PZ35" s="15"/>
      <c r="QA35" s="15"/>
      <c r="QB35" s="15"/>
      <c r="QC35" s="15"/>
      <c r="QD35" s="15"/>
      <c r="QE35" s="15"/>
      <c r="QF35" s="15"/>
      <c r="QG35" s="15"/>
      <c r="QH35" s="15"/>
      <c r="QI35" s="15"/>
      <c r="QJ35" s="15"/>
      <c r="QK35" s="15"/>
      <c r="QL35" s="15"/>
      <c r="QM35" s="15"/>
      <c r="QN35" s="15"/>
      <c r="QO35" s="15"/>
      <c r="QP35" s="15"/>
      <c r="QQ35" s="15"/>
      <c r="QR35" s="15"/>
      <c r="QS35" s="15"/>
      <c r="QT35" s="15"/>
      <c r="QU35" s="15"/>
      <c r="QV35" s="15"/>
      <c r="QW35" s="15"/>
      <c r="QX35" s="15"/>
      <c r="QY35" s="15"/>
      <c r="QZ35" s="15"/>
      <c r="RA35" s="15"/>
      <c r="RB35" s="15"/>
      <c r="RC35" s="15"/>
      <c r="RD35" s="15"/>
      <c r="RE35" s="15"/>
      <c r="RF35" s="15"/>
      <c r="RG35" s="15"/>
      <c r="RH35" s="15"/>
      <c r="RI35" s="15"/>
      <c r="RJ35" s="15"/>
      <c r="RK35" s="15"/>
      <c r="RL35" s="15"/>
      <c r="RM35" s="15"/>
      <c r="RN35" s="15"/>
      <c r="RO35" s="15"/>
      <c r="RP35" s="15"/>
      <c r="RQ35" s="15"/>
      <c r="RR35" s="15"/>
      <c r="RS35" s="15"/>
      <c r="RT35" s="15"/>
      <c r="RU35" s="15"/>
      <c r="RV35" s="15"/>
      <c r="RW35" s="15"/>
      <c r="RX35" s="15"/>
      <c r="RY35" s="15"/>
      <c r="RZ35" s="15"/>
      <c r="SA35" s="15"/>
      <c r="SB35" s="15"/>
      <c r="SC35" s="15"/>
      <c r="SD35" s="15"/>
      <c r="SE35" s="15"/>
      <c r="SF35" s="15"/>
      <c r="SG35" s="15"/>
      <c r="SH35" s="15"/>
      <c r="SI35" s="15"/>
      <c r="SJ35" s="15"/>
      <c r="SK35" s="15"/>
      <c r="SL35" s="15"/>
      <c r="SM35" s="15"/>
      <c r="SN35" s="15"/>
      <c r="SO35" s="15"/>
      <c r="SP35" s="15"/>
      <c r="SQ35" s="15"/>
      <c r="SR35" s="15"/>
      <c r="SS35" s="15"/>
      <c r="ST35" s="15"/>
      <c r="SU35" s="15"/>
      <c r="SV35" s="15"/>
      <c r="SW35" s="15"/>
      <c r="SX35" s="15"/>
      <c r="SY35" s="15"/>
      <c r="SZ35" s="15"/>
      <c r="TA35" s="15"/>
      <c r="TB35" s="15"/>
      <c r="TC35" s="15"/>
      <c r="TD35" s="15"/>
      <c r="TE35" s="15"/>
      <c r="TF35" s="15"/>
      <c r="TG35" s="15"/>
      <c r="TH35" s="15"/>
      <c r="TI35" s="15"/>
      <c r="TJ35" s="15"/>
      <c r="TK35" s="15"/>
      <c r="TL35" s="15"/>
      <c r="TM35" s="15"/>
      <c r="TN35" s="15"/>
      <c r="TO35" s="15"/>
      <c r="TP35" s="15"/>
      <c r="TQ35" s="15"/>
      <c r="TR35" s="15"/>
      <c r="TS35" s="15"/>
      <c r="TT35" s="15"/>
      <c r="TU35" s="15"/>
      <c r="TV35" s="15"/>
      <c r="TW35" s="15"/>
      <c r="TX35" s="15"/>
      <c r="TY35" s="15"/>
      <c r="TZ35" s="15"/>
      <c r="UA35" s="15"/>
      <c r="UB35" s="15"/>
      <c r="UC35" s="15"/>
      <c r="UD35" s="15"/>
      <c r="UE35" s="15"/>
      <c r="UF35" s="15"/>
      <c r="UG35" s="15"/>
      <c r="UH35" s="15"/>
      <c r="UI35" s="15"/>
      <c r="UJ35" s="15"/>
      <c r="UK35" s="15"/>
      <c r="UL35" s="15"/>
      <c r="UM35" s="15"/>
      <c r="UN35" s="15"/>
      <c r="UO35" s="15"/>
      <c r="UP35" s="15"/>
      <c r="UQ35" s="15"/>
      <c r="UR35" s="15"/>
      <c r="US35" s="15"/>
      <c r="UT35" s="15"/>
      <c r="UU35" s="15"/>
      <c r="UV35" s="15"/>
      <c r="UW35" s="15"/>
      <c r="UX35" s="15"/>
      <c r="UY35" s="15"/>
      <c r="UZ35" s="15"/>
      <c r="VA35" s="15"/>
      <c r="VB35" s="15"/>
      <c r="VC35" s="15"/>
      <c r="VD35" s="15"/>
      <c r="VE35" s="15"/>
      <c r="VF35" s="15"/>
      <c r="VG35" s="15"/>
      <c r="VH35" s="15"/>
      <c r="VI35" s="15"/>
      <c r="VJ35" s="15"/>
      <c r="VK35" s="15"/>
      <c r="VL35" s="15"/>
      <c r="VM35" s="15"/>
      <c r="VN35" s="15"/>
      <c r="VO35" s="15"/>
      <c r="VP35" s="15"/>
      <c r="VQ35" s="15"/>
      <c r="VR35" s="15"/>
      <c r="VS35" s="15"/>
      <c r="VT35" s="15"/>
      <c r="VU35" s="15"/>
      <c r="VV35" s="15"/>
      <c r="VW35" s="15"/>
      <c r="VX35" s="15"/>
      <c r="VY35" s="15"/>
      <c r="VZ35" s="15"/>
      <c r="WA35" s="15"/>
      <c r="WB35" s="15"/>
      <c r="WC35" s="15"/>
      <c r="WD35" s="15"/>
      <c r="WE35" s="15"/>
      <c r="WF35" s="15"/>
      <c r="WG35" s="15"/>
      <c r="WH35" s="15"/>
      <c r="WI35" s="15"/>
      <c r="WJ35" s="15"/>
      <c r="WK35" s="15"/>
      <c r="WL35" s="15"/>
      <c r="WM35" s="15"/>
      <c r="WN35" s="15"/>
      <c r="WO35" s="15"/>
      <c r="WP35" s="15"/>
      <c r="WQ35" s="15"/>
      <c r="WR35" s="15"/>
      <c r="WS35" s="15"/>
      <c r="WT35" s="15"/>
      <c r="WU35" s="15"/>
      <c r="WV35" s="15"/>
      <c r="WW35" s="15"/>
      <c r="WX35" s="15"/>
      <c r="WY35" s="15"/>
      <c r="WZ35" s="15"/>
      <c r="XA35" s="15"/>
      <c r="XB35" s="15"/>
      <c r="XC35" s="15"/>
      <c r="XD35" s="15"/>
      <c r="XE35" s="15"/>
      <c r="XF35" s="15"/>
      <c r="XG35" s="15"/>
      <c r="XH35" s="15"/>
      <c r="XI35" s="15"/>
      <c r="XJ35" s="15"/>
      <c r="XK35" s="15"/>
      <c r="XL35" s="15"/>
      <c r="XM35" s="15"/>
      <c r="XN35" s="15"/>
      <c r="XO35" s="15"/>
      <c r="XP35" s="15"/>
      <c r="XQ35" s="15"/>
      <c r="XR35" s="15"/>
      <c r="XS35" s="15"/>
      <c r="XT35" s="15"/>
      <c r="XU35" s="15"/>
      <c r="XV35" s="15"/>
      <c r="XW35" s="15"/>
      <c r="XX35" s="15"/>
      <c r="XY35" s="15"/>
      <c r="XZ35" s="15"/>
      <c r="YA35" s="15"/>
      <c r="YB35" s="15"/>
      <c r="YC35" s="15"/>
      <c r="YD35" s="15"/>
      <c r="YE35" s="15"/>
      <c r="YF35" s="15"/>
      <c r="YG35" s="15"/>
      <c r="YH35" s="15"/>
      <c r="YI35" s="15"/>
      <c r="YJ35" s="15"/>
      <c r="YK35" s="15"/>
      <c r="YL35" s="15"/>
      <c r="YM35" s="15"/>
      <c r="YN35" s="15"/>
      <c r="YO35" s="15"/>
      <c r="YP35" s="15"/>
      <c r="YQ35" s="15"/>
      <c r="YR35" s="15"/>
      <c r="YS35" s="15"/>
      <c r="YT35" s="15"/>
      <c r="YU35" s="15"/>
      <c r="YV35" s="15"/>
      <c r="YW35" s="15"/>
      <c r="YX35" s="15"/>
      <c r="YY35" s="15"/>
      <c r="YZ35" s="15"/>
      <c r="ZA35" s="15"/>
      <c r="ZB35" s="15"/>
      <c r="ZC35" s="15"/>
      <c r="ZD35" s="15"/>
      <c r="ZE35" s="15"/>
      <c r="ZF35" s="15"/>
      <c r="ZG35" s="15"/>
      <c r="ZH35" s="15"/>
      <c r="ZI35" s="15"/>
      <c r="ZJ35" s="15"/>
      <c r="ZK35" s="15"/>
      <c r="ZL35" s="15"/>
      <c r="ZM35" s="15"/>
      <c r="ZN35" s="15"/>
      <c r="ZO35" s="15"/>
      <c r="ZP35" s="15"/>
      <c r="ZQ35" s="15"/>
      <c r="ZR35" s="15"/>
      <c r="ZS35" s="15"/>
      <c r="ZT35" s="15"/>
      <c r="ZU35" s="15"/>
      <c r="ZV35" s="15"/>
      <c r="ZW35" s="15"/>
      <c r="ZX35" s="15"/>
      <c r="ZY35" s="15"/>
      <c r="ZZ35" s="15"/>
      <c r="AAA35" s="15"/>
      <c r="AAB35" s="15"/>
      <c r="AAC35" s="15"/>
      <c r="AAD35" s="15"/>
      <c r="AAE35" s="15"/>
      <c r="AAF35" s="15"/>
      <c r="AAG35" s="15"/>
      <c r="AAH35" s="15"/>
      <c r="AAI35" s="15"/>
      <c r="AAJ35" s="15"/>
      <c r="AAK35" s="15"/>
      <c r="AAL35" s="15"/>
      <c r="AAM35" s="15"/>
      <c r="AAN35" s="15"/>
      <c r="AAO35" s="15"/>
      <c r="AAP35" s="15"/>
      <c r="AAQ35" s="15"/>
      <c r="AAR35" s="15"/>
      <c r="AAS35" s="15"/>
      <c r="AAT35" s="15"/>
      <c r="AAU35" s="15"/>
      <c r="AAV35" s="15"/>
      <c r="AAW35" s="15"/>
      <c r="AAX35" s="15"/>
      <c r="AAY35" s="15"/>
      <c r="AAZ35" s="15"/>
      <c r="ABA35" s="15"/>
      <c r="ABB35" s="15"/>
      <c r="ABC35" s="15"/>
      <c r="ABD35" s="15"/>
      <c r="ABE35" s="15"/>
      <c r="ABF35" s="15"/>
      <c r="ABG35" s="15"/>
      <c r="ABH35" s="15"/>
      <c r="ABI35" s="15"/>
      <c r="ABJ35" s="15"/>
      <c r="ABK35" s="15"/>
      <c r="ABL35" s="15"/>
      <c r="ABM35" s="15"/>
      <c r="ABN35" s="15"/>
      <c r="ABO35" s="15"/>
      <c r="ABP35" s="15"/>
      <c r="ABQ35" s="15"/>
      <c r="ABR35" s="15"/>
      <c r="ABS35" s="15"/>
      <c r="ABT35" s="15"/>
      <c r="ABU35" s="15"/>
      <c r="ABV35" s="15"/>
      <c r="ABW35" s="15"/>
      <c r="ABX35" s="15"/>
      <c r="ABY35" s="15"/>
      <c r="ABZ35" s="15"/>
      <c r="ACA35" s="15"/>
      <c r="ACB35" s="15"/>
      <c r="ACC35" s="15"/>
      <c r="ACD35" s="15"/>
      <c r="ACE35" s="15"/>
      <c r="ACF35" s="15"/>
      <c r="ACG35" s="15"/>
      <c r="ACH35" s="15"/>
      <c r="ACI35" s="15"/>
      <c r="ACJ35" s="15"/>
      <c r="ACK35" s="15"/>
      <c r="ACL35" s="15"/>
      <c r="ACM35" s="15"/>
      <c r="ACN35" s="15"/>
      <c r="ACO35" s="15"/>
      <c r="ACP35" s="15"/>
      <c r="ACQ35" s="15"/>
      <c r="ACR35" s="15"/>
      <c r="ACS35" s="15"/>
      <c r="ACT35" s="15"/>
      <c r="ACU35" s="15"/>
      <c r="ACV35" s="15"/>
      <c r="ACW35" s="15"/>
      <c r="ACX35" s="15"/>
      <c r="ACY35" s="15"/>
      <c r="ACZ35" s="15"/>
      <c r="ADA35" s="15"/>
      <c r="ADB35" s="15"/>
      <c r="ADC35" s="15"/>
      <c r="ADD35" s="15"/>
      <c r="ADE35" s="15"/>
      <c r="ADF35" s="15"/>
      <c r="ADG35" s="15"/>
      <c r="ADH35" s="15"/>
      <c r="ADI35" s="15"/>
      <c r="ADJ35" s="15"/>
      <c r="ADK35" s="15"/>
      <c r="ADL35" s="15"/>
      <c r="ADM35" s="15"/>
      <c r="ADN35" s="15"/>
      <c r="ADO35" s="15"/>
      <c r="ADP35" s="15"/>
      <c r="ADQ35" s="15"/>
      <c r="ADR35" s="15"/>
      <c r="ADS35" s="15"/>
      <c r="ADT35" s="15"/>
      <c r="ADU35" s="15"/>
      <c r="ADV35" s="15"/>
      <c r="ADW35" s="15"/>
      <c r="ADX35" s="15"/>
      <c r="ADY35" s="15"/>
      <c r="ADZ35" s="15"/>
      <c r="AEA35" s="15"/>
      <c r="AEB35" s="15"/>
      <c r="AEC35" s="15"/>
      <c r="AED35" s="15"/>
      <c r="AEE35" s="15"/>
      <c r="AEF35" s="15"/>
      <c r="AEG35" s="15"/>
      <c r="AEH35" s="15"/>
      <c r="AEI35" s="15"/>
      <c r="AEJ35" s="15"/>
      <c r="AEK35" s="15"/>
      <c r="AEL35" s="15"/>
      <c r="AEM35" s="15"/>
      <c r="AEN35" s="15"/>
      <c r="AEO35" s="15"/>
      <c r="AEP35" s="15"/>
      <c r="AEQ35" s="15"/>
      <c r="AER35" s="15"/>
      <c r="AES35" s="15"/>
      <c r="AET35" s="15"/>
      <c r="AEU35" s="15"/>
      <c r="AEV35" s="15"/>
      <c r="AEW35" s="15"/>
      <c r="AEX35" s="15"/>
      <c r="AEY35" s="15"/>
      <c r="AEZ35" s="15"/>
      <c r="AFA35" s="15"/>
      <c r="AFB35" s="15"/>
      <c r="AFC35" s="15"/>
      <c r="AFD35" s="15"/>
      <c r="AFE35" s="15"/>
      <c r="AFF35" s="15"/>
      <c r="AFG35" s="15"/>
      <c r="AFH35" s="15"/>
      <c r="AFI35" s="15"/>
      <c r="AFJ35" s="15"/>
      <c r="AFK35" s="15"/>
      <c r="AFL35" s="15"/>
      <c r="AFM35" s="15"/>
      <c r="AFN35" s="15"/>
      <c r="AFO35" s="15"/>
      <c r="AFP35" s="15"/>
      <c r="AFQ35" s="15"/>
      <c r="AFR35" s="15"/>
      <c r="AFS35" s="15"/>
      <c r="AFT35" s="15"/>
      <c r="AFU35" s="15"/>
      <c r="AFV35" s="15"/>
      <c r="AFW35" s="15"/>
      <c r="AFX35" s="15"/>
      <c r="AFY35" s="15"/>
      <c r="AFZ35" s="15"/>
      <c r="AGA35" s="15"/>
      <c r="AGB35" s="15"/>
      <c r="AGC35" s="15"/>
      <c r="AGD35" s="15"/>
      <c r="AGE35" s="15"/>
      <c r="AGF35" s="15"/>
      <c r="AGG35" s="15"/>
      <c r="AGH35" s="15"/>
      <c r="AGI35" s="15"/>
      <c r="AGJ35" s="15"/>
      <c r="AGK35" s="15"/>
      <c r="AGL35" s="15"/>
      <c r="AGM35" s="15"/>
      <c r="AGN35" s="15"/>
      <c r="AGO35" s="15"/>
      <c r="AGP35" s="15"/>
      <c r="AGQ35" s="15"/>
      <c r="AGR35" s="15"/>
      <c r="AGS35" s="15"/>
      <c r="AGT35" s="15"/>
      <c r="AGU35" s="15"/>
      <c r="AGV35" s="15"/>
      <c r="AGW35" s="15"/>
      <c r="AGX35" s="15"/>
      <c r="AGY35" s="15"/>
      <c r="AGZ35" s="15"/>
      <c r="AHA35" s="15"/>
      <c r="AHB35" s="15"/>
      <c r="AHC35" s="15"/>
      <c r="AHD35" s="15"/>
      <c r="AHE35" s="15"/>
      <c r="AHF35" s="15"/>
      <c r="AHG35" s="15"/>
      <c r="AHH35" s="15"/>
      <c r="AHI35" s="15"/>
      <c r="AHJ35" s="15"/>
      <c r="AHK35" s="15"/>
      <c r="AHL35" s="15"/>
      <c r="AHM35" s="15"/>
      <c r="AHN35" s="15"/>
      <c r="AHO35" s="15"/>
      <c r="AHP35" s="15"/>
      <c r="AHQ35" s="15"/>
      <c r="AHR35" s="15"/>
      <c r="AHS35" s="15"/>
      <c r="AHT35" s="15"/>
      <c r="AHU35" s="15"/>
      <c r="AHV35" s="15"/>
      <c r="AHW35" s="15"/>
      <c r="AHX35" s="15"/>
      <c r="AHY35" s="15"/>
      <c r="AHZ35" s="15"/>
      <c r="AIA35" s="15"/>
      <c r="AIB35" s="15"/>
      <c r="AIC35" s="15"/>
      <c r="AID35" s="15"/>
      <c r="AIE35" s="15"/>
      <c r="AIF35" s="15"/>
      <c r="AIG35" s="15"/>
      <c r="AIH35" s="15"/>
      <c r="AII35" s="15"/>
      <c r="AIJ35" s="15"/>
      <c r="AIK35" s="15"/>
      <c r="AIL35" s="15"/>
      <c r="AIM35" s="15"/>
      <c r="AIN35" s="15"/>
      <c r="AIO35" s="15"/>
      <c r="AIP35" s="15"/>
      <c r="AIQ35" s="15"/>
      <c r="AIR35" s="15"/>
      <c r="AIS35" s="15"/>
      <c r="AIT35" s="15"/>
      <c r="AIU35" s="15"/>
      <c r="AIV35" s="15"/>
      <c r="AIW35" s="15"/>
      <c r="AIX35" s="15"/>
      <c r="AIY35" s="15"/>
      <c r="AIZ35" s="15"/>
      <c r="AJA35" s="15"/>
      <c r="AJB35" s="15"/>
      <c r="AJC35" s="15"/>
      <c r="AJD35" s="15"/>
      <c r="AJE35" s="15"/>
      <c r="AJF35" s="15"/>
      <c r="AJG35" s="15"/>
      <c r="AJH35" s="15"/>
      <c r="AJI35" s="15"/>
      <c r="AJJ35" s="15"/>
      <c r="AJK35" s="15"/>
      <c r="AJL35" s="15"/>
      <c r="AJM35" s="15"/>
      <c r="AJN35" s="15"/>
      <c r="AJO35" s="15"/>
      <c r="AJP35" s="15"/>
      <c r="AJQ35" s="15"/>
      <c r="AJR35" s="15"/>
      <c r="AJS35" s="15"/>
      <c r="AJT35" s="15"/>
      <c r="AJU35" s="15"/>
      <c r="AJV35" s="15"/>
      <c r="AJW35" s="15"/>
      <c r="AJX35" s="15"/>
      <c r="AJY35" s="15"/>
      <c r="AJZ35" s="15"/>
      <c r="AKA35" s="15"/>
      <c r="AKB35" s="15"/>
      <c r="AKC35" s="15"/>
      <c r="AKD35" s="15"/>
      <c r="AKE35" s="15"/>
      <c r="AKF35" s="15"/>
      <c r="AKG35" s="15"/>
      <c r="AKH35" s="15"/>
      <c r="AKI35" s="15"/>
      <c r="AKJ35" s="15"/>
      <c r="AKK35" s="15"/>
      <c r="AKL35" s="15"/>
      <c r="AKM35" s="15"/>
      <c r="AKN35" s="15"/>
      <c r="AKO35" s="15"/>
      <c r="AKP35" s="15"/>
      <c r="AKQ35" s="15"/>
      <c r="AKR35" s="15"/>
      <c r="AKS35" s="15"/>
      <c r="AKT35" s="15"/>
      <c r="AKU35" s="15"/>
      <c r="AKV35" s="15"/>
      <c r="AKW35" s="15"/>
      <c r="AKX35" s="15"/>
      <c r="AKY35" s="15"/>
      <c r="AKZ35" s="15"/>
      <c r="ALA35" s="15"/>
      <c r="ALB35" s="15"/>
      <c r="ALC35" s="15"/>
      <c r="ALD35" s="15"/>
      <c r="ALE35" s="15"/>
      <c r="ALF35" s="15"/>
      <c r="ALG35" s="15"/>
      <c r="ALH35" s="15"/>
      <c r="ALI35" s="15"/>
      <c r="ALJ35" s="15"/>
      <c r="ALK35" s="15"/>
      <c r="ALL35" s="15"/>
      <c r="ALM35" s="15"/>
      <c r="ALN35" s="15"/>
      <c r="ALO35" s="15"/>
      <c r="ALP35" s="15"/>
      <c r="ALQ35" s="15"/>
      <c r="ALR35" s="15"/>
      <c r="ALS35" s="15"/>
      <c r="ALT35" s="15"/>
      <c r="ALU35" s="15"/>
      <c r="ALV35" s="15"/>
      <c r="ALW35" s="15"/>
      <c r="ALX35" s="15"/>
      <c r="ALY35" s="15"/>
      <c r="ALZ35" s="15"/>
      <c r="AMA35" s="15"/>
      <c r="AMB35" s="15"/>
      <c r="AMC35" s="15"/>
      <c r="AMD35" s="15"/>
      <c r="AME35" s="15"/>
      <c r="AMF35" s="15"/>
      <c r="AMG35" s="14"/>
      <c r="AMH35" s="14"/>
      <c r="AMI35" s="14"/>
      <c r="AMJ35" s="14"/>
    </row>
    <row r="36" spans="1:1024" s="13" customFormat="1" ht="87" hidden="1" x14ac:dyDescent="0.35">
      <c r="A36" s="83">
        <v>43642</v>
      </c>
      <c r="B36" s="29" t="s">
        <v>364</v>
      </c>
      <c r="C36" s="29" t="s">
        <v>416</v>
      </c>
      <c r="D36" s="30">
        <v>43653</v>
      </c>
      <c r="E36" s="29" t="s">
        <v>362</v>
      </c>
      <c r="F36" s="31">
        <v>0.58333333333333304</v>
      </c>
      <c r="G36" s="31">
        <v>0.61111111111111105</v>
      </c>
      <c r="H36" s="31">
        <v>0.625</v>
      </c>
      <c r="I36" s="17">
        <v>260</v>
      </c>
      <c r="J36" s="17" t="s">
        <v>415</v>
      </c>
      <c r="K36" s="17" t="s">
        <v>119</v>
      </c>
      <c r="L36" s="16" t="s">
        <v>17</v>
      </c>
      <c r="M36" s="15">
        <v>260</v>
      </c>
      <c r="N36" s="15"/>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15"/>
      <c r="CR36" s="15"/>
      <c r="CS36" s="15"/>
      <c r="CT36" s="15"/>
      <c r="CU36" s="15"/>
      <c r="CV36" s="15"/>
      <c r="CW36" s="15"/>
      <c r="CX36" s="15"/>
      <c r="CY36" s="15"/>
      <c r="CZ36" s="15"/>
      <c r="DA36" s="15"/>
      <c r="DB36" s="15"/>
      <c r="DC36" s="15"/>
      <c r="DD36" s="15"/>
      <c r="DE36" s="15"/>
      <c r="DF36" s="15"/>
      <c r="DG36" s="15"/>
      <c r="DH36" s="15"/>
      <c r="DI36" s="15"/>
      <c r="DJ36" s="15"/>
      <c r="DK36" s="15"/>
      <c r="DL36" s="15"/>
      <c r="DM36" s="15"/>
      <c r="DN36" s="15"/>
      <c r="DO36" s="15"/>
      <c r="DP36" s="15"/>
      <c r="DQ36" s="15"/>
      <c r="DR36" s="15"/>
      <c r="DS36" s="15"/>
      <c r="DT36" s="15"/>
      <c r="DU36" s="15"/>
      <c r="DV36" s="15"/>
      <c r="DW36" s="15"/>
      <c r="DX36" s="15"/>
      <c r="DY36" s="15"/>
      <c r="DZ36" s="15"/>
      <c r="EA36" s="15"/>
      <c r="EB36" s="15"/>
      <c r="EC36" s="15"/>
      <c r="ED36" s="15"/>
      <c r="EE36" s="15"/>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c r="ID36" s="15"/>
      <c r="IE36" s="15"/>
      <c r="IF36" s="15"/>
      <c r="IG36" s="15"/>
      <c r="IH36" s="15"/>
      <c r="II36" s="15"/>
      <c r="IJ36" s="15"/>
      <c r="IK36" s="15"/>
      <c r="IL36" s="15"/>
      <c r="IM36" s="15"/>
      <c r="IN36" s="15"/>
      <c r="IO36" s="15"/>
      <c r="IP36" s="15"/>
      <c r="IQ36" s="15"/>
      <c r="IR36" s="15"/>
      <c r="IS36" s="15"/>
      <c r="IT36" s="15"/>
      <c r="IU36" s="15"/>
      <c r="IV36" s="15"/>
      <c r="IW36" s="15"/>
      <c r="IX36" s="15"/>
      <c r="IY36" s="15"/>
      <c r="IZ36" s="15"/>
      <c r="JA36" s="15"/>
      <c r="JB36" s="15"/>
      <c r="JC36" s="15"/>
      <c r="JD36" s="15"/>
      <c r="JE36" s="15"/>
      <c r="JF36" s="15"/>
      <c r="JG36" s="15"/>
      <c r="JH36" s="15"/>
      <c r="JI36" s="15"/>
      <c r="JJ36" s="15"/>
      <c r="JK36" s="15"/>
      <c r="JL36" s="15"/>
      <c r="JM36" s="15"/>
      <c r="JN36" s="15"/>
      <c r="JO36" s="15"/>
      <c r="JP36" s="15"/>
      <c r="JQ36" s="15"/>
      <c r="JR36" s="15"/>
      <c r="JS36" s="15"/>
      <c r="JT36" s="15"/>
      <c r="JU36" s="15"/>
      <c r="JV36" s="15"/>
      <c r="JW36" s="15"/>
      <c r="JX36" s="15"/>
      <c r="JY36" s="15"/>
      <c r="JZ36" s="15"/>
      <c r="KA36" s="15"/>
      <c r="KB36" s="15"/>
      <c r="KC36" s="15"/>
      <c r="KD36" s="15"/>
      <c r="KE36" s="15"/>
      <c r="KF36" s="15"/>
      <c r="KG36" s="15"/>
      <c r="KH36" s="15"/>
      <c r="KI36" s="15"/>
      <c r="KJ36" s="15"/>
      <c r="KK36" s="15"/>
      <c r="KL36" s="15"/>
      <c r="KM36" s="15"/>
      <c r="KN36" s="15"/>
      <c r="KO36" s="15"/>
      <c r="KP36" s="15"/>
      <c r="KQ36" s="15"/>
      <c r="KR36" s="15"/>
      <c r="KS36" s="15"/>
      <c r="KT36" s="15"/>
      <c r="KU36" s="15"/>
      <c r="KV36" s="15"/>
      <c r="KW36" s="15"/>
      <c r="KX36" s="15"/>
      <c r="KY36" s="15"/>
      <c r="KZ36" s="15"/>
      <c r="LA36" s="15"/>
      <c r="LB36" s="15"/>
      <c r="LC36" s="15"/>
      <c r="LD36" s="15"/>
      <c r="LE36" s="15"/>
      <c r="LF36" s="15"/>
      <c r="LG36" s="15"/>
      <c r="LH36" s="15"/>
      <c r="LI36" s="15"/>
      <c r="LJ36" s="15"/>
      <c r="LK36" s="15"/>
      <c r="LL36" s="15"/>
      <c r="LM36" s="15"/>
      <c r="LN36" s="15"/>
      <c r="LO36" s="15"/>
      <c r="LP36" s="15"/>
      <c r="LQ36" s="15"/>
      <c r="LR36" s="15"/>
      <c r="LS36" s="15"/>
      <c r="LT36" s="15"/>
      <c r="LU36" s="15"/>
      <c r="LV36" s="15"/>
      <c r="LW36" s="15"/>
      <c r="LX36" s="15"/>
      <c r="LY36" s="15"/>
      <c r="LZ36" s="15"/>
      <c r="MA36" s="15"/>
      <c r="MB36" s="15"/>
      <c r="MC36" s="15"/>
      <c r="MD36" s="15"/>
      <c r="ME36" s="15"/>
      <c r="MF36" s="15"/>
      <c r="MG36" s="15"/>
      <c r="MH36" s="15"/>
      <c r="MI36" s="15"/>
      <c r="MJ36" s="15"/>
      <c r="MK36" s="15"/>
      <c r="ML36" s="15"/>
      <c r="MM36" s="15"/>
      <c r="MN36" s="15"/>
      <c r="MO36" s="15"/>
      <c r="MP36" s="15"/>
      <c r="MQ36" s="15"/>
      <c r="MR36" s="15"/>
      <c r="MS36" s="15"/>
      <c r="MT36" s="15"/>
      <c r="MU36" s="15"/>
      <c r="MV36" s="15"/>
      <c r="MW36" s="15"/>
      <c r="MX36" s="15"/>
      <c r="MY36" s="15"/>
      <c r="MZ36" s="15"/>
      <c r="NA36" s="15"/>
      <c r="NB36" s="15"/>
      <c r="NC36" s="15"/>
      <c r="ND36" s="15"/>
      <c r="NE36" s="15"/>
      <c r="NF36" s="15"/>
      <c r="NG36" s="15"/>
      <c r="NH36" s="15"/>
      <c r="NI36" s="15"/>
      <c r="NJ36" s="15"/>
      <c r="NK36" s="15"/>
      <c r="NL36" s="15"/>
      <c r="NM36" s="15"/>
      <c r="NN36" s="15"/>
      <c r="NO36" s="15"/>
      <c r="NP36" s="15"/>
      <c r="NQ36" s="15"/>
      <c r="NR36" s="15"/>
      <c r="NS36" s="15"/>
      <c r="NT36" s="15"/>
      <c r="NU36" s="15"/>
      <c r="NV36" s="15"/>
      <c r="NW36" s="15"/>
      <c r="NX36" s="15"/>
      <c r="NY36" s="15"/>
      <c r="NZ36" s="15"/>
      <c r="OA36" s="15"/>
      <c r="OB36" s="15"/>
      <c r="OC36" s="15"/>
      <c r="OD36" s="15"/>
      <c r="OE36" s="15"/>
      <c r="OF36" s="15"/>
      <c r="OG36" s="15"/>
      <c r="OH36" s="15"/>
      <c r="OI36" s="15"/>
      <c r="OJ36" s="15"/>
      <c r="OK36" s="15"/>
      <c r="OL36" s="15"/>
      <c r="OM36" s="15"/>
      <c r="ON36" s="15"/>
      <c r="OO36" s="15"/>
      <c r="OP36" s="15"/>
      <c r="OQ36" s="15"/>
      <c r="OR36" s="15"/>
      <c r="OS36" s="15"/>
      <c r="OT36" s="15"/>
      <c r="OU36" s="15"/>
      <c r="OV36" s="15"/>
      <c r="OW36" s="15"/>
      <c r="OX36" s="15"/>
      <c r="OY36" s="15"/>
      <c r="OZ36" s="15"/>
      <c r="PA36" s="15"/>
      <c r="PB36" s="15"/>
      <c r="PC36" s="15"/>
      <c r="PD36" s="15"/>
      <c r="PE36" s="15"/>
      <c r="PF36" s="15"/>
      <c r="PG36" s="15"/>
      <c r="PH36" s="15"/>
      <c r="PI36" s="15"/>
      <c r="PJ36" s="15"/>
      <c r="PK36" s="15"/>
      <c r="PL36" s="15"/>
      <c r="PM36" s="15"/>
      <c r="PN36" s="15"/>
      <c r="PO36" s="15"/>
      <c r="PP36" s="15"/>
      <c r="PQ36" s="15"/>
      <c r="PR36" s="15"/>
      <c r="PS36" s="15"/>
      <c r="PT36" s="15"/>
      <c r="PU36" s="15"/>
      <c r="PV36" s="15"/>
      <c r="PW36" s="15"/>
      <c r="PX36" s="15"/>
      <c r="PY36" s="15"/>
      <c r="PZ36" s="15"/>
      <c r="QA36" s="15"/>
      <c r="QB36" s="15"/>
      <c r="QC36" s="15"/>
      <c r="QD36" s="15"/>
      <c r="QE36" s="15"/>
      <c r="QF36" s="15"/>
      <c r="QG36" s="15"/>
      <c r="QH36" s="15"/>
      <c r="QI36" s="15"/>
      <c r="QJ36" s="15"/>
      <c r="QK36" s="15"/>
      <c r="QL36" s="15"/>
      <c r="QM36" s="15"/>
      <c r="QN36" s="15"/>
      <c r="QO36" s="15"/>
      <c r="QP36" s="15"/>
      <c r="QQ36" s="15"/>
      <c r="QR36" s="15"/>
      <c r="QS36" s="15"/>
      <c r="QT36" s="15"/>
      <c r="QU36" s="15"/>
      <c r="QV36" s="15"/>
      <c r="QW36" s="15"/>
      <c r="QX36" s="15"/>
      <c r="QY36" s="15"/>
      <c r="QZ36" s="15"/>
      <c r="RA36" s="15"/>
      <c r="RB36" s="15"/>
      <c r="RC36" s="15"/>
      <c r="RD36" s="15"/>
      <c r="RE36" s="15"/>
      <c r="RF36" s="15"/>
      <c r="RG36" s="15"/>
      <c r="RH36" s="15"/>
      <c r="RI36" s="15"/>
      <c r="RJ36" s="15"/>
      <c r="RK36" s="15"/>
      <c r="RL36" s="15"/>
      <c r="RM36" s="15"/>
      <c r="RN36" s="15"/>
      <c r="RO36" s="15"/>
      <c r="RP36" s="15"/>
      <c r="RQ36" s="15"/>
      <c r="RR36" s="15"/>
      <c r="RS36" s="15"/>
      <c r="RT36" s="15"/>
      <c r="RU36" s="15"/>
      <c r="RV36" s="15"/>
      <c r="RW36" s="15"/>
      <c r="RX36" s="15"/>
      <c r="RY36" s="15"/>
      <c r="RZ36" s="15"/>
      <c r="SA36" s="15"/>
      <c r="SB36" s="15"/>
      <c r="SC36" s="15"/>
      <c r="SD36" s="15"/>
      <c r="SE36" s="15"/>
      <c r="SF36" s="15"/>
      <c r="SG36" s="15"/>
      <c r="SH36" s="15"/>
      <c r="SI36" s="15"/>
      <c r="SJ36" s="15"/>
      <c r="SK36" s="15"/>
      <c r="SL36" s="15"/>
      <c r="SM36" s="15"/>
      <c r="SN36" s="15"/>
      <c r="SO36" s="15"/>
      <c r="SP36" s="15"/>
      <c r="SQ36" s="15"/>
      <c r="SR36" s="15"/>
      <c r="SS36" s="15"/>
      <c r="ST36" s="15"/>
      <c r="SU36" s="15"/>
      <c r="SV36" s="15"/>
      <c r="SW36" s="15"/>
      <c r="SX36" s="15"/>
      <c r="SY36" s="15"/>
      <c r="SZ36" s="15"/>
      <c r="TA36" s="15"/>
      <c r="TB36" s="15"/>
      <c r="TC36" s="15"/>
      <c r="TD36" s="15"/>
      <c r="TE36" s="15"/>
      <c r="TF36" s="15"/>
      <c r="TG36" s="15"/>
      <c r="TH36" s="15"/>
      <c r="TI36" s="15"/>
      <c r="TJ36" s="15"/>
      <c r="TK36" s="15"/>
      <c r="TL36" s="15"/>
      <c r="TM36" s="15"/>
      <c r="TN36" s="15"/>
      <c r="TO36" s="15"/>
      <c r="TP36" s="15"/>
      <c r="TQ36" s="15"/>
      <c r="TR36" s="15"/>
      <c r="TS36" s="15"/>
      <c r="TT36" s="15"/>
      <c r="TU36" s="15"/>
      <c r="TV36" s="15"/>
      <c r="TW36" s="15"/>
      <c r="TX36" s="15"/>
      <c r="TY36" s="15"/>
      <c r="TZ36" s="15"/>
      <c r="UA36" s="15"/>
      <c r="UB36" s="15"/>
      <c r="UC36" s="15"/>
      <c r="UD36" s="15"/>
      <c r="UE36" s="15"/>
      <c r="UF36" s="15"/>
      <c r="UG36" s="15"/>
      <c r="UH36" s="15"/>
      <c r="UI36" s="15"/>
      <c r="UJ36" s="15"/>
      <c r="UK36" s="15"/>
      <c r="UL36" s="15"/>
      <c r="UM36" s="15"/>
      <c r="UN36" s="15"/>
      <c r="UO36" s="15"/>
      <c r="UP36" s="15"/>
      <c r="UQ36" s="15"/>
      <c r="UR36" s="15"/>
      <c r="US36" s="15"/>
      <c r="UT36" s="15"/>
      <c r="UU36" s="15"/>
      <c r="UV36" s="15"/>
      <c r="UW36" s="15"/>
      <c r="UX36" s="15"/>
      <c r="UY36" s="15"/>
      <c r="UZ36" s="15"/>
      <c r="VA36" s="15"/>
      <c r="VB36" s="15"/>
      <c r="VC36" s="15"/>
      <c r="VD36" s="15"/>
      <c r="VE36" s="15"/>
      <c r="VF36" s="15"/>
      <c r="VG36" s="15"/>
      <c r="VH36" s="15"/>
      <c r="VI36" s="15"/>
      <c r="VJ36" s="15"/>
      <c r="VK36" s="15"/>
      <c r="VL36" s="15"/>
      <c r="VM36" s="15"/>
      <c r="VN36" s="15"/>
      <c r="VO36" s="15"/>
      <c r="VP36" s="15"/>
      <c r="VQ36" s="15"/>
      <c r="VR36" s="15"/>
      <c r="VS36" s="15"/>
      <c r="VT36" s="15"/>
      <c r="VU36" s="15"/>
      <c r="VV36" s="15"/>
      <c r="VW36" s="15"/>
      <c r="VX36" s="15"/>
      <c r="VY36" s="15"/>
      <c r="VZ36" s="15"/>
      <c r="WA36" s="15"/>
      <c r="WB36" s="15"/>
      <c r="WC36" s="15"/>
      <c r="WD36" s="15"/>
      <c r="WE36" s="15"/>
      <c r="WF36" s="15"/>
      <c r="WG36" s="15"/>
      <c r="WH36" s="15"/>
      <c r="WI36" s="15"/>
      <c r="WJ36" s="15"/>
      <c r="WK36" s="15"/>
      <c r="WL36" s="15"/>
      <c r="WM36" s="15"/>
      <c r="WN36" s="15"/>
      <c r="WO36" s="15"/>
      <c r="WP36" s="15"/>
      <c r="WQ36" s="15"/>
      <c r="WR36" s="15"/>
      <c r="WS36" s="15"/>
      <c r="WT36" s="15"/>
      <c r="WU36" s="15"/>
      <c r="WV36" s="15"/>
      <c r="WW36" s="15"/>
      <c r="WX36" s="15"/>
      <c r="WY36" s="15"/>
      <c r="WZ36" s="15"/>
      <c r="XA36" s="15"/>
      <c r="XB36" s="15"/>
      <c r="XC36" s="15"/>
      <c r="XD36" s="15"/>
      <c r="XE36" s="15"/>
      <c r="XF36" s="15"/>
      <c r="XG36" s="15"/>
      <c r="XH36" s="15"/>
      <c r="XI36" s="15"/>
      <c r="XJ36" s="15"/>
      <c r="XK36" s="15"/>
      <c r="XL36" s="15"/>
      <c r="XM36" s="15"/>
      <c r="XN36" s="15"/>
      <c r="XO36" s="15"/>
      <c r="XP36" s="15"/>
      <c r="XQ36" s="15"/>
      <c r="XR36" s="15"/>
      <c r="XS36" s="15"/>
      <c r="XT36" s="15"/>
      <c r="XU36" s="15"/>
      <c r="XV36" s="15"/>
      <c r="XW36" s="15"/>
      <c r="XX36" s="15"/>
      <c r="XY36" s="15"/>
      <c r="XZ36" s="15"/>
      <c r="YA36" s="15"/>
      <c r="YB36" s="15"/>
      <c r="YC36" s="15"/>
      <c r="YD36" s="15"/>
      <c r="YE36" s="15"/>
      <c r="YF36" s="15"/>
      <c r="YG36" s="15"/>
      <c r="YH36" s="15"/>
      <c r="YI36" s="15"/>
      <c r="YJ36" s="15"/>
      <c r="YK36" s="15"/>
      <c r="YL36" s="15"/>
      <c r="YM36" s="15"/>
      <c r="YN36" s="15"/>
      <c r="YO36" s="15"/>
      <c r="YP36" s="15"/>
      <c r="YQ36" s="15"/>
      <c r="YR36" s="15"/>
      <c r="YS36" s="15"/>
      <c r="YT36" s="15"/>
      <c r="YU36" s="15"/>
      <c r="YV36" s="15"/>
      <c r="YW36" s="15"/>
      <c r="YX36" s="15"/>
      <c r="YY36" s="15"/>
      <c r="YZ36" s="15"/>
      <c r="ZA36" s="15"/>
      <c r="ZB36" s="15"/>
      <c r="ZC36" s="15"/>
      <c r="ZD36" s="15"/>
      <c r="ZE36" s="15"/>
      <c r="ZF36" s="15"/>
      <c r="ZG36" s="15"/>
      <c r="ZH36" s="15"/>
      <c r="ZI36" s="15"/>
      <c r="ZJ36" s="15"/>
      <c r="ZK36" s="15"/>
      <c r="ZL36" s="15"/>
      <c r="ZM36" s="15"/>
      <c r="ZN36" s="15"/>
      <c r="ZO36" s="15"/>
      <c r="ZP36" s="15"/>
      <c r="ZQ36" s="15"/>
      <c r="ZR36" s="15"/>
      <c r="ZS36" s="15"/>
      <c r="ZT36" s="15"/>
      <c r="ZU36" s="15"/>
      <c r="ZV36" s="15"/>
      <c r="ZW36" s="15"/>
      <c r="ZX36" s="15"/>
      <c r="ZY36" s="15"/>
      <c r="ZZ36" s="15"/>
      <c r="AAA36" s="15"/>
      <c r="AAB36" s="15"/>
      <c r="AAC36" s="15"/>
      <c r="AAD36" s="15"/>
      <c r="AAE36" s="15"/>
      <c r="AAF36" s="15"/>
      <c r="AAG36" s="15"/>
      <c r="AAH36" s="15"/>
      <c r="AAI36" s="15"/>
      <c r="AAJ36" s="15"/>
      <c r="AAK36" s="15"/>
      <c r="AAL36" s="15"/>
      <c r="AAM36" s="15"/>
      <c r="AAN36" s="15"/>
      <c r="AAO36" s="15"/>
      <c r="AAP36" s="15"/>
      <c r="AAQ36" s="15"/>
      <c r="AAR36" s="15"/>
      <c r="AAS36" s="15"/>
      <c r="AAT36" s="15"/>
      <c r="AAU36" s="15"/>
      <c r="AAV36" s="15"/>
      <c r="AAW36" s="15"/>
      <c r="AAX36" s="15"/>
      <c r="AAY36" s="15"/>
      <c r="AAZ36" s="15"/>
      <c r="ABA36" s="15"/>
      <c r="ABB36" s="15"/>
      <c r="ABC36" s="15"/>
      <c r="ABD36" s="15"/>
      <c r="ABE36" s="15"/>
      <c r="ABF36" s="15"/>
      <c r="ABG36" s="15"/>
      <c r="ABH36" s="15"/>
      <c r="ABI36" s="15"/>
      <c r="ABJ36" s="15"/>
      <c r="ABK36" s="15"/>
      <c r="ABL36" s="15"/>
      <c r="ABM36" s="15"/>
      <c r="ABN36" s="15"/>
      <c r="ABO36" s="15"/>
      <c r="ABP36" s="15"/>
      <c r="ABQ36" s="15"/>
      <c r="ABR36" s="15"/>
      <c r="ABS36" s="15"/>
      <c r="ABT36" s="15"/>
      <c r="ABU36" s="15"/>
      <c r="ABV36" s="15"/>
      <c r="ABW36" s="15"/>
      <c r="ABX36" s="15"/>
      <c r="ABY36" s="15"/>
      <c r="ABZ36" s="15"/>
      <c r="ACA36" s="15"/>
      <c r="ACB36" s="15"/>
      <c r="ACC36" s="15"/>
      <c r="ACD36" s="15"/>
      <c r="ACE36" s="15"/>
      <c r="ACF36" s="15"/>
      <c r="ACG36" s="15"/>
      <c r="ACH36" s="15"/>
      <c r="ACI36" s="15"/>
      <c r="ACJ36" s="15"/>
      <c r="ACK36" s="15"/>
      <c r="ACL36" s="15"/>
      <c r="ACM36" s="15"/>
      <c r="ACN36" s="15"/>
      <c r="ACO36" s="15"/>
      <c r="ACP36" s="15"/>
      <c r="ACQ36" s="15"/>
      <c r="ACR36" s="15"/>
      <c r="ACS36" s="15"/>
      <c r="ACT36" s="15"/>
      <c r="ACU36" s="15"/>
      <c r="ACV36" s="15"/>
      <c r="ACW36" s="15"/>
      <c r="ACX36" s="15"/>
      <c r="ACY36" s="15"/>
      <c r="ACZ36" s="15"/>
      <c r="ADA36" s="15"/>
      <c r="ADB36" s="15"/>
      <c r="ADC36" s="15"/>
      <c r="ADD36" s="15"/>
      <c r="ADE36" s="15"/>
      <c r="ADF36" s="15"/>
      <c r="ADG36" s="15"/>
      <c r="ADH36" s="15"/>
      <c r="ADI36" s="15"/>
      <c r="ADJ36" s="15"/>
      <c r="ADK36" s="15"/>
      <c r="ADL36" s="15"/>
      <c r="ADM36" s="15"/>
      <c r="ADN36" s="15"/>
      <c r="ADO36" s="15"/>
      <c r="ADP36" s="15"/>
      <c r="ADQ36" s="15"/>
      <c r="ADR36" s="15"/>
      <c r="ADS36" s="15"/>
      <c r="ADT36" s="15"/>
      <c r="ADU36" s="15"/>
      <c r="ADV36" s="15"/>
      <c r="ADW36" s="15"/>
      <c r="ADX36" s="15"/>
      <c r="ADY36" s="15"/>
      <c r="ADZ36" s="15"/>
      <c r="AEA36" s="15"/>
      <c r="AEB36" s="15"/>
      <c r="AEC36" s="15"/>
      <c r="AED36" s="15"/>
      <c r="AEE36" s="15"/>
      <c r="AEF36" s="15"/>
      <c r="AEG36" s="15"/>
      <c r="AEH36" s="15"/>
      <c r="AEI36" s="15"/>
      <c r="AEJ36" s="15"/>
      <c r="AEK36" s="15"/>
      <c r="AEL36" s="15"/>
      <c r="AEM36" s="15"/>
      <c r="AEN36" s="15"/>
      <c r="AEO36" s="15"/>
      <c r="AEP36" s="15"/>
      <c r="AEQ36" s="15"/>
      <c r="AER36" s="15"/>
      <c r="AES36" s="15"/>
      <c r="AET36" s="15"/>
      <c r="AEU36" s="15"/>
      <c r="AEV36" s="15"/>
      <c r="AEW36" s="15"/>
      <c r="AEX36" s="15"/>
      <c r="AEY36" s="15"/>
      <c r="AEZ36" s="15"/>
      <c r="AFA36" s="15"/>
      <c r="AFB36" s="15"/>
      <c r="AFC36" s="15"/>
      <c r="AFD36" s="15"/>
      <c r="AFE36" s="15"/>
      <c r="AFF36" s="15"/>
      <c r="AFG36" s="15"/>
      <c r="AFH36" s="15"/>
      <c r="AFI36" s="15"/>
      <c r="AFJ36" s="15"/>
      <c r="AFK36" s="15"/>
      <c r="AFL36" s="15"/>
      <c r="AFM36" s="15"/>
      <c r="AFN36" s="15"/>
      <c r="AFO36" s="15"/>
      <c r="AFP36" s="15"/>
      <c r="AFQ36" s="15"/>
      <c r="AFR36" s="15"/>
      <c r="AFS36" s="15"/>
      <c r="AFT36" s="15"/>
      <c r="AFU36" s="15"/>
      <c r="AFV36" s="15"/>
      <c r="AFW36" s="15"/>
      <c r="AFX36" s="15"/>
      <c r="AFY36" s="15"/>
      <c r="AFZ36" s="15"/>
      <c r="AGA36" s="15"/>
      <c r="AGB36" s="15"/>
      <c r="AGC36" s="15"/>
      <c r="AGD36" s="15"/>
      <c r="AGE36" s="15"/>
      <c r="AGF36" s="15"/>
      <c r="AGG36" s="15"/>
      <c r="AGH36" s="15"/>
      <c r="AGI36" s="15"/>
      <c r="AGJ36" s="15"/>
      <c r="AGK36" s="15"/>
      <c r="AGL36" s="15"/>
      <c r="AGM36" s="15"/>
      <c r="AGN36" s="15"/>
      <c r="AGO36" s="15"/>
      <c r="AGP36" s="15"/>
      <c r="AGQ36" s="15"/>
      <c r="AGR36" s="15"/>
      <c r="AGS36" s="15"/>
      <c r="AGT36" s="15"/>
      <c r="AGU36" s="15"/>
      <c r="AGV36" s="15"/>
      <c r="AGW36" s="15"/>
      <c r="AGX36" s="15"/>
      <c r="AGY36" s="15"/>
      <c r="AGZ36" s="15"/>
      <c r="AHA36" s="15"/>
      <c r="AHB36" s="15"/>
      <c r="AHC36" s="15"/>
      <c r="AHD36" s="15"/>
      <c r="AHE36" s="15"/>
      <c r="AHF36" s="15"/>
      <c r="AHG36" s="15"/>
      <c r="AHH36" s="15"/>
      <c r="AHI36" s="15"/>
      <c r="AHJ36" s="15"/>
      <c r="AHK36" s="15"/>
      <c r="AHL36" s="15"/>
      <c r="AHM36" s="15"/>
      <c r="AHN36" s="15"/>
      <c r="AHO36" s="15"/>
      <c r="AHP36" s="15"/>
      <c r="AHQ36" s="15"/>
      <c r="AHR36" s="15"/>
      <c r="AHS36" s="15"/>
      <c r="AHT36" s="15"/>
      <c r="AHU36" s="15"/>
      <c r="AHV36" s="15"/>
      <c r="AHW36" s="15"/>
      <c r="AHX36" s="15"/>
      <c r="AHY36" s="15"/>
      <c r="AHZ36" s="15"/>
      <c r="AIA36" s="15"/>
      <c r="AIB36" s="15"/>
      <c r="AIC36" s="15"/>
      <c r="AID36" s="15"/>
      <c r="AIE36" s="15"/>
      <c r="AIF36" s="15"/>
      <c r="AIG36" s="15"/>
      <c r="AIH36" s="15"/>
      <c r="AII36" s="15"/>
      <c r="AIJ36" s="15"/>
      <c r="AIK36" s="15"/>
      <c r="AIL36" s="15"/>
      <c r="AIM36" s="15"/>
      <c r="AIN36" s="15"/>
      <c r="AIO36" s="15"/>
      <c r="AIP36" s="15"/>
      <c r="AIQ36" s="15"/>
      <c r="AIR36" s="15"/>
      <c r="AIS36" s="15"/>
      <c r="AIT36" s="15"/>
      <c r="AIU36" s="15"/>
      <c r="AIV36" s="15"/>
      <c r="AIW36" s="15"/>
      <c r="AIX36" s="15"/>
      <c r="AIY36" s="15"/>
      <c r="AIZ36" s="15"/>
      <c r="AJA36" s="15"/>
      <c r="AJB36" s="15"/>
      <c r="AJC36" s="15"/>
      <c r="AJD36" s="15"/>
      <c r="AJE36" s="15"/>
      <c r="AJF36" s="15"/>
      <c r="AJG36" s="15"/>
      <c r="AJH36" s="15"/>
      <c r="AJI36" s="15"/>
      <c r="AJJ36" s="15"/>
      <c r="AJK36" s="15"/>
      <c r="AJL36" s="15"/>
      <c r="AJM36" s="15"/>
      <c r="AJN36" s="15"/>
      <c r="AJO36" s="15"/>
      <c r="AJP36" s="15"/>
      <c r="AJQ36" s="15"/>
      <c r="AJR36" s="15"/>
      <c r="AJS36" s="15"/>
      <c r="AJT36" s="15"/>
      <c r="AJU36" s="15"/>
      <c r="AJV36" s="15"/>
      <c r="AJW36" s="15"/>
      <c r="AJX36" s="15"/>
      <c r="AJY36" s="15"/>
      <c r="AJZ36" s="15"/>
      <c r="AKA36" s="15"/>
      <c r="AKB36" s="15"/>
      <c r="AKC36" s="15"/>
      <c r="AKD36" s="15"/>
      <c r="AKE36" s="15"/>
      <c r="AKF36" s="15"/>
      <c r="AKG36" s="15"/>
      <c r="AKH36" s="15"/>
      <c r="AKI36" s="15"/>
      <c r="AKJ36" s="15"/>
      <c r="AKK36" s="15"/>
      <c r="AKL36" s="15"/>
      <c r="AKM36" s="15"/>
      <c r="AKN36" s="15"/>
      <c r="AKO36" s="15"/>
      <c r="AKP36" s="15"/>
      <c r="AKQ36" s="15"/>
      <c r="AKR36" s="15"/>
      <c r="AKS36" s="15"/>
      <c r="AKT36" s="15"/>
      <c r="AKU36" s="15"/>
      <c r="AKV36" s="15"/>
      <c r="AKW36" s="15"/>
      <c r="AKX36" s="15"/>
      <c r="AKY36" s="15"/>
      <c r="AKZ36" s="15"/>
      <c r="ALA36" s="15"/>
      <c r="ALB36" s="15"/>
      <c r="ALC36" s="15"/>
      <c r="ALD36" s="15"/>
      <c r="ALE36" s="15"/>
      <c r="ALF36" s="15"/>
      <c r="ALG36" s="15"/>
      <c r="ALH36" s="15"/>
      <c r="ALI36" s="15"/>
      <c r="ALJ36" s="15"/>
      <c r="ALK36" s="15"/>
      <c r="ALL36" s="15"/>
      <c r="ALM36" s="15"/>
      <c r="ALN36" s="15"/>
      <c r="ALO36" s="15"/>
      <c r="ALP36" s="15"/>
      <c r="ALQ36" s="15"/>
      <c r="ALR36" s="15"/>
      <c r="ALS36" s="15"/>
      <c r="ALT36" s="15"/>
      <c r="ALU36" s="15"/>
      <c r="ALV36" s="15"/>
      <c r="ALW36" s="15"/>
      <c r="ALX36" s="15"/>
      <c r="ALY36" s="15"/>
      <c r="ALZ36" s="15"/>
      <c r="AMA36" s="15"/>
      <c r="AMB36" s="15"/>
      <c r="AMC36" s="15"/>
      <c r="AMD36" s="15"/>
      <c r="AME36" s="15"/>
      <c r="AMF36" s="15"/>
      <c r="AMG36" s="14"/>
      <c r="AMH36" s="14"/>
      <c r="AMI36" s="14"/>
      <c r="AMJ36" s="14"/>
    </row>
    <row r="37" spans="1:1024" s="13" customFormat="1" ht="87" hidden="1" x14ac:dyDescent="0.35">
      <c r="A37" s="19">
        <v>43648</v>
      </c>
      <c r="B37" s="17" t="s">
        <v>25</v>
      </c>
      <c r="C37" s="17" t="s">
        <v>414</v>
      </c>
      <c r="D37" s="18">
        <v>43653</v>
      </c>
      <c r="E37" s="17" t="s">
        <v>27</v>
      </c>
      <c r="F37" s="26">
        <v>0.58333333333333304</v>
      </c>
      <c r="G37" s="26">
        <v>0.65625</v>
      </c>
      <c r="H37" s="26">
        <v>0.67708333333333304</v>
      </c>
      <c r="I37" s="17">
        <v>471</v>
      </c>
      <c r="J37" s="42" t="s">
        <v>252</v>
      </c>
      <c r="K37" s="17" t="s">
        <v>119</v>
      </c>
      <c r="L37" s="16" t="s">
        <v>17</v>
      </c>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c r="CT37" s="15"/>
      <c r="CU37" s="15"/>
      <c r="CV37" s="15"/>
      <c r="CW37" s="15"/>
      <c r="CX37" s="15"/>
      <c r="CY37" s="15"/>
      <c r="CZ37" s="15"/>
      <c r="DA37" s="15"/>
      <c r="DB37" s="15"/>
      <c r="DC37" s="15"/>
      <c r="DD37" s="15"/>
      <c r="DE37" s="15"/>
      <c r="DF37" s="15"/>
      <c r="DG37" s="15"/>
      <c r="DH37" s="15"/>
      <c r="DI37" s="15"/>
      <c r="DJ37" s="15"/>
      <c r="DK37" s="15"/>
      <c r="DL37" s="15"/>
      <c r="DM37" s="15"/>
      <c r="DN37" s="15"/>
      <c r="DO37" s="15"/>
      <c r="DP37" s="15"/>
      <c r="DQ37" s="15"/>
      <c r="DR37" s="15"/>
      <c r="DS37" s="15"/>
      <c r="DT37" s="15"/>
      <c r="DU37" s="15"/>
      <c r="DV37" s="15"/>
      <c r="DW37" s="15"/>
      <c r="DX37" s="15"/>
      <c r="DY37" s="15"/>
      <c r="DZ37" s="15"/>
      <c r="EA37" s="15"/>
      <c r="EB37" s="15"/>
      <c r="EC37" s="15"/>
      <c r="ED37" s="15"/>
      <c r="EE37" s="15"/>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c r="ID37" s="15"/>
      <c r="IE37" s="15"/>
      <c r="IF37" s="15"/>
      <c r="IG37" s="15"/>
      <c r="IH37" s="15"/>
      <c r="II37" s="15"/>
      <c r="IJ37" s="15"/>
      <c r="IK37" s="15"/>
      <c r="IL37" s="15"/>
      <c r="IM37" s="15"/>
      <c r="IN37" s="15"/>
      <c r="IO37" s="15"/>
      <c r="IP37" s="15"/>
      <c r="IQ37" s="15"/>
      <c r="IR37" s="15"/>
      <c r="IS37" s="15"/>
      <c r="IT37" s="15"/>
      <c r="IU37" s="15"/>
      <c r="IV37" s="15"/>
      <c r="IW37" s="15"/>
      <c r="IX37" s="15"/>
      <c r="IY37" s="15"/>
      <c r="IZ37" s="15"/>
      <c r="JA37" s="15"/>
      <c r="JB37" s="15"/>
      <c r="JC37" s="15"/>
      <c r="JD37" s="15"/>
      <c r="JE37" s="15"/>
      <c r="JF37" s="15"/>
      <c r="JG37" s="15"/>
      <c r="JH37" s="15"/>
      <c r="JI37" s="15"/>
      <c r="JJ37" s="15"/>
      <c r="JK37" s="15"/>
      <c r="JL37" s="15"/>
      <c r="JM37" s="15"/>
      <c r="JN37" s="15"/>
      <c r="JO37" s="15"/>
      <c r="JP37" s="15"/>
      <c r="JQ37" s="15"/>
      <c r="JR37" s="15"/>
      <c r="JS37" s="15"/>
      <c r="JT37" s="15"/>
      <c r="JU37" s="15"/>
      <c r="JV37" s="15"/>
      <c r="JW37" s="15"/>
      <c r="JX37" s="15"/>
      <c r="JY37" s="15"/>
      <c r="JZ37" s="15"/>
      <c r="KA37" s="15"/>
      <c r="KB37" s="15"/>
      <c r="KC37" s="15"/>
      <c r="KD37" s="15"/>
      <c r="KE37" s="15"/>
      <c r="KF37" s="15"/>
      <c r="KG37" s="15"/>
      <c r="KH37" s="15"/>
      <c r="KI37" s="15"/>
      <c r="KJ37" s="15"/>
      <c r="KK37" s="15"/>
      <c r="KL37" s="15"/>
      <c r="KM37" s="15"/>
      <c r="KN37" s="15"/>
      <c r="KO37" s="15"/>
      <c r="KP37" s="15"/>
      <c r="KQ37" s="15"/>
      <c r="KR37" s="15"/>
      <c r="KS37" s="15"/>
      <c r="KT37" s="15"/>
      <c r="KU37" s="15"/>
      <c r="KV37" s="15"/>
      <c r="KW37" s="15"/>
      <c r="KX37" s="15"/>
      <c r="KY37" s="15"/>
      <c r="KZ37" s="15"/>
      <c r="LA37" s="15"/>
      <c r="LB37" s="15"/>
      <c r="LC37" s="15"/>
      <c r="LD37" s="15"/>
      <c r="LE37" s="15"/>
      <c r="LF37" s="15"/>
      <c r="LG37" s="15"/>
      <c r="LH37" s="15"/>
      <c r="LI37" s="15"/>
      <c r="LJ37" s="15"/>
      <c r="LK37" s="15"/>
      <c r="LL37" s="15"/>
      <c r="LM37" s="15"/>
      <c r="LN37" s="15"/>
      <c r="LO37" s="15"/>
      <c r="LP37" s="15"/>
      <c r="LQ37" s="15"/>
      <c r="LR37" s="15"/>
      <c r="LS37" s="15"/>
      <c r="LT37" s="15"/>
      <c r="LU37" s="15"/>
      <c r="LV37" s="15"/>
      <c r="LW37" s="15"/>
      <c r="LX37" s="15"/>
      <c r="LY37" s="15"/>
      <c r="LZ37" s="15"/>
      <c r="MA37" s="15"/>
      <c r="MB37" s="15"/>
      <c r="MC37" s="15"/>
      <c r="MD37" s="15"/>
      <c r="ME37" s="15"/>
      <c r="MF37" s="15"/>
      <c r="MG37" s="15"/>
      <c r="MH37" s="15"/>
      <c r="MI37" s="15"/>
      <c r="MJ37" s="15"/>
      <c r="MK37" s="15"/>
      <c r="ML37" s="15"/>
      <c r="MM37" s="15"/>
      <c r="MN37" s="15"/>
      <c r="MO37" s="15"/>
      <c r="MP37" s="15"/>
      <c r="MQ37" s="15"/>
      <c r="MR37" s="15"/>
      <c r="MS37" s="15"/>
      <c r="MT37" s="15"/>
      <c r="MU37" s="15"/>
      <c r="MV37" s="15"/>
      <c r="MW37" s="15"/>
      <c r="MX37" s="15"/>
      <c r="MY37" s="15"/>
      <c r="MZ37" s="15"/>
      <c r="NA37" s="15"/>
      <c r="NB37" s="15"/>
      <c r="NC37" s="15"/>
      <c r="ND37" s="15"/>
      <c r="NE37" s="15"/>
      <c r="NF37" s="15"/>
      <c r="NG37" s="15"/>
      <c r="NH37" s="15"/>
      <c r="NI37" s="15"/>
      <c r="NJ37" s="15"/>
      <c r="NK37" s="15"/>
      <c r="NL37" s="15"/>
      <c r="NM37" s="15"/>
      <c r="NN37" s="15"/>
      <c r="NO37" s="15"/>
      <c r="NP37" s="15"/>
      <c r="NQ37" s="15"/>
      <c r="NR37" s="15"/>
      <c r="NS37" s="15"/>
      <c r="NT37" s="15"/>
      <c r="NU37" s="15"/>
      <c r="NV37" s="15"/>
      <c r="NW37" s="15"/>
      <c r="NX37" s="15"/>
      <c r="NY37" s="15"/>
      <c r="NZ37" s="15"/>
      <c r="OA37" s="15"/>
      <c r="OB37" s="15"/>
      <c r="OC37" s="15"/>
      <c r="OD37" s="15"/>
      <c r="OE37" s="15"/>
      <c r="OF37" s="15"/>
      <c r="OG37" s="15"/>
      <c r="OH37" s="15"/>
      <c r="OI37" s="15"/>
      <c r="OJ37" s="15"/>
      <c r="OK37" s="15"/>
      <c r="OL37" s="15"/>
      <c r="OM37" s="15"/>
      <c r="ON37" s="15"/>
      <c r="OO37" s="15"/>
      <c r="OP37" s="15"/>
      <c r="OQ37" s="15"/>
      <c r="OR37" s="15"/>
      <c r="OS37" s="15"/>
      <c r="OT37" s="15"/>
      <c r="OU37" s="15"/>
      <c r="OV37" s="15"/>
      <c r="OW37" s="15"/>
      <c r="OX37" s="15"/>
      <c r="OY37" s="15"/>
      <c r="OZ37" s="15"/>
      <c r="PA37" s="15"/>
      <c r="PB37" s="15"/>
      <c r="PC37" s="15"/>
      <c r="PD37" s="15"/>
      <c r="PE37" s="15"/>
      <c r="PF37" s="15"/>
      <c r="PG37" s="15"/>
      <c r="PH37" s="15"/>
      <c r="PI37" s="15"/>
      <c r="PJ37" s="15"/>
      <c r="PK37" s="15"/>
      <c r="PL37" s="15"/>
      <c r="PM37" s="15"/>
      <c r="PN37" s="15"/>
      <c r="PO37" s="15"/>
      <c r="PP37" s="15"/>
      <c r="PQ37" s="15"/>
      <c r="PR37" s="15"/>
      <c r="PS37" s="15"/>
      <c r="PT37" s="15"/>
      <c r="PU37" s="15"/>
      <c r="PV37" s="15"/>
      <c r="PW37" s="15"/>
      <c r="PX37" s="15"/>
      <c r="PY37" s="15"/>
      <c r="PZ37" s="15"/>
      <c r="QA37" s="15"/>
      <c r="QB37" s="15"/>
      <c r="QC37" s="15"/>
      <c r="QD37" s="15"/>
      <c r="QE37" s="15"/>
      <c r="QF37" s="15"/>
      <c r="QG37" s="15"/>
      <c r="QH37" s="15"/>
      <c r="QI37" s="15"/>
      <c r="QJ37" s="15"/>
      <c r="QK37" s="15"/>
      <c r="QL37" s="15"/>
      <c r="QM37" s="15"/>
      <c r="QN37" s="15"/>
      <c r="QO37" s="15"/>
      <c r="QP37" s="15"/>
      <c r="QQ37" s="15"/>
      <c r="QR37" s="15"/>
      <c r="QS37" s="15"/>
      <c r="QT37" s="15"/>
      <c r="QU37" s="15"/>
      <c r="QV37" s="15"/>
      <c r="QW37" s="15"/>
      <c r="QX37" s="15"/>
      <c r="QY37" s="15"/>
      <c r="QZ37" s="15"/>
      <c r="RA37" s="15"/>
      <c r="RB37" s="15"/>
      <c r="RC37" s="15"/>
      <c r="RD37" s="15"/>
      <c r="RE37" s="15"/>
      <c r="RF37" s="15"/>
      <c r="RG37" s="15"/>
      <c r="RH37" s="15"/>
      <c r="RI37" s="15"/>
      <c r="RJ37" s="15"/>
      <c r="RK37" s="15"/>
      <c r="RL37" s="15"/>
      <c r="RM37" s="15"/>
      <c r="RN37" s="15"/>
      <c r="RO37" s="15"/>
      <c r="RP37" s="15"/>
      <c r="RQ37" s="15"/>
      <c r="RR37" s="15"/>
      <c r="RS37" s="15"/>
      <c r="RT37" s="15"/>
      <c r="RU37" s="15"/>
      <c r="RV37" s="15"/>
      <c r="RW37" s="15"/>
      <c r="RX37" s="15"/>
      <c r="RY37" s="15"/>
      <c r="RZ37" s="15"/>
      <c r="SA37" s="15"/>
      <c r="SB37" s="15"/>
      <c r="SC37" s="15"/>
      <c r="SD37" s="15"/>
      <c r="SE37" s="15"/>
      <c r="SF37" s="15"/>
      <c r="SG37" s="15"/>
      <c r="SH37" s="15"/>
      <c r="SI37" s="15"/>
      <c r="SJ37" s="15"/>
      <c r="SK37" s="15"/>
      <c r="SL37" s="15"/>
      <c r="SM37" s="15"/>
      <c r="SN37" s="15"/>
      <c r="SO37" s="15"/>
      <c r="SP37" s="15"/>
      <c r="SQ37" s="15"/>
      <c r="SR37" s="15"/>
      <c r="SS37" s="15"/>
      <c r="ST37" s="15"/>
      <c r="SU37" s="15"/>
      <c r="SV37" s="15"/>
      <c r="SW37" s="15"/>
      <c r="SX37" s="15"/>
      <c r="SY37" s="15"/>
      <c r="SZ37" s="15"/>
      <c r="TA37" s="15"/>
      <c r="TB37" s="15"/>
      <c r="TC37" s="15"/>
      <c r="TD37" s="15"/>
      <c r="TE37" s="15"/>
      <c r="TF37" s="15"/>
      <c r="TG37" s="15"/>
      <c r="TH37" s="15"/>
      <c r="TI37" s="15"/>
      <c r="TJ37" s="15"/>
      <c r="TK37" s="15"/>
      <c r="TL37" s="15"/>
      <c r="TM37" s="15"/>
      <c r="TN37" s="15"/>
      <c r="TO37" s="15"/>
      <c r="TP37" s="15"/>
      <c r="TQ37" s="15"/>
      <c r="TR37" s="15"/>
      <c r="TS37" s="15"/>
      <c r="TT37" s="15"/>
      <c r="TU37" s="15"/>
      <c r="TV37" s="15"/>
      <c r="TW37" s="15"/>
      <c r="TX37" s="15"/>
      <c r="TY37" s="15"/>
      <c r="TZ37" s="15"/>
      <c r="UA37" s="15"/>
      <c r="UB37" s="15"/>
      <c r="UC37" s="15"/>
      <c r="UD37" s="15"/>
      <c r="UE37" s="15"/>
      <c r="UF37" s="15"/>
      <c r="UG37" s="15"/>
      <c r="UH37" s="15"/>
      <c r="UI37" s="15"/>
      <c r="UJ37" s="15"/>
      <c r="UK37" s="15"/>
      <c r="UL37" s="15"/>
      <c r="UM37" s="15"/>
      <c r="UN37" s="15"/>
      <c r="UO37" s="15"/>
      <c r="UP37" s="15"/>
      <c r="UQ37" s="15"/>
      <c r="UR37" s="15"/>
      <c r="US37" s="15"/>
      <c r="UT37" s="15"/>
      <c r="UU37" s="15"/>
      <c r="UV37" s="15"/>
      <c r="UW37" s="15"/>
      <c r="UX37" s="15"/>
      <c r="UY37" s="15"/>
      <c r="UZ37" s="15"/>
      <c r="VA37" s="15"/>
      <c r="VB37" s="15"/>
      <c r="VC37" s="15"/>
      <c r="VD37" s="15"/>
      <c r="VE37" s="15"/>
      <c r="VF37" s="15"/>
      <c r="VG37" s="15"/>
      <c r="VH37" s="15"/>
      <c r="VI37" s="15"/>
      <c r="VJ37" s="15"/>
      <c r="VK37" s="15"/>
      <c r="VL37" s="15"/>
      <c r="VM37" s="15"/>
      <c r="VN37" s="15"/>
      <c r="VO37" s="15"/>
      <c r="VP37" s="15"/>
      <c r="VQ37" s="15"/>
      <c r="VR37" s="15"/>
      <c r="VS37" s="15"/>
      <c r="VT37" s="15"/>
      <c r="VU37" s="15"/>
      <c r="VV37" s="15"/>
      <c r="VW37" s="15"/>
      <c r="VX37" s="15"/>
      <c r="VY37" s="15"/>
      <c r="VZ37" s="15"/>
      <c r="WA37" s="15"/>
      <c r="WB37" s="15"/>
      <c r="WC37" s="15"/>
      <c r="WD37" s="15"/>
      <c r="WE37" s="15"/>
      <c r="WF37" s="15"/>
      <c r="WG37" s="15"/>
      <c r="WH37" s="15"/>
      <c r="WI37" s="15"/>
      <c r="WJ37" s="15"/>
      <c r="WK37" s="15"/>
      <c r="WL37" s="15"/>
      <c r="WM37" s="15"/>
      <c r="WN37" s="15"/>
      <c r="WO37" s="15"/>
      <c r="WP37" s="15"/>
      <c r="WQ37" s="15"/>
      <c r="WR37" s="15"/>
      <c r="WS37" s="15"/>
      <c r="WT37" s="15"/>
      <c r="WU37" s="15"/>
      <c r="WV37" s="15"/>
      <c r="WW37" s="15"/>
      <c r="WX37" s="15"/>
      <c r="WY37" s="15"/>
      <c r="WZ37" s="15"/>
      <c r="XA37" s="15"/>
      <c r="XB37" s="15"/>
      <c r="XC37" s="15"/>
      <c r="XD37" s="15"/>
      <c r="XE37" s="15"/>
      <c r="XF37" s="15"/>
      <c r="XG37" s="15"/>
      <c r="XH37" s="15"/>
      <c r="XI37" s="15"/>
      <c r="XJ37" s="15"/>
      <c r="XK37" s="15"/>
      <c r="XL37" s="15"/>
      <c r="XM37" s="15"/>
      <c r="XN37" s="15"/>
      <c r="XO37" s="15"/>
      <c r="XP37" s="15"/>
      <c r="XQ37" s="15"/>
      <c r="XR37" s="15"/>
      <c r="XS37" s="15"/>
      <c r="XT37" s="15"/>
      <c r="XU37" s="15"/>
      <c r="XV37" s="15"/>
      <c r="XW37" s="15"/>
      <c r="XX37" s="15"/>
      <c r="XY37" s="15"/>
      <c r="XZ37" s="15"/>
      <c r="YA37" s="15"/>
      <c r="YB37" s="15"/>
      <c r="YC37" s="15"/>
      <c r="YD37" s="15"/>
      <c r="YE37" s="15"/>
      <c r="YF37" s="15"/>
      <c r="YG37" s="15"/>
      <c r="YH37" s="15"/>
      <c r="YI37" s="15"/>
      <c r="YJ37" s="15"/>
      <c r="YK37" s="15"/>
      <c r="YL37" s="15"/>
      <c r="YM37" s="15"/>
      <c r="YN37" s="15"/>
      <c r="YO37" s="15"/>
      <c r="YP37" s="15"/>
      <c r="YQ37" s="15"/>
      <c r="YR37" s="15"/>
      <c r="YS37" s="15"/>
      <c r="YT37" s="15"/>
      <c r="YU37" s="15"/>
      <c r="YV37" s="15"/>
      <c r="YW37" s="15"/>
      <c r="YX37" s="15"/>
      <c r="YY37" s="15"/>
      <c r="YZ37" s="15"/>
      <c r="ZA37" s="15"/>
      <c r="ZB37" s="15"/>
      <c r="ZC37" s="15"/>
      <c r="ZD37" s="15"/>
      <c r="ZE37" s="15"/>
      <c r="ZF37" s="15"/>
      <c r="ZG37" s="15"/>
      <c r="ZH37" s="15"/>
      <c r="ZI37" s="15"/>
      <c r="ZJ37" s="15"/>
      <c r="ZK37" s="15"/>
      <c r="ZL37" s="15"/>
      <c r="ZM37" s="15"/>
      <c r="ZN37" s="15"/>
      <c r="ZO37" s="15"/>
      <c r="ZP37" s="15"/>
      <c r="ZQ37" s="15"/>
      <c r="ZR37" s="15"/>
      <c r="ZS37" s="15"/>
      <c r="ZT37" s="15"/>
      <c r="ZU37" s="15"/>
      <c r="ZV37" s="15"/>
      <c r="ZW37" s="15"/>
      <c r="ZX37" s="15"/>
      <c r="ZY37" s="15"/>
      <c r="ZZ37" s="15"/>
      <c r="AAA37" s="15"/>
      <c r="AAB37" s="15"/>
      <c r="AAC37" s="15"/>
      <c r="AAD37" s="15"/>
      <c r="AAE37" s="15"/>
      <c r="AAF37" s="15"/>
      <c r="AAG37" s="15"/>
      <c r="AAH37" s="15"/>
      <c r="AAI37" s="15"/>
      <c r="AAJ37" s="15"/>
      <c r="AAK37" s="15"/>
      <c r="AAL37" s="15"/>
      <c r="AAM37" s="15"/>
      <c r="AAN37" s="15"/>
      <c r="AAO37" s="15"/>
      <c r="AAP37" s="15"/>
      <c r="AAQ37" s="15"/>
      <c r="AAR37" s="15"/>
      <c r="AAS37" s="15"/>
      <c r="AAT37" s="15"/>
      <c r="AAU37" s="15"/>
      <c r="AAV37" s="15"/>
      <c r="AAW37" s="15"/>
      <c r="AAX37" s="15"/>
      <c r="AAY37" s="15"/>
      <c r="AAZ37" s="15"/>
      <c r="ABA37" s="15"/>
      <c r="ABB37" s="15"/>
      <c r="ABC37" s="15"/>
      <c r="ABD37" s="15"/>
      <c r="ABE37" s="15"/>
      <c r="ABF37" s="15"/>
      <c r="ABG37" s="15"/>
      <c r="ABH37" s="15"/>
      <c r="ABI37" s="15"/>
      <c r="ABJ37" s="15"/>
      <c r="ABK37" s="15"/>
      <c r="ABL37" s="15"/>
      <c r="ABM37" s="15"/>
      <c r="ABN37" s="15"/>
      <c r="ABO37" s="15"/>
      <c r="ABP37" s="15"/>
      <c r="ABQ37" s="15"/>
      <c r="ABR37" s="15"/>
      <c r="ABS37" s="15"/>
      <c r="ABT37" s="15"/>
      <c r="ABU37" s="15"/>
      <c r="ABV37" s="15"/>
      <c r="ABW37" s="15"/>
      <c r="ABX37" s="15"/>
      <c r="ABY37" s="15"/>
      <c r="ABZ37" s="15"/>
      <c r="ACA37" s="15"/>
      <c r="ACB37" s="15"/>
      <c r="ACC37" s="15"/>
      <c r="ACD37" s="15"/>
      <c r="ACE37" s="15"/>
      <c r="ACF37" s="15"/>
      <c r="ACG37" s="15"/>
      <c r="ACH37" s="15"/>
      <c r="ACI37" s="15"/>
      <c r="ACJ37" s="15"/>
      <c r="ACK37" s="15"/>
      <c r="ACL37" s="15"/>
      <c r="ACM37" s="15"/>
      <c r="ACN37" s="15"/>
      <c r="ACO37" s="15"/>
      <c r="ACP37" s="15"/>
      <c r="ACQ37" s="15"/>
      <c r="ACR37" s="15"/>
      <c r="ACS37" s="15"/>
      <c r="ACT37" s="15"/>
      <c r="ACU37" s="15"/>
      <c r="ACV37" s="15"/>
      <c r="ACW37" s="15"/>
      <c r="ACX37" s="15"/>
      <c r="ACY37" s="15"/>
      <c r="ACZ37" s="15"/>
      <c r="ADA37" s="15"/>
      <c r="ADB37" s="15"/>
      <c r="ADC37" s="15"/>
      <c r="ADD37" s="15"/>
      <c r="ADE37" s="15"/>
      <c r="ADF37" s="15"/>
      <c r="ADG37" s="15"/>
      <c r="ADH37" s="15"/>
      <c r="ADI37" s="15"/>
      <c r="ADJ37" s="15"/>
      <c r="ADK37" s="15"/>
      <c r="ADL37" s="15"/>
      <c r="ADM37" s="15"/>
      <c r="ADN37" s="15"/>
      <c r="ADO37" s="15"/>
      <c r="ADP37" s="15"/>
      <c r="ADQ37" s="15"/>
      <c r="ADR37" s="15"/>
      <c r="ADS37" s="15"/>
      <c r="ADT37" s="15"/>
      <c r="ADU37" s="15"/>
      <c r="ADV37" s="15"/>
      <c r="ADW37" s="15"/>
      <c r="ADX37" s="15"/>
      <c r="ADY37" s="15"/>
      <c r="ADZ37" s="15"/>
      <c r="AEA37" s="15"/>
      <c r="AEB37" s="15"/>
      <c r="AEC37" s="15"/>
      <c r="AED37" s="15"/>
      <c r="AEE37" s="15"/>
      <c r="AEF37" s="15"/>
      <c r="AEG37" s="15"/>
      <c r="AEH37" s="15"/>
      <c r="AEI37" s="15"/>
      <c r="AEJ37" s="15"/>
      <c r="AEK37" s="15"/>
      <c r="AEL37" s="15"/>
      <c r="AEM37" s="15"/>
      <c r="AEN37" s="15"/>
      <c r="AEO37" s="15"/>
      <c r="AEP37" s="15"/>
      <c r="AEQ37" s="15"/>
      <c r="AER37" s="15"/>
      <c r="AES37" s="15"/>
      <c r="AET37" s="15"/>
      <c r="AEU37" s="15"/>
      <c r="AEV37" s="15"/>
      <c r="AEW37" s="15"/>
      <c r="AEX37" s="15"/>
      <c r="AEY37" s="15"/>
      <c r="AEZ37" s="15"/>
      <c r="AFA37" s="15"/>
      <c r="AFB37" s="15"/>
      <c r="AFC37" s="15"/>
      <c r="AFD37" s="15"/>
      <c r="AFE37" s="15"/>
      <c r="AFF37" s="15"/>
      <c r="AFG37" s="15"/>
      <c r="AFH37" s="15"/>
      <c r="AFI37" s="15"/>
      <c r="AFJ37" s="15"/>
      <c r="AFK37" s="15"/>
      <c r="AFL37" s="15"/>
      <c r="AFM37" s="15"/>
      <c r="AFN37" s="15"/>
      <c r="AFO37" s="15"/>
      <c r="AFP37" s="15"/>
      <c r="AFQ37" s="15"/>
      <c r="AFR37" s="15"/>
      <c r="AFS37" s="15"/>
      <c r="AFT37" s="15"/>
      <c r="AFU37" s="15"/>
      <c r="AFV37" s="15"/>
      <c r="AFW37" s="15"/>
      <c r="AFX37" s="15"/>
      <c r="AFY37" s="15"/>
      <c r="AFZ37" s="15"/>
      <c r="AGA37" s="15"/>
      <c r="AGB37" s="15"/>
      <c r="AGC37" s="15"/>
      <c r="AGD37" s="15"/>
      <c r="AGE37" s="15"/>
      <c r="AGF37" s="15"/>
      <c r="AGG37" s="15"/>
      <c r="AGH37" s="15"/>
      <c r="AGI37" s="15"/>
      <c r="AGJ37" s="15"/>
      <c r="AGK37" s="15"/>
      <c r="AGL37" s="15"/>
      <c r="AGM37" s="15"/>
      <c r="AGN37" s="15"/>
      <c r="AGO37" s="15"/>
      <c r="AGP37" s="15"/>
      <c r="AGQ37" s="15"/>
      <c r="AGR37" s="15"/>
      <c r="AGS37" s="15"/>
      <c r="AGT37" s="15"/>
      <c r="AGU37" s="15"/>
      <c r="AGV37" s="15"/>
      <c r="AGW37" s="15"/>
      <c r="AGX37" s="15"/>
      <c r="AGY37" s="15"/>
      <c r="AGZ37" s="15"/>
      <c r="AHA37" s="15"/>
      <c r="AHB37" s="15"/>
      <c r="AHC37" s="15"/>
      <c r="AHD37" s="15"/>
      <c r="AHE37" s="15"/>
      <c r="AHF37" s="15"/>
      <c r="AHG37" s="15"/>
      <c r="AHH37" s="15"/>
      <c r="AHI37" s="15"/>
      <c r="AHJ37" s="15"/>
      <c r="AHK37" s="15"/>
      <c r="AHL37" s="15"/>
      <c r="AHM37" s="15"/>
      <c r="AHN37" s="15"/>
      <c r="AHO37" s="15"/>
      <c r="AHP37" s="15"/>
      <c r="AHQ37" s="15"/>
      <c r="AHR37" s="15"/>
      <c r="AHS37" s="15"/>
      <c r="AHT37" s="15"/>
      <c r="AHU37" s="15"/>
      <c r="AHV37" s="15"/>
      <c r="AHW37" s="15"/>
      <c r="AHX37" s="15"/>
      <c r="AHY37" s="15"/>
      <c r="AHZ37" s="15"/>
      <c r="AIA37" s="15"/>
      <c r="AIB37" s="15"/>
      <c r="AIC37" s="15"/>
      <c r="AID37" s="15"/>
      <c r="AIE37" s="15"/>
      <c r="AIF37" s="15"/>
      <c r="AIG37" s="15"/>
      <c r="AIH37" s="15"/>
      <c r="AII37" s="15"/>
      <c r="AIJ37" s="15"/>
      <c r="AIK37" s="15"/>
      <c r="AIL37" s="15"/>
      <c r="AIM37" s="15"/>
      <c r="AIN37" s="15"/>
      <c r="AIO37" s="15"/>
      <c r="AIP37" s="15"/>
      <c r="AIQ37" s="15"/>
      <c r="AIR37" s="15"/>
      <c r="AIS37" s="15"/>
      <c r="AIT37" s="15"/>
      <c r="AIU37" s="15"/>
      <c r="AIV37" s="15"/>
      <c r="AIW37" s="15"/>
      <c r="AIX37" s="15"/>
      <c r="AIY37" s="15"/>
      <c r="AIZ37" s="15"/>
      <c r="AJA37" s="15"/>
      <c r="AJB37" s="15"/>
      <c r="AJC37" s="15"/>
      <c r="AJD37" s="15"/>
      <c r="AJE37" s="15"/>
      <c r="AJF37" s="15"/>
      <c r="AJG37" s="15"/>
      <c r="AJH37" s="15"/>
      <c r="AJI37" s="15"/>
      <c r="AJJ37" s="15"/>
      <c r="AJK37" s="15"/>
      <c r="AJL37" s="15"/>
      <c r="AJM37" s="15"/>
      <c r="AJN37" s="15"/>
      <c r="AJO37" s="15"/>
      <c r="AJP37" s="15"/>
      <c r="AJQ37" s="15"/>
      <c r="AJR37" s="15"/>
      <c r="AJS37" s="15"/>
      <c r="AJT37" s="15"/>
      <c r="AJU37" s="15"/>
      <c r="AJV37" s="15"/>
      <c r="AJW37" s="15"/>
      <c r="AJX37" s="15"/>
      <c r="AJY37" s="15"/>
      <c r="AJZ37" s="15"/>
      <c r="AKA37" s="15"/>
      <c r="AKB37" s="15"/>
      <c r="AKC37" s="15"/>
      <c r="AKD37" s="15"/>
      <c r="AKE37" s="15"/>
      <c r="AKF37" s="15"/>
      <c r="AKG37" s="15"/>
      <c r="AKH37" s="15"/>
      <c r="AKI37" s="15"/>
      <c r="AKJ37" s="15"/>
      <c r="AKK37" s="15"/>
      <c r="AKL37" s="15"/>
      <c r="AKM37" s="15"/>
      <c r="AKN37" s="15"/>
      <c r="AKO37" s="15"/>
      <c r="AKP37" s="15"/>
      <c r="AKQ37" s="15"/>
      <c r="AKR37" s="15"/>
      <c r="AKS37" s="15"/>
      <c r="AKT37" s="15"/>
      <c r="AKU37" s="15"/>
      <c r="AKV37" s="15"/>
      <c r="AKW37" s="15"/>
      <c r="AKX37" s="15"/>
      <c r="AKY37" s="15"/>
      <c r="AKZ37" s="15"/>
      <c r="ALA37" s="15"/>
      <c r="ALB37" s="15"/>
      <c r="ALC37" s="15"/>
      <c r="ALD37" s="15"/>
      <c r="ALE37" s="15"/>
      <c r="ALF37" s="15"/>
      <c r="ALG37" s="15"/>
      <c r="ALH37" s="15"/>
      <c r="ALI37" s="15"/>
      <c r="ALJ37" s="15"/>
      <c r="ALK37" s="15"/>
      <c r="ALL37" s="15"/>
      <c r="ALM37" s="15"/>
      <c r="ALN37" s="15"/>
      <c r="ALO37" s="15"/>
      <c r="ALP37" s="15"/>
      <c r="ALQ37" s="15"/>
      <c r="ALR37" s="15"/>
      <c r="ALS37" s="15"/>
      <c r="ALT37" s="15"/>
      <c r="ALU37" s="15"/>
      <c r="ALV37" s="15"/>
      <c r="ALW37" s="15"/>
      <c r="ALX37" s="15"/>
      <c r="ALY37" s="15"/>
      <c r="ALZ37" s="15"/>
      <c r="AMA37" s="15"/>
      <c r="AMB37" s="15"/>
      <c r="AMC37" s="15"/>
      <c r="AMD37" s="15"/>
      <c r="AME37" s="15"/>
      <c r="AMF37" s="15"/>
      <c r="AMG37" s="14"/>
      <c r="AMH37" s="14"/>
      <c r="AMI37" s="14"/>
      <c r="AMJ37" s="14"/>
    </row>
    <row r="38" spans="1:1024" s="13" customFormat="1" ht="29" hidden="1" x14ac:dyDescent="0.35">
      <c r="A38" s="19">
        <v>43644</v>
      </c>
      <c r="B38" s="17" t="s">
        <v>413</v>
      </c>
      <c r="C38" s="17" t="s">
        <v>412</v>
      </c>
      <c r="D38" s="18">
        <v>43653</v>
      </c>
      <c r="E38" s="17" t="s">
        <v>210</v>
      </c>
      <c r="F38" s="17" t="s">
        <v>15</v>
      </c>
      <c r="G38" s="26">
        <v>0.5</v>
      </c>
      <c r="H38" s="26">
        <v>0.66666666666666696</v>
      </c>
      <c r="I38" s="17">
        <v>120</v>
      </c>
      <c r="J38" s="17" t="s">
        <v>411</v>
      </c>
      <c r="K38" s="17" t="s">
        <v>119</v>
      </c>
      <c r="L38" s="16" t="s">
        <v>17</v>
      </c>
      <c r="M38" s="15">
        <v>120</v>
      </c>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15"/>
      <c r="CR38" s="15"/>
      <c r="CS38" s="15"/>
      <c r="CT38" s="15"/>
      <c r="CU38" s="15"/>
      <c r="CV38" s="15"/>
      <c r="CW38" s="15"/>
      <c r="CX38" s="15"/>
      <c r="CY38" s="15"/>
      <c r="CZ38" s="15"/>
      <c r="DA38" s="15"/>
      <c r="DB38" s="15"/>
      <c r="DC38" s="15"/>
      <c r="DD38" s="15"/>
      <c r="DE38" s="15"/>
      <c r="DF38" s="15"/>
      <c r="DG38" s="15"/>
      <c r="DH38" s="15"/>
      <c r="DI38" s="15"/>
      <c r="DJ38" s="15"/>
      <c r="DK38" s="15"/>
      <c r="DL38" s="15"/>
      <c r="DM38" s="15"/>
      <c r="DN38" s="15"/>
      <c r="DO38" s="15"/>
      <c r="DP38" s="15"/>
      <c r="DQ38" s="15"/>
      <c r="DR38" s="15"/>
      <c r="DS38" s="15"/>
      <c r="DT38" s="15"/>
      <c r="DU38" s="15"/>
      <c r="DV38" s="15"/>
      <c r="DW38" s="15"/>
      <c r="DX38" s="15"/>
      <c r="DY38" s="15"/>
      <c r="DZ38" s="15"/>
      <c r="EA38" s="15"/>
      <c r="EB38" s="15"/>
      <c r="EC38" s="15"/>
      <c r="ED38" s="15"/>
      <c r="EE38" s="15"/>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c r="ID38" s="15"/>
      <c r="IE38" s="15"/>
      <c r="IF38" s="15"/>
      <c r="IG38" s="15"/>
      <c r="IH38" s="15"/>
      <c r="II38" s="15"/>
      <c r="IJ38" s="15"/>
      <c r="IK38" s="15"/>
      <c r="IL38" s="15"/>
      <c r="IM38" s="15"/>
      <c r="IN38" s="15"/>
      <c r="IO38" s="15"/>
      <c r="IP38" s="15"/>
      <c r="IQ38" s="15"/>
      <c r="IR38" s="15"/>
      <c r="IS38" s="15"/>
      <c r="IT38" s="15"/>
      <c r="IU38" s="15"/>
      <c r="IV38" s="15"/>
      <c r="IW38" s="15"/>
      <c r="IX38" s="15"/>
      <c r="IY38" s="15"/>
      <c r="IZ38" s="15"/>
      <c r="JA38" s="15"/>
      <c r="JB38" s="15"/>
      <c r="JC38" s="15"/>
      <c r="JD38" s="15"/>
      <c r="JE38" s="15"/>
      <c r="JF38" s="15"/>
      <c r="JG38" s="15"/>
      <c r="JH38" s="15"/>
      <c r="JI38" s="15"/>
      <c r="JJ38" s="15"/>
      <c r="JK38" s="15"/>
      <c r="JL38" s="15"/>
      <c r="JM38" s="15"/>
      <c r="JN38" s="15"/>
      <c r="JO38" s="15"/>
      <c r="JP38" s="15"/>
      <c r="JQ38" s="15"/>
      <c r="JR38" s="15"/>
      <c r="JS38" s="15"/>
      <c r="JT38" s="15"/>
      <c r="JU38" s="15"/>
      <c r="JV38" s="15"/>
      <c r="JW38" s="15"/>
      <c r="JX38" s="15"/>
      <c r="JY38" s="15"/>
      <c r="JZ38" s="15"/>
      <c r="KA38" s="15"/>
      <c r="KB38" s="15"/>
      <c r="KC38" s="15"/>
      <c r="KD38" s="15"/>
      <c r="KE38" s="15"/>
      <c r="KF38" s="15"/>
      <c r="KG38" s="15"/>
      <c r="KH38" s="15"/>
      <c r="KI38" s="15"/>
      <c r="KJ38" s="15"/>
      <c r="KK38" s="15"/>
      <c r="KL38" s="15"/>
      <c r="KM38" s="15"/>
      <c r="KN38" s="15"/>
      <c r="KO38" s="15"/>
      <c r="KP38" s="15"/>
      <c r="KQ38" s="15"/>
      <c r="KR38" s="15"/>
      <c r="KS38" s="15"/>
      <c r="KT38" s="15"/>
      <c r="KU38" s="15"/>
      <c r="KV38" s="15"/>
      <c r="KW38" s="15"/>
      <c r="KX38" s="15"/>
      <c r="KY38" s="15"/>
      <c r="KZ38" s="15"/>
      <c r="LA38" s="15"/>
      <c r="LB38" s="15"/>
      <c r="LC38" s="15"/>
      <c r="LD38" s="15"/>
      <c r="LE38" s="15"/>
      <c r="LF38" s="15"/>
      <c r="LG38" s="15"/>
      <c r="LH38" s="15"/>
      <c r="LI38" s="15"/>
      <c r="LJ38" s="15"/>
      <c r="LK38" s="15"/>
      <c r="LL38" s="15"/>
      <c r="LM38" s="15"/>
      <c r="LN38" s="15"/>
      <c r="LO38" s="15"/>
      <c r="LP38" s="15"/>
      <c r="LQ38" s="15"/>
      <c r="LR38" s="15"/>
      <c r="LS38" s="15"/>
      <c r="LT38" s="15"/>
      <c r="LU38" s="15"/>
      <c r="LV38" s="15"/>
      <c r="LW38" s="15"/>
      <c r="LX38" s="15"/>
      <c r="LY38" s="15"/>
      <c r="LZ38" s="15"/>
      <c r="MA38" s="15"/>
      <c r="MB38" s="15"/>
      <c r="MC38" s="15"/>
      <c r="MD38" s="15"/>
      <c r="ME38" s="15"/>
      <c r="MF38" s="15"/>
      <c r="MG38" s="15"/>
      <c r="MH38" s="15"/>
      <c r="MI38" s="15"/>
      <c r="MJ38" s="15"/>
      <c r="MK38" s="15"/>
      <c r="ML38" s="15"/>
      <c r="MM38" s="15"/>
      <c r="MN38" s="15"/>
      <c r="MO38" s="15"/>
      <c r="MP38" s="15"/>
      <c r="MQ38" s="15"/>
      <c r="MR38" s="15"/>
      <c r="MS38" s="15"/>
      <c r="MT38" s="15"/>
      <c r="MU38" s="15"/>
      <c r="MV38" s="15"/>
      <c r="MW38" s="15"/>
      <c r="MX38" s="15"/>
      <c r="MY38" s="15"/>
      <c r="MZ38" s="15"/>
      <c r="NA38" s="15"/>
      <c r="NB38" s="15"/>
      <c r="NC38" s="15"/>
      <c r="ND38" s="15"/>
      <c r="NE38" s="15"/>
      <c r="NF38" s="15"/>
      <c r="NG38" s="15"/>
      <c r="NH38" s="15"/>
      <c r="NI38" s="15"/>
      <c r="NJ38" s="15"/>
      <c r="NK38" s="15"/>
      <c r="NL38" s="15"/>
      <c r="NM38" s="15"/>
      <c r="NN38" s="15"/>
      <c r="NO38" s="15"/>
      <c r="NP38" s="15"/>
      <c r="NQ38" s="15"/>
      <c r="NR38" s="15"/>
      <c r="NS38" s="15"/>
      <c r="NT38" s="15"/>
      <c r="NU38" s="15"/>
      <c r="NV38" s="15"/>
      <c r="NW38" s="15"/>
      <c r="NX38" s="15"/>
      <c r="NY38" s="15"/>
      <c r="NZ38" s="15"/>
      <c r="OA38" s="15"/>
      <c r="OB38" s="15"/>
      <c r="OC38" s="15"/>
      <c r="OD38" s="15"/>
      <c r="OE38" s="15"/>
      <c r="OF38" s="15"/>
      <c r="OG38" s="15"/>
      <c r="OH38" s="15"/>
      <c r="OI38" s="15"/>
      <c r="OJ38" s="15"/>
      <c r="OK38" s="15"/>
      <c r="OL38" s="15"/>
      <c r="OM38" s="15"/>
      <c r="ON38" s="15"/>
      <c r="OO38" s="15"/>
      <c r="OP38" s="15"/>
      <c r="OQ38" s="15"/>
      <c r="OR38" s="15"/>
      <c r="OS38" s="15"/>
      <c r="OT38" s="15"/>
      <c r="OU38" s="15"/>
      <c r="OV38" s="15"/>
      <c r="OW38" s="15"/>
      <c r="OX38" s="15"/>
      <c r="OY38" s="15"/>
      <c r="OZ38" s="15"/>
      <c r="PA38" s="15"/>
      <c r="PB38" s="15"/>
      <c r="PC38" s="15"/>
      <c r="PD38" s="15"/>
      <c r="PE38" s="15"/>
      <c r="PF38" s="15"/>
      <c r="PG38" s="15"/>
      <c r="PH38" s="15"/>
      <c r="PI38" s="15"/>
      <c r="PJ38" s="15"/>
      <c r="PK38" s="15"/>
      <c r="PL38" s="15"/>
      <c r="PM38" s="15"/>
      <c r="PN38" s="15"/>
      <c r="PO38" s="15"/>
      <c r="PP38" s="15"/>
      <c r="PQ38" s="15"/>
      <c r="PR38" s="15"/>
      <c r="PS38" s="15"/>
      <c r="PT38" s="15"/>
      <c r="PU38" s="15"/>
      <c r="PV38" s="15"/>
      <c r="PW38" s="15"/>
      <c r="PX38" s="15"/>
      <c r="PY38" s="15"/>
      <c r="PZ38" s="15"/>
      <c r="QA38" s="15"/>
      <c r="QB38" s="15"/>
      <c r="QC38" s="15"/>
      <c r="QD38" s="15"/>
      <c r="QE38" s="15"/>
      <c r="QF38" s="15"/>
      <c r="QG38" s="15"/>
      <c r="QH38" s="15"/>
      <c r="QI38" s="15"/>
      <c r="QJ38" s="15"/>
      <c r="QK38" s="15"/>
      <c r="QL38" s="15"/>
      <c r="QM38" s="15"/>
      <c r="QN38" s="15"/>
      <c r="QO38" s="15"/>
      <c r="QP38" s="15"/>
      <c r="QQ38" s="15"/>
      <c r="QR38" s="15"/>
      <c r="QS38" s="15"/>
      <c r="QT38" s="15"/>
      <c r="QU38" s="15"/>
      <c r="QV38" s="15"/>
      <c r="QW38" s="15"/>
      <c r="QX38" s="15"/>
      <c r="QY38" s="15"/>
      <c r="QZ38" s="15"/>
      <c r="RA38" s="15"/>
      <c r="RB38" s="15"/>
      <c r="RC38" s="15"/>
      <c r="RD38" s="15"/>
      <c r="RE38" s="15"/>
      <c r="RF38" s="15"/>
      <c r="RG38" s="15"/>
      <c r="RH38" s="15"/>
      <c r="RI38" s="15"/>
      <c r="RJ38" s="15"/>
      <c r="RK38" s="15"/>
      <c r="RL38" s="15"/>
      <c r="RM38" s="15"/>
      <c r="RN38" s="15"/>
      <c r="RO38" s="15"/>
      <c r="RP38" s="15"/>
      <c r="RQ38" s="15"/>
      <c r="RR38" s="15"/>
      <c r="RS38" s="15"/>
      <c r="RT38" s="15"/>
      <c r="RU38" s="15"/>
      <c r="RV38" s="15"/>
      <c r="RW38" s="15"/>
      <c r="RX38" s="15"/>
      <c r="RY38" s="15"/>
      <c r="RZ38" s="15"/>
      <c r="SA38" s="15"/>
      <c r="SB38" s="15"/>
      <c r="SC38" s="15"/>
      <c r="SD38" s="15"/>
      <c r="SE38" s="15"/>
      <c r="SF38" s="15"/>
      <c r="SG38" s="15"/>
      <c r="SH38" s="15"/>
      <c r="SI38" s="15"/>
      <c r="SJ38" s="15"/>
      <c r="SK38" s="15"/>
      <c r="SL38" s="15"/>
      <c r="SM38" s="15"/>
      <c r="SN38" s="15"/>
      <c r="SO38" s="15"/>
      <c r="SP38" s="15"/>
      <c r="SQ38" s="15"/>
      <c r="SR38" s="15"/>
      <c r="SS38" s="15"/>
      <c r="ST38" s="15"/>
      <c r="SU38" s="15"/>
      <c r="SV38" s="15"/>
      <c r="SW38" s="15"/>
      <c r="SX38" s="15"/>
      <c r="SY38" s="15"/>
      <c r="SZ38" s="15"/>
      <c r="TA38" s="15"/>
      <c r="TB38" s="15"/>
      <c r="TC38" s="15"/>
      <c r="TD38" s="15"/>
      <c r="TE38" s="15"/>
      <c r="TF38" s="15"/>
      <c r="TG38" s="15"/>
      <c r="TH38" s="15"/>
      <c r="TI38" s="15"/>
      <c r="TJ38" s="15"/>
      <c r="TK38" s="15"/>
      <c r="TL38" s="15"/>
      <c r="TM38" s="15"/>
      <c r="TN38" s="15"/>
      <c r="TO38" s="15"/>
      <c r="TP38" s="15"/>
      <c r="TQ38" s="15"/>
      <c r="TR38" s="15"/>
      <c r="TS38" s="15"/>
      <c r="TT38" s="15"/>
      <c r="TU38" s="15"/>
      <c r="TV38" s="15"/>
      <c r="TW38" s="15"/>
      <c r="TX38" s="15"/>
      <c r="TY38" s="15"/>
      <c r="TZ38" s="15"/>
      <c r="UA38" s="15"/>
      <c r="UB38" s="15"/>
      <c r="UC38" s="15"/>
      <c r="UD38" s="15"/>
      <c r="UE38" s="15"/>
      <c r="UF38" s="15"/>
      <c r="UG38" s="15"/>
      <c r="UH38" s="15"/>
      <c r="UI38" s="15"/>
      <c r="UJ38" s="15"/>
      <c r="UK38" s="15"/>
      <c r="UL38" s="15"/>
      <c r="UM38" s="15"/>
      <c r="UN38" s="15"/>
      <c r="UO38" s="15"/>
      <c r="UP38" s="15"/>
      <c r="UQ38" s="15"/>
      <c r="UR38" s="15"/>
      <c r="US38" s="15"/>
      <c r="UT38" s="15"/>
      <c r="UU38" s="15"/>
      <c r="UV38" s="15"/>
      <c r="UW38" s="15"/>
      <c r="UX38" s="15"/>
      <c r="UY38" s="15"/>
      <c r="UZ38" s="15"/>
      <c r="VA38" s="15"/>
      <c r="VB38" s="15"/>
      <c r="VC38" s="15"/>
      <c r="VD38" s="15"/>
      <c r="VE38" s="15"/>
      <c r="VF38" s="15"/>
      <c r="VG38" s="15"/>
      <c r="VH38" s="15"/>
      <c r="VI38" s="15"/>
      <c r="VJ38" s="15"/>
      <c r="VK38" s="15"/>
      <c r="VL38" s="15"/>
      <c r="VM38" s="15"/>
      <c r="VN38" s="15"/>
      <c r="VO38" s="15"/>
      <c r="VP38" s="15"/>
      <c r="VQ38" s="15"/>
      <c r="VR38" s="15"/>
      <c r="VS38" s="15"/>
      <c r="VT38" s="15"/>
      <c r="VU38" s="15"/>
      <c r="VV38" s="15"/>
      <c r="VW38" s="15"/>
      <c r="VX38" s="15"/>
      <c r="VY38" s="15"/>
      <c r="VZ38" s="15"/>
      <c r="WA38" s="15"/>
      <c r="WB38" s="15"/>
      <c r="WC38" s="15"/>
      <c r="WD38" s="15"/>
      <c r="WE38" s="15"/>
      <c r="WF38" s="15"/>
      <c r="WG38" s="15"/>
      <c r="WH38" s="15"/>
      <c r="WI38" s="15"/>
      <c r="WJ38" s="15"/>
      <c r="WK38" s="15"/>
      <c r="WL38" s="15"/>
      <c r="WM38" s="15"/>
      <c r="WN38" s="15"/>
      <c r="WO38" s="15"/>
      <c r="WP38" s="15"/>
      <c r="WQ38" s="15"/>
      <c r="WR38" s="15"/>
      <c r="WS38" s="15"/>
      <c r="WT38" s="15"/>
      <c r="WU38" s="15"/>
      <c r="WV38" s="15"/>
      <c r="WW38" s="15"/>
      <c r="WX38" s="15"/>
      <c r="WY38" s="15"/>
      <c r="WZ38" s="15"/>
      <c r="XA38" s="15"/>
      <c r="XB38" s="15"/>
      <c r="XC38" s="15"/>
      <c r="XD38" s="15"/>
      <c r="XE38" s="15"/>
      <c r="XF38" s="15"/>
      <c r="XG38" s="15"/>
      <c r="XH38" s="15"/>
      <c r="XI38" s="15"/>
      <c r="XJ38" s="15"/>
      <c r="XK38" s="15"/>
      <c r="XL38" s="15"/>
      <c r="XM38" s="15"/>
      <c r="XN38" s="15"/>
      <c r="XO38" s="15"/>
      <c r="XP38" s="15"/>
      <c r="XQ38" s="15"/>
      <c r="XR38" s="15"/>
      <c r="XS38" s="15"/>
      <c r="XT38" s="15"/>
      <c r="XU38" s="15"/>
      <c r="XV38" s="15"/>
      <c r="XW38" s="15"/>
      <c r="XX38" s="15"/>
      <c r="XY38" s="15"/>
      <c r="XZ38" s="15"/>
      <c r="YA38" s="15"/>
      <c r="YB38" s="15"/>
      <c r="YC38" s="15"/>
      <c r="YD38" s="15"/>
      <c r="YE38" s="15"/>
      <c r="YF38" s="15"/>
      <c r="YG38" s="15"/>
      <c r="YH38" s="15"/>
      <c r="YI38" s="15"/>
      <c r="YJ38" s="15"/>
      <c r="YK38" s="15"/>
      <c r="YL38" s="15"/>
      <c r="YM38" s="15"/>
      <c r="YN38" s="15"/>
      <c r="YO38" s="15"/>
      <c r="YP38" s="15"/>
      <c r="YQ38" s="15"/>
      <c r="YR38" s="15"/>
      <c r="YS38" s="15"/>
      <c r="YT38" s="15"/>
      <c r="YU38" s="15"/>
      <c r="YV38" s="15"/>
      <c r="YW38" s="15"/>
      <c r="YX38" s="15"/>
      <c r="YY38" s="15"/>
      <c r="YZ38" s="15"/>
      <c r="ZA38" s="15"/>
      <c r="ZB38" s="15"/>
      <c r="ZC38" s="15"/>
      <c r="ZD38" s="15"/>
      <c r="ZE38" s="15"/>
      <c r="ZF38" s="15"/>
      <c r="ZG38" s="15"/>
      <c r="ZH38" s="15"/>
      <c r="ZI38" s="15"/>
      <c r="ZJ38" s="15"/>
      <c r="ZK38" s="15"/>
      <c r="ZL38" s="15"/>
      <c r="ZM38" s="15"/>
      <c r="ZN38" s="15"/>
      <c r="ZO38" s="15"/>
      <c r="ZP38" s="15"/>
      <c r="ZQ38" s="15"/>
      <c r="ZR38" s="15"/>
      <c r="ZS38" s="15"/>
      <c r="ZT38" s="15"/>
      <c r="ZU38" s="15"/>
      <c r="ZV38" s="15"/>
      <c r="ZW38" s="15"/>
      <c r="ZX38" s="15"/>
      <c r="ZY38" s="15"/>
      <c r="ZZ38" s="15"/>
      <c r="AAA38" s="15"/>
      <c r="AAB38" s="15"/>
      <c r="AAC38" s="15"/>
      <c r="AAD38" s="15"/>
      <c r="AAE38" s="15"/>
      <c r="AAF38" s="15"/>
      <c r="AAG38" s="15"/>
      <c r="AAH38" s="15"/>
      <c r="AAI38" s="15"/>
      <c r="AAJ38" s="15"/>
      <c r="AAK38" s="15"/>
      <c r="AAL38" s="15"/>
      <c r="AAM38" s="15"/>
      <c r="AAN38" s="15"/>
      <c r="AAO38" s="15"/>
      <c r="AAP38" s="15"/>
      <c r="AAQ38" s="15"/>
      <c r="AAR38" s="15"/>
      <c r="AAS38" s="15"/>
      <c r="AAT38" s="15"/>
      <c r="AAU38" s="15"/>
      <c r="AAV38" s="15"/>
      <c r="AAW38" s="15"/>
      <c r="AAX38" s="15"/>
      <c r="AAY38" s="15"/>
      <c r="AAZ38" s="15"/>
      <c r="ABA38" s="15"/>
      <c r="ABB38" s="15"/>
      <c r="ABC38" s="15"/>
      <c r="ABD38" s="15"/>
      <c r="ABE38" s="15"/>
      <c r="ABF38" s="15"/>
      <c r="ABG38" s="15"/>
      <c r="ABH38" s="15"/>
      <c r="ABI38" s="15"/>
      <c r="ABJ38" s="15"/>
      <c r="ABK38" s="15"/>
      <c r="ABL38" s="15"/>
      <c r="ABM38" s="15"/>
      <c r="ABN38" s="15"/>
      <c r="ABO38" s="15"/>
      <c r="ABP38" s="15"/>
      <c r="ABQ38" s="15"/>
      <c r="ABR38" s="15"/>
      <c r="ABS38" s="15"/>
      <c r="ABT38" s="15"/>
      <c r="ABU38" s="15"/>
      <c r="ABV38" s="15"/>
      <c r="ABW38" s="15"/>
      <c r="ABX38" s="15"/>
      <c r="ABY38" s="15"/>
      <c r="ABZ38" s="15"/>
      <c r="ACA38" s="15"/>
      <c r="ACB38" s="15"/>
      <c r="ACC38" s="15"/>
      <c r="ACD38" s="15"/>
      <c r="ACE38" s="15"/>
      <c r="ACF38" s="15"/>
      <c r="ACG38" s="15"/>
      <c r="ACH38" s="15"/>
      <c r="ACI38" s="15"/>
      <c r="ACJ38" s="15"/>
      <c r="ACK38" s="15"/>
      <c r="ACL38" s="15"/>
      <c r="ACM38" s="15"/>
      <c r="ACN38" s="15"/>
      <c r="ACO38" s="15"/>
      <c r="ACP38" s="15"/>
      <c r="ACQ38" s="15"/>
      <c r="ACR38" s="15"/>
      <c r="ACS38" s="15"/>
      <c r="ACT38" s="15"/>
      <c r="ACU38" s="15"/>
      <c r="ACV38" s="15"/>
      <c r="ACW38" s="15"/>
      <c r="ACX38" s="15"/>
      <c r="ACY38" s="15"/>
      <c r="ACZ38" s="15"/>
      <c r="ADA38" s="15"/>
      <c r="ADB38" s="15"/>
      <c r="ADC38" s="15"/>
      <c r="ADD38" s="15"/>
      <c r="ADE38" s="15"/>
      <c r="ADF38" s="15"/>
      <c r="ADG38" s="15"/>
      <c r="ADH38" s="15"/>
      <c r="ADI38" s="15"/>
      <c r="ADJ38" s="15"/>
      <c r="ADK38" s="15"/>
      <c r="ADL38" s="15"/>
      <c r="ADM38" s="15"/>
      <c r="ADN38" s="15"/>
      <c r="ADO38" s="15"/>
      <c r="ADP38" s="15"/>
      <c r="ADQ38" s="15"/>
      <c r="ADR38" s="15"/>
      <c r="ADS38" s="15"/>
      <c r="ADT38" s="15"/>
      <c r="ADU38" s="15"/>
      <c r="ADV38" s="15"/>
      <c r="ADW38" s="15"/>
      <c r="ADX38" s="15"/>
      <c r="ADY38" s="15"/>
      <c r="ADZ38" s="15"/>
      <c r="AEA38" s="15"/>
      <c r="AEB38" s="15"/>
      <c r="AEC38" s="15"/>
      <c r="AED38" s="15"/>
      <c r="AEE38" s="15"/>
      <c r="AEF38" s="15"/>
      <c r="AEG38" s="15"/>
      <c r="AEH38" s="15"/>
      <c r="AEI38" s="15"/>
      <c r="AEJ38" s="15"/>
      <c r="AEK38" s="15"/>
      <c r="AEL38" s="15"/>
      <c r="AEM38" s="15"/>
      <c r="AEN38" s="15"/>
      <c r="AEO38" s="15"/>
      <c r="AEP38" s="15"/>
      <c r="AEQ38" s="15"/>
      <c r="AER38" s="15"/>
      <c r="AES38" s="15"/>
      <c r="AET38" s="15"/>
      <c r="AEU38" s="15"/>
      <c r="AEV38" s="15"/>
      <c r="AEW38" s="15"/>
      <c r="AEX38" s="15"/>
      <c r="AEY38" s="15"/>
      <c r="AEZ38" s="15"/>
      <c r="AFA38" s="15"/>
      <c r="AFB38" s="15"/>
      <c r="AFC38" s="15"/>
      <c r="AFD38" s="15"/>
      <c r="AFE38" s="15"/>
      <c r="AFF38" s="15"/>
      <c r="AFG38" s="15"/>
      <c r="AFH38" s="15"/>
      <c r="AFI38" s="15"/>
      <c r="AFJ38" s="15"/>
      <c r="AFK38" s="15"/>
      <c r="AFL38" s="15"/>
      <c r="AFM38" s="15"/>
      <c r="AFN38" s="15"/>
      <c r="AFO38" s="15"/>
      <c r="AFP38" s="15"/>
      <c r="AFQ38" s="15"/>
      <c r="AFR38" s="15"/>
      <c r="AFS38" s="15"/>
      <c r="AFT38" s="15"/>
      <c r="AFU38" s="15"/>
      <c r="AFV38" s="15"/>
      <c r="AFW38" s="15"/>
      <c r="AFX38" s="15"/>
      <c r="AFY38" s="15"/>
      <c r="AFZ38" s="15"/>
      <c r="AGA38" s="15"/>
      <c r="AGB38" s="15"/>
      <c r="AGC38" s="15"/>
      <c r="AGD38" s="15"/>
      <c r="AGE38" s="15"/>
      <c r="AGF38" s="15"/>
      <c r="AGG38" s="15"/>
      <c r="AGH38" s="15"/>
      <c r="AGI38" s="15"/>
      <c r="AGJ38" s="15"/>
      <c r="AGK38" s="15"/>
      <c r="AGL38" s="15"/>
      <c r="AGM38" s="15"/>
      <c r="AGN38" s="15"/>
      <c r="AGO38" s="15"/>
      <c r="AGP38" s="15"/>
      <c r="AGQ38" s="15"/>
      <c r="AGR38" s="15"/>
      <c r="AGS38" s="15"/>
      <c r="AGT38" s="15"/>
      <c r="AGU38" s="15"/>
      <c r="AGV38" s="15"/>
      <c r="AGW38" s="15"/>
      <c r="AGX38" s="15"/>
      <c r="AGY38" s="15"/>
      <c r="AGZ38" s="15"/>
      <c r="AHA38" s="15"/>
      <c r="AHB38" s="15"/>
      <c r="AHC38" s="15"/>
      <c r="AHD38" s="15"/>
      <c r="AHE38" s="15"/>
      <c r="AHF38" s="15"/>
      <c r="AHG38" s="15"/>
      <c r="AHH38" s="15"/>
      <c r="AHI38" s="15"/>
      <c r="AHJ38" s="15"/>
      <c r="AHK38" s="15"/>
      <c r="AHL38" s="15"/>
      <c r="AHM38" s="15"/>
      <c r="AHN38" s="15"/>
      <c r="AHO38" s="15"/>
      <c r="AHP38" s="15"/>
      <c r="AHQ38" s="15"/>
      <c r="AHR38" s="15"/>
      <c r="AHS38" s="15"/>
      <c r="AHT38" s="15"/>
      <c r="AHU38" s="15"/>
      <c r="AHV38" s="15"/>
      <c r="AHW38" s="15"/>
      <c r="AHX38" s="15"/>
      <c r="AHY38" s="15"/>
      <c r="AHZ38" s="15"/>
      <c r="AIA38" s="15"/>
      <c r="AIB38" s="15"/>
      <c r="AIC38" s="15"/>
      <c r="AID38" s="15"/>
      <c r="AIE38" s="15"/>
      <c r="AIF38" s="15"/>
      <c r="AIG38" s="15"/>
      <c r="AIH38" s="15"/>
      <c r="AII38" s="15"/>
      <c r="AIJ38" s="15"/>
      <c r="AIK38" s="15"/>
      <c r="AIL38" s="15"/>
      <c r="AIM38" s="15"/>
      <c r="AIN38" s="15"/>
      <c r="AIO38" s="15"/>
      <c r="AIP38" s="15"/>
      <c r="AIQ38" s="15"/>
      <c r="AIR38" s="15"/>
      <c r="AIS38" s="15"/>
      <c r="AIT38" s="15"/>
      <c r="AIU38" s="15"/>
      <c r="AIV38" s="15"/>
      <c r="AIW38" s="15"/>
      <c r="AIX38" s="15"/>
      <c r="AIY38" s="15"/>
      <c r="AIZ38" s="15"/>
      <c r="AJA38" s="15"/>
      <c r="AJB38" s="15"/>
      <c r="AJC38" s="15"/>
      <c r="AJD38" s="15"/>
      <c r="AJE38" s="15"/>
      <c r="AJF38" s="15"/>
      <c r="AJG38" s="15"/>
      <c r="AJH38" s="15"/>
      <c r="AJI38" s="15"/>
      <c r="AJJ38" s="15"/>
      <c r="AJK38" s="15"/>
      <c r="AJL38" s="15"/>
      <c r="AJM38" s="15"/>
      <c r="AJN38" s="15"/>
      <c r="AJO38" s="15"/>
      <c r="AJP38" s="15"/>
      <c r="AJQ38" s="15"/>
      <c r="AJR38" s="15"/>
      <c r="AJS38" s="15"/>
      <c r="AJT38" s="15"/>
      <c r="AJU38" s="15"/>
      <c r="AJV38" s="15"/>
      <c r="AJW38" s="15"/>
      <c r="AJX38" s="15"/>
      <c r="AJY38" s="15"/>
      <c r="AJZ38" s="15"/>
      <c r="AKA38" s="15"/>
      <c r="AKB38" s="15"/>
      <c r="AKC38" s="15"/>
      <c r="AKD38" s="15"/>
      <c r="AKE38" s="15"/>
      <c r="AKF38" s="15"/>
      <c r="AKG38" s="15"/>
      <c r="AKH38" s="15"/>
      <c r="AKI38" s="15"/>
      <c r="AKJ38" s="15"/>
      <c r="AKK38" s="15"/>
      <c r="AKL38" s="15"/>
      <c r="AKM38" s="15"/>
      <c r="AKN38" s="15"/>
      <c r="AKO38" s="15"/>
      <c r="AKP38" s="15"/>
      <c r="AKQ38" s="15"/>
      <c r="AKR38" s="15"/>
      <c r="AKS38" s="15"/>
      <c r="AKT38" s="15"/>
      <c r="AKU38" s="15"/>
      <c r="AKV38" s="15"/>
      <c r="AKW38" s="15"/>
      <c r="AKX38" s="15"/>
      <c r="AKY38" s="15"/>
      <c r="AKZ38" s="15"/>
      <c r="ALA38" s="15"/>
      <c r="ALB38" s="15"/>
      <c r="ALC38" s="15"/>
      <c r="ALD38" s="15"/>
      <c r="ALE38" s="15"/>
      <c r="ALF38" s="15"/>
      <c r="ALG38" s="15"/>
      <c r="ALH38" s="15"/>
      <c r="ALI38" s="15"/>
      <c r="ALJ38" s="15"/>
      <c r="ALK38" s="15"/>
      <c r="ALL38" s="15"/>
      <c r="ALM38" s="15"/>
      <c r="ALN38" s="15"/>
      <c r="ALO38" s="15"/>
      <c r="ALP38" s="15"/>
      <c r="ALQ38" s="15"/>
      <c r="ALR38" s="15"/>
      <c r="ALS38" s="15"/>
      <c r="ALT38" s="15"/>
      <c r="ALU38" s="15"/>
      <c r="ALV38" s="15"/>
      <c r="ALW38" s="15"/>
      <c r="ALX38" s="15"/>
      <c r="ALY38" s="15"/>
      <c r="ALZ38" s="15"/>
      <c r="AMA38" s="15"/>
      <c r="AMB38" s="15"/>
      <c r="AMC38" s="15"/>
      <c r="AMD38" s="15"/>
      <c r="AME38" s="15"/>
      <c r="AMF38" s="15"/>
      <c r="AMG38" s="14"/>
      <c r="AMH38" s="14"/>
      <c r="AMI38" s="14"/>
      <c r="AMJ38" s="14"/>
    </row>
    <row r="39" spans="1:1024" s="13" customFormat="1" ht="29" hidden="1" x14ac:dyDescent="0.35">
      <c r="A39" s="19">
        <v>43653</v>
      </c>
      <c r="B39" s="17" t="s">
        <v>342</v>
      </c>
      <c r="C39" s="17" t="s">
        <v>341</v>
      </c>
      <c r="D39" s="18">
        <v>43654</v>
      </c>
      <c r="E39" s="17" t="s">
        <v>115</v>
      </c>
      <c r="F39" s="26">
        <v>0.39583333333333298</v>
      </c>
      <c r="G39" s="26">
        <v>0.39583333333333298</v>
      </c>
      <c r="H39" s="26">
        <v>0.39583333333333298</v>
      </c>
      <c r="I39" s="17">
        <v>0</v>
      </c>
      <c r="J39" s="17" t="s">
        <v>16</v>
      </c>
      <c r="K39" s="17" t="s">
        <v>136</v>
      </c>
      <c r="L39" s="16" t="s">
        <v>17</v>
      </c>
      <c r="M39" s="15"/>
      <c r="N39" s="15"/>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15"/>
      <c r="CR39" s="15"/>
      <c r="CS39" s="15"/>
      <c r="CT39" s="15"/>
      <c r="CU39" s="15"/>
      <c r="CV39" s="15"/>
      <c r="CW39" s="15"/>
      <c r="CX39" s="15"/>
      <c r="CY39" s="15"/>
      <c r="CZ39" s="15"/>
      <c r="DA39" s="15"/>
      <c r="DB39" s="15"/>
      <c r="DC39" s="15"/>
      <c r="DD39" s="15"/>
      <c r="DE39" s="15"/>
      <c r="DF39" s="15"/>
      <c r="DG39" s="15"/>
      <c r="DH39" s="15"/>
      <c r="DI39" s="15"/>
      <c r="DJ39" s="15"/>
      <c r="DK39" s="15"/>
      <c r="DL39" s="15"/>
      <c r="DM39" s="15"/>
      <c r="DN39" s="15"/>
      <c r="DO39" s="15"/>
      <c r="DP39" s="15"/>
      <c r="DQ39" s="15"/>
      <c r="DR39" s="15"/>
      <c r="DS39" s="15"/>
      <c r="DT39" s="15"/>
      <c r="DU39" s="15"/>
      <c r="DV39" s="15"/>
      <c r="DW39" s="15"/>
      <c r="DX39" s="15"/>
      <c r="DY39" s="15"/>
      <c r="DZ39" s="15"/>
      <c r="EA39" s="15"/>
      <c r="EB39" s="15"/>
      <c r="EC39" s="15"/>
      <c r="ED39" s="15"/>
      <c r="EE39" s="15"/>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c r="ID39" s="15"/>
      <c r="IE39" s="15"/>
      <c r="IF39" s="15"/>
      <c r="IG39" s="15"/>
      <c r="IH39" s="15"/>
      <c r="II39" s="15"/>
      <c r="IJ39" s="15"/>
      <c r="IK39" s="15"/>
      <c r="IL39" s="15"/>
      <c r="IM39" s="15"/>
      <c r="IN39" s="15"/>
      <c r="IO39" s="15"/>
      <c r="IP39" s="15"/>
      <c r="IQ39" s="15"/>
      <c r="IR39" s="15"/>
      <c r="IS39" s="15"/>
      <c r="IT39" s="15"/>
      <c r="IU39" s="15"/>
      <c r="IV39" s="15"/>
      <c r="IW39" s="15"/>
      <c r="IX39" s="15"/>
      <c r="IY39" s="15"/>
      <c r="IZ39" s="15"/>
      <c r="JA39" s="15"/>
      <c r="JB39" s="15"/>
      <c r="JC39" s="15"/>
      <c r="JD39" s="15"/>
      <c r="JE39" s="15"/>
      <c r="JF39" s="15"/>
      <c r="JG39" s="15"/>
      <c r="JH39" s="15"/>
      <c r="JI39" s="15"/>
      <c r="JJ39" s="15"/>
      <c r="JK39" s="15"/>
      <c r="JL39" s="15"/>
      <c r="JM39" s="15"/>
      <c r="JN39" s="15"/>
      <c r="JO39" s="15"/>
      <c r="JP39" s="15"/>
      <c r="JQ39" s="15"/>
      <c r="JR39" s="15"/>
      <c r="JS39" s="15"/>
      <c r="JT39" s="15"/>
      <c r="JU39" s="15"/>
      <c r="JV39" s="15"/>
      <c r="JW39" s="15"/>
      <c r="JX39" s="15"/>
      <c r="JY39" s="15"/>
      <c r="JZ39" s="15"/>
      <c r="KA39" s="15"/>
      <c r="KB39" s="15"/>
      <c r="KC39" s="15"/>
      <c r="KD39" s="15"/>
      <c r="KE39" s="15"/>
      <c r="KF39" s="15"/>
      <c r="KG39" s="15"/>
      <c r="KH39" s="15"/>
      <c r="KI39" s="15"/>
      <c r="KJ39" s="15"/>
      <c r="KK39" s="15"/>
      <c r="KL39" s="15"/>
      <c r="KM39" s="15"/>
      <c r="KN39" s="15"/>
      <c r="KO39" s="15"/>
      <c r="KP39" s="15"/>
      <c r="KQ39" s="15"/>
      <c r="KR39" s="15"/>
      <c r="KS39" s="15"/>
      <c r="KT39" s="15"/>
      <c r="KU39" s="15"/>
      <c r="KV39" s="15"/>
      <c r="KW39" s="15"/>
      <c r="KX39" s="15"/>
      <c r="KY39" s="15"/>
      <c r="KZ39" s="15"/>
      <c r="LA39" s="15"/>
      <c r="LB39" s="15"/>
      <c r="LC39" s="15"/>
      <c r="LD39" s="15"/>
      <c r="LE39" s="15"/>
      <c r="LF39" s="15"/>
      <c r="LG39" s="15"/>
      <c r="LH39" s="15"/>
      <c r="LI39" s="15"/>
      <c r="LJ39" s="15"/>
      <c r="LK39" s="15"/>
      <c r="LL39" s="15"/>
      <c r="LM39" s="15"/>
      <c r="LN39" s="15"/>
      <c r="LO39" s="15"/>
      <c r="LP39" s="15"/>
      <c r="LQ39" s="15"/>
      <c r="LR39" s="15"/>
      <c r="LS39" s="15"/>
      <c r="LT39" s="15"/>
      <c r="LU39" s="15"/>
      <c r="LV39" s="15"/>
      <c r="LW39" s="15"/>
      <c r="LX39" s="15"/>
      <c r="LY39" s="15"/>
      <c r="LZ39" s="15"/>
      <c r="MA39" s="15"/>
      <c r="MB39" s="15"/>
      <c r="MC39" s="15"/>
      <c r="MD39" s="15"/>
      <c r="ME39" s="15"/>
      <c r="MF39" s="15"/>
      <c r="MG39" s="15"/>
      <c r="MH39" s="15"/>
      <c r="MI39" s="15"/>
      <c r="MJ39" s="15"/>
      <c r="MK39" s="15"/>
      <c r="ML39" s="15"/>
      <c r="MM39" s="15"/>
      <c r="MN39" s="15"/>
      <c r="MO39" s="15"/>
      <c r="MP39" s="15"/>
      <c r="MQ39" s="15"/>
      <c r="MR39" s="15"/>
      <c r="MS39" s="15"/>
      <c r="MT39" s="15"/>
      <c r="MU39" s="15"/>
      <c r="MV39" s="15"/>
      <c r="MW39" s="15"/>
      <c r="MX39" s="15"/>
      <c r="MY39" s="15"/>
      <c r="MZ39" s="15"/>
      <c r="NA39" s="15"/>
      <c r="NB39" s="15"/>
      <c r="NC39" s="15"/>
      <c r="ND39" s="15"/>
      <c r="NE39" s="15"/>
      <c r="NF39" s="15"/>
      <c r="NG39" s="15"/>
      <c r="NH39" s="15"/>
      <c r="NI39" s="15"/>
      <c r="NJ39" s="15"/>
      <c r="NK39" s="15"/>
      <c r="NL39" s="15"/>
      <c r="NM39" s="15"/>
      <c r="NN39" s="15"/>
      <c r="NO39" s="15"/>
      <c r="NP39" s="15"/>
      <c r="NQ39" s="15"/>
      <c r="NR39" s="15"/>
      <c r="NS39" s="15"/>
      <c r="NT39" s="15"/>
      <c r="NU39" s="15"/>
      <c r="NV39" s="15"/>
      <c r="NW39" s="15"/>
      <c r="NX39" s="15"/>
      <c r="NY39" s="15"/>
      <c r="NZ39" s="15"/>
      <c r="OA39" s="15"/>
      <c r="OB39" s="15"/>
      <c r="OC39" s="15"/>
      <c r="OD39" s="15"/>
      <c r="OE39" s="15"/>
      <c r="OF39" s="15"/>
      <c r="OG39" s="15"/>
      <c r="OH39" s="15"/>
      <c r="OI39" s="15"/>
      <c r="OJ39" s="15"/>
      <c r="OK39" s="15"/>
      <c r="OL39" s="15"/>
      <c r="OM39" s="15"/>
      <c r="ON39" s="15"/>
      <c r="OO39" s="15"/>
      <c r="OP39" s="15"/>
      <c r="OQ39" s="15"/>
      <c r="OR39" s="15"/>
      <c r="OS39" s="15"/>
      <c r="OT39" s="15"/>
      <c r="OU39" s="15"/>
      <c r="OV39" s="15"/>
      <c r="OW39" s="15"/>
      <c r="OX39" s="15"/>
      <c r="OY39" s="15"/>
      <c r="OZ39" s="15"/>
      <c r="PA39" s="15"/>
      <c r="PB39" s="15"/>
      <c r="PC39" s="15"/>
      <c r="PD39" s="15"/>
      <c r="PE39" s="15"/>
      <c r="PF39" s="15"/>
      <c r="PG39" s="15"/>
      <c r="PH39" s="15"/>
      <c r="PI39" s="15"/>
      <c r="PJ39" s="15"/>
      <c r="PK39" s="15"/>
      <c r="PL39" s="15"/>
      <c r="PM39" s="15"/>
      <c r="PN39" s="15"/>
      <c r="PO39" s="15"/>
      <c r="PP39" s="15"/>
      <c r="PQ39" s="15"/>
      <c r="PR39" s="15"/>
      <c r="PS39" s="15"/>
      <c r="PT39" s="15"/>
      <c r="PU39" s="15"/>
      <c r="PV39" s="15"/>
      <c r="PW39" s="15"/>
      <c r="PX39" s="15"/>
      <c r="PY39" s="15"/>
      <c r="PZ39" s="15"/>
      <c r="QA39" s="15"/>
      <c r="QB39" s="15"/>
      <c r="QC39" s="15"/>
      <c r="QD39" s="15"/>
      <c r="QE39" s="15"/>
      <c r="QF39" s="15"/>
      <c r="QG39" s="15"/>
      <c r="QH39" s="15"/>
      <c r="QI39" s="15"/>
      <c r="QJ39" s="15"/>
      <c r="QK39" s="15"/>
      <c r="QL39" s="15"/>
      <c r="QM39" s="15"/>
      <c r="QN39" s="15"/>
      <c r="QO39" s="15"/>
      <c r="QP39" s="15"/>
      <c r="QQ39" s="15"/>
      <c r="QR39" s="15"/>
      <c r="QS39" s="15"/>
      <c r="QT39" s="15"/>
      <c r="QU39" s="15"/>
      <c r="QV39" s="15"/>
      <c r="QW39" s="15"/>
      <c r="QX39" s="15"/>
      <c r="QY39" s="15"/>
      <c r="QZ39" s="15"/>
      <c r="RA39" s="15"/>
      <c r="RB39" s="15"/>
      <c r="RC39" s="15"/>
      <c r="RD39" s="15"/>
      <c r="RE39" s="15"/>
      <c r="RF39" s="15"/>
      <c r="RG39" s="15"/>
      <c r="RH39" s="15"/>
      <c r="RI39" s="15"/>
      <c r="RJ39" s="15"/>
      <c r="RK39" s="15"/>
      <c r="RL39" s="15"/>
      <c r="RM39" s="15"/>
      <c r="RN39" s="15"/>
      <c r="RO39" s="15"/>
      <c r="RP39" s="15"/>
      <c r="RQ39" s="15"/>
      <c r="RR39" s="15"/>
      <c r="RS39" s="15"/>
      <c r="RT39" s="15"/>
      <c r="RU39" s="15"/>
      <c r="RV39" s="15"/>
      <c r="RW39" s="15"/>
      <c r="RX39" s="15"/>
      <c r="RY39" s="15"/>
      <c r="RZ39" s="15"/>
      <c r="SA39" s="15"/>
      <c r="SB39" s="15"/>
      <c r="SC39" s="15"/>
      <c r="SD39" s="15"/>
      <c r="SE39" s="15"/>
      <c r="SF39" s="15"/>
      <c r="SG39" s="15"/>
      <c r="SH39" s="15"/>
      <c r="SI39" s="15"/>
      <c r="SJ39" s="15"/>
      <c r="SK39" s="15"/>
      <c r="SL39" s="15"/>
      <c r="SM39" s="15"/>
      <c r="SN39" s="15"/>
      <c r="SO39" s="15"/>
      <c r="SP39" s="15"/>
      <c r="SQ39" s="15"/>
      <c r="SR39" s="15"/>
      <c r="SS39" s="15"/>
      <c r="ST39" s="15"/>
      <c r="SU39" s="15"/>
      <c r="SV39" s="15"/>
      <c r="SW39" s="15"/>
      <c r="SX39" s="15"/>
      <c r="SY39" s="15"/>
      <c r="SZ39" s="15"/>
      <c r="TA39" s="15"/>
      <c r="TB39" s="15"/>
      <c r="TC39" s="15"/>
      <c r="TD39" s="15"/>
      <c r="TE39" s="15"/>
      <c r="TF39" s="15"/>
      <c r="TG39" s="15"/>
      <c r="TH39" s="15"/>
      <c r="TI39" s="15"/>
      <c r="TJ39" s="15"/>
      <c r="TK39" s="15"/>
      <c r="TL39" s="15"/>
      <c r="TM39" s="15"/>
      <c r="TN39" s="15"/>
      <c r="TO39" s="15"/>
      <c r="TP39" s="15"/>
      <c r="TQ39" s="15"/>
      <c r="TR39" s="15"/>
      <c r="TS39" s="15"/>
      <c r="TT39" s="15"/>
      <c r="TU39" s="15"/>
      <c r="TV39" s="15"/>
      <c r="TW39" s="15"/>
      <c r="TX39" s="15"/>
      <c r="TY39" s="15"/>
      <c r="TZ39" s="15"/>
      <c r="UA39" s="15"/>
      <c r="UB39" s="15"/>
      <c r="UC39" s="15"/>
      <c r="UD39" s="15"/>
      <c r="UE39" s="15"/>
      <c r="UF39" s="15"/>
      <c r="UG39" s="15"/>
      <c r="UH39" s="15"/>
      <c r="UI39" s="15"/>
      <c r="UJ39" s="15"/>
      <c r="UK39" s="15"/>
      <c r="UL39" s="15"/>
      <c r="UM39" s="15"/>
      <c r="UN39" s="15"/>
      <c r="UO39" s="15"/>
      <c r="UP39" s="15"/>
      <c r="UQ39" s="15"/>
      <c r="UR39" s="15"/>
      <c r="US39" s="15"/>
      <c r="UT39" s="15"/>
      <c r="UU39" s="15"/>
      <c r="UV39" s="15"/>
      <c r="UW39" s="15"/>
      <c r="UX39" s="15"/>
      <c r="UY39" s="15"/>
      <c r="UZ39" s="15"/>
      <c r="VA39" s="15"/>
      <c r="VB39" s="15"/>
      <c r="VC39" s="15"/>
      <c r="VD39" s="15"/>
      <c r="VE39" s="15"/>
      <c r="VF39" s="15"/>
      <c r="VG39" s="15"/>
      <c r="VH39" s="15"/>
      <c r="VI39" s="15"/>
      <c r="VJ39" s="15"/>
      <c r="VK39" s="15"/>
      <c r="VL39" s="15"/>
      <c r="VM39" s="15"/>
      <c r="VN39" s="15"/>
      <c r="VO39" s="15"/>
      <c r="VP39" s="15"/>
      <c r="VQ39" s="15"/>
      <c r="VR39" s="15"/>
      <c r="VS39" s="15"/>
      <c r="VT39" s="15"/>
      <c r="VU39" s="15"/>
      <c r="VV39" s="15"/>
      <c r="VW39" s="15"/>
      <c r="VX39" s="15"/>
      <c r="VY39" s="15"/>
      <c r="VZ39" s="15"/>
      <c r="WA39" s="15"/>
      <c r="WB39" s="15"/>
      <c r="WC39" s="15"/>
      <c r="WD39" s="15"/>
      <c r="WE39" s="15"/>
      <c r="WF39" s="15"/>
      <c r="WG39" s="15"/>
      <c r="WH39" s="15"/>
      <c r="WI39" s="15"/>
      <c r="WJ39" s="15"/>
      <c r="WK39" s="15"/>
      <c r="WL39" s="15"/>
      <c r="WM39" s="15"/>
      <c r="WN39" s="15"/>
      <c r="WO39" s="15"/>
      <c r="WP39" s="15"/>
      <c r="WQ39" s="15"/>
      <c r="WR39" s="15"/>
      <c r="WS39" s="15"/>
      <c r="WT39" s="15"/>
      <c r="WU39" s="15"/>
      <c r="WV39" s="15"/>
      <c r="WW39" s="15"/>
      <c r="WX39" s="15"/>
      <c r="WY39" s="15"/>
      <c r="WZ39" s="15"/>
      <c r="XA39" s="15"/>
      <c r="XB39" s="15"/>
      <c r="XC39" s="15"/>
      <c r="XD39" s="15"/>
      <c r="XE39" s="15"/>
      <c r="XF39" s="15"/>
      <c r="XG39" s="15"/>
      <c r="XH39" s="15"/>
      <c r="XI39" s="15"/>
      <c r="XJ39" s="15"/>
      <c r="XK39" s="15"/>
      <c r="XL39" s="15"/>
      <c r="XM39" s="15"/>
      <c r="XN39" s="15"/>
      <c r="XO39" s="15"/>
      <c r="XP39" s="15"/>
      <c r="XQ39" s="15"/>
      <c r="XR39" s="15"/>
      <c r="XS39" s="15"/>
      <c r="XT39" s="15"/>
      <c r="XU39" s="15"/>
      <c r="XV39" s="15"/>
      <c r="XW39" s="15"/>
      <c r="XX39" s="15"/>
      <c r="XY39" s="15"/>
      <c r="XZ39" s="15"/>
      <c r="YA39" s="15"/>
      <c r="YB39" s="15"/>
      <c r="YC39" s="15"/>
      <c r="YD39" s="15"/>
      <c r="YE39" s="15"/>
      <c r="YF39" s="15"/>
      <c r="YG39" s="15"/>
      <c r="YH39" s="15"/>
      <c r="YI39" s="15"/>
      <c r="YJ39" s="15"/>
      <c r="YK39" s="15"/>
      <c r="YL39" s="15"/>
      <c r="YM39" s="15"/>
      <c r="YN39" s="15"/>
      <c r="YO39" s="15"/>
      <c r="YP39" s="15"/>
      <c r="YQ39" s="15"/>
      <c r="YR39" s="15"/>
      <c r="YS39" s="15"/>
      <c r="YT39" s="15"/>
      <c r="YU39" s="15"/>
      <c r="YV39" s="15"/>
      <c r="YW39" s="15"/>
      <c r="YX39" s="15"/>
      <c r="YY39" s="15"/>
      <c r="YZ39" s="15"/>
      <c r="ZA39" s="15"/>
      <c r="ZB39" s="15"/>
      <c r="ZC39" s="15"/>
      <c r="ZD39" s="15"/>
      <c r="ZE39" s="15"/>
      <c r="ZF39" s="15"/>
      <c r="ZG39" s="15"/>
      <c r="ZH39" s="15"/>
      <c r="ZI39" s="15"/>
      <c r="ZJ39" s="15"/>
      <c r="ZK39" s="15"/>
      <c r="ZL39" s="15"/>
      <c r="ZM39" s="15"/>
      <c r="ZN39" s="15"/>
      <c r="ZO39" s="15"/>
      <c r="ZP39" s="15"/>
      <c r="ZQ39" s="15"/>
      <c r="ZR39" s="15"/>
      <c r="ZS39" s="15"/>
      <c r="ZT39" s="15"/>
      <c r="ZU39" s="15"/>
      <c r="ZV39" s="15"/>
      <c r="ZW39" s="15"/>
      <c r="ZX39" s="15"/>
      <c r="ZY39" s="15"/>
      <c r="ZZ39" s="15"/>
      <c r="AAA39" s="15"/>
      <c r="AAB39" s="15"/>
      <c r="AAC39" s="15"/>
      <c r="AAD39" s="15"/>
      <c r="AAE39" s="15"/>
      <c r="AAF39" s="15"/>
      <c r="AAG39" s="15"/>
      <c r="AAH39" s="15"/>
      <c r="AAI39" s="15"/>
      <c r="AAJ39" s="15"/>
      <c r="AAK39" s="15"/>
      <c r="AAL39" s="15"/>
      <c r="AAM39" s="15"/>
      <c r="AAN39" s="15"/>
      <c r="AAO39" s="15"/>
      <c r="AAP39" s="15"/>
      <c r="AAQ39" s="15"/>
      <c r="AAR39" s="15"/>
      <c r="AAS39" s="15"/>
      <c r="AAT39" s="15"/>
      <c r="AAU39" s="15"/>
      <c r="AAV39" s="15"/>
      <c r="AAW39" s="15"/>
      <c r="AAX39" s="15"/>
      <c r="AAY39" s="15"/>
      <c r="AAZ39" s="15"/>
      <c r="ABA39" s="15"/>
      <c r="ABB39" s="15"/>
      <c r="ABC39" s="15"/>
      <c r="ABD39" s="15"/>
      <c r="ABE39" s="15"/>
      <c r="ABF39" s="15"/>
      <c r="ABG39" s="15"/>
      <c r="ABH39" s="15"/>
      <c r="ABI39" s="15"/>
      <c r="ABJ39" s="15"/>
      <c r="ABK39" s="15"/>
      <c r="ABL39" s="15"/>
      <c r="ABM39" s="15"/>
      <c r="ABN39" s="15"/>
      <c r="ABO39" s="15"/>
      <c r="ABP39" s="15"/>
      <c r="ABQ39" s="15"/>
      <c r="ABR39" s="15"/>
      <c r="ABS39" s="15"/>
      <c r="ABT39" s="15"/>
      <c r="ABU39" s="15"/>
      <c r="ABV39" s="15"/>
      <c r="ABW39" s="15"/>
      <c r="ABX39" s="15"/>
      <c r="ABY39" s="15"/>
      <c r="ABZ39" s="15"/>
      <c r="ACA39" s="15"/>
      <c r="ACB39" s="15"/>
      <c r="ACC39" s="15"/>
      <c r="ACD39" s="15"/>
      <c r="ACE39" s="15"/>
      <c r="ACF39" s="15"/>
      <c r="ACG39" s="15"/>
      <c r="ACH39" s="15"/>
      <c r="ACI39" s="15"/>
      <c r="ACJ39" s="15"/>
      <c r="ACK39" s="15"/>
      <c r="ACL39" s="15"/>
      <c r="ACM39" s="15"/>
      <c r="ACN39" s="15"/>
      <c r="ACO39" s="15"/>
      <c r="ACP39" s="15"/>
      <c r="ACQ39" s="15"/>
      <c r="ACR39" s="15"/>
      <c r="ACS39" s="15"/>
      <c r="ACT39" s="15"/>
      <c r="ACU39" s="15"/>
      <c r="ACV39" s="15"/>
      <c r="ACW39" s="15"/>
      <c r="ACX39" s="15"/>
      <c r="ACY39" s="15"/>
      <c r="ACZ39" s="15"/>
      <c r="ADA39" s="15"/>
      <c r="ADB39" s="15"/>
      <c r="ADC39" s="15"/>
      <c r="ADD39" s="15"/>
      <c r="ADE39" s="15"/>
      <c r="ADF39" s="15"/>
      <c r="ADG39" s="15"/>
      <c r="ADH39" s="15"/>
      <c r="ADI39" s="15"/>
      <c r="ADJ39" s="15"/>
      <c r="ADK39" s="15"/>
      <c r="ADL39" s="15"/>
      <c r="ADM39" s="15"/>
      <c r="ADN39" s="15"/>
      <c r="ADO39" s="15"/>
      <c r="ADP39" s="15"/>
      <c r="ADQ39" s="15"/>
      <c r="ADR39" s="15"/>
      <c r="ADS39" s="15"/>
      <c r="ADT39" s="15"/>
      <c r="ADU39" s="15"/>
      <c r="ADV39" s="15"/>
      <c r="ADW39" s="15"/>
      <c r="ADX39" s="15"/>
      <c r="ADY39" s="15"/>
      <c r="ADZ39" s="15"/>
      <c r="AEA39" s="15"/>
      <c r="AEB39" s="15"/>
      <c r="AEC39" s="15"/>
      <c r="AED39" s="15"/>
      <c r="AEE39" s="15"/>
      <c r="AEF39" s="15"/>
      <c r="AEG39" s="15"/>
      <c r="AEH39" s="15"/>
      <c r="AEI39" s="15"/>
      <c r="AEJ39" s="15"/>
      <c r="AEK39" s="15"/>
      <c r="AEL39" s="15"/>
      <c r="AEM39" s="15"/>
      <c r="AEN39" s="15"/>
      <c r="AEO39" s="15"/>
      <c r="AEP39" s="15"/>
      <c r="AEQ39" s="15"/>
      <c r="AER39" s="15"/>
      <c r="AES39" s="15"/>
      <c r="AET39" s="15"/>
      <c r="AEU39" s="15"/>
      <c r="AEV39" s="15"/>
      <c r="AEW39" s="15"/>
      <c r="AEX39" s="15"/>
      <c r="AEY39" s="15"/>
      <c r="AEZ39" s="15"/>
      <c r="AFA39" s="15"/>
      <c r="AFB39" s="15"/>
      <c r="AFC39" s="15"/>
      <c r="AFD39" s="15"/>
      <c r="AFE39" s="15"/>
      <c r="AFF39" s="15"/>
      <c r="AFG39" s="15"/>
      <c r="AFH39" s="15"/>
      <c r="AFI39" s="15"/>
      <c r="AFJ39" s="15"/>
      <c r="AFK39" s="15"/>
      <c r="AFL39" s="15"/>
      <c r="AFM39" s="15"/>
      <c r="AFN39" s="15"/>
      <c r="AFO39" s="15"/>
      <c r="AFP39" s="15"/>
      <c r="AFQ39" s="15"/>
      <c r="AFR39" s="15"/>
      <c r="AFS39" s="15"/>
      <c r="AFT39" s="15"/>
      <c r="AFU39" s="15"/>
      <c r="AFV39" s="15"/>
      <c r="AFW39" s="15"/>
      <c r="AFX39" s="15"/>
      <c r="AFY39" s="15"/>
      <c r="AFZ39" s="15"/>
      <c r="AGA39" s="15"/>
      <c r="AGB39" s="15"/>
      <c r="AGC39" s="15"/>
      <c r="AGD39" s="15"/>
      <c r="AGE39" s="15"/>
      <c r="AGF39" s="15"/>
      <c r="AGG39" s="15"/>
      <c r="AGH39" s="15"/>
      <c r="AGI39" s="15"/>
      <c r="AGJ39" s="15"/>
      <c r="AGK39" s="15"/>
      <c r="AGL39" s="15"/>
      <c r="AGM39" s="15"/>
      <c r="AGN39" s="15"/>
      <c r="AGO39" s="15"/>
      <c r="AGP39" s="15"/>
      <c r="AGQ39" s="15"/>
      <c r="AGR39" s="15"/>
      <c r="AGS39" s="15"/>
      <c r="AGT39" s="15"/>
      <c r="AGU39" s="15"/>
      <c r="AGV39" s="15"/>
      <c r="AGW39" s="15"/>
      <c r="AGX39" s="15"/>
      <c r="AGY39" s="15"/>
      <c r="AGZ39" s="15"/>
      <c r="AHA39" s="15"/>
      <c r="AHB39" s="15"/>
      <c r="AHC39" s="15"/>
      <c r="AHD39" s="15"/>
      <c r="AHE39" s="15"/>
      <c r="AHF39" s="15"/>
      <c r="AHG39" s="15"/>
      <c r="AHH39" s="15"/>
      <c r="AHI39" s="15"/>
      <c r="AHJ39" s="15"/>
      <c r="AHK39" s="15"/>
      <c r="AHL39" s="15"/>
      <c r="AHM39" s="15"/>
      <c r="AHN39" s="15"/>
      <c r="AHO39" s="15"/>
      <c r="AHP39" s="15"/>
      <c r="AHQ39" s="15"/>
      <c r="AHR39" s="15"/>
      <c r="AHS39" s="15"/>
      <c r="AHT39" s="15"/>
      <c r="AHU39" s="15"/>
      <c r="AHV39" s="15"/>
      <c r="AHW39" s="15"/>
      <c r="AHX39" s="15"/>
      <c r="AHY39" s="15"/>
      <c r="AHZ39" s="15"/>
      <c r="AIA39" s="15"/>
      <c r="AIB39" s="15"/>
      <c r="AIC39" s="15"/>
      <c r="AID39" s="15"/>
      <c r="AIE39" s="15"/>
      <c r="AIF39" s="15"/>
      <c r="AIG39" s="15"/>
      <c r="AIH39" s="15"/>
      <c r="AII39" s="15"/>
      <c r="AIJ39" s="15"/>
      <c r="AIK39" s="15"/>
      <c r="AIL39" s="15"/>
      <c r="AIM39" s="15"/>
      <c r="AIN39" s="15"/>
      <c r="AIO39" s="15"/>
      <c r="AIP39" s="15"/>
      <c r="AIQ39" s="15"/>
      <c r="AIR39" s="15"/>
      <c r="AIS39" s="15"/>
      <c r="AIT39" s="15"/>
      <c r="AIU39" s="15"/>
      <c r="AIV39" s="15"/>
      <c r="AIW39" s="15"/>
      <c r="AIX39" s="15"/>
      <c r="AIY39" s="15"/>
      <c r="AIZ39" s="15"/>
      <c r="AJA39" s="15"/>
      <c r="AJB39" s="15"/>
      <c r="AJC39" s="15"/>
      <c r="AJD39" s="15"/>
      <c r="AJE39" s="15"/>
      <c r="AJF39" s="15"/>
      <c r="AJG39" s="15"/>
      <c r="AJH39" s="15"/>
      <c r="AJI39" s="15"/>
      <c r="AJJ39" s="15"/>
      <c r="AJK39" s="15"/>
      <c r="AJL39" s="15"/>
      <c r="AJM39" s="15"/>
      <c r="AJN39" s="15"/>
      <c r="AJO39" s="15"/>
      <c r="AJP39" s="15"/>
      <c r="AJQ39" s="15"/>
      <c r="AJR39" s="15"/>
      <c r="AJS39" s="15"/>
      <c r="AJT39" s="15"/>
      <c r="AJU39" s="15"/>
      <c r="AJV39" s="15"/>
      <c r="AJW39" s="15"/>
      <c r="AJX39" s="15"/>
      <c r="AJY39" s="15"/>
      <c r="AJZ39" s="15"/>
      <c r="AKA39" s="15"/>
      <c r="AKB39" s="15"/>
      <c r="AKC39" s="15"/>
      <c r="AKD39" s="15"/>
      <c r="AKE39" s="15"/>
      <c r="AKF39" s="15"/>
      <c r="AKG39" s="15"/>
      <c r="AKH39" s="15"/>
      <c r="AKI39" s="15"/>
      <c r="AKJ39" s="15"/>
      <c r="AKK39" s="15"/>
      <c r="AKL39" s="15"/>
      <c r="AKM39" s="15"/>
      <c r="AKN39" s="15"/>
      <c r="AKO39" s="15"/>
      <c r="AKP39" s="15"/>
      <c r="AKQ39" s="15"/>
      <c r="AKR39" s="15"/>
      <c r="AKS39" s="15"/>
      <c r="AKT39" s="15"/>
      <c r="AKU39" s="15"/>
      <c r="AKV39" s="15"/>
      <c r="AKW39" s="15"/>
      <c r="AKX39" s="15"/>
      <c r="AKY39" s="15"/>
      <c r="AKZ39" s="15"/>
      <c r="ALA39" s="15"/>
      <c r="ALB39" s="15"/>
      <c r="ALC39" s="15"/>
      <c r="ALD39" s="15"/>
      <c r="ALE39" s="15"/>
      <c r="ALF39" s="15"/>
      <c r="ALG39" s="15"/>
      <c r="ALH39" s="15"/>
      <c r="ALI39" s="15"/>
      <c r="ALJ39" s="15"/>
      <c r="ALK39" s="15"/>
      <c r="ALL39" s="15"/>
      <c r="ALM39" s="15"/>
      <c r="ALN39" s="15"/>
      <c r="ALO39" s="15"/>
      <c r="ALP39" s="15"/>
      <c r="ALQ39" s="15"/>
      <c r="ALR39" s="15"/>
      <c r="ALS39" s="15"/>
      <c r="ALT39" s="15"/>
      <c r="ALU39" s="15"/>
      <c r="ALV39" s="15"/>
      <c r="ALW39" s="15"/>
      <c r="ALX39" s="15"/>
      <c r="ALY39" s="15"/>
      <c r="ALZ39" s="15"/>
      <c r="AMA39" s="15"/>
      <c r="AMB39" s="15"/>
      <c r="AMC39" s="15"/>
      <c r="AMD39" s="15"/>
      <c r="AME39" s="15"/>
      <c r="AMF39" s="15"/>
      <c r="AMG39" s="14"/>
      <c r="AMH39" s="14"/>
      <c r="AMI39" s="14"/>
      <c r="AMJ39" s="14"/>
    </row>
    <row r="40" spans="1:1024" s="13" customFormat="1" hidden="1" x14ac:dyDescent="0.35">
      <c r="A40" s="19">
        <v>43653</v>
      </c>
      <c r="B40" s="17" t="s">
        <v>20</v>
      </c>
      <c r="C40" s="17" t="s">
        <v>410</v>
      </c>
      <c r="D40" s="18">
        <v>43654</v>
      </c>
      <c r="E40" s="17" t="s">
        <v>20</v>
      </c>
      <c r="F40" s="17" t="s">
        <v>15</v>
      </c>
      <c r="G40" s="26">
        <v>0.5</v>
      </c>
      <c r="H40" s="26">
        <v>0.5</v>
      </c>
      <c r="I40" s="17">
        <v>0</v>
      </c>
      <c r="J40" s="17" t="s">
        <v>20</v>
      </c>
      <c r="K40" s="17" t="s">
        <v>15</v>
      </c>
      <c r="L40" s="16" t="s">
        <v>17</v>
      </c>
      <c r="M40" s="15"/>
      <c r="N40" s="15"/>
      <c r="O40" s="15"/>
      <c r="P40" s="15"/>
      <c r="Q40" s="15"/>
      <c r="R40" s="15"/>
      <c r="S40" s="15"/>
      <c r="T40" s="15"/>
      <c r="U40" s="15"/>
      <c r="V40" s="15"/>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15"/>
      <c r="CR40" s="15"/>
      <c r="CS40" s="15"/>
      <c r="CT40" s="15"/>
      <c r="CU40" s="15"/>
      <c r="CV40" s="15"/>
      <c r="CW40" s="15"/>
      <c r="CX40" s="15"/>
      <c r="CY40" s="15"/>
      <c r="CZ40" s="15"/>
      <c r="DA40" s="15"/>
      <c r="DB40" s="15"/>
      <c r="DC40" s="15"/>
      <c r="DD40" s="15"/>
      <c r="DE40" s="15"/>
      <c r="DF40" s="15"/>
      <c r="DG40" s="15"/>
      <c r="DH40" s="15"/>
      <c r="DI40" s="15"/>
      <c r="DJ40" s="15"/>
      <c r="DK40" s="15"/>
      <c r="DL40" s="15"/>
      <c r="DM40" s="15"/>
      <c r="DN40" s="15"/>
      <c r="DO40" s="15"/>
      <c r="DP40" s="15"/>
      <c r="DQ40" s="15"/>
      <c r="DR40" s="15"/>
      <c r="DS40" s="15"/>
      <c r="DT40" s="15"/>
      <c r="DU40" s="15"/>
      <c r="DV40" s="15"/>
      <c r="DW40" s="15"/>
      <c r="DX40" s="15"/>
      <c r="DY40" s="15"/>
      <c r="DZ40" s="15"/>
      <c r="EA40" s="15"/>
      <c r="EB40" s="15"/>
      <c r="EC40" s="15"/>
      <c r="ED40" s="15"/>
      <c r="EE40" s="15"/>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c r="ID40" s="15"/>
      <c r="IE40" s="15"/>
      <c r="IF40" s="15"/>
      <c r="IG40" s="15"/>
      <c r="IH40" s="15"/>
      <c r="II40" s="15"/>
      <c r="IJ40" s="15"/>
      <c r="IK40" s="15"/>
      <c r="IL40" s="15"/>
      <c r="IM40" s="15"/>
      <c r="IN40" s="15"/>
      <c r="IO40" s="15"/>
      <c r="IP40" s="15"/>
      <c r="IQ40" s="15"/>
      <c r="IR40" s="15"/>
      <c r="IS40" s="15"/>
      <c r="IT40" s="15"/>
      <c r="IU40" s="15"/>
      <c r="IV40" s="15"/>
      <c r="IW40" s="15"/>
      <c r="IX40" s="15"/>
      <c r="IY40" s="15"/>
      <c r="IZ40" s="15"/>
      <c r="JA40" s="15"/>
      <c r="JB40" s="15"/>
      <c r="JC40" s="15"/>
      <c r="JD40" s="15"/>
      <c r="JE40" s="15"/>
      <c r="JF40" s="15"/>
      <c r="JG40" s="15"/>
      <c r="JH40" s="15"/>
      <c r="JI40" s="15"/>
      <c r="JJ40" s="15"/>
      <c r="JK40" s="15"/>
      <c r="JL40" s="15"/>
      <c r="JM40" s="15"/>
      <c r="JN40" s="15"/>
      <c r="JO40" s="15"/>
      <c r="JP40" s="15"/>
      <c r="JQ40" s="15"/>
      <c r="JR40" s="15"/>
      <c r="JS40" s="15"/>
      <c r="JT40" s="15"/>
      <c r="JU40" s="15"/>
      <c r="JV40" s="15"/>
      <c r="JW40" s="15"/>
      <c r="JX40" s="15"/>
      <c r="JY40" s="15"/>
      <c r="JZ40" s="15"/>
      <c r="KA40" s="15"/>
      <c r="KB40" s="15"/>
      <c r="KC40" s="15"/>
      <c r="KD40" s="15"/>
      <c r="KE40" s="15"/>
      <c r="KF40" s="15"/>
      <c r="KG40" s="15"/>
      <c r="KH40" s="15"/>
      <c r="KI40" s="15"/>
      <c r="KJ40" s="15"/>
      <c r="KK40" s="15"/>
      <c r="KL40" s="15"/>
      <c r="KM40" s="15"/>
      <c r="KN40" s="15"/>
      <c r="KO40" s="15"/>
      <c r="KP40" s="15"/>
      <c r="KQ40" s="15"/>
      <c r="KR40" s="15"/>
      <c r="KS40" s="15"/>
      <c r="KT40" s="15"/>
      <c r="KU40" s="15"/>
      <c r="KV40" s="15"/>
      <c r="KW40" s="15"/>
      <c r="KX40" s="15"/>
      <c r="KY40" s="15"/>
      <c r="KZ40" s="15"/>
      <c r="LA40" s="15"/>
      <c r="LB40" s="15"/>
      <c r="LC40" s="15"/>
      <c r="LD40" s="15"/>
      <c r="LE40" s="15"/>
      <c r="LF40" s="15"/>
      <c r="LG40" s="15"/>
      <c r="LH40" s="15"/>
      <c r="LI40" s="15"/>
      <c r="LJ40" s="15"/>
      <c r="LK40" s="15"/>
      <c r="LL40" s="15"/>
      <c r="LM40" s="15"/>
      <c r="LN40" s="15"/>
      <c r="LO40" s="15"/>
      <c r="LP40" s="15"/>
      <c r="LQ40" s="15"/>
      <c r="LR40" s="15"/>
      <c r="LS40" s="15"/>
      <c r="LT40" s="15"/>
      <c r="LU40" s="15"/>
      <c r="LV40" s="15"/>
      <c r="LW40" s="15"/>
      <c r="LX40" s="15"/>
      <c r="LY40" s="15"/>
      <c r="LZ40" s="15"/>
      <c r="MA40" s="15"/>
      <c r="MB40" s="15"/>
      <c r="MC40" s="15"/>
      <c r="MD40" s="15"/>
      <c r="ME40" s="15"/>
      <c r="MF40" s="15"/>
      <c r="MG40" s="15"/>
      <c r="MH40" s="15"/>
      <c r="MI40" s="15"/>
      <c r="MJ40" s="15"/>
      <c r="MK40" s="15"/>
      <c r="ML40" s="15"/>
      <c r="MM40" s="15"/>
      <c r="MN40" s="15"/>
      <c r="MO40" s="15"/>
      <c r="MP40" s="15"/>
      <c r="MQ40" s="15"/>
      <c r="MR40" s="15"/>
      <c r="MS40" s="15"/>
      <c r="MT40" s="15"/>
      <c r="MU40" s="15"/>
      <c r="MV40" s="15"/>
      <c r="MW40" s="15"/>
      <c r="MX40" s="15"/>
      <c r="MY40" s="15"/>
      <c r="MZ40" s="15"/>
      <c r="NA40" s="15"/>
      <c r="NB40" s="15"/>
      <c r="NC40" s="15"/>
      <c r="ND40" s="15"/>
      <c r="NE40" s="15"/>
      <c r="NF40" s="15"/>
      <c r="NG40" s="15"/>
      <c r="NH40" s="15"/>
      <c r="NI40" s="15"/>
      <c r="NJ40" s="15"/>
      <c r="NK40" s="15"/>
      <c r="NL40" s="15"/>
      <c r="NM40" s="15"/>
      <c r="NN40" s="15"/>
      <c r="NO40" s="15"/>
      <c r="NP40" s="15"/>
      <c r="NQ40" s="15"/>
      <c r="NR40" s="15"/>
      <c r="NS40" s="15"/>
      <c r="NT40" s="15"/>
      <c r="NU40" s="15"/>
      <c r="NV40" s="15"/>
      <c r="NW40" s="15"/>
      <c r="NX40" s="15"/>
      <c r="NY40" s="15"/>
      <c r="NZ40" s="15"/>
      <c r="OA40" s="15"/>
      <c r="OB40" s="15"/>
      <c r="OC40" s="15"/>
      <c r="OD40" s="15"/>
      <c r="OE40" s="15"/>
      <c r="OF40" s="15"/>
      <c r="OG40" s="15"/>
      <c r="OH40" s="15"/>
      <c r="OI40" s="15"/>
      <c r="OJ40" s="15"/>
      <c r="OK40" s="15"/>
      <c r="OL40" s="15"/>
      <c r="OM40" s="15"/>
      <c r="ON40" s="15"/>
      <c r="OO40" s="15"/>
      <c r="OP40" s="15"/>
      <c r="OQ40" s="15"/>
      <c r="OR40" s="15"/>
      <c r="OS40" s="15"/>
      <c r="OT40" s="15"/>
      <c r="OU40" s="15"/>
      <c r="OV40" s="15"/>
      <c r="OW40" s="15"/>
      <c r="OX40" s="15"/>
      <c r="OY40" s="15"/>
      <c r="OZ40" s="15"/>
      <c r="PA40" s="15"/>
      <c r="PB40" s="15"/>
      <c r="PC40" s="15"/>
      <c r="PD40" s="15"/>
      <c r="PE40" s="15"/>
      <c r="PF40" s="15"/>
      <c r="PG40" s="15"/>
      <c r="PH40" s="15"/>
      <c r="PI40" s="15"/>
      <c r="PJ40" s="15"/>
      <c r="PK40" s="15"/>
      <c r="PL40" s="15"/>
      <c r="PM40" s="15"/>
      <c r="PN40" s="15"/>
      <c r="PO40" s="15"/>
      <c r="PP40" s="15"/>
      <c r="PQ40" s="15"/>
      <c r="PR40" s="15"/>
      <c r="PS40" s="15"/>
      <c r="PT40" s="15"/>
      <c r="PU40" s="15"/>
      <c r="PV40" s="15"/>
      <c r="PW40" s="15"/>
      <c r="PX40" s="15"/>
      <c r="PY40" s="15"/>
      <c r="PZ40" s="15"/>
      <c r="QA40" s="15"/>
      <c r="QB40" s="15"/>
      <c r="QC40" s="15"/>
      <c r="QD40" s="15"/>
      <c r="QE40" s="15"/>
      <c r="QF40" s="15"/>
      <c r="QG40" s="15"/>
      <c r="QH40" s="15"/>
      <c r="QI40" s="15"/>
      <c r="QJ40" s="15"/>
      <c r="QK40" s="15"/>
      <c r="QL40" s="15"/>
      <c r="QM40" s="15"/>
      <c r="QN40" s="15"/>
      <c r="QO40" s="15"/>
      <c r="QP40" s="15"/>
      <c r="QQ40" s="15"/>
      <c r="QR40" s="15"/>
      <c r="QS40" s="15"/>
      <c r="QT40" s="15"/>
      <c r="QU40" s="15"/>
      <c r="QV40" s="15"/>
      <c r="QW40" s="15"/>
      <c r="QX40" s="15"/>
      <c r="QY40" s="15"/>
      <c r="QZ40" s="15"/>
      <c r="RA40" s="15"/>
      <c r="RB40" s="15"/>
      <c r="RC40" s="15"/>
      <c r="RD40" s="15"/>
      <c r="RE40" s="15"/>
      <c r="RF40" s="15"/>
      <c r="RG40" s="15"/>
      <c r="RH40" s="15"/>
      <c r="RI40" s="15"/>
      <c r="RJ40" s="15"/>
      <c r="RK40" s="15"/>
      <c r="RL40" s="15"/>
      <c r="RM40" s="15"/>
      <c r="RN40" s="15"/>
      <c r="RO40" s="15"/>
      <c r="RP40" s="15"/>
      <c r="RQ40" s="15"/>
      <c r="RR40" s="15"/>
      <c r="RS40" s="15"/>
      <c r="RT40" s="15"/>
      <c r="RU40" s="15"/>
      <c r="RV40" s="15"/>
      <c r="RW40" s="15"/>
      <c r="RX40" s="15"/>
      <c r="RY40" s="15"/>
      <c r="RZ40" s="15"/>
      <c r="SA40" s="15"/>
      <c r="SB40" s="15"/>
      <c r="SC40" s="15"/>
      <c r="SD40" s="15"/>
      <c r="SE40" s="15"/>
      <c r="SF40" s="15"/>
      <c r="SG40" s="15"/>
      <c r="SH40" s="15"/>
      <c r="SI40" s="15"/>
      <c r="SJ40" s="15"/>
      <c r="SK40" s="15"/>
      <c r="SL40" s="15"/>
      <c r="SM40" s="15"/>
      <c r="SN40" s="15"/>
      <c r="SO40" s="15"/>
      <c r="SP40" s="15"/>
      <c r="SQ40" s="15"/>
      <c r="SR40" s="15"/>
      <c r="SS40" s="15"/>
      <c r="ST40" s="15"/>
      <c r="SU40" s="15"/>
      <c r="SV40" s="15"/>
      <c r="SW40" s="15"/>
      <c r="SX40" s="15"/>
      <c r="SY40" s="15"/>
      <c r="SZ40" s="15"/>
      <c r="TA40" s="15"/>
      <c r="TB40" s="15"/>
      <c r="TC40" s="15"/>
      <c r="TD40" s="15"/>
      <c r="TE40" s="15"/>
      <c r="TF40" s="15"/>
      <c r="TG40" s="15"/>
      <c r="TH40" s="15"/>
      <c r="TI40" s="15"/>
      <c r="TJ40" s="15"/>
      <c r="TK40" s="15"/>
      <c r="TL40" s="15"/>
      <c r="TM40" s="15"/>
      <c r="TN40" s="15"/>
      <c r="TO40" s="15"/>
      <c r="TP40" s="15"/>
      <c r="TQ40" s="15"/>
      <c r="TR40" s="15"/>
      <c r="TS40" s="15"/>
      <c r="TT40" s="15"/>
      <c r="TU40" s="15"/>
      <c r="TV40" s="15"/>
      <c r="TW40" s="15"/>
      <c r="TX40" s="15"/>
      <c r="TY40" s="15"/>
      <c r="TZ40" s="15"/>
      <c r="UA40" s="15"/>
      <c r="UB40" s="15"/>
      <c r="UC40" s="15"/>
      <c r="UD40" s="15"/>
      <c r="UE40" s="15"/>
      <c r="UF40" s="15"/>
      <c r="UG40" s="15"/>
      <c r="UH40" s="15"/>
      <c r="UI40" s="15"/>
      <c r="UJ40" s="15"/>
      <c r="UK40" s="15"/>
      <c r="UL40" s="15"/>
      <c r="UM40" s="15"/>
      <c r="UN40" s="15"/>
      <c r="UO40" s="15"/>
      <c r="UP40" s="15"/>
      <c r="UQ40" s="15"/>
      <c r="UR40" s="15"/>
      <c r="US40" s="15"/>
      <c r="UT40" s="15"/>
      <c r="UU40" s="15"/>
      <c r="UV40" s="15"/>
      <c r="UW40" s="15"/>
      <c r="UX40" s="15"/>
      <c r="UY40" s="15"/>
      <c r="UZ40" s="15"/>
      <c r="VA40" s="15"/>
      <c r="VB40" s="15"/>
      <c r="VC40" s="15"/>
      <c r="VD40" s="15"/>
      <c r="VE40" s="15"/>
      <c r="VF40" s="15"/>
      <c r="VG40" s="15"/>
      <c r="VH40" s="15"/>
      <c r="VI40" s="15"/>
      <c r="VJ40" s="15"/>
      <c r="VK40" s="15"/>
      <c r="VL40" s="15"/>
      <c r="VM40" s="15"/>
      <c r="VN40" s="15"/>
      <c r="VO40" s="15"/>
      <c r="VP40" s="15"/>
      <c r="VQ40" s="15"/>
      <c r="VR40" s="15"/>
      <c r="VS40" s="15"/>
      <c r="VT40" s="15"/>
      <c r="VU40" s="15"/>
      <c r="VV40" s="15"/>
      <c r="VW40" s="15"/>
      <c r="VX40" s="15"/>
      <c r="VY40" s="15"/>
      <c r="VZ40" s="15"/>
      <c r="WA40" s="15"/>
      <c r="WB40" s="15"/>
      <c r="WC40" s="15"/>
      <c r="WD40" s="15"/>
      <c r="WE40" s="15"/>
      <c r="WF40" s="15"/>
      <c r="WG40" s="15"/>
      <c r="WH40" s="15"/>
      <c r="WI40" s="15"/>
      <c r="WJ40" s="15"/>
      <c r="WK40" s="15"/>
      <c r="WL40" s="15"/>
      <c r="WM40" s="15"/>
      <c r="WN40" s="15"/>
      <c r="WO40" s="15"/>
      <c r="WP40" s="15"/>
      <c r="WQ40" s="15"/>
      <c r="WR40" s="15"/>
      <c r="WS40" s="15"/>
      <c r="WT40" s="15"/>
      <c r="WU40" s="15"/>
      <c r="WV40" s="15"/>
      <c r="WW40" s="15"/>
      <c r="WX40" s="15"/>
      <c r="WY40" s="15"/>
      <c r="WZ40" s="15"/>
      <c r="XA40" s="15"/>
      <c r="XB40" s="15"/>
      <c r="XC40" s="15"/>
      <c r="XD40" s="15"/>
      <c r="XE40" s="15"/>
      <c r="XF40" s="15"/>
      <c r="XG40" s="15"/>
      <c r="XH40" s="15"/>
      <c r="XI40" s="15"/>
      <c r="XJ40" s="15"/>
      <c r="XK40" s="15"/>
      <c r="XL40" s="15"/>
      <c r="XM40" s="15"/>
      <c r="XN40" s="15"/>
      <c r="XO40" s="15"/>
      <c r="XP40" s="15"/>
      <c r="XQ40" s="15"/>
      <c r="XR40" s="15"/>
      <c r="XS40" s="15"/>
      <c r="XT40" s="15"/>
      <c r="XU40" s="15"/>
      <c r="XV40" s="15"/>
      <c r="XW40" s="15"/>
      <c r="XX40" s="15"/>
      <c r="XY40" s="15"/>
      <c r="XZ40" s="15"/>
      <c r="YA40" s="15"/>
      <c r="YB40" s="15"/>
      <c r="YC40" s="15"/>
      <c r="YD40" s="15"/>
      <c r="YE40" s="15"/>
      <c r="YF40" s="15"/>
      <c r="YG40" s="15"/>
      <c r="YH40" s="15"/>
      <c r="YI40" s="15"/>
      <c r="YJ40" s="15"/>
      <c r="YK40" s="15"/>
      <c r="YL40" s="15"/>
      <c r="YM40" s="15"/>
      <c r="YN40" s="15"/>
      <c r="YO40" s="15"/>
      <c r="YP40" s="15"/>
      <c r="YQ40" s="15"/>
      <c r="YR40" s="15"/>
      <c r="YS40" s="15"/>
      <c r="YT40" s="15"/>
      <c r="YU40" s="15"/>
      <c r="YV40" s="15"/>
      <c r="YW40" s="15"/>
      <c r="YX40" s="15"/>
      <c r="YY40" s="15"/>
      <c r="YZ40" s="15"/>
      <c r="ZA40" s="15"/>
      <c r="ZB40" s="15"/>
      <c r="ZC40" s="15"/>
      <c r="ZD40" s="15"/>
      <c r="ZE40" s="15"/>
      <c r="ZF40" s="15"/>
      <c r="ZG40" s="15"/>
      <c r="ZH40" s="15"/>
      <c r="ZI40" s="15"/>
      <c r="ZJ40" s="15"/>
      <c r="ZK40" s="15"/>
      <c r="ZL40" s="15"/>
      <c r="ZM40" s="15"/>
      <c r="ZN40" s="15"/>
      <c r="ZO40" s="15"/>
      <c r="ZP40" s="15"/>
      <c r="ZQ40" s="15"/>
      <c r="ZR40" s="15"/>
      <c r="ZS40" s="15"/>
      <c r="ZT40" s="15"/>
      <c r="ZU40" s="15"/>
      <c r="ZV40" s="15"/>
      <c r="ZW40" s="15"/>
      <c r="ZX40" s="15"/>
      <c r="ZY40" s="15"/>
      <c r="ZZ40" s="15"/>
      <c r="AAA40" s="15"/>
      <c r="AAB40" s="15"/>
      <c r="AAC40" s="15"/>
      <c r="AAD40" s="15"/>
      <c r="AAE40" s="15"/>
      <c r="AAF40" s="15"/>
      <c r="AAG40" s="15"/>
      <c r="AAH40" s="15"/>
      <c r="AAI40" s="15"/>
      <c r="AAJ40" s="15"/>
      <c r="AAK40" s="15"/>
      <c r="AAL40" s="15"/>
      <c r="AAM40" s="15"/>
      <c r="AAN40" s="15"/>
      <c r="AAO40" s="15"/>
      <c r="AAP40" s="15"/>
      <c r="AAQ40" s="15"/>
      <c r="AAR40" s="15"/>
      <c r="AAS40" s="15"/>
      <c r="AAT40" s="15"/>
      <c r="AAU40" s="15"/>
      <c r="AAV40" s="15"/>
      <c r="AAW40" s="15"/>
      <c r="AAX40" s="15"/>
      <c r="AAY40" s="15"/>
      <c r="AAZ40" s="15"/>
      <c r="ABA40" s="15"/>
      <c r="ABB40" s="15"/>
      <c r="ABC40" s="15"/>
      <c r="ABD40" s="15"/>
      <c r="ABE40" s="15"/>
      <c r="ABF40" s="15"/>
      <c r="ABG40" s="15"/>
      <c r="ABH40" s="15"/>
      <c r="ABI40" s="15"/>
      <c r="ABJ40" s="15"/>
      <c r="ABK40" s="15"/>
      <c r="ABL40" s="15"/>
      <c r="ABM40" s="15"/>
      <c r="ABN40" s="15"/>
      <c r="ABO40" s="15"/>
      <c r="ABP40" s="15"/>
      <c r="ABQ40" s="15"/>
      <c r="ABR40" s="15"/>
      <c r="ABS40" s="15"/>
      <c r="ABT40" s="15"/>
      <c r="ABU40" s="15"/>
      <c r="ABV40" s="15"/>
      <c r="ABW40" s="15"/>
      <c r="ABX40" s="15"/>
      <c r="ABY40" s="15"/>
      <c r="ABZ40" s="15"/>
      <c r="ACA40" s="15"/>
      <c r="ACB40" s="15"/>
      <c r="ACC40" s="15"/>
      <c r="ACD40" s="15"/>
      <c r="ACE40" s="15"/>
      <c r="ACF40" s="15"/>
      <c r="ACG40" s="15"/>
      <c r="ACH40" s="15"/>
      <c r="ACI40" s="15"/>
      <c r="ACJ40" s="15"/>
      <c r="ACK40" s="15"/>
      <c r="ACL40" s="15"/>
      <c r="ACM40" s="15"/>
      <c r="ACN40" s="15"/>
      <c r="ACO40" s="15"/>
      <c r="ACP40" s="15"/>
      <c r="ACQ40" s="15"/>
      <c r="ACR40" s="15"/>
      <c r="ACS40" s="15"/>
      <c r="ACT40" s="15"/>
      <c r="ACU40" s="15"/>
      <c r="ACV40" s="15"/>
      <c r="ACW40" s="15"/>
      <c r="ACX40" s="15"/>
      <c r="ACY40" s="15"/>
      <c r="ACZ40" s="15"/>
      <c r="ADA40" s="15"/>
      <c r="ADB40" s="15"/>
      <c r="ADC40" s="15"/>
      <c r="ADD40" s="15"/>
      <c r="ADE40" s="15"/>
      <c r="ADF40" s="15"/>
      <c r="ADG40" s="15"/>
      <c r="ADH40" s="15"/>
      <c r="ADI40" s="15"/>
      <c r="ADJ40" s="15"/>
      <c r="ADK40" s="15"/>
      <c r="ADL40" s="15"/>
      <c r="ADM40" s="15"/>
      <c r="ADN40" s="15"/>
      <c r="ADO40" s="15"/>
      <c r="ADP40" s="15"/>
      <c r="ADQ40" s="15"/>
      <c r="ADR40" s="15"/>
      <c r="ADS40" s="15"/>
      <c r="ADT40" s="15"/>
      <c r="ADU40" s="15"/>
      <c r="ADV40" s="15"/>
      <c r="ADW40" s="15"/>
      <c r="ADX40" s="15"/>
      <c r="ADY40" s="15"/>
      <c r="ADZ40" s="15"/>
      <c r="AEA40" s="15"/>
      <c r="AEB40" s="15"/>
      <c r="AEC40" s="15"/>
      <c r="AED40" s="15"/>
      <c r="AEE40" s="15"/>
      <c r="AEF40" s="15"/>
      <c r="AEG40" s="15"/>
      <c r="AEH40" s="15"/>
      <c r="AEI40" s="15"/>
      <c r="AEJ40" s="15"/>
      <c r="AEK40" s="15"/>
      <c r="AEL40" s="15"/>
      <c r="AEM40" s="15"/>
      <c r="AEN40" s="15"/>
      <c r="AEO40" s="15"/>
      <c r="AEP40" s="15"/>
      <c r="AEQ40" s="15"/>
      <c r="AER40" s="15"/>
      <c r="AES40" s="15"/>
      <c r="AET40" s="15"/>
      <c r="AEU40" s="15"/>
      <c r="AEV40" s="15"/>
      <c r="AEW40" s="15"/>
      <c r="AEX40" s="15"/>
      <c r="AEY40" s="15"/>
      <c r="AEZ40" s="15"/>
      <c r="AFA40" s="15"/>
      <c r="AFB40" s="15"/>
      <c r="AFC40" s="15"/>
      <c r="AFD40" s="15"/>
      <c r="AFE40" s="15"/>
      <c r="AFF40" s="15"/>
      <c r="AFG40" s="15"/>
      <c r="AFH40" s="15"/>
      <c r="AFI40" s="15"/>
      <c r="AFJ40" s="15"/>
      <c r="AFK40" s="15"/>
      <c r="AFL40" s="15"/>
      <c r="AFM40" s="15"/>
      <c r="AFN40" s="15"/>
      <c r="AFO40" s="15"/>
      <c r="AFP40" s="15"/>
      <c r="AFQ40" s="15"/>
      <c r="AFR40" s="15"/>
      <c r="AFS40" s="15"/>
      <c r="AFT40" s="15"/>
      <c r="AFU40" s="15"/>
      <c r="AFV40" s="15"/>
      <c r="AFW40" s="15"/>
      <c r="AFX40" s="15"/>
      <c r="AFY40" s="15"/>
      <c r="AFZ40" s="15"/>
      <c r="AGA40" s="15"/>
      <c r="AGB40" s="15"/>
      <c r="AGC40" s="15"/>
      <c r="AGD40" s="15"/>
      <c r="AGE40" s="15"/>
      <c r="AGF40" s="15"/>
      <c r="AGG40" s="15"/>
      <c r="AGH40" s="15"/>
      <c r="AGI40" s="15"/>
      <c r="AGJ40" s="15"/>
      <c r="AGK40" s="15"/>
      <c r="AGL40" s="15"/>
      <c r="AGM40" s="15"/>
      <c r="AGN40" s="15"/>
      <c r="AGO40" s="15"/>
      <c r="AGP40" s="15"/>
      <c r="AGQ40" s="15"/>
      <c r="AGR40" s="15"/>
      <c r="AGS40" s="15"/>
      <c r="AGT40" s="15"/>
      <c r="AGU40" s="15"/>
      <c r="AGV40" s="15"/>
      <c r="AGW40" s="15"/>
      <c r="AGX40" s="15"/>
      <c r="AGY40" s="15"/>
      <c r="AGZ40" s="15"/>
      <c r="AHA40" s="15"/>
      <c r="AHB40" s="15"/>
      <c r="AHC40" s="15"/>
      <c r="AHD40" s="15"/>
      <c r="AHE40" s="15"/>
      <c r="AHF40" s="15"/>
      <c r="AHG40" s="15"/>
      <c r="AHH40" s="15"/>
      <c r="AHI40" s="15"/>
      <c r="AHJ40" s="15"/>
      <c r="AHK40" s="15"/>
      <c r="AHL40" s="15"/>
      <c r="AHM40" s="15"/>
      <c r="AHN40" s="15"/>
      <c r="AHO40" s="15"/>
      <c r="AHP40" s="15"/>
      <c r="AHQ40" s="15"/>
      <c r="AHR40" s="15"/>
      <c r="AHS40" s="15"/>
      <c r="AHT40" s="15"/>
      <c r="AHU40" s="15"/>
      <c r="AHV40" s="15"/>
      <c r="AHW40" s="15"/>
      <c r="AHX40" s="15"/>
      <c r="AHY40" s="15"/>
      <c r="AHZ40" s="15"/>
      <c r="AIA40" s="15"/>
      <c r="AIB40" s="15"/>
      <c r="AIC40" s="15"/>
      <c r="AID40" s="15"/>
      <c r="AIE40" s="15"/>
      <c r="AIF40" s="15"/>
      <c r="AIG40" s="15"/>
      <c r="AIH40" s="15"/>
      <c r="AII40" s="15"/>
      <c r="AIJ40" s="15"/>
      <c r="AIK40" s="15"/>
      <c r="AIL40" s="15"/>
      <c r="AIM40" s="15"/>
      <c r="AIN40" s="15"/>
      <c r="AIO40" s="15"/>
      <c r="AIP40" s="15"/>
      <c r="AIQ40" s="15"/>
      <c r="AIR40" s="15"/>
      <c r="AIS40" s="15"/>
      <c r="AIT40" s="15"/>
      <c r="AIU40" s="15"/>
      <c r="AIV40" s="15"/>
      <c r="AIW40" s="15"/>
      <c r="AIX40" s="15"/>
      <c r="AIY40" s="15"/>
      <c r="AIZ40" s="15"/>
      <c r="AJA40" s="15"/>
      <c r="AJB40" s="15"/>
      <c r="AJC40" s="15"/>
      <c r="AJD40" s="15"/>
      <c r="AJE40" s="15"/>
      <c r="AJF40" s="15"/>
      <c r="AJG40" s="15"/>
      <c r="AJH40" s="15"/>
      <c r="AJI40" s="15"/>
      <c r="AJJ40" s="15"/>
      <c r="AJK40" s="15"/>
      <c r="AJL40" s="15"/>
      <c r="AJM40" s="15"/>
      <c r="AJN40" s="15"/>
      <c r="AJO40" s="15"/>
      <c r="AJP40" s="15"/>
      <c r="AJQ40" s="15"/>
      <c r="AJR40" s="15"/>
      <c r="AJS40" s="15"/>
      <c r="AJT40" s="15"/>
      <c r="AJU40" s="15"/>
      <c r="AJV40" s="15"/>
      <c r="AJW40" s="15"/>
      <c r="AJX40" s="15"/>
      <c r="AJY40" s="15"/>
      <c r="AJZ40" s="15"/>
      <c r="AKA40" s="15"/>
      <c r="AKB40" s="15"/>
      <c r="AKC40" s="15"/>
      <c r="AKD40" s="15"/>
      <c r="AKE40" s="15"/>
      <c r="AKF40" s="15"/>
      <c r="AKG40" s="15"/>
      <c r="AKH40" s="15"/>
      <c r="AKI40" s="15"/>
      <c r="AKJ40" s="15"/>
      <c r="AKK40" s="15"/>
      <c r="AKL40" s="15"/>
      <c r="AKM40" s="15"/>
      <c r="AKN40" s="15"/>
      <c r="AKO40" s="15"/>
      <c r="AKP40" s="15"/>
      <c r="AKQ40" s="15"/>
      <c r="AKR40" s="15"/>
      <c r="AKS40" s="15"/>
      <c r="AKT40" s="15"/>
      <c r="AKU40" s="15"/>
      <c r="AKV40" s="15"/>
      <c r="AKW40" s="15"/>
      <c r="AKX40" s="15"/>
      <c r="AKY40" s="15"/>
      <c r="AKZ40" s="15"/>
      <c r="ALA40" s="15"/>
      <c r="ALB40" s="15"/>
      <c r="ALC40" s="15"/>
      <c r="ALD40" s="15"/>
      <c r="ALE40" s="15"/>
      <c r="ALF40" s="15"/>
      <c r="ALG40" s="15"/>
      <c r="ALH40" s="15"/>
      <c r="ALI40" s="15"/>
      <c r="ALJ40" s="15"/>
      <c r="ALK40" s="15"/>
      <c r="ALL40" s="15"/>
      <c r="ALM40" s="15"/>
      <c r="ALN40" s="15"/>
      <c r="ALO40" s="15"/>
      <c r="ALP40" s="15"/>
      <c r="ALQ40" s="15"/>
      <c r="ALR40" s="15"/>
      <c r="ALS40" s="15"/>
      <c r="ALT40" s="15"/>
      <c r="ALU40" s="15"/>
      <c r="ALV40" s="15"/>
      <c r="ALW40" s="15"/>
      <c r="ALX40" s="15"/>
      <c r="ALY40" s="15"/>
      <c r="ALZ40" s="15"/>
      <c r="AMA40" s="15"/>
      <c r="AMB40" s="15"/>
      <c r="AMC40" s="15"/>
      <c r="AMD40" s="15"/>
      <c r="AME40" s="15"/>
      <c r="AMF40" s="15"/>
      <c r="AMG40" s="14"/>
      <c r="AMH40" s="14"/>
      <c r="AMI40" s="14"/>
      <c r="AMJ40" s="14"/>
    </row>
    <row r="41" spans="1:1024" s="13" customFormat="1" ht="188.5" x14ac:dyDescent="0.35">
      <c r="A41" s="83">
        <v>43649</v>
      </c>
      <c r="B41" s="29" t="s">
        <v>409</v>
      </c>
      <c r="C41" s="29" t="s">
        <v>408</v>
      </c>
      <c r="D41" s="30">
        <v>43654</v>
      </c>
      <c r="E41" s="29" t="s">
        <v>73</v>
      </c>
      <c r="F41" s="29" t="s">
        <v>15</v>
      </c>
      <c r="G41" s="31">
        <v>0.625</v>
      </c>
      <c r="H41" s="31">
        <v>0.66666666666666696</v>
      </c>
      <c r="I41" s="29">
        <v>4202</v>
      </c>
      <c r="J41" s="42" t="s">
        <v>407</v>
      </c>
      <c r="K41" s="17" t="s">
        <v>15</v>
      </c>
      <c r="L41" s="16" t="s">
        <v>17</v>
      </c>
      <c r="M41" s="15"/>
      <c r="N41" s="15"/>
      <c r="O41" s="15"/>
      <c r="P41" s="15"/>
      <c r="Q41" s="15"/>
      <c r="R41" s="15"/>
      <c r="S41" s="15"/>
      <c r="T41" s="15"/>
      <c r="U41" s="15"/>
      <c r="V41" s="15"/>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15"/>
      <c r="CR41" s="15"/>
      <c r="CS41" s="15"/>
      <c r="CT41" s="15"/>
      <c r="CU41" s="15"/>
      <c r="CV41" s="15"/>
      <c r="CW41" s="15"/>
      <c r="CX41" s="15"/>
      <c r="CY41" s="15"/>
      <c r="CZ41" s="15"/>
      <c r="DA41" s="15"/>
      <c r="DB41" s="15"/>
      <c r="DC41" s="15"/>
      <c r="DD41" s="15"/>
      <c r="DE41" s="15"/>
      <c r="DF41" s="15"/>
      <c r="DG41" s="15"/>
      <c r="DH41" s="15"/>
      <c r="DI41" s="15"/>
      <c r="DJ41" s="15"/>
      <c r="DK41" s="15"/>
      <c r="DL41" s="15"/>
      <c r="DM41" s="15"/>
      <c r="DN41" s="15"/>
      <c r="DO41" s="15"/>
      <c r="DP41" s="15"/>
      <c r="DQ41" s="15"/>
      <c r="DR41" s="15"/>
      <c r="DS41" s="15"/>
      <c r="DT41" s="15"/>
      <c r="DU41" s="15"/>
      <c r="DV41" s="15"/>
      <c r="DW41" s="15"/>
      <c r="DX41" s="15"/>
      <c r="DY41" s="15"/>
      <c r="DZ41" s="15"/>
      <c r="EA41" s="15"/>
      <c r="EB41" s="15"/>
      <c r="EC41" s="15"/>
      <c r="ED41" s="15"/>
      <c r="EE41" s="15"/>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c r="ID41" s="15"/>
      <c r="IE41" s="15"/>
      <c r="IF41" s="15"/>
      <c r="IG41" s="15"/>
      <c r="IH41" s="15"/>
      <c r="II41" s="15"/>
      <c r="IJ41" s="15"/>
      <c r="IK41" s="15"/>
      <c r="IL41" s="15"/>
      <c r="IM41" s="15"/>
      <c r="IN41" s="15"/>
      <c r="IO41" s="15"/>
      <c r="IP41" s="15"/>
      <c r="IQ41" s="15"/>
      <c r="IR41" s="15"/>
      <c r="IS41" s="15"/>
      <c r="IT41" s="15"/>
      <c r="IU41" s="15"/>
      <c r="IV41" s="15"/>
      <c r="IW41" s="15"/>
      <c r="IX41" s="15"/>
      <c r="IY41" s="15"/>
      <c r="IZ41" s="15"/>
      <c r="JA41" s="15"/>
      <c r="JB41" s="15"/>
      <c r="JC41" s="15"/>
      <c r="JD41" s="15"/>
      <c r="JE41" s="15"/>
      <c r="JF41" s="15"/>
      <c r="JG41" s="15"/>
      <c r="JH41" s="15"/>
      <c r="JI41" s="15"/>
      <c r="JJ41" s="15"/>
      <c r="JK41" s="15"/>
      <c r="JL41" s="15"/>
      <c r="JM41" s="15"/>
      <c r="JN41" s="15"/>
      <c r="JO41" s="15"/>
      <c r="JP41" s="15"/>
      <c r="JQ41" s="15"/>
      <c r="JR41" s="15"/>
      <c r="JS41" s="15"/>
      <c r="JT41" s="15"/>
      <c r="JU41" s="15"/>
      <c r="JV41" s="15"/>
      <c r="JW41" s="15"/>
      <c r="JX41" s="15"/>
      <c r="JY41" s="15"/>
      <c r="JZ41" s="15"/>
      <c r="KA41" s="15"/>
      <c r="KB41" s="15"/>
      <c r="KC41" s="15"/>
      <c r="KD41" s="15"/>
      <c r="KE41" s="15"/>
      <c r="KF41" s="15"/>
      <c r="KG41" s="15"/>
      <c r="KH41" s="15"/>
      <c r="KI41" s="15"/>
      <c r="KJ41" s="15"/>
      <c r="KK41" s="15"/>
      <c r="KL41" s="15"/>
      <c r="KM41" s="15"/>
      <c r="KN41" s="15"/>
      <c r="KO41" s="15"/>
      <c r="KP41" s="15"/>
      <c r="KQ41" s="15"/>
      <c r="KR41" s="15"/>
      <c r="KS41" s="15"/>
      <c r="KT41" s="15"/>
      <c r="KU41" s="15"/>
      <c r="KV41" s="15"/>
      <c r="KW41" s="15"/>
      <c r="KX41" s="15"/>
      <c r="KY41" s="15"/>
      <c r="KZ41" s="15"/>
      <c r="LA41" s="15"/>
      <c r="LB41" s="15"/>
      <c r="LC41" s="15"/>
      <c r="LD41" s="15"/>
      <c r="LE41" s="15"/>
      <c r="LF41" s="15"/>
      <c r="LG41" s="15"/>
      <c r="LH41" s="15"/>
      <c r="LI41" s="15"/>
      <c r="LJ41" s="15"/>
      <c r="LK41" s="15"/>
      <c r="LL41" s="15"/>
      <c r="LM41" s="15"/>
      <c r="LN41" s="15"/>
      <c r="LO41" s="15"/>
      <c r="LP41" s="15"/>
      <c r="LQ41" s="15"/>
      <c r="LR41" s="15"/>
      <c r="LS41" s="15"/>
      <c r="LT41" s="15"/>
      <c r="LU41" s="15"/>
      <c r="LV41" s="15"/>
      <c r="LW41" s="15"/>
      <c r="LX41" s="15"/>
      <c r="LY41" s="15"/>
      <c r="LZ41" s="15"/>
      <c r="MA41" s="15"/>
      <c r="MB41" s="15"/>
      <c r="MC41" s="15"/>
      <c r="MD41" s="15"/>
      <c r="ME41" s="15"/>
      <c r="MF41" s="15"/>
      <c r="MG41" s="15"/>
      <c r="MH41" s="15"/>
      <c r="MI41" s="15"/>
      <c r="MJ41" s="15"/>
      <c r="MK41" s="15"/>
      <c r="ML41" s="15"/>
      <c r="MM41" s="15"/>
      <c r="MN41" s="15"/>
      <c r="MO41" s="15"/>
      <c r="MP41" s="15"/>
      <c r="MQ41" s="15"/>
      <c r="MR41" s="15"/>
      <c r="MS41" s="15"/>
      <c r="MT41" s="15"/>
      <c r="MU41" s="15"/>
      <c r="MV41" s="15"/>
      <c r="MW41" s="15"/>
      <c r="MX41" s="15"/>
      <c r="MY41" s="15"/>
      <c r="MZ41" s="15"/>
      <c r="NA41" s="15"/>
      <c r="NB41" s="15"/>
      <c r="NC41" s="15"/>
      <c r="ND41" s="15"/>
      <c r="NE41" s="15"/>
      <c r="NF41" s="15"/>
      <c r="NG41" s="15"/>
      <c r="NH41" s="15"/>
      <c r="NI41" s="15"/>
      <c r="NJ41" s="15"/>
      <c r="NK41" s="15"/>
      <c r="NL41" s="15"/>
      <c r="NM41" s="15"/>
      <c r="NN41" s="15"/>
      <c r="NO41" s="15"/>
      <c r="NP41" s="15"/>
      <c r="NQ41" s="15"/>
      <c r="NR41" s="15"/>
      <c r="NS41" s="15"/>
      <c r="NT41" s="15"/>
      <c r="NU41" s="15"/>
      <c r="NV41" s="15"/>
      <c r="NW41" s="15"/>
      <c r="NX41" s="15"/>
      <c r="NY41" s="15"/>
      <c r="NZ41" s="15"/>
      <c r="OA41" s="15"/>
      <c r="OB41" s="15"/>
      <c r="OC41" s="15"/>
      <c r="OD41" s="15"/>
      <c r="OE41" s="15"/>
      <c r="OF41" s="15"/>
      <c r="OG41" s="15"/>
      <c r="OH41" s="15"/>
      <c r="OI41" s="15"/>
      <c r="OJ41" s="15"/>
      <c r="OK41" s="15"/>
      <c r="OL41" s="15"/>
      <c r="OM41" s="15"/>
      <c r="ON41" s="15"/>
      <c r="OO41" s="15"/>
      <c r="OP41" s="15"/>
      <c r="OQ41" s="15"/>
      <c r="OR41" s="15"/>
      <c r="OS41" s="15"/>
      <c r="OT41" s="15"/>
      <c r="OU41" s="15"/>
      <c r="OV41" s="15"/>
      <c r="OW41" s="15"/>
      <c r="OX41" s="15"/>
      <c r="OY41" s="15"/>
      <c r="OZ41" s="15"/>
      <c r="PA41" s="15"/>
      <c r="PB41" s="15"/>
      <c r="PC41" s="15"/>
      <c r="PD41" s="15"/>
      <c r="PE41" s="15"/>
      <c r="PF41" s="15"/>
      <c r="PG41" s="15"/>
      <c r="PH41" s="15"/>
      <c r="PI41" s="15"/>
      <c r="PJ41" s="15"/>
      <c r="PK41" s="15"/>
      <c r="PL41" s="15"/>
      <c r="PM41" s="15"/>
      <c r="PN41" s="15"/>
      <c r="PO41" s="15"/>
      <c r="PP41" s="15"/>
      <c r="PQ41" s="15"/>
      <c r="PR41" s="15"/>
      <c r="PS41" s="15"/>
      <c r="PT41" s="15"/>
      <c r="PU41" s="15"/>
      <c r="PV41" s="15"/>
      <c r="PW41" s="15"/>
      <c r="PX41" s="15"/>
      <c r="PY41" s="15"/>
      <c r="PZ41" s="15"/>
      <c r="QA41" s="15"/>
      <c r="QB41" s="15"/>
      <c r="QC41" s="15"/>
      <c r="QD41" s="15"/>
      <c r="QE41" s="15"/>
      <c r="QF41" s="15"/>
      <c r="QG41" s="15"/>
      <c r="QH41" s="15"/>
      <c r="QI41" s="15"/>
      <c r="QJ41" s="15"/>
      <c r="QK41" s="15"/>
      <c r="QL41" s="15"/>
      <c r="QM41" s="15"/>
      <c r="QN41" s="15"/>
      <c r="QO41" s="15"/>
      <c r="QP41" s="15"/>
      <c r="QQ41" s="15"/>
      <c r="QR41" s="15"/>
      <c r="QS41" s="15"/>
      <c r="QT41" s="15"/>
      <c r="QU41" s="15"/>
      <c r="QV41" s="15"/>
      <c r="QW41" s="15"/>
      <c r="QX41" s="15"/>
      <c r="QY41" s="15"/>
      <c r="QZ41" s="15"/>
      <c r="RA41" s="15"/>
      <c r="RB41" s="15"/>
      <c r="RC41" s="15"/>
      <c r="RD41" s="15"/>
      <c r="RE41" s="15"/>
      <c r="RF41" s="15"/>
      <c r="RG41" s="15"/>
      <c r="RH41" s="15"/>
      <c r="RI41" s="15"/>
      <c r="RJ41" s="15"/>
      <c r="RK41" s="15"/>
      <c r="RL41" s="15"/>
      <c r="RM41" s="15"/>
      <c r="RN41" s="15"/>
      <c r="RO41" s="15"/>
      <c r="RP41" s="15"/>
      <c r="RQ41" s="15"/>
      <c r="RR41" s="15"/>
      <c r="RS41" s="15"/>
      <c r="RT41" s="15"/>
      <c r="RU41" s="15"/>
      <c r="RV41" s="15"/>
      <c r="RW41" s="15"/>
      <c r="RX41" s="15"/>
      <c r="RY41" s="15"/>
      <c r="RZ41" s="15"/>
      <c r="SA41" s="15"/>
      <c r="SB41" s="15"/>
      <c r="SC41" s="15"/>
      <c r="SD41" s="15"/>
      <c r="SE41" s="15"/>
      <c r="SF41" s="15"/>
      <c r="SG41" s="15"/>
      <c r="SH41" s="15"/>
      <c r="SI41" s="15"/>
      <c r="SJ41" s="15"/>
      <c r="SK41" s="15"/>
      <c r="SL41" s="15"/>
      <c r="SM41" s="15"/>
      <c r="SN41" s="15"/>
      <c r="SO41" s="15"/>
      <c r="SP41" s="15"/>
      <c r="SQ41" s="15"/>
      <c r="SR41" s="15"/>
      <c r="SS41" s="15"/>
      <c r="ST41" s="15"/>
      <c r="SU41" s="15"/>
      <c r="SV41" s="15"/>
      <c r="SW41" s="15"/>
      <c r="SX41" s="15"/>
      <c r="SY41" s="15"/>
      <c r="SZ41" s="15"/>
      <c r="TA41" s="15"/>
      <c r="TB41" s="15"/>
      <c r="TC41" s="15"/>
      <c r="TD41" s="15"/>
      <c r="TE41" s="15"/>
      <c r="TF41" s="15"/>
      <c r="TG41" s="15"/>
      <c r="TH41" s="15"/>
      <c r="TI41" s="15"/>
      <c r="TJ41" s="15"/>
      <c r="TK41" s="15"/>
      <c r="TL41" s="15"/>
      <c r="TM41" s="15"/>
      <c r="TN41" s="15"/>
      <c r="TO41" s="15"/>
      <c r="TP41" s="15"/>
      <c r="TQ41" s="15"/>
      <c r="TR41" s="15"/>
      <c r="TS41" s="15"/>
      <c r="TT41" s="15"/>
      <c r="TU41" s="15"/>
      <c r="TV41" s="15"/>
      <c r="TW41" s="15"/>
      <c r="TX41" s="15"/>
      <c r="TY41" s="15"/>
      <c r="TZ41" s="15"/>
      <c r="UA41" s="15"/>
      <c r="UB41" s="15"/>
      <c r="UC41" s="15"/>
      <c r="UD41" s="15"/>
      <c r="UE41" s="15"/>
      <c r="UF41" s="15"/>
      <c r="UG41" s="15"/>
      <c r="UH41" s="15"/>
      <c r="UI41" s="15"/>
      <c r="UJ41" s="15"/>
      <c r="UK41" s="15"/>
      <c r="UL41" s="15"/>
      <c r="UM41" s="15"/>
      <c r="UN41" s="15"/>
      <c r="UO41" s="15"/>
      <c r="UP41" s="15"/>
      <c r="UQ41" s="15"/>
      <c r="UR41" s="15"/>
      <c r="US41" s="15"/>
      <c r="UT41" s="15"/>
      <c r="UU41" s="15"/>
      <c r="UV41" s="15"/>
      <c r="UW41" s="15"/>
      <c r="UX41" s="15"/>
      <c r="UY41" s="15"/>
      <c r="UZ41" s="15"/>
      <c r="VA41" s="15"/>
      <c r="VB41" s="15"/>
      <c r="VC41" s="15"/>
      <c r="VD41" s="15"/>
      <c r="VE41" s="15"/>
      <c r="VF41" s="15"/>
      <c r="VG41" s="15"/>
      <c r="VH41" s="15"/>
      <c r="VI41" s="15"/>
      <c r="VJ41" s="15"/>
      <c r="VK41" s="15"/>
      <c r="VL41" s="15"/>
      <c r="VM41" s="15"/>
      <c r="VN41" s="15"/>
      <c r="VO41" s="15"/>
      <c r="VP41" s="15"/>
      <c r="VQ41" s="15"/>
      <c r="VR41" s="15"/>
      <c r="VS41" s="15"/>
      <c r="VT41" s="15"/>
      <c r="VU41" s="15"/>
      <c r="VV41" s="15"/>
      <c r="VW41" s="15"/>
      <c r="VX41" s="15"/>
      <c r="VY41" s="15"/>
      <c r="VZ41" s="15"/>
      <c r="WA41" s="15"/>
      <c r="WB41" s="15"/>
      <c r="WC41" s="15"/>
      <c r="WD41" s="15"/>
      <c r="WE41" s="15"/>
      <c r="WF41" s="15"/>
      <c r="WG41" s="15"/>
      <c r="WH41" s="15"/>
      <c r="WI41" s="15"/>
      <c r="WJ41" s="15"/>
      <c r="WK41" s="15"/>
      <c r="WL41" s="15"/>
      <c r="WM41" s="15"/>
      <c r="WN41" s="15"/>
      <c r="WO41" s="15"/>
      <c r="WP41" s="15"/>
      <c r="WQ41" s="15"/>
      <c r="WR41" s="15"/>
      <c r="WS41" s="15"/>
      <c r="WT41" s="15"/>
      <c r="WU41" s="15"/>
      <c r="WV41" s="15"/>
      <c r="WW41" s="15"/>
      <c r="WX41" s="15"/>
      <c r="WY41" s="15"/>
      <c r="WZ41" s="15"/>
      <c r="XA41" s="15"/>
      <c r="XB41" s="15"/>
      <c r="XC41" s="15"/>
      <c r="XD41" s="15"/>
      <c r="XE41" s="15"/>
      <c r="XF41" s="15"/>
      <c r="XG41" s="15"/>
      <c r="XH41" s="15"/>
      <c r="XI41" s="15"/>
      <c r="XJ41" s="15"/>
      <c r="XK41" s="15"/>
      <c r="XL41" s="15"/>
      <c r="XM41" s="15"/>
      <c r="XN41" s="15"/>
      <c r="XO41" s="15"/>
      <c r="XP41" s="15"/>
      <c r="XQ41" s="15"/>
      <c r="XR41" s="15"/>
      <c r="XS41" s="15"/>
      <c r="XT41" s="15"/>
      <c r="XU41" s="15"/>
      <c r="XV41" s="15"/>
      <c r="XW41" s="15"/>
      <c r="XX41" s="15"/>
      <c r="XY41" s="15"/>
      <c r="XZ41" s="15"/>
      <c r="YA41" s="15"/>
      <c r="YB41" s="15"/>
      <c r="YC41" s="15"/>
      <c r="YD41" s="15"/>
      <c r="YE41" s="15"/>
      <c r="YF41" s="15"/>
      <c r="YG41" s="15"/>
      <c r="YH41" s="15"/>
      <c r="YI41" s="15"/>
      <c r="YJ41" s="15"/>
      <c r="YK41" s="15"/>
      <c r="YL41" s="15"/>
      <c r="YM41" s="15"/>
      <c r="YN41" s="15"/>
      <c r="YO41" s="15"/>
      <c r="YP41" s="15"/>
      <c r="YQ41" s="15"/>
      <c r="YR41" s="15"/>
      <c r="YS41" s="15"/>
      <c r="YT41" s="15"/>
      <c r="YU41" s="15"/>
      <c r="YV41" s="15"/>
      <c r="YW41" s="15"/>
      <c r="YX41" s="15"/>
      <c r="YY41" s="15"/>
      <c r="YZ41" s="15"/>
      <c r="ZA41" s="15"/>
      <c r="ZB41" s="15"/>
      <c r="ZC41" s="15"/>
      <c r="ZD41" s="15"/>
      <c r="ZE41" s="15"/>
      <c r="ZF41" s="15"/>
      <c r="ZG41" s="15"/>
      <c r="ZH41" s="15"/>
      <c r="ZI41" s="15"/>
      <c r="ZJ41" s="15"/>
      <c r="ZK41" s="15"/>
      <c r="ZL41" s="15"/>
      <c r="ZM41" s="15"/>
      <c r="ZN41" s="15"/>
      <c r="ZO41" s="15"/>
      <c r="ZP41" s="15"/>
      <c r="ZQ41" s="15"/>
      <c r="ZR41" s="15"/>
      <c r="ZS41" s="15"/>
      <c r="ZT41" s="15"/>
      <c r="ZU41" s="15"/>
      <c r="ZV41" s="15"/>
      <c r="ZW41" s="15"/>
      <c r="ZX41" s="15"/>
      <c r="ZY41" s="15"/>
      <c r="ZZ41" s="15"/>
      <c r="AAA41" s="15"/>
      <c r="AAB41" s="15"/>
      <c r="AAC41" s="15"/>
      <c r="AAD41" s="15"/>
      <c r="AAE41" s="15"/>
      <c r="AAF41" s="15"/>
      <c r="AAG41" s="15"/>
      <c r="AAH41" s="15"/>
      <c r="AAI41" s="15"/>
      <c r="AAJ41" s="15"/>
      <c r="AAK41" s="15"/>
      <c r="AAL41" s="15"/>
      <c r="AAM41" s="15"/>
      <c r="AAN41" s="15"/>
      <c r="AAO41" s="15"/>
      <c r="AAP41" s="15"/>
      <c r="AAQ41" s="15"/>
      <c r="AAR41" s="15"/>
      <c r="AAS41" s="15"/>
      <c r="AAT41" s="15"/>
      <c r="AAU41" s="15"/>
      <c r="AAV41" s="15"/>
      <c r="AAW41" s="15"/>
      <c r="AAX41" s="15"/>
      <c r="AAY41" s="15"/>
      <c r="AAZ41" s="15"/>
      <c r="ABA41" s="15"/>
      <c r="ABB41" s="15"/>
      <c r="ABC41" s="15"/>
      <c r="ABD41" s="15"/>
      <c r="ABE41" s="15"/>
      <c r="ABF41" s="15"/>
      <c r="ABG41" s="15"/>
      <c r="ABH41" s="15"/>
      <c r="ABI41" s="15"/>
      <c r="ABJ41" s="15"/>
      <c r="ABK41" s="15"/>
      <c r="ABL41" s="15"/>
      <c r="ABM41" s="15"/>
      <c r="ABN41" s="15"/>
      <c r="ABO41" s="15"/>
      <c r="ABP41" s="15"/>
      <c r="ABQ41" s="15"/>
      <c r="ABR41" s="15"/>
      <c r="ABS41" s="15"/>
      <c r="ABT41" s="15"/>
      <c r="ABU41" s="15"/>
      <c r="ABV41" s="15"/>
      <c r="ABW41" s="15"/>
      <c r="ABX41" s="15"/>
      <c r="ABY41" s="15"/>
      <c r="ABZ41" s="15"/>
      <c r="ACA41" s="15"/>
      <c r="ACB41" s="15"/>
      <c r="ACC41" s="15"/>
      <c r="ACD41" s="15"/>
      <c r="ACE41" s="15"/>
      <c r="ACF41" s="15"/>
      <c r="ACG41" s="15"/>
      <c r="ACH41" s="15"/>
      <c r="ACI41" s="15"/>
      <c r="ACJ41" s="15"/>
      <c r="ACK41" s="15"/>
      <c r="ACL41" s="15"/>
      <c r="ACM41" s="15"/>
      <c r="ACN41" s="15"/>
      <c r="ACO41" s="15"/>
      <c r="ACP41" s="15"/>
      <c r="ACQ41" s="15"/>
      <c r="ACR41" s="15"/>
      <c r="ACS41" s="15"/>
      <c r="ACT41" s="15"/>
      <c r="ACU41" s="15"/>
      <c r="ACV41" s="15"/>
      <c r="ACW41" s="15"/>
      <c r="ACX41" s="15"/>
      <c r="ACY41" s="15"/>
      <c r="ACZ41" s="15"/>
      <c r="ADA41" s="15"/>
      <c r="ADB41" s="15"/>
      <c r="ADC41" s="15"/>
      <c r="ADD41" s="15"/>
      <c r="ADE41" s="15"/>
      <c r="ADF41" s="15"/>
      <c r="ADG41" s="15"/>
      <c r="ADH41" s="15"/>
      <c r="ADI41" s="15"/>
      <c r="ADJ41" s="15"/>
      <c r="ADK41" s="15"/>
      <c r="ADL41" s="15"/>
      <c r="ADM41" s="15"/>
      <c r="ADN41" s="15"/>
      <c r="ADO41" s="15"/>
      <c r="ADP41" s="15"/>
      <c r="ADQ41" s="15"/>
      <c r="ADR41" s="15"/>
      <c r="ADS41" s="15"/>
      <c r="ADT41" s="15"/>
      <c r="ADU41" s="15"/>
      <c r="ADV41" s="15"/>
      <c r="ADW41" s="15"/>
      <c r="ADX41" s="15"/>
      <c r="ADY41" s="15"/>
      <c r="ADZ41" s="15"/>
      <c r="AEA41" s="15"/>
      <c r="AEB41" s="15"/>
      <c r="AEC41" s="15"/>
      <c r="AED41" s="15"/>
      <c r="AEE41" s="15"/>
      <c r="AEF41" s="15"/>
      <c r="AEG41" s="15"/>
      <c r="AEH41" s="15"/>
      <c r="AEI41" s="15"/>
      <c r="AEJ41" s="15"/>
      <c r="AEK41" s="15"/>
      <c r="AEL41" s="15"/>
      <c r="AEM41" s="15"/>
      <c r="AEN41" s="15"/>
      <c r="AEO41" s="15"/>
      <c r="AEP41" s="15"/>
      <c r="AEQ41" s="15"/>
      <c r="AER41" s="15"/>
      <c r="AES41" s="15"/>
      <c r="AET41" s="15"/>
      <c r="AEU41" s="15"/>
      <c r="AEV41" s="15"/>
      <c r="AEW41" s="15"/>
      <c r="AEX41" s="15"/>
      <c r="AEY41" s="15"/>
      <c r="AEZ41" s="15"/>
      <c r="AFA41" s="15"/>
      <c r="AFB41" s="15"/>
      <c r="AFC41" s="15"/>
      <c r="AFD41" s="15"/>
      <c r="AFE41" s="15"/>
      <c r="AFF41" s="15"/>
      <c r="AFG41" s="15"/>
      <c r="AFH41" s="15"/>
      <c r="AFI41" s="15"/>
      <c r="AFJ41" s="15"/>
      <c r="AFK41" s="15"/>
      <c r="AFL41" s="15"/>
      <c r="AFM41" s="15"/>
      <c r="AFN41" s="15"/>
      <c r="AFO41" s="15"/>
      <c r="AFP41" s="15"/>
      <c r="AFQ41" s="15"/>
      <c r="AFR41" s="15"/>
      <c r="AFS41" s="15"/>
      <c r="AFT41" s="15"/>
      <c r="AFU41" s="15"/>
      <c r="AFV41" s="15"/>
      <c r="AFW41" s="15"/>
      <c r="AFX41" s="15"/>
      <c r="AFY41" s="15"/>
      <c r="AFZ41" s="15"/>
      <c r="AGA41" s="15"/>
      <c r="AGB41" s="15"/>
      <c r="AGC41" s="15"/>
      <c r="AGD41" s="15"/>
      <c r="AGE41" s="15"/>
      <c r="AGF41" s="15"/>
      <c r="AGG41" s="15"/>
      <c r="AGH41" s="15"/>
      <c r="AGI41" s="15"/>
      <c r="AGJ41" s="15"/>
      <c r="AGK41" s="15"/>
      <c r="AGL41" s="15"/>
      <c r="AGM41" s="15"/>
      <c r="AGN41" s="15"/>
      <c r="AGO41" s="15"/>
      <c r="AGP41" s="15"/>
      <c r="AGQ41" s="15"/>
      <c r="AGR41" s="15"/>
      <c r="AGS41" s="15"/>
      <c r="AGT41" s="15"/>
      <c r="AGU41" s="15"/>
      <c r="AGV41" s="15"/>
      <c r="AGW41" s="15"/>
      <c r="AGX41" s="15"/>
      <c r="AGY41" s="15"/>
      <c r="AGZ41" s="15"/>
      <c r="AHA41" s="15"/>
      <c r="AHB41" s="15"/>
      <c r="AHC41" s="15"/>
      <c r="AHD41" s="15"/>
      <c r="AHE41" s="15"/>
      <c r="AHF41" s="15"/>
      <c r="AHG41" s="15"/>
      <c r="AHH41" s="15"/>
      <c r="AHI41" s="15"/>
      <c r="AHJ41" s="15"/>
      <c r="AHK41" s="15"/>
      <c r="AHL41" s="15"/>
      <c r="AHM41" s="15"/>
      <c r="AHN41" s="15"/>
      <c r="AHO41" s="15"/>
      <c r="AHP41" s="15"/>
      <c r="AHQ41" s="15"/>
      <c r="AHR41" s="15"/>
      <c r="AHS41" s="15"/>
      <c r="AHT41" s="15"/>
      <c r="AHU41" s="15"/>
      <c r="AHV41" s="15"/>
      <c r="AHW41" s="15"/>
      <c r="AHX41" s="15"/>
      <c r="AHY41" s="15"/>
      <c r="AHZ41" s="15"/>
      <c r="AIA41" s="15"/>
      <c r="AIB41" s="15"/>
      <c r="AIC41" s="15"/>
      <c r="AID41" s="15"/>
      <c r="AIE41" s="15"/>
      <c r="AIF41" s="15"/>
      <c r="AIG41" s="15"/>
      <c r="AIH41" s="15"/>
      <c r="AII41" s="15"/>
      <c r="AIJ41" s="15"/>
      <c r="AIK41" s="15"/>
      <c r="AIL41" s="15"/>
      <c r="AIM41" s="15"/>
      <c r="AIN41" s="15"/>
      <c r="AIO41" s="15"/>
      <c r="AIP41" s="15"/>
      <c r="AIQ41" s="15"/>
      <c r="AIR41" s="15"/>
      <c r="AIS41" s="15"/>
      <c r="AIT41" s="15"/>
      <c r="AIU41" s="15"/>
      <c r="AIV41" s="15"/>
      <c r="AIW41" s="15"/>
      <c r="AIX41" s="15"/>
      <c r="AIY41" s="15"/>
      <c r="AIZ41" s="15"/>
      <c r="AJA41" s="15"/>
      <c r="AJB41" s="15"/>
      <c r="AJC41" s="15"/>
      <c r="AJD41" s="15"/>
      <c r="AJE41" s="15"/>
      <c r="AJF41" s="15"/>
      <c r="AJG41" s="15"/>
      <c r="AJH41" s="15"/>
      <c r="AJI41" s="15"/>
      <c r="AJJ41" s="15"/>
      <c r="AJK41" s="15"/>
      <c r="AJL41" s="15"/>
      <c r="AJM41" s="15"/>
      <c r="AJN41" s="15"/>
      <c r="AJO41" s="15"/>
      <c r="AJP41" s="15"/>
      <c r="AJQ41" s="15"/>
      <c r="AJR41" s="15"/>
      <c r="AJS41" s="15"/>
      <c r="AJT41" s="15"/>
      <c r="AJU41" s="15"/>
      <c r="AJV41" s="15"/>
      <c r="AJW41" s="15"/>
      <c r="AJX41" s="15"/>
      <c r="AJY41" s="15"/>
      <c r="AJZ41" s="15"/>
      <c r="AKA41" s="15"/>
      <c r="AKB41" s="15"/>
      <c r="AKC41" s="15"/>
      <c r="AKD41" s="15"/>
      <c r="AKE41" s="15"/>
      <c r="AKF41" s="15"/>
      <c r="AKG41" s="15"/>
      <c r="AKH41" s="15"/>
      <c r="AKI41" s="15"/>
      <c r="AKJ41" s="15"/>
      <c r="AKK41" s="15"/>
      <c r="AKL41" s="15"/>
      <c r="AKM41" s="15"/>
      <c r="AKN41" s="15"/>
      <c r="AKO41" s="15"/>
      <c r="AKP41" s="15"/>
      <c r="AKQ41" s="15"/>
      <c r="AKR41" s="15"/>
      <c r="AKS41" s="15"/>
      <c r="AKT41" s="15"/>
      <c r="AKU41" s="15"/>
      <c r="AKV41" s="15"/>
      <c r="AKW41" s="15"/>
      <c r="AKX41" s="15"/>
      <c r="AKY41" s="15"/>
      <c r="AKZ41" s="15"/>
      <c r="ALA41" s="15"/>
      <c r="ALB41" s="15"/>
      <c r="ALC41" s="15"/>
      <c r="ALD41" s="15"/>
      <c r="ALE41" s="15"/>
      <c r="ALF41" s="15"/>
      <c r="ALG41" s="15"/>
      <c r="ALH41" s="15"/>
      <c r="ALI41" s="15"/>
      <c r="ALJ41" s="15"/>
      <c r="ALK41" s="15"/>
      <c r="ALL41" s="15"/>
      <c r="ALM41" s="15"/>
      <c r="ALN41" s="15"/>
      <c r="ALO41" s="15"/>
      <c r="ALP41" s="15"/>
      <c r="ALQ41" s="15"/>
      <c r="ALR41" s="15"/>
      <c r="ALS41" s="15"/>
      <c r="ALT41" s="15"/>
      <c r="ALU41" s="15"/>
      <c r="ALV41" s="15"/>
      <c r="ALW41" s="15"/>
      <c r="ALX41" s="15"/>
      <c r="ALY41" s="15"/>
      <c r="ALZ41" s="15"/>
      <c r="AMA41" s="15"/>
      <c r="AMB41" s="15"/>
      <c r="AMC41" s="15"/>
      <c r="AMD41" s="15"/>
      <c r="AME41" s="15"/>
      <c r="AMF41" s="15"/>
      <c r="AMG41" s="14"/>
      <c r="AMH41" s="14"/>
      <c r="AMI41" s="14"/>
      <c r="AMJ41" s="14"/>
    </row>
    <row r="42" spans="1:1024" s="13" customFormat="1" ht="29" hidden="1" x14ac:dyDescent="0.35">
      <c r="A42" s="19">
        <v>43654</v>
      </c>
      <c r="B42" s="17" t="s">
        <v>406</v>
      </c>
      <c r="C42" s="17" t="s">
        <v>405</v>
      </c>
      <c r="D42" s="18">
        <v>43655</v>
      </c>
      <c r="E42" s="17" t="s">
        <v>115</v>
      </c>
      <c r="F42" s="26">
        <v>0.5</v>
      </c>
      <c r="G42" s="26">
        <v>0.5</v>
      </c>
      <c r="H42" s="26">
        <v>0.5</v>
      </c>
      <c r="I42" s="17">
        <v>176</v>
      </c>
      <c r="J42" s="17" t="s">
        <v>294</v>
      </c>
      <c r="K42" s="17" t="s">
        <v>119</v>
      </c>
      <c r="L42" s="16" t="s">
        <v>17</v>
      </c>
      <c r="M42" s="15">
        <v>176</v>
      </c>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15"/>
      <c r="CR42" s="15"/>
      <c r="CS42" s="15"/>
      <c r="CT42" s="15"/>
      <c r="CU42" s="15"/>
      <c r="CV42" s="15"/>
      <c r="CW42" s="15"/>
      <c r="CX42" s="15"/>
      <c r="CY42" s="15"/>
      <c r="CZ42" s="15"/>
      <c r="DA42" s="15"/>
      <c r="DB42" s="15"/>
      <c r="DC42" s="15"/>
      <c r="DD42" s="15"/>
      <c r="DE42" s="15"/>
      <c r="DF42" s="15"/>
      <c r="DG42" s="15"/>
      <c r="DH42" s="15"/>
      <c r="DI42" s="15"/>
      <c r="DJ42" s="15"/>
      <c r="DK42" s="15"/>
      <c r="DL42" s="15"/>
      <c r="DM42" s="15"/>
      <c r="DN42" s="15"/>
      <c r="DO42" s="15"/>
      <c r="DP42" s="15"/>
      <c r="DQ42" s="15"/>
      <c r="DR42" s="15"/>
      <c r="DS42" s="15"/>
      <c r="DT42" s="15"/>
      <c r="DU42" s="15"/>
      <c r="DV42" s="15"/>
      <c r="DW42" s="15"/>
      <c r="DX42" s="15"/>
      <c r="DY42" s="15"/>
      <c r="DZ42" s="15"/>
      <c r="EA42" s="15"/>
      <c r="EB42" s="15"/>
      <c r="EC42" s="15"/>
      <c r="ED42" s="15"/>
      <c r="EE42" s="15"/>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c r="ID42" s="15"/>
      <c r="IE42" s="15"/>
      <c r="IF42" s="15"/>
      <c r="IG42" s="15"/>
      <c r="IH42" s="15"/>
      <c r="II42" s="15"/>
      <c r="IJ42" s="15"/>
      <c r="IK42" s="15"/>
      <c r="IL42" s="15"/>
      <c r="IM42" s="15"/>
      <c r="IN42" s="15"/>
      <c r="IO42" s="15"/>
      <c r="IP42" s="15"/>
      <c r="IQ42" s="15"/>
      <c r="IR42" s="15"/>
      <c r="IS42" s="15"/>
      <c r="IT42" s="15"/>
      <c r="IU42" s="15"/>
      <c r="IV42" s="15"/>
      <c r="IW42" s="15"/>
      <c r="IX42" s="15"/>
      <c r="IY42" s="15"/>
      <c r="IZ42" s="15"/>
      <c r="JA42" s="15"/>
      <c r="JB42" s="15"/>
      <c r="JC42" s="15"/>
      <c r="JD42" s="15"/>
      <c r="JE42" s="15"/>
      <c r="JF42" s="15"/>
      <c r="JG42" s="15"/>
      <c r="JH42" s="15"/>
      <c r="JI42" s="15"/>
      <c r="JJ42" s="15"/>
      <c r="JK42" s="15"/>
      <c r="JL42" s="15"/>
      <c r="JM42" s="15"/>
      <c r="JN42" s="15"/>
      <c r="JO42" s="15"/>
      <c r="JP42" s="15"/>
      <c r="JQ42" s="15"/>
      <c r="JR42" s="15"/>
      <c r="JS42" s="15"/>
      <c r="JT42" s="15"/>
      <c r="JU42" s="15"/>
      <c r="JV42" s="15"/>
      <c r="JW42" s="15"/>
      <c r="JX42" s="15"/>
      <c r="JY42" s="15"/>
      <c r="JZ42" s="15"/>
      <c r="KA42" s="15"/>
      <c r="KB42" s="15"/>
      <c r="KC42" s="15"/>
      <c r="KD42" s="15"/>
      <c r="KE42" s="15"/>
      <c r="KF42" s="15"/>
      <c r="KG42" s="15"/>
      <c r="KH42" s="15"/>
      <c r="KI42" s="15"/>
      <c r="KJ42" s="15"/>
      <c r="KK42" s="15"/>
      <c r="KL42" s="15"/>
      <c r="KM42" s="15"/>
      <c r="KN42" s="15"/>
      <c r="KO42" s="15"/>
      <c r="KP42" s="15"/>
      <c r="KQ42" s="15"/>
      <c r="KR42" s="15"/>
      <c r="KS42" s="15"/>
      <c r="KT42" s="15"/>
      <c r="KU42" s="15"/>
      <c r="KV42" s="15"/>
      <c r="KW42" s="15"/>
      <c r="KX42" s="15"/>
      <c r="KY42" s="15"/>
      <c r="KZ42" s="15"/>
      <c r="LA42" s="15"/>
      <c r="LB42" s="15"/>
      <c r="LC42" s="15"/>
      <c r="LD42" s="15"/>
      <c r="LE42" s="15"/>
      <c r="LF42" s="15"/>
      <c r="LG42" s="15"/>
      <c r="LH42" s="15"/>
      <c r="LI42" s="15"/>
      <c r="LJ42" s="15"/>
      <c r="LK42" s="15"/>
      <c r="LL42" s="15"/>
      <c r="LM42" s="15"/>
      <c r="LN42" s="15"/>
      <c r="LO42" s="15"/>
      <c r="LP42" s="15"/>
      <c r="LQ42" s="15"/>
      <c r="LR42" s="15"/>
      <c r="LS42" s="15"/>
      <c r="LT42" s="15"/>
      <c r="LU42" s="15"/>
      <c r="LV42" s="15"/>
      <c r="LW42" s="15"/>
      <c r="LX42" s="15"/>
      <c r="LY42" s="15"/>
      <c r="LZ42" s="15"/>
      <c r="MA42" s="15"/>
      <c r="MB42" s="15"/>
      <c r="MC42" s="15"/>
      <c r="MD42" s="15"/>
      <c r="ME42" s="15"/>
      <c r="MF42" s="15"/>
      <c r="MG42" s="15"/>
      <c r="MH42" s="15"/>
      <c r="MI42" s="15"/>
      <c r="MJ42" s="15"/>
      <c r="MK42" s="15"/>
      <c r="ML42" s="15"/>
      <c r="MM42" s="15"/>
      <c r="MN42" s="15"/>
      <c r="MO42" s="15"/>
      <c r="MP42" s="15"/>
      <c r="MQ42" s="15"/>
      <c r="MR42" s="15"/>
      <c r="MS42" s="15"/>
      <c r="MT42" s="15"/>
      <c r="MU42" s="15"/>
      <c r="MV42" s="15"/>
      <c r="MW42" s="15"/>
      <c r="MX42" s="15"/>
      <c r="MY42" s="15"/>
      <c r="MZ42" s="15"/>
      <c r="NA42" s="15"/>
      <c r="NB42" s="15"/>
      <c r="NC42" s="15"/>
      <c r="ND42" s="15"/>
      <c r="NE42" s="15"/>
      <c r="NF42" s="15"/>
      <c r="NG42" s="15"/>
      <c r="NH42" s="15"/>
      <c r="NI42" s="15"/>
      <c r="NJ42" s="15"/>
      <c r="NK42" s="15"/>
      <c r="NL42" s="15"/>
      <c r="NM42" s="15"/>
      <c r="NN42" s="15"/>
      <c r="NO42" s="15"/>
      <c r="NP42" s="15"/>
      <c r="NQ42" s="15"/>
      <c r="NR42" s="15"/>
      <c r="NS42" s="15"/>
      <c r="NT42" s="15"/>
      <c r="NU42" s="15"/>
      <c r="NV42" s="15"/>
      <c r="NW42" s="15"/>
      <c r="NX42" s="15"/>
      <c r="NY42" s="15"/>
      <c r="NZ42" s="15"/>
      <c r="OA42" s="15"/>
      <c r="OB42" s="15"/>
      <c r="OC42" s="15"/>
      <c r="OD42" s="15"/>
      <c r="OE42" s="15"/>
      <c r="OF42" s="15"/>
      <c r="OG42" s="15"/>
      <c r="OH42" s="15"/>
      <c r="OI42" s="15"/>
      <c r="OJ42" s="15"/>
      <c r="OK42" s="15"/>
      <c r="OL42" s="15"/>
      <c r="OM42" s="15"/>
      <c r="ON42" s="15"/>
      <c r="OO42" s="15"/>
      <c r="OP42" s="15"/>
      <c r="OQ42" s="15"/>
      <c r="OR42" s="15"/>
      <c r="OS42" s="15"/>
      <c r="OT42" s="15"/>
      <c r="OU42" s="15"/>
      <c r="OV42" s="15"/>
      <c r="OW42" s="15"/>
      <c r="OX42" s="15"/>
      <c r="OY42" s="15"/>
      <c r="OZ42" s="15"/>
      <c r="PA42" s="15"/>
      <c r="PB42" s="15"/>
      <c r="PC42" s="15"/>
      <c r="PD42" s="15"/>
      <c r="PE42" s="15"/>
      <c r="PF42" s="15"/>
      <c r="PG42" s="15"/>
      <c r="PH42" s="15"/>
      <c r="PI42" s="15"/>
      <c r="PJ42" s="15"/>
      <c r="PK42" s="15"/>
      <c r="PL42" s="15"/>
      <c r="PM42" s="15"/>
      <c r="PN42" s="15"/>
      <c r="PO42" s="15"/>
      <c r="PP42" s="15"/>
      <c r="PQ42" s="15"/>
      <c r="PR42" s="15"/>
      <c r="PS42" s="15"/>
      <c r="PT42" s="15"/>
      <c r="PU42" s="15"/>
      <c r="PV42" s="15"/>
      <c r="PW42" s="15"/>
      <c r="PX42" s="15"/>
      <c r="PY42" s="15"/>
      <c r="PZ42" s="15"/>
      <c r="QA42" s="15"/>
      <c r="QB42" s="15"/>
      <c r="QC42" s="15"/>
      <c r="QD42" s="15"/>
      <c r="QE42" s="15"/>
      <c r="QF42" s="15"/>
      <c r="QG42" s="15"/>
      <c r="QH42" s="15"/>
      <c r="QI42" s="15"/>
      <c r="QJ42" s="15"/>
      <c r="QK42" s="15"/>
      <c r="QL42" s="15"/>
      <c r="QM42" s="15"/>
      <c r="QN42" s="15"/>
      <c r="QO42" s="15"/>
      <c r="QP42" s="15"/>
      <c r="QQ42" s="15"/>
      <c r="QR42" s="15"/>
      <c r="QS42" s="15"/>
      <c r="QT42" s="15"/>
      <c r="QU42" s="15"/>
      <c r="QV42" s="15"/>
      <c r="QW42" s="15"/>
      <c r="QX42" s="15"/>
      <c r="QY42" s="15"/>
      <c r="QZ42" s="15"/>
      <c r="RA42" s="15"/>
      <c r="RB42" s="15"/>
      <c r="RC42" s="15"/>
      <c r="RD42" s="15"/>
      <c r="RE42" s="15"/>
      <c r="RF42" s="15"/>
      <c r="RG42" s="15"/>
      <c r="RH42" s="15"/>
      <c r="RI42" s="15"/>
      <c r="RJ42" s="15"/>
      <c r="RK42" s="15"/>
      <c r="RL42" s="15"/>
      <c r="RM42" s="15"/>
      <c r="RN42" s="15"/>
      <c r="RO42" s="15"/>
      <c r="RP42" s="15"/>
      <c r="RQ42" s="15"/>
      <c r="RR42" s="15"/>
      <c r="RS42" s="15"/>
      <c r="RT42" s="15"/>
      <c r="RU42" s="15"/>
      <c r="RV42" s="15"/>
      <c r="RW42" s="15"/>
      <c r="RX42" s="15"/>
      <c r="RY42" s="15"/>
      <c r="RZ42" s="15"/>
      <c r="SA42" s="15"/>
      <c r="SB42" s="15"/>
      <c r="SC42" s="15"/>
      <c r="SD42" s="15"/>
      <c r="SE42" s="15"/>
      <c r="SF42" s="15"/>
      <c r="SG42" s="15"/>
      <c r="SH42" s="15"/>
      <c r="SI42" s="15"/>
      <c r="SJ42" s="15"/>
      <c r="SK42" s="15"/>
      <c r="SL42" s="15"/>
      <c r="SM42" s="15"/>
      <c r="SN42" s="15"/>
      <c r="SO42" s="15"/>
      <c r="SP42" s="15"/>
      <c r="SQ42" s="15"/>
      <c r="SR42" s="15"/>
      <c r="SS42" s="15"/>
      <c r="ST42" s="15"/>
      <c r="SU42" s="15"/>
      <c r="SV42" s="15"/>
      <c r="SW42" s="15"/>
      <c r="SX42" s="15"/>
      <c r="SY42" s="15"/>
      <c r="SZ42" s="15"/>
      <c r="TA42" s="15"/>
      <c r="TB42" s="15"/>
      <c r="TC42" s="15"/>
      <c r="TD42" s="15"/>
      <c r="TE42" s="15"/>
      <c r="TF42" s="15"/>
      <c r="TG42" s="15"/>
      <c r="TH42" s="15"/>
      <c r="TI42" s="15"/>
      <c r="TJ42" s="15"/>
      <c r="TK42" s="15"/>
      <c r="TL42" s="15"/>
      <c r="TM42" s="15"/>
      <c r="TN42" s="15"/>
      <c r="TO42" s="15"/>
      <c r="TP42" s="15"/>
      <c r="TQ42" s="15"/>
      <c r="TR42" s="15"/>
      <c r="TS42" s="15"/>
      <c r="TT42" s="15"/>
      <c r="TU42" s="15"/>
      <c r="TV42" s="15"/>
      <c r="TW42" s="15"/>
      <c r="TX42" s="15"/>
      <c r="TY42" s="15"/>
      <c r="TZ42" s="15"/>
      <c r="UA42" s="15"/>
      <c r="UB42" s="15"/>
      <c r="UC42" s="15"/>
      <c r="UD42" s="15"/>
      <c r="UE42" s="15"/>
      <c r="UF42" s="15"/>
      <c r="UG42" s="15"/>
      <c r="UH42" s="15"/>
      <c r="UI42" s="15"/>
      <c r="UJ42" s="15"/>
      <c r="UK42" s="15"/>
      <c r="UL42" s="15"/>
      <c r="UM42" s="15"/>
      <c r="UN42" s="15"/>
      <c r="UO42" s="15"/>
      <c r="UP42" s="15"/>
      <c r="UQ42" s="15"/>
      <c r="UR42" s="15"/>
      <c r="US42" s="15"/>
      <c r="UT42" s="15"/>
      <c r="UU42" s="15"/>
      <c r="UV42" s="15"/>
      <c r="UW42" s="15"/>
      <c r="UX42" s="15"/>
      <c r="UY42" s="15"/>
      <c r="UZ42" s="15"/>
      <c r="VA42" s="15"/>
      <c r="VB42" s="15"/>
      <c r="VC42" s="15"/>
      <c r="VD42" s="15"/>
      <c r="VE42" s="15"/>
      <c r="VF42" s="15"/>
      <c r="VG42" s="15"/>
      <c r="VH42" s="15"/>
      <c r="VI42" s="15"/>
      <c r="VJ42" s="15"/>
      <c r="VK42" s="15"/>
      <c r="VL42" s="15"/>
      <c r="VM42" s="15"/>
      <c r="VN42" s="15"/>
      <c r="VO42" s="15"/>
      <c r="VP42" s="15"/>
      <c r="VQ42" s="15"/>
      <c r="VR42" s="15"/>
      <c r="VS42" s="15"/>
      <c r="VT42" s="15"/>
      <c r="VU42" s="15"/>
      <c r="VV42" s="15"/>
      <c r="VW42" s="15"/>
      <c r="VX42" s="15"/>
      <c r="VY42" s="15"/>
      <c r="VZ42" s="15"/>
      <c r="WA42" s="15"/>
      <c r="WB42" s="15"/>
      <c r="WC42" s="15"/>
      <c r="WD42" s="15"/>
      <c r="WE42" s="15"/>
      <c r="WF42" s="15"/>
      <c r="WG42" s="15"/>
      <c r="WH42" s="15"/>
      <c r="WI42" s="15"/>
      <c r="WJ42" s="15"/>
      <c r="WK42" s="15"/>
      <c r="WL42" s="15"/>
      <c r="WM42" s="15"/>
      <c r="WN42" s="15"/>
      <c r="WO42" s="15"/>
      <c r="WP42" s="15"/>
      <c r="WQ42" s="15"/>
      <c r="WR42" s="15"/>
      <c r="WS42" s="15"/>
      <c r="WT42" s="15"/>
      <c r="WU42" s="15"/>
      <c r="WV42" s="15"/>
      <c r="WW42" s="15"/>
      <c r="WX42" s="15"/>
      <c r="WY42" s="15"/>
      <c r="WZ42" s="15"/>
      <c r="XA42" s="15"/>
      <c r="XB42" s="15"/>
      <c r="XC42" s="15"/>
      <c r="XD42" s="15"/>
      <c r="XE42" s="15"/>
      <c r="XF42" s="15"/>
      <c r="XG42" s="15"/>
      <c r="XH42" s="15"/>
      <c r="XI42" s="15"/>
      <c r="XJ42" s="15"/>
      <c r="XK42" s="15"/>
      <c r="XL42" s="15"/>
      <c r="XM42" s="15"/>
      <c r="XN42" s="15"/>
      <c r="XO42" s="15"/>
      <c r="XP42" s="15"/>
      <c r="XQ42" s="15"/>
      <c r="XR42" s="15"/>
      <c r="XS42" s="15"/>
      <c r="XT42" s="15"/>
      <c r="XU42" s="15"/>
      <c r="XV42" s="15"/>
      <c r="XW42" s="15"/>
      <c r="XX42" s="15"/>
      <c r="XY42" s="15"/>
      <c r="XZ42" s="15"/>
      <c r="YA42" s="15"/>
      <c r="YB42" s="15"/>
      <c r="YC42" s="15"/>
      <c r="YD42" s="15"/>
      <c r="YE42" s="15"/>
      <c r="YF42" s="15"/>
      <c r="YG42" s="15"/>
      <c r="YH42" s="15"/>
      <c r="YI42" s="15"/>
      <c r="YJ42" s="15"/>
      <c r="YK42" s="15"/>
      <c r="YL42" s="15"/>
      <c r="YM42" s="15"/>
      <c r="YN42" s="15"/>
      <c r="YO42" s="15"/>
      <c r="YP42" s="15"/>
      <c r="YQ42" s="15"/>
      <c r="YR42" s="15"/>
      <c r="YS42" s="15"/>
      <c r="YT42" s="15"/>
      <c r="YU42" s="15"/>
      <c r="YV42" s="15"/>
      <c r="YW42" s="15"/>
      <c r="YX42" s="15"/>
      <c r="YY42" s="15"/>
      <c r="YZ42" s="15"/>
      <c r="ZA42" s="15"/>
      <c r="ZB42" s="15"/>
      <c r="ZC42" s="15"/>
      <c r="ZD42" s="15"/>
      <c r="ZE42" s="15"/>
      <c r="ZF42" s="15"/>
      <c r="ZG42" s="15"/>
      <c r="ZH42" s="15"/>
      <c r="ZI42" s="15"/>
      <c r="ZJ42" s="15"/>
      <c r="ZK42" s="15"/>
      <c r="ZL42" s="15"/>
      <c r="ZM42" s="15"/>
      <c r="ZN42" s="15"/>
      <c r="ZO42" s="15"/>
      <c r="ZP42" s="15"/>
      <c r="ZQ42" s="15"/>
      <c r="ZR42" s="15"/>
      <c r="ZS42" s="15"/>
      <c r="ZT42" s="15"/>
      <c r="ZU42" s="15"/>
      <c r="ZV42" s="15"/>
      <c r="ZW42" s="15"/>
      <c r="ZX42" s="15"/>
      <c r="ZY42" s="15"/>
      <c r="ZZ42" s="15"/>
      <c r="AAA42" s="15"/>
      <c r="AAB42" s="15"/>
      <c r="AAC42" s="15"/>
      <c r="AAD42" s="15"/>
      <c r="AAE42" s="15"/>
      <c r="AAF42" s="15"/>
      <c r="AAG42" s="15"/>
      <c r="AAH42" s="15"/>
      <c r="AAI42" s="15"/>
      <c r="AAJ42" s="15"/>
      <c r="AAK42" s="15"/>
      <c r="AAL42" s="15"/>
      <c r="AAM42" s="15"/>
      <c r="AAN42" s="15"/>
      <c r="AAO42" s="15"/>
      <c r="AAP42" s="15"/>
      <c r="AAQ42" s="15"/>
      <c r="AAR42" s="15"/>
      <c r="AAS42" s="15"/>
      <c r="AAT42" s="15"/>
      <c r="AAU42" s="15"/>
      <c r="AAV42" s="15"/>
      <c r="AAW42" s="15"/>
      <c r="AAX42" s="15"/>
      <c r="AAY42" s="15"/>
      <c r="AAZ42" s="15"/>
      <c r="ABA42" s="15"/>
      <c r="ABB42" s="15"/>
      <c r="ABC42" s="15"/>
      <c r="ABD42" s="15"/>
      <c r="ABE42" s="15"/>
      <c r="ABF42" s="15"/>
      <c r="ABG42" s="15"/>
      <c r="ABH42" s="15"/>
      <c r="ABI42" s="15"/>
      <c r="ABJ42" s="15"/>
      <c r="ABK42" s="15"/>
      <c r="ABL42" s="15"/>
      <c r="ABM42" s="15"/>
      <c r="ABN42" s="15"/>
      <c r="ABO42" s="15"/>
      <c r="ABP42" s="15"/>
      <c r="ABQ42" s="15"/>
      <c r="ABR42" s="15"/>
      <c r="ABS42" s="15"/>
      <c r="ABT42" s="15"/>
      <c r="ABU42" s="15"/>
      <c r="ABV42" s="15"/>
      <c r="ABW42" s="15"/>
      <c r="ABX42" s="15"/>
      <c r="ABY42" s="15"/>
      <c r="ABZ42" s="15"/>
      <c r="ACA42" s="15"/>
      <c r="ACB42" s="15"/>
      <c r="ACC42" s="15"/>
      <c r="ACD42" s="15"/>
      <c r="ACE42" s="15"/>
      <c r="ACF42" s="15"/>
      <c r="ACG42" s="15"/>
      <c r="ACH42" s="15"/>
      <c r="ACI42" s="15"/>
      <c r="ACJ42" s="15"/>
      <c r="ACK42" s="15"/>
      <c r="ACL42" s="15"/>
      <c r="ACM42" s="15"/>
      <c r="ACN42" s="15"/>
      <c r="ACO42" s="15"/>
      <c r="ACP42" s="15"/>
      <c r="ACQ42" s="15"/>
      <c r="ACR42" s="15"/>
      <c r="ACS42" s="15"/>
      <c r="ACT42" s="15"/>
      <c r="ACU42" s="15"/>
      <c r="ACV42" s="15"/>
      <c r="ACW42" s="15"/>
      <c r="ACX42" s="15"/>
      <c r="ACY42" s="15"/>
      <c r="ACZ42" s="15"/>
      <c r="ADA42" s="15"/>
      <c r="ADB42" s="15"/>
      <c r="ADC42" s="15"/>
      <c r="ADD42" s="15"/>
      <c r="ADE42" s="15"/>
      <c r="ADF42" s="15"/>
      <c r="ADG42" s="15"/>
      <c r="ADH42" s="15"/>
      <c r="ADI42" s="15"/>
      <c r="ADJ42" s="15"/>
      <c r="ADK42" s="15"/>
      <c r="ADL42" s="15"/>
      <c r="ADM42" s="15"/>
      <c r="ADN42" s="15"/>
      <c r="ADO42" s="15"/>
      <c r="ADP42" s="15"/>
      <c r="ADQ42" s="15"/>
      <c r="ADR42" s="15"/>
      <c r="ADS42" s="15"/>
      <c r="ADT42" s="15"/>
      <c r="ADU42" s="15"/>
      <c r="ADV42" s="15"/>
      <c r="ADW42" s="15"/>
      <c r="ADX42" s="15"/>
      <c r="ADY42" s="15"/>
      <c r="ADZ42" s="15"/>
      <c r="AEA42" s="15"/>
      <c r="AEB42" s="15"/>
      <c r="AEC42" s="15"/>
      <c r="AED42" s="15"/>
      <c r="AEE42" s="15"/>
      <c r="AEF42" s="15"/>
      <c r="AEG42" s="15"/>
      <c r="AEH42" s="15"/>
      <c r="AEI42" s="15"/>
      <c r="AEJ42" s="15"/>
      <c r="AEK42" s="15"/>
      <c r="AEL42" s="15"/>
      <c r="AEM42" s="15"/>
      <c r="AEN42" s="15"/>
      <c r="AEO42" s="15"/>
      <c r="AEP42" s="15"/>
      <c r="AEQ42" s="15"/>
      <c r="AER42" s="15"/>
      <c r="AES42" s="15"/>
      <c r="AET42" s="15"/>
      <c r="AEU42" s="15"/>
      <c r="AEV42" s="15"/>
      <c r="AEW42" s="15"/>
      <c r="AEX42" s="15"/>
      <c r="AEY42" s="15"/>
      <c r="AEZ42" s="15"/>
      <c r="AFA42" s="15"/>
      <c r="AFB42" s="15"/>
      <c r="AFC42" s="15"/>
      <c r="AFD42" s="15"/>
      <c r="AFE42" s="15"/>
      <c r="AFF42" s="15"/>
      <c r="AFG42" s="15"/>
      <c r="AFH42" s="15"/>
      <c r="AFI42" s="15"/>
      <c r="AFJ42" s="15"/>
      <c r="AFK42" s="15"/>
      <c r="AFL42" s="15"/>
      <c r="AFM42" s="15"/>
      <c r="AFN42" s="15"/>
      <c r="AFO42" s="15"/>
      <c r="AFP42" s="15"/>
      <c r="AFQ42" s="15"/>
      <c r="AFR42" s="15"/>
      <c r="AFS42" s="15"/>
      <c r="AFT42" s="15"/>
      <c r="AFU42" s="15"/>
      <c r="AFV42" s="15"/>
      <c r="AFW42" s="15"/>
      <c r="AFX42" s="15"/>
      <c r="AFY42" s="15"/>
      <c r="AFZ42" s="15"/>
      <c r="AGA42" s="15"/>
      <c r="AGB42" s="15"/>
      <c r="AGC42" s="15"/>
      <c r="AGD42" s="15"/>
      <c r="AGE42" s="15"/>
      <c r="AGF42" s="15"/>
      <c r="AGG42" s="15"/>
      <c r="AGH42" s="15"/>
      <c r="AGI42" s="15"/>
      <c r="AGJ42" s="15"/>
      <c r="AGK42" s="15"/>
      <c r="AGL42" s="15"/>
      <c r="AGM42" s="15"/>
      <c r="AGN42" s="15"/>
      <c r="AGO42" s="15"/>
      <c r="AGP42" s="15"/>
      <c r="AGQ42" s="15"/>
      <c r="AGR42" s="15"/>
      <c r="AGS42" s="15"/>
      <c r="AGT42" s="15"/>
      <c r="AGU42" s="15"/>
      <c r="AGV42" s="15"/>
      <c r="AGW42" s="15"/>
      <c r="AGX42" s="15"/>
      <c r="AGY42" s="15"/>
      <c r="AGZ42" s="15"/>
      <c r="AHA42" s="15"/>
      <c r="AHB42" s="15"/>
      <c r="AHC42" s="15"/>
      <c r="AHD42" s="15"/>
      <c r="AHE42" s="15"/>
      <c r="AHF42" s="15"/>
      <c r="AHG42" s="15"/>
      <c r="AHH42" s="15"/>
      <c r="AHI42" s="15"/>
      <c r="AHJ42" s="15"/>
      <c r="AHK42" s="15"/>
      <c r="AHL42" s="15"/>
      <c r="AHM42" s="15"/>
      <c r="AHN42" s="15"/>
      <c r="AHO42" s="15"/>
      <c r="AHP42" s="15"/>
      <c r="AHQ42" s="15"/>
      <c r="AHR42" s="15"/>
      <c r="AHS42" s="15"/>
      <c r="AHT42" s="15"/>
      <c r="AHU42" s="15"/>
      <c r="AHV42" s="15"/>
      <c r="AHW42" s="15"/>
      <c r="AHX42" s="15"/>
      <c r="AHY42" s="15"/>
      <c r="AHZ42" s="15"/>
      <c r="AIA42" s="15"/>
      <c r="AIB42" s="15"/>
      <c r="AIC42" s="15"/>
      <c r="AID42" s="15"/>
      <c r="AIE42" s="15"/>
      <c r="AIF42" s="15"/>
      <c r="AIG42" s="15"/>
      <c r="AIH42" s="15"/>
      <c r="AII42" s="15"/>
      <c r="AIJ42" s="15"/>
      <c r="AIK42" s="15"/>
      <c r="AIL42" s="15"/>
      <c r="AIM42" s="15"/>
      <c r="AIN42" s="15"/>
      <c r="AIO42" s="15"/>
      <c r="AIP42" s="15"/>
      <c r="AIQ42" s="15"/>
      <c r="AIR42" s="15"/>
      <c r="AIS42" s="15"/>
      <c r="AIT42" s="15"/>
      <c r="AIU42" s="15"/>
      <c r="AIV42" s="15"/>
      <c r="AIW42" s="15"/>
      <c r="AIX42" s="15"/>
      <c r="AIY42" s="15"/>
      <c r="AIZ42" s="15"/>
      <c r="AJA42" s="15"/>
      <c r="AJB42" s="15"/>
      <c r="AJC42" s="15"/>
      <c r="AJD42" s="15"/>
      <c r="AJE42" s="15"/>
      <c r="AJF42" s="15"/>
      <c r="AJG42" s="15"/>
      <c r="AJH42" s="15"/>
      <c r="AJI42" s="15"/>
      <c r="AJJ42" s="15"/>
      <c r="AJK42" s="15"/>
      <c r="AJL42" s="15"/>
      <c r="AJM42" s="15"/>
      <c r="AJN42" s="15"/>
      <c r="AJO42" s="15"/>
      <c r="AJP42" s="15"/>
      <c r="AJQ42" s="15"/>
      <c r="AJR42" s="15"/>
      <c r="AJS42" s="15"/>
      <c r="AJT42" s="15"/>
      <c r="AJU42" s="15"/>
      <c r="AJV42" s="15"/>
      <c r="AJW42" s="15"/>
      <c r="AJX42" s="15"/>
      <c r="AJY42" s="15"/>
      <c r="AJZ42" s="15"/>
      <c r="AKA42" s="15"/>
      <c r="AKB42" s="15"/>
      <c r="AKC42" s="15"/>
      <c r="AKD42" s="15"/>
      <c r="AKE42" s="15"/>
      <c r="AKF42" s="15"/>
      <c r="AKG42" s="15"/>
      <c r="AKH42" s="15"/>
      <c r="AKI42" s="15"/>
      <c r="AKJ42" s="15"/>
      <c r="AKK42" s="15"/>
      <c r="AKL42" s="15"/>
      <c r="AKM42" s="15"/>
      <c r="AKN42" s="15"/>
      <c r="AKO42" s="15"/>
      <c r="AKP42" s="15"/>
      <c r="AKQ42" s="15"/>
      <c r="AKR42" s="15"/>
      <c r="AKS42" s="15"/>
      <c r="AKT42" s="15"/>
      <c r="AKU42" s="15"/>
      <c r="AKV42" s="15"/>
      <c r="AKW42" s="15"/>
      <c r="AKX42" s="15"/>
      <c r="AKY42" s="15"/>
      <c r="AKZ42" s="15"/>
      <c r="ALA42" s="15"/>
      <c r="ALB42" s="15"/>
      <c r="ALC42" s="15"/>
      <c r="ALD42" s="15"/>
      <c r="ALE42" s="15"/>
      <c r="ALF42" s="15"/>
      <c r="ALG42" s="15"/>
      <c r="ALH42" s="15"/>
      <c r="ALI42" s="15"/>
      <c r="ALJ42" s="15"/>
      <c r="ALK42" s="15"/>
      <c r="ALL42" s="15"/>
      <c r="ALM42" s="15"/>
      <c r="ALN42" s="15"/>
      <c r="ALO42" s="15"/>
      <c r="ALP42" s="15"/>
      <c r="ALQ42" s="15"/>
      <c r="ALR42" s="15"/>
      <c r="ALS42" s="15"/>
      <c r="ALT42" s="15"/>
      <c r="ALU42" s="15"/>
      <c r="ALV42" s="15"/>
      <c r="ALW42" s="15"/>
      <c r="ALX42" s="15"/>
      <c r="ALY42" s="15"/>
      <c r="ALZ42" s="15"/>
      <c r="AMA42" s="15"/>
      <c r="AMB42" s="15"/>
      <c r="AMC42" s="15"/>
      <c r="AMD42" s="15"/>
      <c r="AME42" s="15"/>
      <c r="AMF42" s="15"/>
      <c r="AMG42" s="14"/>
      <c r="AMH42" s="14"/>
      <c r="AMI42" s="14"/>
      <c r="AMJ42" s="14"/>
    </row>
    <row r="43" spans="1:1024" s="13" customFormat="1" ht="43.5" hidden="1" x14ac:dyDescent="0.35">
      <c r="A43" s="19">
        <v>43654</v>
      </c>
      <c r="B43" s="17" t="s">
        <v>131</v>
      </c>
      <c r="C43" s="17" t="s">
        <v>404</v>
      </c>
      <c r="D43" s="18">
        <v>43655</v>
      </c>
      <c r="E43" s="17" t="s">
        <v>129</v>
      </c>
      <c r="F43" s="17" t="s">
        <v>15</v>
      </c>
      <c r="G43" s="26">
        <v>0.57291666666666696</v>
      </c>
      <c r="H43" s="26">
        <v>0.60416666666666696</v>
      </c>
      <c r="I43" s="17">
        <v>0</v>
      </c>
      <c r="J43" s="17" t="s">
        <v>16</v>
      </c>
      <c r="K43" s="17" t="s">
        <v>119</v>
      </c>
      <c r="L43" s="16" t="s">
        <v>17</v>
      </c>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15"/>
      <c r="CR43" s="15"/>
      <c r="CS43" s="15"/>
      <c r="CT43" s="15"/>
      <c r="CU43" s="15"/>
      <c r="CV43" s="15"/>
      <c r="CW43" s="15"/>
      <c r="CX43" s="15"/>
      <c r="CY43" s="15"/>
      <c r="CZ43" s="15"/>
      <c r="DA43" s="15"/>
      <c r="DB43" s="15"/>
      <c r="DC43" s="15"/>
      <c r="DD43" s="15"/>
      <c r="DE43" s="15"/>
      <c r="DF43" s="15"/>
      <c r="DG43" s="15"/>
      <c r="DH43" s="15"/>
      <c r="DI43" s="15"/>
      <c r="DJ43" s="15"/>
      <c r="DK43" s="15"/>
      <c r="DL43" s="15"/>
      <c r="DM43" s="15"/>
      <c r="DN43" s="15"/>
      <c r="DO43" s="15"/>
      <c r="DP43" s="15"/>
      <c r="DQ43" s="15"/>
      <c r="DR43" s="15"/>
      <c r="DS43" s="15"/>
      <c r="DT43" s="15"/>
      <c r="DU43" s="15"/>
      <c r="DV43" s="15"/>
      <c r="DW43" s="15"/>
      <c r="DX43" s="15"/>
      <c r="DY43" s="15"/>
      <c r="DZ43" s="15"/>
      <c r="EA43" s="15"/>
      <c r="EB43" s="15"/>
      <c r="EC43" s="15"/>
      <c r="ED43" s="15"/>
      <c r="EE43" s="15"/>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c r="ID43" s="15"/>
      <c r="IE43" s="15"/>
      <c r="IF43" s="15"/>
      <c r="IG43" s="15"/>
      <c r="IH43" s="15"/>
      <c r="II43" s="15"/>
      <c r="IJ43" s="15"/>
      <c r="IK43" s="15"/>
      <c r="IL43" s="15"/>
      <c r="IM43" s="15"/>
      <c r="IN43" s="15"/>
      <c r="IO43" s="15"/>
      <c r="IP43" s="15"/>
      <c r="IQ43" s="15"/>
      <c r="IR43" s="15"/>
      <c r="IS43" s="15"/>
      <c r="IT43" s="15"/>
      <c r="IU43" s="15"/>
      <c r="IV43" s="15"/>
      <c r="IW43" s="15"/>
      <c r="IX43" s="15"/>
      <c r="IY43" s="15"/>
      <c r="IZ43" s="15"/>
      <c r="JA43" s="15"/>
      <c r="JB43" s="15"/>
      <c r="JC43" s="15"/>
      <c r="JD43" s="15"/>
      <c r="JE43" s="15"/>
      <c r="JF43" s="15"/>
      <c r="JG43" s="15"/>
      <c r="JH43" s="15"/>
      <c r="JI43" s="15"/>
      <c r="JJ43" s="15"/>
      <c r="JK43" s="15"/>
      <c r="JL43" s="15"/>
      <c r="JM43" s="15"/>
      <c r="JN43" s="15"/>
      <c r="JO43" s="15"/>
      <c r="JP43" s="15"/>
      <c r="JQ43" s="15"/>
      <c r="JR43" s="15"/>
      <c r="JS43" s="15"/>
      <c r="JT43" s="15"/>
      <c r="JU43" s="15"/>
      <c r="JV43" s="15"/>
      <c r="JW43" s="15"/>
      <c r="JX43" s="15"/>
      <c r="JY43" s="15"/>
      <c r="JZ43" s="15"/>
      <c r="KA43" s="15"/>
      <c r="KB43" s="15"/>
      <c r="KC43" s="15"/>
      <c r="KD43" s="15"/>
      <c r="KE43" s="15"/>
      <c r="KF43" s="15"/>
      <c r="KG43" s="15"/>
      <c r="KH43" s="15"/>
      <c r="KI43" s="15"/>
      <c r="KJ43" s="15"/>
      <c r="KK43" s="15"/>
      <c r="KL43" s="15"/>
      <c r="KM43" s="15"/>
      <c r="KN43" s="15"/>
      <c r="KO43" s="15"/>
      <c r="KP43" s="15"/>
      <c r="KQ43" s="15"/>
      <c r="KR43" s="15"/>
      <c r="KS43" s="15"/>
      <c r="KT43" s="15"/>
      <c r="KU43" s="15"/>
      <c r="KV43" s="15"/>
      <c r="KW43" s="15"/>
      <c r="KX43" s="15"/>
      <c r="KY43" s="15"/>
      <c r="KZ43" s="15"/>
      <c r="LA43" s="15"/>
      <c r="LB43" s="15"/>
      <c r="LC43" s="15"/>
      <c r="LD43" s="15"/>
      <c r="LE43" s="15"/>
      <c r="LF43" s="15"/>
      <c r="LG43" s="15"/>
      <c r="LH43" s="15"/>
      <c r="LI43" s="15"/>
      <c r="LJ43" s="15"/>
      <c r="LK43" s="15"/>
      <c r="LL43" s="15"/>
      <c r="LM43" s="15"/>
      <c r="LN43" s="15"/>
      <c r="LO43" s="15"/>
      <c r="LP43" s="15"/>
      <c r="LQ43" s="15"/>
      <c r="LR43" s="15"/>
      <c r="LS43" s="15"/>
      <c r="LT43" s="15"/>
      <c r="LU43" s="15"/>
      <c r="LV43" s="15"/>
      <c r="LW43" s="15"/>
      <c r="LX43" s="15"/>
      <c r="LY43" s="15"/>
      <c r="LZ43" s="15"/>
      <c r="MA43" s="15"/>
      <c r="MB43" s="15"/>
      <c r="MC43" s="15"/>
      <c r="MD43" s="15"/>
      <c r="ME43" s="15"/>
      <c r="MF43" s="15"/>
      <c r="MG43" s="15"/>
      <c r="MH43" s="15"/>
      <c r="MI43" s="15"/>
      <c r="MJ43" s="15"/>
      <c r="MK43" s="15"/>
      <c r="ML43" s="15"/>
      <c r="MM43" s="15"/>
      <c r="MN43" s="15"/>
      <c r="MO43" s="15"/>
      <c r="MP43" s="15"/>
      <c r="MQ43" s="15"/>
      <c r="MR43" s="15"/>
      <c r="MS43" s="15"/>
      <c r="MT43" s="15"/>
      <c r="MU43" s="15"/>
      <c r="MV43" s="15"/>
      <c r="MW43" s="15"/>
      <c r="MX43" s="15"/>
      <c r="MY43" s="15"/>
      <c r="MZ43" s="15"/>
      <c r="NA43" s="15"/>
      <c r="NB43" s="15"/>
      <c r="NC43" s="15"/>
      <c r="ND43" s="15"/>
      <c r="NE43" s="15"/>
      <c r="NF43" s="15"/>
      <c r="NG43" s="15"/>
      <c r="NH43" s="15"/>
      <c r="NI43" s="15"/>
      <c r="NJ43" s="15"/>
      <c r="NK43" s="15"/>
      <c r="NL43" s="15"/>
      <c r="NM43" s="15"/>
      <c r="NN43" s="15"/>
      <c r="NO43" s="15"/>
      <c r="NP43" s="15"/>
      <c r="NQ43" s="15"/>
      <c r="NR43" s="15"/>
      <c r="NS43" s="15"/>
      <c r="NT43" s="15"/>
      <c r="NU43" s="15"/>
      <c r="NV43" s="15"/>
      <c r="NW43" s="15"/>
      <c r="NX43" s="15"/>
      <c r="NY43" s="15"/>
      <c r="NZ43" s="15"/>
      <c r="OA43" s="15"/>
      <c r="OB43" s="15"/>
      <c r="OC43" s="15"/>
      <c r="OD43" s="15"/>
      <c r="OE43" s="15"/>
      <c r="OF43" s="15"/>
      <c r="OG43" s="15"/>
      <c r="OH43" s="15"/>
      <c r="OI43" s="15"/>
      <c r="OJ43" s="15"/>
      <c r="OK43" s="15"/>
      <c r="OL43" s="15"/>
      <c r="OM43" s="15"/>
      <c r="ON43" s="15"/>
      <c r="OO43" s="15"/>
      <c r="OP43" s="15"/>
      <c r="OQ43" s="15"/>
      <c r="OR43" s="15"/>
      <c r="OS43" s="15"/>
      <c r="OT43" s="15"/>
      <c r="OU43" s="15"/>
      <c r="OV43" s="15"/>
      <c r="OW43" s="15"/>
      <c r="OX43" s="15"/>
      <c r="OY43" s="15"/>
      <c r="OZ43" s="15"/>
      <c r="PA43" s="15"/>
      <c r="PB43" s="15"/>
      <c r="PC43" s="15"/>
      <c r="PD43" s="15"/>
      <c r="PE43" s="15"/>
      <c r="PF43" s="15"/>
      <c r="PG43" s="15"/>
      <c r="PH43" s="15"/>
      <c r="PI43" s="15"/>
      <c r="PJ43" s="15"/>
      <c r="PK43" s="15"/>
      <c r="PL43" s="15"/>
      <c r="PM43" s="15"/>
      <c r="PN43" s="15"/>
      <c r="PO43" s="15"/>
      <c r="PP43" s="15"/>
      <c r="PQ43" s="15"/>
      <c r="PR43" s="15"/>
      <c r="PS43" s="15"/>
      <c r="PT43" s="15"/>
      <c r="PU43" s="15"/>
      <c r="PV43" s="15"/>
      <c r="PW43" s="15"/>
      <c r="PX43" s="15"/>
      <c r="PY43" s="15"/>
      <c r="PZ43" s="15"/>
      <c r="QA43" s="15"/>
      <c r="QB43" s="15"/>
      <c r="QC43" s="15"/>
      <c r="QD43" s="15"/>
      <c r="QE43" s="15"/>
      <c r="QF43" s="15"/>
      <c r="QG43" s="15"/>
      <c r="QH43" s="15"/>
      <c r="QI43" s="15"/>
      <c r="QJ43" s="15"/>
      <c r="QK43" s="15"/>
      <c r="QL43" s="15"/>
      <c r="QM43" s="15"/>
      <c r="QN43" s="15"/>
      <c r="QO43" s="15"/>
      <c r="QP43" s="15"/>
      <c r="QQ43" s="15"/>
      <c r="QR43" s="15"/>
      <c r="QS43" s="15"/>
      <c r="QT43" s="15"/>
      <c r="QU43" s="15"/>
      <c r="QV43" s="15"/>
      <c r="QW43" s="15"/>
      <c r="QX43" s="15"/>
      <c r="QY43" s="15"/>
      <c r="QZ43" s="15"/>
      <c r="RA43" s="15"/>
      <c r="RB43" s="15"/>
      <c r="RC43" s="15"/>
      <c r="RD43" s="15"/>
      <c r="RE43" s="15"/>
      <c r="RF43" s="15"/>
      <c r="RG43" s="15"/>
      <c r="RH43" s="15"/>
      <c r="RI43" s="15"/>
      <c r="RJ43" s="15"/>
      <c r="RK43" s="15"/>
      <c r="RL43" s="15"/>
      <c r="RM43" s="15"/>
      <c r="RN43" s="15"/>
      <c r="RO43" s="15"/>
      <c r="RP43" s="15"/>
      <c r="RQ43" s="15"/>
      <c r="RR43" s="15"/>
      <c r="RS43" s="15"/>
      <c r="RT43" s="15"/>
      <c r="RU43" s="15"/>
      <c r="RV43" s="15"/>
      <c r="RW43" s="15"/>
      <c r="RX43" s="15"/>
      <c r="RY43" s="15"/>
      <c r="RZ43" s="15"/>
      <c r="SA43" s="15"/>
      <c r="SB43" s="15"/>
      <c r="SC43" s="15"/>
      <c r="SD43" s="15"/>
      <c r="SE43" s="15"/>
      <c r="SF43" s="15"/>
      <c r="SG43" s="15"/>
      <c r="SH43" s="15"/>
      <c r="SI43" s="15"/>
      <c r="SJ43" s="15"/>
      <c r="SK43" s="15"/>
      <c r="SL43" s="15"/>
      <c r="SM43" s="15"/>
      <c r="SN43" s="15"/>
      <c r="SO43" s="15"/>
      <c r="SP43" s="15"/>
      <c r="SQ43" s="15"/>
      <c r="SR43" s="15"/>
      <c r="SS43" s="15"/>
      <c r="ST43" s="15"/>
      <c r="SU43" s="15"/>
      <c r="SV43" s="15"/>
      <c r="SW43" s="15"/>
      <c r="SX43" s="15"/>
      <c r="SY43" s="15"/>
      <c r="SZ43" s="15"/>
      <c r="TA43" s="15"/>
      <c r="TB43" s="15"/>
      <c r="TC43" s="15"/>
      <c r="TD43" s="15"/>
      <c r="TE43" s="15"/>
      <c r="TF43" s="15"/>
      <c r="TG43" s="15"/>
      <c r="TH43" s="15"/>
      <c r="TI43" s="15"/>
      <c r="TJ43" s="15"/>
      <c r="TK43" s="15"/>
      <c r="TL43" s="15"/>
      <c r="TM43" s="15"/>
      <c r="TN43" s="15"/>
      <c r="TO43" s="15"/>
      <c r="TP43" s="15"/>
      <c r="TQ43" s="15"/>
      <c r="TR43" s="15"/>
      <c r="TS43" s="15"/>
      <c r="TT43" s="15"/>
      <c r="TU43" s="15"/>
      <c r="TV43" s="15"/>
      <c r="TW43" s="15"/>
      <c r="TX43" s="15"/>
      <c r="TY43" s="15"/>
      <c r="TZ43" s="15"/>
      <c r="UA43" s="15"/>
      <c r="UB43" s="15"/>
      <c r="UC43" s="15"/>
      <c r="UD43" s="15"/>
      <c r="UE43" s="15"/>
      <c r="UF43" s="15"/>
      <c r="UG43" s="15"/>
      <c r="UH43" s="15"/>
      <c r="UI43" s="15"/>
      <c r="UJ43" s="15"/>
      <c r="UK43" s="15"/>
      <c r="UL43" s="15"/>
      <c r="UM43" s="15"/>
      <c r="UN43" s="15"/>
      <c r="UO43" s="15"/>
      <c r="UP43" s="15"/>
      <c r="UQ43" s="15"/>
      <c r="UR43" s="15"/>
      <c r="US43" s="15"/>
      <c r="UT43" s="15"/>
      <c r="UU43" s="15"/>
      <c r="UV43" s="15"/>
      <c r="UW43" s="15"/>
      <c r="UX43" s="15"/>
      <c r="UY43" s="15"/>
      <c r="UZ43" s="15"/>
      <c r="VA43" s="15"/>
      <c r="VB43" s="15"/>
      <c r="VC43" s="15"/>
      <c r="VD43" s="15"/>
      <c r="VE43" s="15"/>
      <c r="VF43" s="15"/>
      <c r="VG43" s="15"/>
      <c r="VH43" s="15"/>
      <c r="VI43" s="15"/>
      <c r="VJ43" s="15"/>
      <c r="VK43" s="15"/>
      <c r="VL43" s="15"/>
      <c r="VM43" s="15"/>
      <c r="VN43" s="15"/>
      <c r="VO43" s="15"/>
      <c r="VP43" s="15"/>
      <c r="VQ43" s="15"/>
      <c r="VR43" s="15"/>
      <c r="VS43" s="15"/>
      <c r="VT43" s="15"/>
      <c r="VU43" s="15"/>
      <c r="VV43" s="15"/>
      <c r="VW43" s="15"/>
      <c r="VX43" s="15"/>
      <c r="VY43" s="15"/>
      <c r="VZ43" s="15"/>
      <c r="WA43" s="15"/>
      <c r="WB43" s="15"/>
      <c r="WC43" s="15"/>
      <c r="WD43" s="15"/>
      <c r="WE43" s="15"/>
      <c r="WF43" s="15"/>
      <c r="WG43" s="15"/>
      <c r="WH43" s="15"/>
      <c r="WI43" s="15"/>
      <c r="WJ43" s="15"/>
      <c r="WK43" s="15"/>
      <c r="WL43" s="15"/>
      <c r="WM43" s="15"/>
      <c r="WN43" s="15"/>
      <c r="WO43" s="15"/>
      <c r="WP43" s="15"/>
      <c r="WQ43" s="15"/>
      <c r="WR43" s="15"/>
      <c r="WS43" s="15"/>
      <c r="WT43" s="15"/>
      <c r="WU43" s="15"/>
      <c r="WV43" s="15"/>
      <c r="WW43" s="15"/>
      <c r="WX43" s="15"/>
      <c r="WY43" s="15"/>
      <c r="WZ43" s="15"/>
      <c r="XA43" s="15"/>
      <c r="XB43" s="15"/>
      <c r="XC43" s="15"/>
      <c r="XD43" s="15"/>
      <c r="XE43" s="15"/>
      <c r="XF43" s="15"/>
      <c r="XG43" s="15"/>
      <c r="XH43" s="15"/>
      <c r="XI43" s="15"/>
      <c r="XJ43" s="15"/>
      <c r="XK43" s="15"/>
      <c r="XL43" s="15"/>
      <c r="XM43" s="15"/>
      <c r="XN43" s="15"/>
      <c r="XO43" s="15"/>
      <c r="XP43" s="15"/>
      <c r="XQ43" s="15"/>
      <c r="XR43" s="15"/>
      <c r="XS43" s="15"/>
      <c r="XT43" s="15"/>
      <c r="XU43" s="15"/>
      <c r="XV43" s="15"/>
      <c r="XW43" s="15"/>
      <c r="XX43" s="15"/>
      <c r="XY43" s="15"/>
      <c r="XZ43" s="15"/>
      <c r="YA43" s="15"/>
      <c r="YB43" s="15"/>
      <c r="YC43" s="15"/>
      <c r="YD43" s="15"/>
      <c r="YE43" s="15"/>
      <c r="YF43" s="15"/>
      <c r="YG43" s="15"/>
      <c r="YH43" s="15"/>
      <c r="YI43" s="15"/>
      <c r="YJ43" s="15"/>
      <c r="YK43" s="15"/>
      <c r="YL43" s="15"/>
      <c r="YM43" s="15"/>
      <c r="YN43" s="15"/>
      <c r="YO43" s="15"/>
      <c r="YP43" s="15"/>
      <c r="YQ43" s="15"/>
      <c r="YR43" s="15"/>
      <c r="YS43" s="15"/>
      <c r="YT43" s="15"/>
      <c r="YU43" s="15"/>
      <c r="YV43" s="15"/>
      <c r="YW43" s="15"/>
      <c r="YX43" s="15"/>
      <c r="YY43" s="15"/>
      <c r="YZ43" s="15"/>
      <c r="ZA43" s="15"/>
      <c r="ZB43" s="15"/>
      <c r="ZC43" s="15"/>
      <c r="ZD43" s="15"/>
      <c r="ZE43" s="15"/>
      <c r="ZF43" s="15"/>
      <c r="ZG43" s="15"/>
      <c r="ZH43" s="15"/>
      <c r="ZI43" s="15"/>
      <c r="ZJ43" s="15"/>
      <c r="ZK43" s="15"/>
      <c r="ZL43" s="15"/>
      <c r="ZM43" s="15"/>
      <c r="ZN43" s="15"/>
      <c r="ZO43" s="15"/>
      <c r="ZP43" s="15"/>
      <c r="ZQ43" s="15"/>
      <c r="ZR43" s="15"/>
      <c r="ZS43" s="15"/>
      <c r="ZT43" s="15"/>
      <c r="ZU43" s="15"/>
      <c r="ZV43" s="15"/>
      <c r="ZW43" s="15"/>
      <c r="ZX43" s="15"/>
      <c r="ZY43" s="15"/>
      <c r="ZZ43" s="15"/>
      <c r="AAA43" s="15"/>
      <c r="AAB43" s="15"/>
      <c r="AAC43" s="15"/>
      <c r="AAD43" s="15"/>
      <c r="AAE43" s="15"/>
      <c r="AAF43" s="15"/>
      <c r="AAG43" s="15"/>
      <c r="AAH43" s="15"/>
      <c r="AAI43" s="15"/>
      <c r="AAJ43" s="15"/>
      <c r="AAK43" s="15"/>
      <c r="AAL43" s="15"/>
      <c r="AAM43" s="15"/>
      <c r="AAN43" s="15"/>
      <c r="AAO43" s="15"/>
      <c r="AAP43" s="15"/>
      <c r="AAQ43" s="15"/>
      <c r="AAR43" s="15"/>
      <c r="AAS43" s="15"/>
      <c r="AAT43" s="15"/>
      <c r="AAU43" s="15"/>
      <c r="AAV43" s="15"/>
      <c r="AAW43" s="15"/>
      <c r="AAX43" s="15"/>
      <c r="AAY43" s="15"/>
      <c r="AAZ43" s="15"/>
      <c r="ABA43" s="15"/>
      <c r="ABB43" s="15"/>
      <c r="ABC43" s="15"/>
      <c r="ABD43" s="15"/>
      <c r="ABE43" s="15"/>
      <c r="ABF43" s="15"/>
      <c r="ABG43" s="15"/>
      <c r="ABH43" s="15"/>
      <c r="ABI43" s="15"/>
      <c r="ABJ43" s="15"/>
      <c r="ABK43" s="15"/>
      <c r="ABL43" s="15"/>
      <c r="ABM43" s="15"/>
      <c r="ABN43" s="15"/>
      <c r="ABO43" s="15"/>
      <c r="ABP43" s="15"/>
      <c r="ABQ43" s="15"/>
      <c r="ABR43" s="15"/>
      <c r="ABS43" s="15"/>
      <c r="ABT43" s="15"/>
      <c r="ABU43" s="15"/>
      <c r="ABV43" s="15"/>
      <c r="ABW43" s="15"/>
      <c r="ABX43" s="15"/>
      <c r="ABY43" s="15"/>
      <c r="ABZ43" s="15"/>
      <c r="ACA43" s="15"/>
      <c r="ACB43" s="15"/>
      <c r="ACC43" s="15"/>
      <c r="ACD43" s="15"/>
      <c r="ACE43" s="15"/>
      <c r="ACF43" s="15"/>
      <c r="ACG43" s="15"/>
      <c r="ACH43" s="15"/>
      <c r="ACI43" s="15"/>
      <c r="ACJ43" s="15"/>
      <c r="ACK43" s="15"/>
      <c r="ACL43" s="15"/>
      <c r="ACM43" s="15"/>
      <c r="ACN43" s="15"/>
      <c r="ACO43" s="15"/>
      <c r="ACP43" s="15"/>
      <c r="ACQ43" s="15"/>
      <c r="ACR43" s="15"/>
      <c r="ACS43" s="15"/>
      <c r="ACT43" s="15"/>
      <c r="ACU43" s="15"/>
      <c r="ACV43" s="15"/>
      <c r="ACW43" s="15"/>
      <c r="ACX43" s="15"/>
      <c r="ACY43" s="15"/>
      <c r="ACZ43" s="15"/>
      <c r="ADA43" s="15"/>
      <c r="ADB43" s="15"/>
      <c r="ADC43" s="15"/>
      <c r="ADD43" s="15"/>
      <c r="ADE43" s="15"/>
      <c r="ADF43" s="15"/>
      <c r="ADG43" s="15"/>
      <c r="ADH43" s="15"/>
      <c r="ADI43" s="15"/>
      <c r="ADJ43" s="15"/>
      <c r="ADK43" s="15"/>
      <c r="ADL43" s="15"/>
      <c r="ADM43" s="15"/>
      <c r="ADN43" s="15"/>
      <c r="ADO43" s="15"/>
      <c r="ADP43" s="15"/>
      <c r="ADQ43" s="15"/>
      <c r="ADR43" s="15"/>
      <c r="ADS43" s="15"/>
      <c r="ADT43" s="15"/>
      <c r="ADU43" s="15"/>
      <c r="ADV43" s="15"/>
      <c r="ADW43" s="15"/>
      <c r="ADX43" s="15"/>
      <c r="ADY43" s="15"/>
      <c r="ADZ43" s="15"/>
      <c r="AEA43" s="15"/>
      <c r="AEB43" s="15"/>
      <c r="AEC43" s="15"/>
      <c r="AED43" s="15"/>
      <c r="AEE43" s="15"/>
      <c r="AEF43" s="15"/>
      <c r="AEG43" s="15"/>
      <c r="AEH43" s="15"/>
      <c r="AEI43" s="15"/>
      <c r="AEJ43" s="15"/>
      <c r="AEK43" s="15"/>
      <c r="AEL43" s="15"/>
      <c r="AEM43" s="15"/>
      <c r="AEN43" s="15"/>
      <c r="AEO43" s="15"/>
      <c r="AEP43" s="15"/>
      <c r="AEQ43" s="15"/>
      <c r="AER43" s="15"/>
      <c r="AES43" s="15"/>
      <c r="AET43" s="15"/>
      <c r="AEU43" s="15"/>
      <c r="AEV43" s="15"/>
      <c r="AEW43" s="15"/>
      <c r="AEX43" s="15"/>
      <c r="AEY43" s="15"/>
      <c r="AEZ43" s="15"/>
      <c r="AFA43" s="15"/>
      <c r="AFB43" s="15"/>
      <c r="AFC43" s="15"/>
      <c r="AFD43" s="15"/>
      <c r="AFE43" s="15"/>
      <c r="AFF43" s="15"/>
      <c r="AFG43" s="15"/>
      <c r="AFH43" s="15"/>
      <c r="AFI43" s="15"/>
      <c r="AFJ43" s="15"/>
      <c r="AFK43" s="15"/>
      <c r="AFL43" s="15"/>
      <c r="AFM43" s="15"/>
      <c r="AFN43" s="15"/>
      <c r="AFO43" s="15"/>
      <c r="AFP43" s="15"/>
      <c r="AFQ43" s="15"/>
      <c r="AFR43" s="15"/>
      <c r="AFS43" s="15"/>
      <c r="AFT43" s="15"/>
      <c r="AFU43" s="15"/>
      <c r="AFV43" s="15"/>
      <c r="AFW43" s="15"/>
      <c r="AFX43" s="15"/>
      <c r="AFY43" s="15"/>
      <c r="AFZ43" s="15"/>
      <c r="AGA43" s="15"/>
      <c r="AGB43" s="15"/>
      <c r="AGC43" s="15"/>
      <c r="AGD43" s="15"/>
      <c r="AGE43" s="15"/>
      <c r="AGF43" s="15"/>
      <c r="AGG43" s="15"/>
      <c r="AGH43" s="15"/>
      <c r="AGI43" s="15"/>
      <c r="AGJ43" s="15"/>
      <c r="AGK43" s="15"/>
      <c r="AGL43" s="15"/>
      <c r="AGM43" s="15"/>
      <c r="AGN43" s="15"/>
      <c r="AGO43" s="15"/>
      <c r="AGP43" s="15"/>
      <c r="AGQ43" s="15"/>
      <c r="AGR43" s="15"/>
      <c r="AGS43" s="15"/>
      <c r="AGT43" s="15"/>
      <c r="AGU43" s="15"/>
      <c r="AGV43" s="15"/>
      <c r="AGW43" s="15"/>
      <c r="AGX43" s="15"/>
      <c r="AGY43" s="15"/>
      <c r="AGZ43" s="15"/>
      <c r="AHA43" s="15"/>
      <c r="AHB43" s="15"/>
      <c r="AHC43" s="15"/>
      <c r="AHD43" s="15"/>
      <c r="AHE43" s="15"/>
      <c r="AHF43" s="15"/>
      <c r="AHG43" s="15"/>
      <c r="AHH43" s="15"/>
      <c r="AHI43" s="15"/>
      <c r="AHJ43" s="15"/>
      <c r="AHK43" s="15"/>
      <c r="AHL43" s="15"/>
      <c r="AHM43" s="15"/>
      <c r="AHN43" s="15"/>
      <c r="AHO43" s="15"/>
      <c r="AHP43" s="15"/>
      <c r="AHQ43" s="15"/>
      <c r="AHR43" s="15"/>
      <c r="AHS43" s="15"/>
      <c r="AHT43" s="15"/>
      <c r="AHU43" s="15"/>
      <c r="AHV43" s="15"/>
      <c r="AHW43" s="15"/>
      <c r="AHX43" s="15"/>
      <c r="AHY43" s="15"/>
      <c r="AHZ43" s="15"/>
      <c r="AIA43" s="15"/>
      <c r="AIB43" s="15"/>
      <c r="AIC43" s="15"/>
      <c r="AID43" s="15"/>
      <c r="AIE43" s="15"/>
      <c r="AIF43" s="15"/>
      <c r="AIG43" s="15"/>
      <c r="AIH43" s="15"/>
      <c r="AII43" s="15"/>
      <c r="AIJ43" s="15"/>
      <c r="AIK43" s="15"/>
      <c r="AIL43" s="15"/>
      <c r="AIM43" s="15"/>
      <c r="AIN43" s="15"/>
      <c r="AIO43" s="15"/>
      <c r="AIP43" s="15"/>
      <c r="AIQ43" s="15"/>
      <c r="AIR43" s="15"/>
      <c r="AIS43" s="15"/>
      <c r="AIT43" s="15"/>
      <c r="AIU43" s="15"/>
      <c r="AIV43" s="15"/>
      <c r="AIW43" s="15"/>
      <c r="AIX43" s="15"/>
      <c r="AIY43" s="15"/>
      <c r="AIZ43" s="15"/>
      <c r="AJA43" s="15"/>
      <c r="AJB43" s="15"/>
      <c r="AJC43" s="15"/>
      <c r="AJD43" s="15"/>
      <c r="AJE43" s="15"/>
      <c r="AJF43" s="15"/>
      <c r="AJG43" s="15"/>
      <c r="AJH43" s="15"/>
      <c r="AJI43" s="15"/>
      <c r="AJJ43" s="15"/>
      <c r="AJK43" s="15"/>
      <c r="AJL43" s="15"/>
      <c r="AJM43" s="15"/>
      <c r="AJN43" s="15"/>
      <c r="AJO43" s="15"/>
      <c r="AJP43" s="15"/>
      <c r="AJQ43" s="15"/>
      <c r="AJR43" s="15"/>
      <c r="AJS43" s="15"/>
      <c r="AJT43" s="15"/>
      <c r="AJU43" s="15"/>
      <c r="AJV43" s="15"/>
      <c r="AJW43" s="15"/>
      <c r="AJX43" s="15"/>
      <c r="AJY43" s="15"/>
      <c r="AJZ43" s="15"/>
      <c r="AKA43" s="15"/>
      <c r="AKB43" s="15"/>
      <c r="AKC43" s="15"/>
      <c r="AKD43" s="15"/>
      <c r="AKE43" s="15"/>
      <c r="AKF43" s="15"/>
      <c r="AKG43" s="15"/>
      <c r="AKH43" s="15"/>
      <c r="AKI43" s="15"/>
      <c r="AKJ43" s="15"/>
      <c r="AKK43" s="15"/>
      <c r="AKL43" s="15"/>
      <c r="AKM43" s="15"/>
      <c r="AKN43" s="15"/>
      <c r="AKO43" s="15"/>
      <c r="AKP43" s="15"/>
      <c r="AKQ43" s="15"/>
      <c r="AKR43" s="15"/>
      <c r="AKS43" s="15"/>
      <c r="AKT43" s="15"/>
      <c r="AKU43" s="15"/>
      <c r="AKV43" s="15"/>
      <c r="AKW43" s="15"/>
      <c r="AKX43" s="15"/>
      <c r="AKY43" s="15"/>
      <c r="AKZ43" s="15"/>
      <c r="ALA43" s="15"/>
      <c r="ALB43" s="15"/>
      <c r="ALC43" s="15"/>
      <c r="ALD43" s="15"/>
      <c r="ALE43" s="15"/>
      <c r="ALF43" s="15"/>
      <c r="ALG43" s="15"/>
      <c r="ALH43" s="15"/>
      <c r="ALI43" s="15"/>
      <c r="ALJ43" s="15"/>
      <c r="ALK43" s="15"/>
      <c r="ALL43" s="15"/>
      <c r="ALM43" s="15"/>
      <c r="ALN43" s="15"/>
      <c r="ALO43" s="15"/>
      <c r="ALP43" s="15"/>
      <c r="ALQ43" s="15"/>
      <c r="ALR43" s="15"/>
      <c r="ALS43" s="15"/>
      <c r="ALT43" s="15"/>
      <c r="ALU43" s="15"/>
      <c r="ALV43" s="15"/>
      <c r="ALW43" s="15"/>
      <c r="ALX43" s="15"/>
      <c r="ALY43" s="15"/>
      <c r="ALZ43" s="15"/>
      <c r="AMA43" s="15"/>
      <c r="AMB43" s="15"/>
      <c r="AMC43" s="15"/>
      <c r="AMD43" s="15"/>
      <c r="AME43" s="15"/>
      <c r="AMF43" s="15"/>
      <c r="AMG43" s="14"/>
      <c r="AMH43" s="14"/>
      <c r="AMI43" s="14"/>
      <c r="AMJ43" s="14"/>
    </row>
    <row r="44" spans="1:1024" s="13" customFormat="1" ht="43.5" hidden="1" x14ac:dyDescent="0.35">
      <c r="A44" s="19">
        <v>43654</v>
      </c>
      <c r="B44" s="17" t="s">
        <v>391</v>
      </c>
      <c r="C44" s="17" t="s">
        <v>403</v>
      </c>
      <c r="D44" s="18">
        <v>43655</v>
      </c>
      <c r="E44" s="17" t="s">
        <v>389</v>
      </c>
      <c r="F44" s="17" t="s">
        <v>15</v>
      </c>
      <c r="G44" s="26">
        <v>0.625</v>
      </c>
      <c r="H44" s="26">
        <v>0.83333333333333304</v>
      </c>
      <c r="I44" s="17">
        <v>0</v>
      </c>
      <c r="J44" s="17" t="s">
        <v>15</v>
      </c>
      <c r="K44" s="17" t="s">
        <v>119</v>
      </c>
      <c r="L44" s="16" t="s">
        <v>17</v>
      </c>
      <c r="M44" s="15"/>
      <c r="N44" s="15"/>
      <c r="O44" s="15"/>
      <c r="P44" s="15"/>
      <c r="Q44" s="15"/>
      <c r="R44" s="15"/>
      <c r="S44" s="15"/>
      <c r="T44" s="15"/>
      <c r="U44" s="15"/>
      <c r="V44" s="15"/>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15"/>
      <c r="CR44" s="15"/>
      <c r="CS44" s="15"/>
      <c r="CT44" s="15"/>
      <c r="CU44" s="15"/>
      <c r="CV44" s="15"/>
      <c r="CW44" s="15"/>
      <c r="CX44" s="15"/>
      <c r="CY44" s="15"/>
      <c r="CZ44" s="15"/>
      <c r="DA44" s="15"/>
      <c r="DB44" s="15"/>
      <c r="DC44" s="15"/>
      <c r="DD44" s="15"/>
      <c r="DE44" s="15"/>
      <c r="DF44" s="15"/>
      <c r="DG44" s="15"/>
      <c r="DH44" s="15"/>
      <c r="DI44" s="15"/>
      <c r="DJ44" s="15"/>
      <c r="DK44" s="15"/>
      <c r="DL44" s="15"/>
      <c r="DM44" s="15"/>
      <c r="DN44" s="15"/>
      <c r="DO44" s="15"/>
      <c r="DP44" s="15"/>
      <c r="DQ44" s="15"/>
      <c r="DR44" s="15"/>
      <c r="DS44" s="15"/>
      <c r="DT44" s="15"/>
      <c r="DU44" s="15"/>
      <c r="DV44" s="15"/>
      <c r="DW44" s="15"/>
      <c r="DX44" s="15"/>
      <c r="DY44" s="15"/>
      <c r="DZ44" s="15"/>
      <c r="EA44" s="15"/>
      <c r="EB44" s="15"/>
      <c r="EC44" s="15"/>
      <c r="ED44" s="15"/>
      <c r="EE44" s="15"/>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c r="ID44" s="15"/>
      <c r="IE44" s="15"/>
      <c r="IF44" s="15"/>
      <c r="IG44" s="15"/>
      <c r="IH44" s="15"/>
      <c r="II44" s="15"/>
      <c r="IJ44" s="15"/>
      <c r="IK44" s="15"/>
      <c r="IL44" s="15"/>
      <c r="IM44" s="15"/>
      <c r="IN44" s="15"/>
      <c r="IO44" s="15"/>
      <c r="IP44" s="15"/>
      <c r="IQ44" s="15"/>
      <c r="IR44" s="15"/>
      <c r="IS44" s="15"/>
      <c r="IT44" s="15"/>
      <c r="IU44" s="15"/>
      <c r="IV44" s="15"/>
      <c r="IW44" s="15"/>
      <c r="IX44" s="15"/>
      <c r="IY44" s="15"/>
      <c r="IZ44" s="15"/>
      <c r="JA44" s="15"/>
      <c r="JB44" s="15"/>
      <c r="JC44" s="15"/>
      <c r="JD44" s="15"/>
      <c r="JE44" s="15"/>
      <c r="JF44" s="15"/>
      <c r="JG44" s="15"/>
      <c r="JH44" s="15"/>
      <c r="JI44" s="15"/>
      <c r="JJ44" s="15"/>
      <c r="JK44" s="15"/>
      <c r="JL44" s="15"/>
      <c r="JM44" s="15"/>
      <c r="JN44" s="15"/>
      <c r="JO44" s="15"/>
      <c r="JP44" s="15"/>
      <c r="JQ44" s="15"/>
      <c r="JR44" s="15"/>
      <c r="JS44" s="15"/>
      <c r="JT44" s="15"/>
      <c r="JU44" s="15"/>
      <c r="JV44" s="15"/>
      <c r="JW44" s="15"/>
      <c r="JX44" s="15"/>
      <c r="JY44" s="15"/>
      <c r="JZ44" s="15"/>
      <c r="KA44" s="15"/>
      <c r="KB44" s="15"/>
      <c r="KC44" s="15"/>
      <c r="KD44" s="15"/>
      <c r="KE44" s="15"/>
      <c r="KF44" s="15"/>
      <c r="KG44" s="15"/>
      <c r="KH44" s="15"/>
      <c r="KI44" s="15"/>
      <c r="KJ44" s="15"/>
      <c r="KK44" s="15"/>
      <c r="KL44" s="15"/>
      <c r="KM44" s="15"/>
      <c r="KN44" s="15"/>
      <c r="KO44" s="15"/>
      <c r="KP44" s="15"/>
      <c r="KQ44" s="15"/>
      <c r="KR44" s="15"/>
      <c r="KS44" s="15"/>
      <c r="KT44" s="15"/>
      <c r="KU44" s="15"/>
      <c r="KV44" s="15"/>
      <c r="KW44" s="15"/>
      <c r="KX44" s="15"/>
      <c r="KY44" s="15"/>
      <c r="KZ44" s="15"/>
      <c r="LA44" s="15"/>
      <c r="LB44" s="15"/>
      <c r="LC44" s="15"/>
      <c r="LD44" s="15"/>
      <c r="LE44" s="15"/>
      <c r="LF44" s="15"/>
      <c r="LG44" s="15"/>
      <c r="LH44" s="15"/>
      <c r="LI44" s="15"/>
      <c r="LJ44" s="15"/>
      <c r="LK44" s="15"/>
      <c r="LL44" s="15"/>
      <c r="LM44" s="15"/>
      <c r="LN44" s="15"/>
      <c r="LO44" s="15"/>
      <c r="LP44" s="15"/>
      <c r="LQ44" s="15"/>
      <c r="LR44" s="15"/>
      <c r="LS44" s="15"/>
      <c r="LT44" s="15"/>
      <c r="LU44" s="15"/>
      <c r="LV44" s="15"/>
      <c r="LW44" s="15"/>
      <c r="LX44" s="15"/>
      <c r="LY44" s="15"/>
      <c r="LZ44" s="15"/>
      <c r="MA44" s="15"/>
      <c r="MB44" s="15"/>
      <c r="MC44" s="15"/>
      <c r="MD44" s="15"/>
      <c r="ME44" s="15"/>
      <c r="MF44" s="15"/>
      <c r="MG44" s="15"/>
      <c r="MH44" s="15"/>
      <c r="MI44" s="15"/>
      <c r="MJ44" s="15"/>
      <c r="MK44" s="15"/>
      <c r="ML44" s="15"/>
      <c r="MM44" s="15"/>
      <c r="MN44" s="15"/>
      <c r="MO44" s="15"/>
      <c r="MP44" s="15"/>
      <c r="MQ44" s="15"/>
      <c r="MR44" s="15"/>
      <c r="MS44" s="15"/>
      <c r="MT44" s="15"/>
      <c r="MU44" s="15"/>
      <c r="MV44" s="15"/>
      <c r="MW44" s="15"/>
      <c r="MX44" s="15"/>
      <c r="MY44" s="15"/>
      <c r="MZ44" s="15"/>
      <c r="NA44" s="15"/>
      <c r="NB44" s="15"/>
      <c r="NC44" s="15"/>
      <c r="ND44" s="15"/>
      <c r="NE44" s="15"/>
      <c r="NF44" s="15"/>
      <c r="NG44" s="15"/>
      <c r="NH44" s="15"/>
      <c r="NI44" s="15"/>
      <c r="NJ44" s="15"/>
      <c r="NK44" s="15"/>
      <c r="NL44" s="15"/>
      <c r="NM44" s="15"/>
      <c r="NN44" s="15"/>
      <c r="NO44" s="15"/>
      <c r="NP44" s="15"/>
      <c r="NQ44" s="15"/>
      <c r="NR44" s="15"/>
      <c r="NS44" s="15"/>
      <c r="NT44" s="15"/>
      <c r="NU44" s="15"/>
      <c r="NV44" s="15"/>
      <c r="NW44" s="15"/>
      <c r="NX44" s="15"/>
      <c r="NY44" s="15"/>
      <c r="NZ44" s="15"/>
      <c r="OA44" s="15"/>
      <c r="OB44" s="15"/>
      <c r="OC44" s="15"/>
      <c r="OD44" s="15"/>
      <c r="OE44" s="15"/>
      <c r="OF44" s="15"/>
      <c r="OG44" s="15"/>
      <c r="OH44" s="15"/>
      <c r="OI44" s="15"/>
      <c r="OJ44" s="15"/>
      <c r="OK44" s="15"/>
      <c r="OL44" s="15"/>
      <c r="OM44" s="15"/>
      <c r="ON44" s="15"/>
      <c r="OO44" s="15"/>
      <c r="OP44" s="15"/>
      <c r="OQ44" s="15"/>
      <c r="OR44" s="15"/>
      <c r="OS44" s="15"/>
      <c r="OT44" s="15"/>
      <c r="OU44" s="15"/>
      <c r="OV44" s="15"/>
      <c r="OW44" s="15"/>
      <c r="OX44" s="15"/>
      <c r="OY44" s="15"/>
      <c r="OZ44" s="15"/>
      <c r="PA44" s="15"/>
      <c r="PB44" s="15"/>
      <c r="PC44" s="15"/>
      <c r="PD44" s="15"/>
      <c r="PE44" s="15"/>
      <c r="PF44" s="15"/>
      <c r="PG44" s="15"/>
      <c r="PH44" s="15"/>
      <c r="PI44" s="15"/>
      <c r="PJ44" s="15"/>
      <c r="PK44" s="15"/>
      <c r="PL44" s="15"/>
      <c r="PM44" s="15"/>
      <c r="PN44" s="15"/>
      <c r="PO44" s="15"/>
      <c r="PP44" s="15"/>
      <c r="PQ44" s="15"/>
      <c r="PR44" s="15"/>
      <c r="PS44" s="15"/>
      <c r="PT44" s="15"/>
      <c r="PU44" s="15"/>
      <c r="PV44" s="15"/>
      <c r="PW44" s="15"/>
      <c r="PX44" s="15"/>
      <c r="PY44" s="15"/>
      <c r="PZ44" s="15"/>
      <c r="QA44" s="15"/>
      <c r="QB44" s="15"/>
      <c r="QC44" s="15"/>
      <c r="QD44" s="15"/>
      <c r="QE44" s="15"/>
      <c r="QF44" s="15"/>
      <c r="QG44" s="15"/>
      <c r="QH44" s="15"/>
      <c r="QI44" s="15"/>
      <c r="QJ44" s="15"/>
      <c r="QK44" s="15"/>
      <c r="QL44" s="15"/>
      <c r="QM44" s="15"/>
      <c r="QN44" s="15"/>
      <c r="QO44" s="15"/>
      <c r="QP44" s="15"/>
      <c r="QQ44" s="15"/>
      <c r="QR44" s="15"/>
      <c r="QS44" s="15"/>
      <c r="QT44" s="15"/>
      <c r="QU44" s="15"/>
      <c r="QV44" s="15"/>
      <c r="QW44" s="15"/>
      <c r="QX44" s="15"/>
      <c r="QY44" s="15"/>
      <c r="QZ44" s="15"/>
      <c r="RA44" s="15"/>
      <c r="RB44" s="15"/>
      <c r="RC44" s="15"/>
      <c r="RD44" s="15"/>
      <c r="RE44" s="15"/>
      <c r="RF44" s="15"/>
      <c r="RG44" s="15"/>
      <c r="RH44" s="15"/>
      <c r="RI44" s="15"/>
      <c r="RJ44" s="15"/>
      <c r="RK44" s="15"/>
      <c r="RL44" s="15"/>
      <c r="RM44" s="15"/>
      <c r="RN44" s="15"/>
      <c r="RO44" s="15"/>
      <c r="RP44" s="15"/>
      <c r="RQ44" s="15"/>
      <c r="RR44" s="15"/>
      <c r="RS44" s="15"/>
      <c r="RT44" s="15"/>
      <c r="RU44" s="15"/>
      <c r="RV44" s="15"/>
      <c r="RW44" s="15"/>
      <c r="RX44" s="15"/>
      <c r="RY44" s="15"/>
      <c r="RZ44" s="15"/>
      <c r="SA44" s="15"/>
      <c r="SB44" s="15"/>
      <c r="SC44" s="15"/>
      <c r="SD44" s="15"/>
      <c r="SE44" s="15"/>
      <c r="SF44" s="15"/>
      <c r="SG44" s="15"/>
      <c r="SH44" s="15"/>
      <c r="SI44" s="15"/>
      <c r="SJ44" s="15"/>
      <c r="SK44" s="15"/>
      <c r="SL44" s="15"/>
      <c r="SM44" s="15"/>
      <c r="SN44" s="15"/>
      <c r="SO44" s="15"/>
      <c r="SP44" s="15"/>
      <c r="SQ44" s="15"/>
      <c r="SR44" s="15"/>
      <c r="SS44" s="15"/>
      <c r="ST44" s="15"/>
      <c r="SU44" s="15"/>
      <c r="SV44" s="15"/>
      <c r="SW44" s="15"/>
      <c r="SX44" s="15"/>
      <c r="SY44" s="15"/>
      <c r="SZ44" s="15"/>
      <c r="TA44" s="15"/>
      <c r="TB44" s="15"/>
      <c r="TC44" s="15"/>
      <c r="TD44" s="15"/>
      <c r="TE44" s="15"/>
      <c r="TF44" s="15"/>
      <c r="TG44" s="15"/>
      <c r="TH44" s="15"/>
      <c r="TI44" s="15"/>
      <c r="TJ44" s="15"/>
      <c r="TK44" s="15"/>
      <c r="TL44" s="15"/>
      <c r="TM44" s="15"/>
      <c r="TN44" s="15"/>
      <c r="TO44" s="15"/>
      <c r="TP44" s="15"/>
      <c r="TQ44" s="15"/>
      <c r="TR44" s="15"/>
      <c r="TS44" s="15"/>
      <c r="TT44" s="15"/>
      <c r="TU44" s="15"/>
      <c r="TV44" s="15"/>
      <c r="TW44" s="15"/>
      <c r="TX44" s="15"/>
      <c r="TY44" s="15"/>
      <c r="TZ44" s="15"/>
      <c r="UA44" s="15"/>
      <c r="UB44" s="15"/>
      <c r="UC44" s="15"/>
      <c r="UD44" s="15"/>
      <c r="UE44" s="15"/>
      <c r="UF44" s="15"/>
      <c r="UG44" s="15"/>
      <c r="UH44" s="15"/>
      <c r="UI44" s="15"/>
      <c r="UJ44" s="15"/>
      <c r="UK44" s="15"/>
      <c r="UL44" s="15"/>
      <c r="UM44" s="15"/>
      <c r="UN44" s="15"/>
      <c r="UO44" s="15"/>
      <c r="UP44" s="15"/>
      <c r="UQ44" s="15"/>
      <c r="UR44" s="15"/>
      <c r="US44" s="15"/>
      <c r="UT44" s="15"/>
      <c r="UU44" s="15"/>
      <c r="UV44" s="15"/>
      <c r="UW44" s="15"/>
      <c r="UX44" s="15"/>
      <c r="UY44" s="15"/>
      <c r="UZ44" s="15"/>
      <c r="VA44" s="15"/>
      <c r="VB44" s="15"/>
      <c r="VC44" s="15"/>
      <c r="VD44" s="15"/>
      <c r="VE44" s="15"/>
      <c r="VF44" s="15"/>
      <c r="VG44" s="15"/>
      <c r="VH44" s="15"/>
      <c r="VI44" s="15"/>
      <c r="VJ44" s="15"/>
      <c r="VK44" s="15"/>
      <c r="VL44" s="15"/>
      <c r="VM44" s="15"/>
      <c r="VN44" s="15"/>
      <c r="VO44" s="15"/>
      <c r="VP44" s="15"/>
      <c r="VQ44" s="15"/>
      <c r="VR44" s="15"/>
      <c r="VS44" s="15"/>
      <c r="VT44" s="15"/>
      <c r="VU44" s="15"/>
      <c r="VV44" s="15"/>
      <c r="VW44" s="15"/>
      <c r="VX44" s="15"/>
      <c r="VY44" s="15"/>
      <c r="VZ44" s="15"/>
      <c r="WA44" s="15"/>
      <c r="WB44" s="15"/>
      <c r="WC44" s="15"/>
      <c r="WD44" s="15"/>
      <c r="WE44" s="15"/>
      <c r="WF44" s="15"/>
      <c r="WG44" s="15"/>
      <c r="WH44" s="15"/>
      <c r="WI44" s="15"/>
      <c r="WJ44" s="15"/>
      <c r="WK44" s="15"/>
      <c r="WL44" s="15"/>
      <c r="WM44" s="15"/>
      <c r="WN44" s="15"/>
      <c r="WO44" s="15"/>
      <c r="WP44" s="15"/>
      <c r="WQ44" s="15"/>
      <c r="WR44" s="15"/>
      <c r="WS44" s="15"/>
      <c r="WT44" s="15"/>
      <c r="WU44" s="15"/>
      <c r="WV44" s="15"/>
      <c r="WW44" s="15"/>
      <c r="WX44" s="15"/>
      <c r="WY44" s="15"/>
      <c r="WZ44" s="15"/>
      <c r="XA44" s="15"/>
      <c r="XB44" s="15"/>
      <c r="XC44" s="15"/>
      <c r="XD44" s="15"/>
      <c r="XE44" s="15"/>
      <c r="XF44" s="15"/>
      <c r="XG44" s="15"/>
      <c r="XH44" s="15"/>
      <c r="XI44" s="15"/>
      <c r="XJ44" s="15"/>
      <c r="XK44" s="15"/>
      <c r="XL44" s="15"/>
      <c r="XM44" s="15"/>
      <c r="XN44" s="15"/>
      <c r="XO44" s="15"/>
      <c r="XP44" s="15"/>
      <c r="XQ44" s="15"/>
      <c r="XR44" s="15"/>
      <c r="XS44" s="15"/>
      <c r="XT44" s="15"/>
      <c r="XU44" s="15"/>
      <c r="XV44" s="15"/>
      <c r="XW44" s="15"/>
      <c r="XX44" s="15"/>
      <c r="XY44" s="15"/>
      <c r="XZ44" s="15"/>
      <c r="YA44" s="15"/>
      <c r="YB44" s="15"/>
      <c r="YC44" s="15"/>
      <c r="YD44" s="15"/>
      <c r="YE44" s="15"/>
      <c r="YF44" s="15"/>
      <c r="YG44" s="15"/>
      <c r="YH44" s="15"/>
      <c r="YI44" s="15"/>
      <c r="YJ44" s="15"/>
      <c r="YK44" s="15"/>
      <c r="YL44" s="15"/>
      <c r="YM44" s="15"/>
      <c r="YN44" s="15"/>
      <c r="YO44" s="15"/>
      <c r="YP44" s="15"/>
      <c r="YQ44" s="15"/>
      <c r="YR44" s="15"/>
      <c r="YS44" s="15"/>
      <c r="YT44" s="15"/>
      <c r="YU44" s="15"/>
      <c r="YV44" s="15"/>
      <c r="YW44" s="15"/>
      <c r="YX44" s="15"/>
      <c r="YY44" s="15"/>
      <c r="YZ44" s="15"/>
      <c r="ZA44" s="15"/>
      <c r="ZB44" s="15"/>
      <c r="ZC44" s="15"/>
      <c r="ZD44" s="15"/>
      <c r="ZE44" s="15"/>
      <c r="ZF44" s="15"/>
      <c r="ZG44" s="15"/>
      <c r="ZH44" s="15"/>
      <c r="ZI44" s="15"/>
      <c r="ZJ44" s="15"/>
      <c r="ZK44" s="15"/>
      <c r="ZL44" s="15"/>
      <c r="ZM44" s="15"/>
      <c r="ZN44" s="15"/>
      <c r="ZO44" s="15"/>
      <c r="ZP44" s="15"/>
      <c r="ZQ44" s="15"/>
      <c r="ZR44" s="15"/>
      <c r="ZS44" s="15"/>
      <c r="ZT44" s="15"/>
      <c r="ZU44" s="15"/>
      <c r="ZV44" s="15"/>
      <c r="ZW44" s="15"/>
      <c r="ZX44" s="15"/>
      <c r="ZY44" s="15"/>
      <c r="ZZ44" s="15"/>
      <c r="AAA44" s="15"/>
      <c r="AAB44" s="15"/>
      <c r="AAC44" s="15"/>
      <c r="AAD44" s="15"/>
      <c r="AAE44" s="15"/>
      <c r="AAF44" s="15"/>
      <c r="AAG44" s="15"/>
      <c r="AAH44" s="15"/>
      <c r="AAI44" s="15"/>
      <c r="AAJ44" s="15"/>
      <c r="AAK44" s="15"/>
      <c r="AAL44" s="15"/>
      <c r="AAM44" s="15"/>
      <c r="AAN44" s="15"/>
      <c r="AAO44" s="15"/>
      <c r="AAP44" s="15"/>
      <c r="AAQ44" s="15"/>
      <c r="AAR44" s="15"/>
      <c r="AAS44" s="15"/>
      <c r="AAT44" s="15"/>
      <c r="AAU44" s="15"/>
      <c r="AAV44" s="15"/>
      <c r="AAW44" s="15"/>
      <c r="AAX44" s="15"/>
      <c r="AAY44" s="15"/>
      <c r="AAZ44" s="15"/>
      <c r="ABA44" s="15"/>
      <c r="ABB44" s="15"/>
      <c r="ABC44" s="15"/>
      <c r="ABD44" s="15"/>
      <c r="ABE44" s="15"/>
      <c r="ABF44" s="15"/>
      <c r="ABG44" s="15"/>
      <c r="ABH44" s="15"/>
      <c r="ABI44" s="15"/>
      <c r="ABJ44" s="15"/>
      <c r="ABK44" s="15"/>
      <c r="ABL44" s="15"/>
      <c r="ABM44" s="15"/>
      <c r="ABN44" s="15"/>
      <c r="ABO44" s="15"/>
      <c r="ABP44" s="15"/>
      <c r="ABQ44" s="15"/>
      <c r="ABR44" s="15"/>
      <c r="ABS44" s="15"/>
      <c r="ABT44" s="15"/>
      <c r="ABU44" s="15"/>
      <c r="ABV44" s="15"/>
      <c r="ABW44" s="15"/>
      <c r="ABX44" s="15"/>
      <c r="ABY44" s="15"/>
      <c r="ABZ44" s="15"/>
      <c r="ACA44" s="15"/>
      <c r="ACB44" s="15"/>
      <c r="ACC44" s="15"/>
      <c r="ACD44" s="15"/>
      <c r="ACE44" s="15"/>
      <c r="ACF44" s="15"/>
      <c r="ACG44" s="15"/>
      <c r="ACH44" s="15"/>
      <c r="ACI44" s="15"/>
      <c r="ACJ44" s="15"/>
      <c r="ACK44" s="15"/>
      <c r="ACL44" s="15"/>
      <c r="ACM44" s="15"/>
      <c r="ACN44" s="15"/>
      <c r="ACO44" s="15"/>
      <c r="ACP44" s="15"/>
      <c r="ACQ44" s="15"/>
      <c r="ACR44" s="15"/>
      <c r="ACS44" s="15"/>
      <c r="ACT44" s="15"/>
      <c r="ACU44" s="15"/>
      <c r="ACV44" s="15"/>
      <c r="ACW44" s="15"/>
      <c r="ACX44" s="15"/>
      <c r="ACY44" s="15"/>
      <c r="ACZ44" s="15"/>
      <c r="ADA44" s="15"/>
      <c r="ADB44" s="15"/>
      <c r="ADC44" s="15"/>
      <c r="ADD44" s="15"/>
      <c r="ADE44" s="15"/>
      <c r="ADF44" s="15"/>
      <c r="ADG44" s="15"/>
      <c r="ADH44" s="15"/>
      <c r="ADI44" s="15"/>
      <c r="ADJ44" s="15"/>
      <c r="ADK44" s="15"/>
      <c r="ADL44" s="15"/>
      <c r="ADM44" s="15"/>
      <c r="ADN44" s="15"/>
      <c r="ADO44" s="15"/>
      <c r="ADP44" s="15"/>
      <c r="ADQ44" s="15"/>
      <c r="ADR44" s="15"/>
      <c r="ADS44" s="15"/>
      <c r="ADT44" s="15"/>
      <c r="ADU44" s="15"/>
      <c r="ADV44" s="15"/>
      <c r="ADW44" s="15"/>
      <c r="ADX44" s="15"/>
      <c r="ADY44" s="15"/>
      <c r="ADZ44" s="15"/>
      <c r="AEA44" s="15"/>
      <c r="AEB44" s="15"/>
      <c r="AEC44" s="15"/>
      <c r="AED44" s="15"/>
      <c r="AEE44" s="15"/>
      <c r="AEF44" s="15"/>
      <c r="AEG44" s="15"/>
      <c r="AEH44" s="15"/>
      <c r="AEI44" s="15"/>
      <c r="AEJ44" s="15"/>
      <c r="AEK44" s="15"/>
      <c r="AEL44" s="15"/>
      <c r="AEM44" s="15"/>
      <c r="AEN44" s="15"/>
      <c r="AEO44" s="15"/>
      <c r="AEP44" s="15"/>
      <c r="AEQ44" s="15"/>
      <c r="AER44" s="15"/>
      <c r="AES44" s="15"/>
      <c r="AET44" s="15"/>
      <c r="AEU44" s="15"/>
      <c r="AEV44" s="15"/>
      <c r="AEW44" s="15"/>
      <c r="AEX44" s="15"/>
      <c r="AEY44" s="15"/>
      <c r="AEZ44" s="15"/>
      <c r="AFA44" s="15"/>
      <c r="AFB44" s="15"/>
      <c r="AFC44" s="15"/>
      <c r="AFD44" s="15"/>
      <c r="AFE44" s="15"/>
      <c r="AFF44" s="15"/>
      <c r="AFG44" s="15"/>
      <c r="AFH44" s="15"/>
      <c r="AFI44" s="15"/>
      <c r="AFJ44" s="15"/>
      <c r="AFK44" s="15"/>
      <c r="AFL44" s="15"/>
      <c r="AFM44" s="15"/>
      <c r="AFN44" s="15"/>
      <c r="AFO44" s="15"/>
      <c r="AFP44" s="15"/>
      <c r="AFQ44" s="15"/>
      <c r="AFR44" s="15"/>
      <c r="AFS44" s="15"/>
      <c r="AFT44" s="15"/>
      <c r="AFU44" s="15"/>
      <c r="AFV44" s="15"/>
      <c r="AFW44" s="15"/>
      <c r="AFX44" s="15"/>
      <c r="AFY44" s="15"/>
      <c r="AFZ44" s="15"/>
      <c r="AGA44" s="15"/>
      <c r="AGB44" s="15"/>
      <c r="AGC44" s="15"/>
      <c r="AGD44" s="15"/>
      <c r="AGE44" s="15"/>
      <c r="AGF44" s="15"/>
      <c r="AGG44" s="15"/>
      <c r="AGH44" s="15"/>
      <c r="AGI44" s="15"/>
      <c r="AGJ44" s="15"/>
      <c r="AGK44" s="15"/>
      <c r="AGL44" s="15"/>
      <c r="AGM44" s="15"/>
      <c r="AGN44" s="15"/>
      <c r="AGO44" s="15"/>
      <c r="AGP44" s="15"/>
      <c r="AGQ44" s="15"/>
      <c r="AGR44" s="15"/>
      <c r="AGS44" s="15"/>
      <c r="AGT44" s="15"/>
      <c r="AGU44" s="15"/>
      <c r="AGV44" s="15"/>
      <c r="AGW44" s="15"/>
      <c r="AGX44" s="15"/>
      <c r="AGY44" s="15"/>
      <c r="AGZ44" s="15"/>
      <c r="AHA44" s="15"/>
      <c r="AHB44" s="15"/>
      <c r="AHC44" s="15"/>
      <c r="AHD44" s="15"/>
      <c r="AHE44" s="15"/>
      <c r="AHF44" s="15"/>
      <c r="AHG44" s="15"/>
      <c r="AHH44" s="15"/>
      <c r="AHI44" s="15"/>
      <c r="AHJ44" s="15"/>
      <c r="AHK44" s="15"/>
      <c r="AHL44" s="15"/>
      <c r="AHM44" s="15"/>
      <c r="AHN44" s="15"/>
      <c r="AHO44" s="15"/>
      <c r="AHP44" s="15"/>
      <c r="AHQ44" s="15"/>
      <c r="AHR44" s="15"/>
      <c r="AHS44" s="15"/>
      <c r="AHT44" s="15"/>
      <c r="AHU44" s="15"/>
      <c r="AHV44" s="15"/>
      <c r="AHW44" s="15"/>
      <c r="AHX44" s="15"/>
      <c r="AHY44" s="15"/>
      <c r="AHZ44" s="15"/>
      <c r="AIA44" s="15"/>
      <c r="AIB44" s="15"/>
      <c r="AIC44" s="15"/>
      <c r="AID44" s="15"/>
      <c r="AIE44" s="15"/>
      <c r="AIF44" s="15"/>
      <c r="AIG44" s="15"/>
      <c r="AIH44" s="15"/>
      <c r="AII44" s="15"/>
      <c r="AIJ44" s="15"/>
      <c r="AIK44" s="15"/>
      <c r="AIL44" s="15"/>
      <c r="AIM44" s="15"/>
      <c r="AIN44" s="15"/>
      <c r="AIO44" s="15"/>
      <c r="AIP44" s="15"/>
      <c r="AIQ44" s="15"/>
      <c r="AIR44" s="15"/>
      <c r="AIS44" s="15"/>
      <c r="AIT44" s="15"/>
      <c r="AIU44" s="15"/>
      <c r="AIV44" s="15"/>
      <c r="AIW44" s="15"/>
      <c r="AIX44" s="15"/>
      <c r="AIY44" s="15"/>
      <c r="AIZ44" s="15"/>
      <c r="AJA44" s="15"/>
      <c r="AJB44" s="15"/>
      <c r="AJC44" s="15"/>
      <c r="AJD44" s="15"/>
      <c r="AJE44" s="15"/>
      <c r="AJF44" s="15"/>
      <c r="AJG44" s="15"/>
      <c r="AJH44" s="15"/>
      <c r="AJI44" s="15"/>
      <c r="AJJ44" s="15"/>
      <c r="AJK44" s="15"/>
      <c r="AJL44" s="15"/>
      <c r="AJM44" s="15"/>
      <c r="AJN44" s="15"/>
      <c r="AJO44" s="15"/>
      <c r="AJP44" s="15"/>
      <c r="AJQ44" s="15"/>
      <c r="AJR44" s="15"/>
      <c r="AJS44" s="15"/>
      <c r="AJT44" s="15"/>
      <c r="AJU44" s="15"/>
      <c r="AJV44" s="15"/>
      <c r="AJW44" s="15"/>
      <c r="AJX44" s="15"/>
      <c r="AJY44" s="15"/>
      <c r="AJZ44" s="15"/>
      <c r="AKA44" s="15"/>
      <c r="AKB44" s="15"/>
      <c r="AKC44" s="15"/>
      <c r="AKD44" s="15"/>
      <c r="AKE44" s="15"/>
      <c r="AKF44" s="15"/>
      <c r="AKG44" s="15"/>
      <c r="AKH44" s="15"/>
      <c r="AKI44" s="15"/>
      <c r="AKJ44" s="15"/>
      <c r="AKK44" s="15"/>
      <c r="AKL44" s="15"/>
      <c r="AKM44" s="15"/>
      <c r="AKN44" s="15"/>
      <c r="AKO44" s="15"/>
      <c r="AKP44" s="15"/>
      <c r="AKQ44" s="15"/>
      <c r="AKR44" s="15"/>
      <c r="AKS44" s="15"/>
      <c r="AKT44" s="15"/>
      <c r="AKU44" s="15"/>
      <c r="AKV44" s="15"/>
      <c r="AKW44" s="15"/>
      <c r="AKX44" s="15"/>
      <c r="AKY44" s="15"/>
      <c r="AKZ44" s="15"/>
      <c r="ALA44" s="15"/>
      <c r="ALB44" s="15"/>
      <c r="ALC44" s="15"/>
      <c r="ALD44" s="15"/>
      <c r="ALE44" s="15"/>
      <c r="ALF44" s="15"/>
      <c r="ALG44" s="15"/>
      <c r="ALH44" s="15"/>
      <c r="ALI44" s="15"/>
      <c r="ALJ44" s="15"/>
      <c r="ALK44" s="15"/>
      <c r="ALL44" s="15"/>
      <c r="ALM44" s="15"/>
      <c r="ALN44" s="15"/>
      <c r="ALO44" s="15"/>
      <c r="ALP44" s="15"/>
      <c r="ALQ44" s="15"/>
      <c r="ALR44" s="15"/>
      <c r="ALS44" s="15"/>
      <c r="ALT44" s="15"/>
      <c r="ALU44" s="15"/>
      <c r="ALV44" s="15"/>
      <c r="ALW44" s="15"/>
      <c r="ALX44" s="15"/>
      <c r="ALY44" s="15"/>
      <c r="ALZ44" s="15"/>
      <c r="AMA44" s="15"/>
      <c r="AMB44" s="15"/>
      <c r="AMC44" s="15"/>
      <c r="AMD44" s="15"/>
      <c r="AME44" s="15"/>
      <c r="AMF44" s="15"/>
      <c r="AMG44" s="14"/>
      <c r="AMH44" s="14"/>
      <c r="AMI44" s="14"/>
      <c r="AMJ44" s="15"/>
    </row>
    <row r="45" spans="1:1024" s="13" customFormat="1" ht="58" hidden="1" x14ac:dyDescent="0.35">
      <c r="A45" s="19">
        <v>43654</v>
      </c>
      <c r="B45" s="17" t="s">
        <v>402</v>
      </c>
      <c r="C45" s="17" t="s">
        <v>401</v>
      </c>
      <c r="D45" s="18">
        <v>43656</v>
      </c>
      <c r="E45" s="17" t="s">
        <v>126</v>
      </c>
      <c r="F45" s="26">
        <v>0.48958333333333298</v>
      </c>
      <c r="G45" s="26">
        <v>0.5</v>
      </c>
      <c r="H45" s="26">
        <v>0.52083333333333304</v>
      </c>
      <c r="I45" s="17">
        <v>112</v>
      </c>
      <c r="J45" s="17" t="s">
        <v>400</v>
      </c>
      <c r="K45" s="17" t="s">
        <v>15</v>
      </c>
      <c r="L45" s="16" t="s">
        <v>22</v>
      </c>
      <c r="M45" s="15"/>
      <c r="N45" s="15"/>
      <c r="O45" s="15"/>
      <c r="P45" s="15"/>
      <c r="Q45" s="15"/>
      <c r="R45" s="15"/>
      <c r="S45" s="15"/>
      <c r="T45" s="15"/>
      <c r="U45" s="15"/>
      <c r="V45" s="15"/>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15"/>
      <c r="CR45" s="15"/>
      <c r="CS45" s="15"/>
      <c r="CT45" s="15"/>
      <c r="CU45" s="15"/>
      <c r="CV45" s="15"/>
      <c r="CW45" s="15"/>
      <c r="CX45" s="15"/>
      <c r="CY45" s="15"/>
      <c r="CZ45" s="15"/>
      <c r="DA45" s="15"/>
      <c r="DB45" s="15"/>
      <c r="DC45" s="15"/>
      <c r="DD45" s="15"/>
      <c r="DE45" s="15"/>
      <c r="DF45" s="15"/>
      <c r="DG45" s="15"/>
      <c r="DH45" s="15"/>
      <c r="DI45" s="15"/>
      <c r="DJ45" s="15"/>
      <c r="DK45" s="15"/>
      <c r="DL45" s="15"/>
      <c r="DM45" s="15"/>
      <c r="DN45" s="15"/>
      <c r="DO45" s="15"/>
      <c r="DP45" s="15"/>
      <c r="DQ45" s="15"/>
      <c r="DR45" s="15"/>
      <c r="DS45" s="15"/>
      <c r="DT45" s="15"/>
      <c r="DU45" s="15"/>
      <c r="DV45" s="15"/>
      <c r="DW45" s="15"/>
      <c r="DX45" s="15"/>
      <c r="DY45" s="15"/>
      <c r="DZ45" s="15"/>
      <c r="EA45" s="15"/>
      <c r="EB45" s="15"/>
      <c r="EC45" s="15"/>
      <c r="ED45" s="15"/>
      <c r="EE45" s="15"/>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c r="ID45" s="15"/>
      <c r="IE45" s="15"/>
      <c r="IF45" s="15"/>
      <c r="IG45" s="15"/>
      <c r="IH45" s="15"/>
      <c r="II45" s="15"/>
      <c r="IJ45" s="15"/>
      <c r="IK45" s="15"/>
      <c r="IL45" s="15"/>
      <c r="IM45" s="15"/>
      <c r="IN45" s="15"/>
      <c r="IO45" s="15"/>
      <c r="IP45" s="15"/>
      <c r="IQ45" s="15"/>
      <c r="IR45" s="15"/>
      <c r="IS45" s="15"/>
      <c r="IT45" s="15"/>
      <c r="IU45" s="15"/>
      <c r="IV45" s="15"/>
      <c r="IW45" s="15"/>
      <c r="IX45" s="15"/>
      <c r="IY45" s="15"/>
      <c r="IZ45" s="15"/>
      <c r="JA45" s="15"/>
      <c r="JB45" s="15"/>
      <c r="JC45" s="15"/>
      <c r="JD45" s="15"/>
      <c r="JE45" s="15"/>
      <c r="JF45" s="15"/>
      <c r="JG45" s="15"/>
      <c r="JH45" s="15"/>
      <c r="JI45" s="15"/>
      <c r="JJ45" s="15"/>
      <c r="JK45" s="15"/>
      <c r="JL45" s="15"/>
      <c r="JM45" s="15"/>
      <c r="JN45" s="15"/>
      <c r="JO45" s="15"/>
      <c r="JP45" s="15"/>
      <c r="JQ45" s="15"/>
      <c r="JR45" s="15"/>
      <c r="JS45" s="15"/>
      <c r="JT45" s="15"/>
      <c r="JU45" s="15"/>
      <c r="JV45" s="15"/>
      <c r="JW45" s="15"/>
      <c r="JX45" s="15"/>
      <c r="JY45" s="15"/>
      <c r="JZ45" s="15"/>
      <c r="KA45" s="15"/>
      <c r="KB45" s="15"/>
      <c r="KC45" s="15"/>
      <c r="KD45" s="15"/>
      <c r="KE45" s="15"/>
      <c r="KF45" s="15"/>
      <c r="KG45" s="15"/>
      <c r="KH45" s="15"/>
      <c r="KI45" s="15"/>
      <c r="KJ45" s="15"/>
      <c r="KK45" s="15"/>
      <c r="KL45" s="15"/>
      <c r="KM45" s="15"/>
      <c r="KN45" s="15"/>
      <c r="KO45" s="15"/>
      <c r="KP45" s="15"/>
      <c r="KQ45" s="15"/>
      <c r="KR45" s="15"/>
      <c r="KS45" s="15"/>
      <c r="KT45" s="15"/>
      <c r="KU45" s="15"/>
      <c r="KV45" s="15"/>
      <c r="KW45" s="15"/>
      <c r="KX45" s="15"/>
      <c r="KY45" s="15"/>
      <c r="KZ45" s="15"/>
      <c r="LA45" s="15"/>
      <c r="LB45" s="15"/>
      <c r="LC45" s="15"/>
      <c r="LD45" s="15"/>
      <c r="LE45" s="15"/>
      <c r="LF45" s="15"/>
      <c r="LG45" s="15"/>
      <c r="LH45" s="15"/>
      <c r="LI45" s="15"/>
      <c r="LJ45" s="15"/>
      <c r="LK45" s="15"/>
      <c r="LL45" s="15"/>
      <c r="LM45" s="15"/>
      <c r="LN45" s="15"/>
      <c r="LO45" s="15"/>
      <c r="LP45" s="15"/>
      <c r="LQ45" s="15"/>
      <c r="LR45" s="15"/>
      <c r="LS45" s="15"/>
      <c r="LT45" s="15"/>
      <c r="LU45" s="15"/>
      <c r="LV45" s="15"/>
      <c r="LW45" s="15"/>
      <c r="LX45" s="15"/>
      <c r="LY45" s="15"/>
      <c r="LZ45" s="15"/>
      <c r="MA45" s="15"/>
      <c r="MB45" s="15"/>
      <c r="MC45" s="15"/>
      <c r="MD45" s="15"/>
      <c r="ME45" s="15"/>
      <c r="MF45" s="15"/>
      <c r="MG45" s="15"/>
      <c r="MH45" s="15"/>
      <c r="MI45" s="15"/>
      <c r="MJ45" s="15"/>
      <c r="MK45" s="15"/>
      <c r="ML45" s="15"/>
      <c r="MM45" s="15"/>
      <c r="MN45" s="15"/>
      <c r="MO45" s="15"/>
      <c r="MP45" s="15"/>
      <c r="MQ45" s="15"/>
      <c r="MR45" s="15"/>
      <c r="MS45" s="15"/>
      <c r="MT45" s="15"/>
      <c r="MU45" s="15"/>
      <c r="MV45" s="15"/>
      <c r="MW45" s="15"/>
      <c r="MX45" s="15"/>
      <c r="MY45" s="15"/>
      <c r="MZ45" s="15"/>
      <c r="NA45" s="15"/>
      <c r="NB45" s="15"/>
      <c r="NC45" s="15"/>
      <c r="ND45" s="15"/>
      <c r="NE45" s="15"/>
      <c r="NF45" s="15"/>
      <c r="NG45" s="15"/>
      <c r="NH45" s="15"/>
      <c r="NI45" s="15"/>
      <c r="NJ45" s="15"/>
      <c r="NK45" s="15"/>
      <c r="NL45" s="15"/>
      <c r="NM45" s="15"/>
      <c r="NN45" s="15"/>
      <c r="NO45" s="15"/>
      <c r="NP45" s="15"/>
      <c r="NQ45" s="15"/>
      <c r="NR45" s="15"/>
      <c r="NS45" s="15"/>
      <c r="NT45" s="15"/>
      <c r="NU45" s="15"/>
      <c r="NV45" s="15"/>
      <c r="NW45" s="15"/>
      <c r="NX45" s="15"/>
      <c r="NY45" s="15"/>
      <c r="NZ45" s="15"/>
      <c r="OA45" s="15"/>
      <c r="OB45" s="15"/>
      <c r="OC45" s="15"/>
      <c r="OD45" s="15"/>
      <c r="OE45" s="15"/>
      <c r="OF45" s="15"/>
      <c r="OG45" s="15"/>
      <c r="OH45" s="15"/>
      <c r="OI45" s="15"/>
      <c r="OJ45" s="15"/>
      <c r="OK45" s="15"/>
      <c r="OL45" s="15"/>
      <c r="OM45" s="15"/>
      <c r="ON45" s="15"/>
      <c r="OO45" s="15"/>
      <c r="OP45" s="15"/>
      <c r="OQ45" s="15"/>
      <c r="OR45" s="15"/>
      <c r="OS45" s="15"/>
      <c r="OT45" s="15"/>
      <c r="OU45" s="15"/>
      <c r="OV45" s="15"/>
      <c r="OW45" s="15"/>
      <c r="OX45" s="15"/>
      <c r="OY45" s="15"/>
      <c r="OZ45" s="15"/>
      <c r="PA45" s="15"/>
      <c r="PB45" s="15"/>
      <c r="PC45" s="15"/>
      <c r="PD45" s="15"/>
      <c r="PE45" s="15"/>
      <c r="PF45" s="15"/>
      <c r="PG45" s="15"/>
      <c r="PH45" s="15"/>
      <c r="PI45" s="15"/>
      <c r="PJ45" s="15"/>
      <c r="PK45" s="15"/>
      <c r="PL45" s="15"/>
      <c r="PM45" s="15"/>
      <c r="PN45" s="15"/>
      <c r="PO45" s="15"/>
      <c r="PP45" s="15"/>
      <c r="PQ45" s="15"/>
      <c r="PR45" s="15"/>
      <c r="PS45" s="15"/>
      <c r="PT45" s="15"/>
      <c r="PU45" s="15"/>
      <c r="PV45" s="15"/>
      <c r="PW45" s="15"/>
      <c r="PX45" s="15"/>
      <c r="PY45" s="15"/>
      <c r="PZ45" s="15"/>
      <c r="QA45" s="15"/>
      <c r="QB45" s="15"/>
      <c r="QC45" s="15"/>
      <c r="QD45" s="15"/>
      <c r="QE45" s="15"/>
      <c r="QF45" s="15"/>
      <c r="QG45" s="15"/>
      <c r="QH45" s="15"/>
      <c r="QI45" s="15"/>
      <c r="QJ45" s="15"/>
      <c r="QK45" s="15"/>
      <c r="QL45" s="15"/>
      <c r="QM45" s="15"/>
      <c r="QN45" s="15"/>
      <c r="QO45" s="15"/>
      <c r="QP45" s="15"/>
      <c r="QQ45" s="15"/>
      <c r="QR45" s="15"/>
      <c r="QS45" s="15"/>
      <c r="QT45" s="15"/>
      <c r="QU45" s="15"/>
      <c r="QV45" s="15"/>
      <c r="QW45" s="15"/>
      <c r="QX45" s="15"/>
      <c r="QY45" s="15"/>
      <c r="QZ45" s="15"/>
      <c r="RA45" s="15"/>
      <c r="RB45" s="15"/>
      <c r="RC45" s="15"/>
      <c r="RD45" s="15"/>
      <c r="RE45" s="15"/>
      <c r="RF45" s="15"/>
      <c r="RG45" s="15"/>
      <c r="RH45" s="15"/>
      <c r="RI45" s="15"/>
      <c r="RJ45" s="15"/>
      <c r="RK45" s="15"/>
      <c r="RL45" s="15"/>
      <c r="RM45" s="15"/>
      <c r="RN45" s="15"/>
      <c r="RO45" s="15"/>
      <c r="RP45" s="15"/>
      <c r="RQ45" s="15"/>
      <c r="RR45" s="15"/>
      <c r="RS45" s="15"/>
      <c r="RT45" s="15"/>
      <c r="RU45" s="15"/>
      <c r="RV45" s="15"/>
      <c r="RW45" s="15"/>
      <c r="RX45" s="15"/>
      <c r="RY45" s="15"/>
      <c r="RZ45" s="15"/>
      <c r="SA45" s="15"/>
      <c r="SB45" s="15"/>
      <c r="SC45" s="15"/>
      <c r="SD45" s="15"/>
      <c r="SE45" s="15"/>
      <c r="SF45" s="15"/>
      <c r="SG45" s="15"/>
      <c r="SH45" s="15"/>
      <c r="SI45" s="15"/>
      <c r="SJ45" s="15"/>
      <c r="SK45" s="15"/>
      <c r="SL45" s="15"/>
      <c r="SM45" s="15"/>
      <c r="SN45" s="15"/>
      <c r="SO45" s="15"/>
      <c r="SP45" s="15"/>
      <c r="SQ45" s="15"/>
      <c r="SR45" s="15"/>
      <c r="SS45" s="15"/>
      <c r="ST45" s="15"/>
      <c r="SU45" s="15"/>
      <c r="SV45" s="15"/>
      <c r="SW45" s="15"/>
      <c r="SX45" s="15"/>
      <c r="SY45" s="15"/>
      <c r="SZ45" s="15"/>
      <c r="TA45" s="15"/>
      <c r="TB45" s="15"/>
      <c r="TC45" s="15"/>
      <c r="TD45" s="15"/>
      <c r="TE45" s="15"/>
      <c r="TF45" s="15"/>
      <c r="TG45" s="15"/>
      <c r="TH45" s="15"/>
      <c r="TI45" s="15"/>
      <c r="TJ45" s="15"/>
      <c r="TK45" s="15"/>
      <c r="TL45" s="15"/>
      <c r="TM45" s="15"/>
      <c r="TN45" s="15"/>
      <c r="TO45" s="15"/>
      <c r="TP45" s="15"/>
      <c r="TQ45" s="15"/>
      <c r="TR45" s="15"/>
      <c r="TS45" s="15"/>
      <c r="TT45" s="15"/>
      <c r="TU45" s="15"/>
      <c r="TV45" s="15"/>
      <c r="TW45" s="15"/>
      <c r="TX45" s="15"/>
      <c r="TY45" s="15"/>
      <c r="TZ45" s="15"/>
      <c r="UA45" s="15"/>
      <c r="UB45" s="15"/>
      <c r="UC45" s="15"/>
      <c r="UD45" s="15"/>
      <c r="UE45" s="15"/>
      <c r="UF45" s="15"/>
      <c r="UG45" s="15"/>
      <c r="UH45" s="15"/>
      <c r="UI45" s="15"/>
      <c r="UJ45" s="15"/>
      <c r="UK45" s="15"/>
      <c r="UL45" s="15"/>
      <c r="UM45" s="15"/>
      <c r="UN45" s="15"/>
      <c r="UO45" s="15"/>
      <c r="UP45" s="15"/>
      <c r="UQ45" s="15"/>
      <c r="UR45" s="15"/>
      <c r="US45" s="15"/>
      <c r="UT45" s="15"/>
      <c r="UU45" s="15"/>
      <c r="UV45" s="15"/>
      <c r="UW45" s="15"/>
      <c r="UX45" s="15"/>
      <c r="UY45" s="15"/>
      <c r="UZ45" s="15"/>
      <c r="VA45" s="15"/>
      <c r="VB45" s="15"/>
      <c r="VC45" s="15"/>
      <c r="VD45" s="15"/>
      <c r="VE45" s="15"/>
      <c r="VF45" s="15"/>
      <c r="VG45" s="15"/>
      <c r="VH45" s="15"/>
      <c r="VI45" s="15"/>
      <c r="VJ45" s="15"/>
      <c r="VK45" s="15"/>
      <c r="VL45" s="15"/>
      <c r="VM45" s="15"/>
      <c r="VN45" s="15"/>
      <c r="VO45" s="15"/>
      <c r="VP45" s="15"/>
      <c r="VQ45" s="15"/>
      <c r="VR45" s="15"/>
      <c r="VS45" s="15"/>
      <c r="VT45" s="15"/>
      <c r="VU45" s="15"/>
      <c r="VV45" s="15"/>
      <c r="VW45" s="15"/>
      <c r="VX45" s="15"/>
      <c r="VY45" s="15"/>
      <c r="VZ45" s="15"/>
      <c r="WA45" s="15"/>
      <c r="WB45" s="15"/>
      <c r="WC45" s="15"/>
      <c r="WD45" s="15"/>
      <c r="WE45" s="15"/>
      <c r="WF45" s="15"/>
      <c r="WG45" s="15"/>
      <c r="WH45" s="15"/>
      <c r="WI45" s="15"/>
      <c r="WJ45" s="15"/>
      <c r="WK45" s="15"/>
      <c r="WL45" s="15"/>
      <c r="WM45" s="15"/>
      <c r="WN45" s="15"/>
      <c r="WO45" s="15"/>
      <c r="WP45" s="15"/>
      <c r="WQ45" s="15"/>
      <c r="WR45" s="15"/>
      <c r="WS45" s="15"/>
      <c r="WT45" s="15"/>
      <c r="WU45" s="15"/>
      <c r="WV45" s="15"/>
      <c r="WW45" s="15"/>
      <c r="WX45" s="15"/>
      <c r="WY45" s="15"/>
      <c r="WZ45" s="15"/>
      <c r="XA45" s="15"/>
      <c r="XB45" s="15"/>
      <c r="XC45" s="15"/>
      <c r="XD45" s="15"/>
      <c r="XE45" s="15"/>
      <c r="XF45" s="15"/>
      <c r="XG45" s="15"/>
      <c r="XH45" s="15"/>
      <c r="XI45" s="15"/>
      <c r="XJ45" s="15"/>
      <c r="XK45" s="15"/>
      <c r="XL45" s="15"/>
      <c r="XM45" s="15"/>
      <c r="XN45" s="15"/>
      <c r="XO45" s="15"/>
      <c r="XP45" s="15"/>
      <c r="XQ45" s="15"/>
      <c r="XR45" s="15"/>
      <c r="XS45" s="15"/>
      <c r="XT45" s="15"/>
      <c r="XU45" s="15"/>
      <c r="XV45" s="15"/>
      <c r="XW45" s="15"/>
      <c r="XX45" s="15"/>
      <c r="XY45" s="15"/>
      <c r="XZ45" s="15"/>
      <c r="YA45" s="15"/>
      <c r="YB45" s="15"/>
      <c r="YC45" s="15"/>
      <c r="YD45" s="15"/>
      <c r="YE45" s="15"/>
      <c r="YF45" s="15"/>
      <c r="YG45" s="15"/>
      <c r="YH45" s="15"/>
      <c r="YI45" s="15"/>
      <c r="YJ45" s="15"/>
      <c r="YK45" s="15"/>
      <c r="YL45" s="15"/>
      <c r="YM45" s="15"/>
      <c r="YN45" s="15"/>
      <c r="YO45" s="15"/>
      <c r="YP45" s="15"/>
      <c r="YQ45" s="15"/>
      <c r="YR45" s="15"/>
      <c r="YS45" s="15"/>
      <c r="YT45" s="15"/>
      <c r="YU45" s="15"/>
      <c r="YV45" s="15"/>
      <c r="YW45" s="15"/>
      <c r="YX45" s="15"/>
      <c r="YY45" s="15"/>
      <c r="YZ45" s="15"/>
      <c r="ZA45" s="15"/>
      <c r="ZB45" s="15"/>
      <c r="ZC45" s="15"/>
      <c r="ZD45" s="15"/>
      <c r="ZE45" s="15"/>
      <c r="ZF45" s="15"/>
      <c r="ZG45" s="15"/>
      <c r="ZH45" s="15"/>
      <c r="ZI45" s="15"/>
      <c r="ZJ45" s="15"/>
      <c r="ZK45" s="15"/>
      <c r="ZL45" s="15"/>
      <c r="ZM45" s="15"/>
      <c r="ZN45" s="15"/>
      <c r="ZO45" s="15"/>
      <c r="ZP45" s="15"/>
      <c r="ZQ45" s="15"/>
      <c r="ZR45" s="15"/>
      <c r="ZS45" s="15"/>
      <c r="ZT45" s="15"/>
      <c r="ZU45" s="15"/>
      <c r="ZV45" s="15"/>
      <c r="ZW45" s="15"/>
      <c r="ZX45" s="15"/>
      <c r="ZY45" s="15"/>
      <c r="ZZ45" s="15"/>
      <c r="AAA45" s="15"/>
      <c r="AAB45" s="15"/>
      <c r="AAC45" s="15"/>
      <c r="AAD45" s="15"/>
      <c r="AAE45" s="15"/>
      <c r="AAF45" s="15"/>
      <c r="AAG45" s="15"/>
      <c r="AAH45" s="15"/>
      <c r="AAI45" s="15"/>
      <c r="AAJ45" s="15"/>
      <c r="AAK45" s="15"/>
      <c r="AAL45" s="15"/>
      <c r="AAM45" s="15"/>
      <c r="AAN45" s="15"/>
      <c r="AAO45" s="15"/>
      <c r="AAP45" s="15"/>
      <c r="AAQ45" s="15"/>
      <c r="AAR45" s="15"/>
      <c r="AAS45" s="15"/>
      <c r="AAT45" s="15"/>
      <c r="AAU45" s="15"/>
      <c r="AAV45" s="15"/>
      <c r="AAW45" s="15"/>
      <c r="AAX45" s="15"/>
      <c r="AAY45" s="15"/>
      <c r="AAZ45" s="15"/>
      <c r="ABA45" s="15"/>
      <c r="ABB45" s="15"/>
      <c r="ABC45" s="15"/>
      <c r="ABD45" s="15"/>
      <c r="ABE45" s="15"/>
      <c r="ABF45" s="15"/>
      <c r="ABG45" s="15"/>
      <c r="ABH45" s="15"/>
      <c r="ABI45" s="15"/>
      <c r="ABJ45" s="15"/>
      <c r="ABK45" s="15"/>
      <c r="ABL45" s="15"/>
      <c r="ABM45" s="15"/>
      <c r="ABN45" s="15"/>
      <c r="ABO45" s="15"/>
      <c r="ABP45" s="15"/>
      <c r="ABQ45" s="15"/>
      <c r="ABR45" s="15"/>
      <c r="ABS45" s="15"/>
      <c r="ABT45" s="15"/>
      <c r="ABU45" s="15"/>
      <c r="ABV45" s="15"/>
      <c r="ABW45" s="15"/>
      <c r="ABX45" s="15"/>
      <c r="ABY45" s="15"/>
      <c r="ABZ45" s="15"/>
      <c r="ACA45" s="15"/>
      <c r="ACB45" s="15"/>
      <c r="ACC45" s="15"/>
      <c r="ACD45" s="15"/>
      <c r="ACE45" s="15"/>
      <c r="ACF45" s="15"/>
      <c r="ACG45" s="15"/>
      <c r="ACH45" s="15"/>
      <c r="ACI45" s="15"/>
      <c r="ACJ45" s="15"/>
      <c r="ACK45" s="15"/>
      <c r="ACL45" s="15"/>
      <c r="ACM45" s="15"/>
      <c r="ACN45" s="15"/>
      <c r="ACO45" s="15"/>
      <c r="ACP45" s="15"/>
      <c r="ACQ45" s="15"/>
      <c r="ACR45" s="15"/>
      <c r="ACS45" s="15"/>
      <c r="ACT45" s="15"/>
      <c r="ACU45" s="15"/>
      <c r="ACV45" s="15"/>
      <c r="ACW45" s="15"/>
      <c r="ACX45" s="15"/>
      <c r="ACY45" s="15"/>
      <c r="ACZ45" s="15"/>
      <c r="ADA45" s="15"/>
      <c r="ADB45" s="15"/>
      <c r="ADC45" s="15"/>
      <c r="ADD45" s="15"/>
      <c r="ADE45" s="15"/>
      <c r="ADF45" s="15"/>
      <c r="ADG45" s="15"/>
      <c r="ADH45" s="15"/>
      <c r="ADI45" s="15"/>
      <c r="ADJ45" s="15"/>
      <c r="ADK45" s="15"/>
      <c r="ADL45" s="15"/>
      <c r="ADM45" s="15"/>
      <c r="ADN45" s="15"/>
      <c r="ADO45" s="15"/>
      <c r="ADP45" s="15"/>
      <c r="ADQ45" s="15"/>
      <c r="ADR45" s="15"/>
      <c r="ADS45" s="15"/>
      <c r="ADT45" s="15"/>
      <c r="ADU45" s="15"/>
      <c r="ADV45" s="15"/>
      <c r="ADW45" s="15"/>
      <c r="ADX45" s="15"/>
      <c r="ADY45" s="15"/>
      <c r="ADZ45" s="15"/>
      <c r="AEA45" s="15"/>
      <c r="AEB45" s="15"/>
      <c r="AEC45" s="15"/>
      <c r="AED45" s="15"/>
      <c r="AEE45" s="15"/>
      <c r="AEF45" s="15"/>
      <c r="AEG45" s="15"/>
      <c r="AEH45" s="15"/>
      <c r="AEI45" s="15"/>
      <c r="AEJ45" s="15"/>
      <c r="AEK45" s="15"/>
      <c r="AEL45" s="15"/>
      <c r="AEM45" s="15"/>
      <c r="AEN45" s="15"/>
      <c r="AEO45" s="15"/>
      <c r="AEP45" s="15"/>
      <c r="AEQ45" s="15"/>
      <c r="AER45" s="15"/>
      <c r="AES45" s="15"/>
      <c r="AET45" s="15"/>
      <c r="AEU45" s="15"/>
      <c r="AEV45" s="15"/>
      <c r="AEW45" s="15"/>
      <c r="AEX45" s="15"/>
      <c r="AEY45" s="15"/>
      <c r="AEZ45" s="15"/>
      <c r="AFA45" s="15"/>
      <c r="AFB45" s="15"/>
      <c r="AFC45" s="15"/>
      <c r="AFD45" s="15"/>
      <c r="AFE45" s="15"/>
      <c r="AFF45" s="15"/>
      <c r="AFG45" s="15"/>
      <c r="AFH45" s="15"/>
      <c r="AFI45" s="15"/>
      <c r="AFJ45" s="15"/>
      <c r="AFK45" s="15"/>
      <c r="AFL45" s="15"/>
      <c r="AFM45" s="15"/>
      <c r="AFN45" s="15"/>
      <c r="AFO45" s="15"/>
      <c r="AFP45" s="15"/>
      <c r="AFQ45" s="15"/>
      <c r="AFR45" s="15"/>
      <c r="AFS45" s="15"/>
      <c r="AFT45" s="15"/>
      <c r="AFU45" s="15"/>
      <c r="AFV45" s="15"/>
      <c r="AFW45" s="15"/>
      <c r="AFX45" s="15"/>
      <c r="AFY45" s="15"/>
      <c r="AFZ45" s="15"/>
      <c r="AGA45" s="15"/>
      <c r="AGB45" s="15"/>
      <c r="AGC45" s="15"/>
      <c r="AGD45" s="15"/>
      <c r="AGE45" s="15"/>
      <c r="AGF45" s="15"/>
      <c r="AGG45" s="15"/>
      <c r="AGH45" s="15"/>
      <c r="AGI45" s="15"/>
      <c r="AGJ45" s="15"/>
      <c r="AGK45" s="15"/>
      <c r="AGL45" s="15"/>
      <c r="AGM45" s="15"/>
      <c r="AGN45" s="15"/>
      <c r="AGO45" s="15"/>
      <c r="AGP45" s="15"/>
      <c r="AGQ45" s="15"/>
      <c r="AGR45" s="15"/>
      <c r="AGS45" s="15"/>
      <c r="AGT45" s="15"/>
      <c r="AGU45" s="15"/>
      <c r="AGV45" s="15"/>
      <c r="AGW45" s="15"/>
      <c r="AGX45" s="15"/>
      <c r="AGY45" s="15"/>
      <c r="AGZ45" s="15"/>
      <c r="AHA45" s="15"/>
      <c r="AHB45" s="15"/>
      <c r="AHC45" s="15"/>
      <c r="AHD45" s="15"/>
      <c r="AHE45" s="15"/>
      <c r="AHF45" s="15"/>
      <c r="AHG45" s="15"/>
      <c r="AHH45" s="15"/>
      <c r="AHI45" s="15"/>
      <c r="AHJ45" s="15"/>
      <c r="AHK45" s="15"/>
      <c r="AHL45" s="15"/>
      <c r="AHM45" s="15"/>
      <c r="AHN45" s="15"/>
      <c r="AHO45" s="15"/>
      <c r="AHP45" s="15"/>
      <c r="AHQ45" s="15"/>
      <c r="AHR45" s="15"/>
      <c r="AHS45" s="15"/>
      <c r="AHT45" s="15"/>
      <c r="AHU45" s="15"/>
      <c r="AHV45" s="15"/>
      <c r="AHW45" s="15"/>
      <c r="AHX45" s="15"/>
      <c r="AHY45" s="15"/>
      <c r="AHZ45" s="15"/>
      <c r="AIA45" s="15"/>
      <c r="AIB45" s="15"/>
      <c r="AIC45" s="15"/>
      <c r="AID45" s="15"/>
      <c r="AIE45" s="15"/>
      <c r="AIF45" s="15"/>
      <c r="AIG45" s="15"/>
      <c r="AIH45" s="15"/>
      <c r="AII45" s="15"/>
      <c r="AIJ45" s="15"/>
      <c r="AIK45" s="15"/>
      <c r="AIL45" s="15"/>
      <c r="AIM45" s="15"/>
      <c r="AIN45" s="15"/>
      <c r="AIO45" s="15"/>
      <c r="AIP45" s="15"/>
      <c r="AIQ45" s="15"/>
      <c r="AIR45" s="15"/>
      <c r="AIS45" s="15"/>
      <c r="AIT45" s="15"/>
      <c r="AIU45" s="15"/>
      <c r="AIV45" s="15"/>
      <c r="AIW45" s="15"/>
      <c r="AIX45" s="15"/>
      <c r="AIY45" s="15"/>
      <c r="AIZ45" s="15"/>
      <c r="AJA45" s="15"/>
      <c r="AJB45" s="15"/>
      <c r="AJC45" s="15"/>
      <c r="AJD45" s="15"/>
      <c r="AJE45" s="15"/>
      <c r="AJF45" s="15"/>
      <c r="AJG45" s="15"/>
      <c r="AJH45" s="15"/>
      <c r="AJI45" s="15"/>
      <c r="AJJ45" s="15"/>
      <c r="AJK45" s="15"/>
      <c r="AJL45" s="15"/>
      <c r="AJM45" s="15"/>
      <c r="AJN45" s="15"/>
      <c r="AJO45" s="15"/>
      <c r="AJP45" s="15"/>
      <c r="AJQ45" s="15"/>
      <c r="AJR45" s="15"/>
      <c r="AJS45" s="15"/>
      <c r="AJT45" s="15"/>
      <c r="AJU45" s="15"/>
      <c r="AJV45" s="15"/>
      <c r="AJW45" s="15"/>
      <c r="AJX45" s="15"/>
      <c r="AJY45" s="15"/>
      <c r="AJZ45" s="15"/>
      <c r="AKA45" s="15"/>
      <c r="AKB45" s="15"/>
      <c r="AKC45" s="15"/>
      <c r="AKD45" s="15"/>
      <c r="AKE45" s="15"/>
      <c r="AKF45" s="15"/>
      <c r="AKG45" s="15"/>
      <c r="AKH45" s="15"/>
      <c r="AKI45" s="15"/>
      <c r="AKJ45" s="15"/>
      <c r="AKK45" s="15"/>
      <c r="AKL45" s="15"/>
      <c r="AKM45" s="15"/>
      <c r="AKN45" s="15"/>
      <c r="AKO45" s="15"/>
      <c r="AKP45" s="15"/>
      <c r="AKQ45" s="15"/>
      <c r="AKR45" s="15"/>
      <c r="AKS45" s="15"/>
      <c r="AKT45" s="15"/>
      <c r="AKU45" s="15"/>
      <c r="AKV45" s="15"/>
      <c r="AKW45" s="15"/>
      <c r="AKX45" s="15"/>
      <c r="AKY45" s="15"/>
      <c r="AKZ45" s="15"/>
      <c r="ALA45" s="15"/>
      <c r="ALB45" s="15"/>
      <c r="ALC45" s="15"/>
      <c r="ALD45" s="15"/>
      <c r="ALE45" s="15"/>
      <c r="ALF45" s="15"/>
      <c r="ALG45" s="15"/>
      <c r="ALH45" s="15"/>
      <c r="ALI45" s="15"/>
      <c r="ALJ45" s="15"/>
      <c r="ALK45" s="15"/>
      <c r="ALL45" s="15"/>
      <c r="ALM45" s="15"/>
      <c r="ALN45" s="15"/>
      <c r="ALO45" s="15"/>
      <c r="ALP45" s="15"/>
      <c r="ALQ45" s="15"/>
      <c r="ALR45" s="15"/>
      <c r="ALS45" s="15"/>
      <c r="ALT45" s="15"/>
      <c r="ALU45" s="15"/>
      <c r="ALV45" s="15"/>
      <c r="ALW45" s="15"/>
      <c r="ALX45" s="15"/>
      <c r="ALY45" s="15"/>
      <c r="ALZ45" s="15"/>
      <c r="AMA45" s="15"/>
      <c r="AMB45" s="15"/>
      <c r="AMC45" s="15"/>
      <c r="AMD45" s="15"/>
      <c r="AME45" s="15"/>
      <c r="AMF45" s="15"/>
      <c r="AMG45" s="14"/>
      <c r="AMH45" s="14"/>
      <c r="AMI45" s="14"/>
      <c r="AMJ45" s="15"/>
    </row>
    <row r="46" spans="1:1024" s="13" customFormat="1" ht="29" hidden="1" x14ac:dyDescent="0.35">
      <c r="A46" s="19">
        <v>43654</v>
      </c>
      <c r="B46" s="17" t="s">
        <v>399</v>
      </c>
      <c r="C46" s="17" t="s">
        <v>398</v>
      </c>
      <c r="D46" s="18">
        <v>43656</v>
      </c>
      <c r="E46" s="17" t="s">
        <v>397</v>
      </c>
      <c r="F46" s="26">
        <v>0.48958333333333298</v>
      </c>
      <c r="G46" s="26">
        <v>0.55208333333333304</v>
      </c>
      <c r="H46" s="26">
        <v>0.5625</v>
      </c>
      <c r="I46" s="17">
        <v>0</v>
      </c>
      <c r="J46" s="17" t="s">
        <v>16</v>
      </c>
      <c r="K46" s="17" t="s">
        <v>15</v>
      </c>
      <c r="L46" s="16" t="s">
        <v>17</v>
      </c>
      <c r="M46" s="15"/>
      <c r="N46" s="15"/>
      <c r="O46" s="15"/>
      <c r="P46" s="15"/>
      <c r="Q46" s="15"/>
      <c r="R46" s="15"/>
      <c r="S46" s="15"/>
      <c r="T46" s="15"/>
      <c r="U46" s="15"/>
      <c r="V46" s="15"/>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15"/>
      <c r="CR46" s="15"/>
      <c r="CS46" s="15"/>
      <c r="CT46" s="15"/>
      <c r="CU46" s="15"/>
      <c r="CV46" s="15"/>
      <c r="CW46" s="15"/>
      <c r="CX46" s="15"/>
      <c r="CY46" s="15"/>
      <c r="CZ46" s="15"/>
      <c r="DA46" s="15"/>
      <c r="DB46" s="15"/>
      <c r="DC46" s="15"/>
      <c r="DD46" s="15"/>
      <c r="DE46" s="15"/>
      <c r="DF46" s="15"/>
      <c r="DG46" s="15"/>
      <c r="DH46" s="15"/>
      <c r="DI46" s="15"/>
      <c r="DJ46" s="15"/>
      <c r="DK46" s="15"/>
      <c r="DL46" s="15"/>
      <c r="DM46" s="15"/>
      <c r="DN46" s="15"/>
      <c r="DO46" s="15"/>
      <c r="DP46" s="15"/>
      <c r="DQ46" s="15"/>
      <c r="DR46" s="15"/>
      <c r="DS46" s="15"/>
      <c r="DT46" s="15"/>
      <c r="DU46" s="15"/>
      <c r="DV46" s="15"/>
      <c r="DW46" s="15"/>
      <c r="DX46" s="15"/>
      <c r="DY46" s="15"/>
      <c r="DZ46" s="15"/>
      <c r="EA46" s="15"/>
      <c r="EB46" s="15"/>
      <c r="EC46" s="15"/>
      <c r="ED46" s="15"/>
      <c r="EE46" s="15"/>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c r="ID46" s="15"/>
      <c r="IE46" s="15"/>
      <c r="IF46" s="15"/>
      <c r="IG46" s="15"/>
      <c r="IH46" s="15"/>
      <c r="II46" s="15"/>
      <c r="IJ46" s="15"/>
      <c r="IK46" s="15"/>
      <c r="IL46" s="15"/>
      <c r="IM46" s="15"/>
      <c r="IN46" s="15"/>
      <c r="IO46" s="15"/>
      <c r="IP46" s="15"/>
      <c r="IQ46" s="15"/>
      <c r="IR46" s="15"/>
      <c r="IS46" s="15"/>
      <c r="IT46" s="15"/>
      <c r="IU46" s="15"/>
      <c r="IV46" s="15"/>
      <c r="IW46" s="15"/>
      <c r="IX46" s="15"/>
      <c r="IY46" s="15"/>
      <c r="IZ46" s="15"/>
      <c r="JA46" s="15"/>
      <c r="JB46" s="15"/>
      <c r="JC46" s="15"/>
      <c r="JD46" s="15"/>
      <c r="JE46" s="15"/>
      <c r="JF46" s="15"/>
      <c r="JG46" s="15"/>
      <c r="JH46" s="15"/>
      <c r="JI46" s="15"/>
      <c r="JJ46" s="15"/>
      <c r="JK46" s="15"/>
      <c r="JL46" s="15"/>
      <c r="JM46" s="15"/>
      <c r="JN46" s="15"/>
      <c r="JO46" s="15"/>
      <c r="JP46" s="15"/>
      <c r="JQ46" s="15"/>
      <c r="JR46" s="15"/>
      <c r="JS46" s="15"/>
      <c r="JT46" s="15"/>
      <c r="JU46" s="15"/>
      <c r="JV46" s="15"/>
      <c r="JW46" s="15"/>
      <c r="JX46" s="15"/>
      <c r="JY46" s="15"/>
      <c r="JZ46" s="15"/>
      <c r="KA46" s="15"/>
      <c r="KB46" s="15"/>
      <c r="KC46" s="15"/>
      <c r="KD46" s="15"/>
      <c r="KE46" s="15"/>
      <c r="KF46" s="15"/>
      <c r="KG46" s="15"/>
      <c r="KH46" s="15"/>
      <c r="KI46" s="15"/>
      <c r="KJ46" s="15"/>
      <c r="KK46" s="15"/>
      <c r="KL46" s="15"/>
      <c r="KM46" s="15"/>
      <c r="KN46" s="15"/>
      <c r="KO46" s="15"/>
      <c r="KP46" s="15"/>
      <c r="KQ46" s="15"/>
      <c r="KR46" s="15"/>
      <c r="KS46" s="15"/>
      <c r="KT46" s="15"/>
      <c r="KU46" s="15"/>
      <c r="KV46" s="15"/>
      <c r="KW46" s="15"/>
      <c r="KX46" s="15"/>
      <c r="KY46" s="15"/>
      <c r="KZ46" s="15"/>
      <c r="LA46" s="15"/>
      <c r="LB46" s="15"/>
      <c r="LC46" s="15"/>
      <c r="LD46" s="15"/>
      <c r="LE46" s="15"/>
      <c r="LF46" s="15"/>
      <c r="LG46" s="15"/>
      <c r="LH46" s="15"/>
      <c r="LI46" s="15"/>
      <c r="LJ46" s="15"/>
      <c r="LK46" s="15"/>
      <c r="LL46" s="15"/>
      <c r="LM46" s="15"/>
      <c r="LN46" s="15"/>
      <c r="LO46" s="15"/>
      <c r="LP46" s="15"/>
      <c r="LQ46" s="15"/>
      <c r="LR46" s="15"/>
      <c r="LS46" s="15"/>
      <c r="LT46" s="15"/>
      <c r="LU46" s="15"/>
      <c r="LV46" s="15"/>
      <c r="LW46" s="15"/>
      <c r="LX46" s="15"/>
      <c r="LY46" s="15"/>
      <c r="LZ46" s="15"/>
      <c r="MA46" s="15"/>
      <c r="MB46" s="15"/>
      <c r="MC46" s="15"/>
      <c r="MD46" s="15"/>
      <c r="ME46" s="15"/>
      <c r="MF46" s="15"/>
      <c r="MG46" s="15"/>
      <c r="MH46" s="15"/>
      <c r="MI46" s="15"/>
      <c r="MJ46" s="15"/>
      <c r="MK46" s="15"/>
      <c r="ML46" s="15"/>
      <c r="MM46" s="15"/>
      <c r="MN46" s="15"/>
      <c r="MO46" s="15"/>
      <c r="MP46" s="15"/>
      <c r="MQ46" s="15"/>
      <c r="MR46" s="15"/>
      <c r="MS46" s="15"/>
      <c r="MT46" s="15"/>
      <c r="MU46" s="15"/>
      <c r="MV46" s="15"/>
      <c r="MW46" s="15"/>
      <c r="MX46" s="15"/>
      <c r="MY46" s="15"/>
      <c r="MZ46" s="15"/>
      <c r="NA46" s="15"/>
      <c r="NB46" s="15"/>
      <c r="NC46" s="15"/>
      <c r="ND46" s="15"/>
      <c r="NE46" s="15"/>
      <c r="NF46" s="15"/>
      <c r="NG46" s="15"/>
      <c r="NH46" s="15"/>
      <c r="NI46" s="15"/>
      <c r="NJ46" s="15"/>
      <c r="NK46" s="15"/>
      <c r="NL46" s="15"/>
      <c r="NM46" s="15"/>
      <c r="NN46" s="15"/>
      <c r="NO46" s="15"/>
      <c r="NP46" s="15"/>
      <c r="NQ46" s="15"/>
      <c r="NR46" s="15"/>
      <c r="NS46" s="15"/>
      <c r="NT46" s="15"/>
      <c r="NU46" s="15"/>
      <c r="NV46" s="15"/>
      <c r="NW46" s="15"/>
      <c r="NX46" s="15"/>
      <c r="NY46" s="15"/>
      <c r="NZ46" s="15"/>
      <c r="OA46" s="15"/>
      <c r="OB46" s="15"/>
      <c r="OC46" s="15"/>
      <c r="OD46" s="15"/>
      <c r="OE46" s="15"/>
      <c r="OF46" s="15"/>
      <c r="OG46" s="15"/>
      <c r="OH46" s="15"/>
      <c r="OI46" s="15"/>
      <c r="OJ46" s="15"/>
      <c r="OK46" s="15"/>
      <c r="OL46" s="15"/>
      <c r="OM46" s="15"/>
      <c r="ON46" s="15"/>
      <c r="OO46" s="15"/>
      <c r="OP46" s="15"/>
      <c r="OQ46" s="15"/>
      <c r="OR46" s="15"/>
      <c r="OS46" s="15"/>
      <c r="OT46" s="15"/>
      <c r="OU46" s="15"/>
      <c r="OV46" s="15"/>
      <c r="OW46" s="15"/>
      <c r="OX46" s="15"/>
      <c r="OY46" s="15"/>
      <c r="OZ46" s="15"/>
      <c r="PA46" s="15"/>
      <c r="PB46" s="15"/>
      <c r="PC46" s="15"/>
      <c r="PD46" s="15"/>
      <c r="PE46" s="15"/>
      <c r="PF46" s="15"/>
      <c r="PG46" s="15"/>
      <c r="PH46" s="15"/>
      <c r="PI46" s="15"/>
      <c r="PJ46" s="15"/>
      <c r="PK46" s="15"/>
      <c r="PL46" s="15"/>
      <c r="PM46" s="15"/>
      <c r="PN46" s="15"/>
      <c r="PO46" s="15"/>
      <c r="PP46" s="15"/>
      <c r="PQ46" s="15"/>
      <c r="PR46" s="15"/>
      <c r="PS46" s="15"/>
      <c r="PT46" s="15"/>
      <c r="PU46" s="15"/>
      <c r="PV46" s="15"/>
      <c r="PW46" s="15"/>
      <c r="PX46" s="15"/>
      <c r="PY46" s="15"/>
      <c r="PZ46" s="15"/>
      <c r="QA46" s="15"/>
      <c r="QB46" s="15"/>
      <c r="QC46" s="15"/>
      <c r="QD46" s="15"/>
      <c r="QE46" s="15"/>
      <c r="QF46" s="15"/>
      <c r="QG46" s="15"/>
      <c r="QH46" s="15"/>
      <c r="QI46" s="15"/>
      <c r="QJ46" s="15"/>
      <c r="QK46" s="15"/>
      <c r="QL46" s="15"/>
      <c r="QM46" s="15"/>
      <c r="QN46" s="15"/>
      <c r="QO46" s="15"/>
      <c r="QP46" s="15"/>
      <c r="QQ46" s="15"/>
      <c r="QR46" s="15"/>
      <c r="QS46" s="15"/>
      <c r="QT46" s="15"/>
      <c r="QU46" s="15"/>
      <c r="QV46" s="15"/>
      <c r="QW46" s="15"/>
      <c r="QX46" s="15"/>
      <c r="QY46" s="15"/>
      <c r="QZ46" s="15"/>
      <c r="RA46" s="15"/>
      <c r="RB46" s="15"/>
      <c r="RC46" s="15"/>
      <c r="RD46" s="15"/>
      <c r="RE46" s="15"/>
      <c r="RF46" s="15"/>
      <c r="RG46" s="15"/>
      <c r="RH46" s="15"/>
      <c r="RI46" s="15"/>
      <c r="RJ46" s="15"/>
      <c r="RK46" s="15"/>
      <c r="RL46" s="15"/>
      <c r="RM46" s="15"/>
      <c r="RN46" s="15"/>
      <c r="RO46" s="15"/>
      <c r="RP46" s="15"/>
      <c r="RQ46" s="15"/>
      <c r="RR46" s="15"/>
      <c r="RS46" s="15"/>
      <c r="RT46" s="15"/>
      <c r="RU46" s="15"/>
      <c r="RV46" s="15"/>
      <c r="RW46" s="15"/>
      <c r="RX46" s="15"/>
      <c r="RY46" s="15"/>
      <c r="RZ46" s="15"/>
      <c r="SA46" s="15"/>
      <c r="SB46" s="15"/>
      <c r="SC46" s="15"/>
      <c r="SD46" s="15"/>
      <c r="SE46" s="15"/>
      <c r="SF46" s="15"/>
      <c r="SG46" s="15"/>
      <c r="SH46" s="15"/>
      <c r="SI46" s="15"/>
      <c r="SJ46" s="15"/>
      <c r="SK46" s="15"/>
      <c r="SL46" s="15"/>
      <c r="SM46" s="15"/>
      <c r="SN46" s="15"/>
      <c r="SO46" s="15"/>
      <c r="SP46" s="15"/>
      <c r="SQ46" s="15"/>
      <c r="SR46" s="15"/>
      <c r="SS46" s="15"/>
      <c r="ST46" s="15"/>
      <c r="SU46" s="15"/>
      <c r="SV46" s="15"/>
      <c r="SW46" s="15"/>
      <c r="SX46" s="15"/>
      <c r="SY46" s="15"/>
      <c r="SZ46" s="15"/>
      <c r="TA46" s="15"/>
      <c r="TB46" s="15"/>
      <c r="TC46" s="15"/>
      <c r="TD46" s="15"/>
      <c r="TE46" s="15"/>
      <c r="TF46" s="15"/>
      <c r="TG46" s="15"/>
      <c r="TH46" s="15"/>
      <c r="TI46" s="15"/>
      <c r="TJ46" s="15"/>
      <c r="TK46" s="15"/>
      <c r="TL46" s="15"/>
      <c r="TM46" s="15"/>
      <c r="TN46" s="15"/>
      <c r="TO46" s="15"/>
      <c r="TP46" s="15"/>
      <c r="TQ46" s="15"/>
      <c r="TR46" s="15"/>
      <c r="TS46" s="15"/>
      <c r="TT46" s="15"/>
      <c r="TU46" s="15"/>
      <c r="TV46" s="15"/>
      <c r="TW46" s="15"/>
      <c r="TX46" s="15"/>
      <c r="TY46" s="15"/>
      <c r="TZ46" s="15"/>
      <c r="UA46" s="15"/>
      <c r="UB46" s="15"/>
      <c r="UC46" s="15"/>
      <c r="UD46" s="15"/>
      <c r="UE46" s="15"/>
      <c r="UF46" s="15"/>
      <c r="UG46" s="15"/>
      <c r="UH46" s="15"/>
      <c r="UI46" s="15"/>
      <c r="UJ46" s="15"/>
      <c r="UK46" s="15"/>
      <c r="UL46" s="15"/>
      <c r="UM46" s="15"/>
      <c r="UN46" s="15"/>
      <c r="UO46" s="15"/>
      <c r="UP46" s="15"/>
      <c r="UQ46" s="15"/>
      <c r="UR46" s="15"/>
      <c r="US46" s="15"/>
      <c r="UT46" s="15"/>
      <c r="UU46" s="15"/>
      <c r="UV46" s="15"/>
      <c r="UW46" s="15"/>
      <c r="UX46" s="15"/>
      <c r="UY46" s="15"/>
      <c r="UZ46" s="15"/>
      <c r="VA46" s="15"/>
      <c r="VB46" s="15"/>
      <c r="VC46" s="15"/>
      <c r="VD46" s="15"/>
      <c r="VE46" s="15"/>
      <c r="VF46" s="15"/>
      <c r="VG46" s="15"/>
      <c r="VH46" s="15"/>
      <c r="VI46" s="15"/>
      <c r="VJ46" s="15"/>
      <c r="VK46" s="15"/>
      <c r="VL46" s="15"/>
      <c r="VM46" s="15"/>
      <c r="VN46" s="15"/>
      <c r="VO46" s="15"/>
      <c r="VP46" s="15"/>
      <c r="VQ46" s="15"/>
      <c r="VR46" s="15"/>
      <c r="VS46" s="15"/>
      <c r="VT46" s="15"/>
      <c r="VU46" s="15"/>
      <c r="VV46" s="15"/>
      <c r="VW46" s="15"/>
      <c r="VX46" s="15"/>
      <c r="VY46" s="15"/>
      <c r="VZ46" s="15"/>
      <c r="WA46" s="15"/>
      <c r="WB46" s="15"/>
      <c r="WC46" s="15"/>
      <c r="WD46" s="15"/>
      <c r="WE46" s="15"/>
      <c r="WF46" s="15"/>
      <c r="WG46" s="15"/>
      <c r="WH46" s="15"/>
      <c r="WI46" s="15"/>
      <c r="WJ46" s="15"/>
      <c r="WK46" s="15"/>
      <c r="WL46" s="15"/>
      <c r="WM46" s="15"/>
      <c r="WN46" s="15"/>
      <c r="WO46" s="15"/>
      <c r="WP46" s="15"/>
      <c r="WQ46" s="15"/>
      <c r="WR46" s="15"/>
      <c r="WS46" s="15"/>
      <c r="WT46" s="15"/>
      <c r="WU46" s="15"/>
      <c r="WV46" s="15"/>
      <c r="WW46" s="15"/>
      <c r="WX46" s="15"/>
      <c r="WY46" s="15"/>
      <c r="WZ46" s="15"/>
      <c r="XA46" s="15"/>
      <c r="XB46" s="15"/>
      <c r="XC46" s="15"/>
      <c r="XD46" s="15"/>
      <c r="XE46" s="15"/>
      <c r="XF46" s="15"/>
      <c r="XG46" s="15"/>
      <c r="XH46" s="15"/>
      <c r="XI46" s="15"/>
      <c r="XJ46" s="15"/>
      <c r="XK46" s="15"/>
      <c r="XL46" s="15"/>
      <c r="XM46" s="15"/>
      <c r="XN46" s="15"/>
      <c r="XO46" s="15"/>
      <c r="XP46" s="15"/>
      <c r="XQ46" s="15"/>
      <c r="XR46" s="15"/>
      <c r="XS46" s="15"/>
      <c r="XT46" s="15"/>
      <c r="XU46" s="15"/>
      <c r="XV46" s="15"/>
      <c r="XW46" s="15"/>
      <c r="XX46" s="15"/>
      <c r="XY46" s="15"/>
      <c r="XZ46" s="15"/>
      <c r="YA46" s="15"/>
      <c r="YB46" s="15"/>
      <c r="YC46" s="15"/>
      <c r="YD46" s="15"/>
      <c r="YE46" s="15"/>
      <c r="YF46" s="15"/>
      <c r="YG46" s="15"/>
      <c r="YH46" s="15"/>
      <c r="YI46" s="15"/>
      <c r="YJ46" s="15"/>
      <c r="YK46" s="15"/>
      <c r="YL46" s="15"/>
      <c r="YM46" s="15"/>
      <c r="YN46" s="15"/>
      <c r="YO46" s="15"/>
      <c r="YP46" s="15"/>
      <c r="YQ46" s="15"/>
      <c r="YR46" s="15"/>
      <c r="YS46" s="15"/>
      <c r="YT46" s="15"/>
      <c r="YU46" s="15"/>
      <c r="YV46" s="15"/>
      <c r="YW46" s="15"/>
      <c r="YX46" s="15"/>
      <c r="YY46" s="15"/>
      <c r="YZ46" s="15"/>
      <c r="ZA46" s="15"/>
      <c r="ZB46" s="15"/>
      <c r="ZC46" s="15"/>
      <c r="ZD46" s="15"/>
      <c r="ZE46" s="15"/>
      <c r="ZF46" s="15"/>
      <c r="ZG46" s="15"/>
      <c r="ZH46" s="15"/>
      <c r="ZI46" s="15"/>
      <c r="ZJ46" s="15"/>
      <c r="ZK46" s="15"/>
      <c r="ZL46" s="15"/>
      <c r="ZM46" s="15"/>
      <c r="ZN46" s="15"/>
      <c r="ZO46" s="15"/>
      <c r="ZP46" s="15"/>
      <c r="ZQ46" s="15"/>
      <c r="ZR46" s="15"/>
      <c r="ZS46" s="15"/>
      <c r="ZT46" s="15"/>
      <c r="ZU46" s="15"/>
      <c r="ZV46" s="15"/>
      <c r="ZW46" s="15"/>
      <c r="ZX46" s="15"/>
      <c r="ZY46" s="15"/>
      <c r="ZZ46" s="15"/>
      <c r="AAA46" s="15"/>
      <c r="AAB46" s="15"/>
      <c r="AAC46" s="15"/>
      <c r="AAD46" s="15"/>
      <c r="AAE46" s="15"/>
      <c r="AAF46" s="15"/>
      <c r="AAG46" s="15"/>
      <c r="AAH46" s="15"/>
      <c r="AAI46" s="15"/>
      <c r="AAJ46" s="15"/>
      <c r="AAK46" s="15"/>
      <c r="AAL46" s="15"/>
      <c r="AAM46" s="15"/>
      <c r="AAN46" s="15"/>
      <c r="AAO46" s="15"/>
      <c r="AAP46" s="15"/>
      <c r="AAQ46" s="15"/>
      <c r="AAR46" s="15"/>
      <c r="AAS46" s="15"/>
      <c r="AAT46" s="15"/>
      <c r="AAU46" s="15"/>
      <c r="AAV46" s="15"/>
      <c r="AAW46" s="15"/>
      <c r="AAX46" s="15"/>
      <c r="AAY46" s="15"/>
      <c r="AAZ46" s="15"/>
      <c r="ABA46" s="15"/>
      <c r="ABB46" s="15"/>
      <c r="ABC46" s="15"/>
      <c r="ABD46" s="15"/>
      <c r="ABE46" s="15"/>
      <c r="ABF46" s="15"/>
      <c r="ABG46" s="15"/>
      <c r="ABH46" s="15"/>
      <c r="ABI46" s="15"/>
      <c r="ABJ46" s="15"/>
      <c r="ABK46" s="15"/>
      <c r="ABL46" s="15"/>
      <c r="ABM46" s="15"/>
      <c r="ABN46" s="15"/>
      <c r="ABO46" s="15"/>
      <c r="ABP46" s="15"/>
      <c r="ABQ46" s="15"/>
      <c r="ABR46" s="15"/>
      <c r="ABS46" s="15"/>
      <c r="ABT46" s="15"/>
      <c r="ABU46" s="15"/>
      <c r="ABV46" s="15"/>
      <c r="ABW46" s="15"/>
      <c r="ABX46" s="15"/>
      <c r="ABY46" s="15"/>
      <c r="ABZ46" s="15"/>
      <c r="ACA46" s="15"/>
      <c r="ACB46" s="15"/>
      <c r="ACC46" s="15"/>
      <c r="ACD46" s="15"/>
      <c r="ACE46" s="15"/>
      <c r="ACF46" s="15"/>
      <c r="ACG46" s="15"/>
      <c r="ACH46" s="15"/>
      <c r="ACI46" s="15"/>
      <c r="ACJ46" s="15"/>
      <c r="ACK46" s="15"/>
      <c r="ACL46" s="15"/>
      <c r="ACM46" s="15"/>
      <c r="ACN46" s="15"/>
      <c r="ACO46" s="15"/>
      <c r="ACP46" s="15"/>
      <c r="ACQ46" s="15"/>
      <c r="ACR46" s="15"/>
      <c r="ACS46" s="15"/>
      <c r="ACT46" s="15"/>
      <c r="ACU46" s="15"/>
      <c r="ACV46" s="15"/>
      <c r="ACW46" s="15"/>
      <c r="ACX46" s="15"/>
      <c r="ACY46" s="15"/>
      <c r="ACZ46" s="15"/>
      <c r="ADA46" s="15"/>
      <c r="ADB46" s="15"/>
      <c r="ADC46" s="15"/>
      <c r="ADD46" s="15"/>
      <c r="ADE46" s="15"/>
      <c r="ADF46" s="15"/>
      <c r="ADG46" s="15"/>
      <c r="ADH46" s="15"/>
      <c r="ADI46" s="15"/>
      <c r="ADJ46" s="15"/>
      <c r="ADK46" s="15"/>
      <c r="ADL46" s="15"/>
      <c r="ADM46" s="15"/>
      <c r="ADN46" s="15"/>
      <c r="ADO46" s="15"/>
      <c r="ADP46" s="15"/>
      <c r="ADQ46" s="15"/>
      <c r="ADR46" s="15"/>
      <c r="ADS46" s="15"/>
      <c r="ADT46" s="15"/>
      <c r="ADU46" s="15"/>
      <c r="ADV46" s="15"/>
      <c r="ADW46" s="15"/>
      <c r="ADX46" s="15"/>
      <c r="ADY46" s="15"/>
      <c r="ADZ46" s="15"/>
      <c r="AEA46" s="15"/>
      <c r="AEB46" s="15"/>
      <c r="AEC46" s="15"/>
      <c r="AED46" s="15"/>
      <c r="AEE46" s="15"/>
      <c r="AEF46" s="15"/>
      <c r="AEG46" s="15"/>
      <c r="AEH46" s="15"/>
      <c r="AEI46" s="15"/>
      <c r="AEJ46" s="15"/>
      <c r="AEK46" s="15"/>
      <c r="AEL46" s="15"/>
      <c r="AEM46" s="15"/>
      <c r="AEN46" s="15"/>
      <c r="AEO46" s="15"/>
      <c r="AEP46" s="15"/>
      <c r="AEQ46" s="15"/>
      <c r="AER46" s="15"/>
      <c r="AES46" s="15"/>
      <c r="AET46" s="15"/>
      <c r="AEU46" s="15"/>
      <c r="AEV46" s="15"/>
      <c r="AEW46" s="15"/>
      <c r="AEX46" s="15"/>
      <c r="AEY46" s="15"/>
      <c r="AEZ46" s="15"/>
      <c r="AFA46" s="15"/>
      <c r="AFB46" s="15"/>
      <c r="AFC46" s="15"/>
      <c r="AFD46" s="15"/>
      <c r="AFE46" s="15"/>
      <c r="AFF46" s="15"/>
      <c r="AFG46" s="15"/>
      <c r="AFH46" s="15"/>
      <c r="AFI46" s="15"/>
      <c r="AFJ46" s="15"/>
      <c r="AFK46" s="15"/>
      <c r="AFL46" s="15"/>
      <c r="AFM46" s="15"/>
      <c r="AFN46" s="15"/>
      <c r="AFO46" s="15"/>
      <c r="AFP46" s="15"/>
      <c r="AFQ46" s="15"/>
      <c r="AFR46" s="15"/>
      <c r="AFS46" s="15"/>
      <c r="AFT46" s="15"/>
      <c r="AFU46" s="15"/>
      <c r="AFV46" s="15"/>
      <c r="AFW46" s="15"/>
      <c r="AFX46" s="15"/>
      <c r="AFY46" s="15"/>
      <c r="AFZ46" s="15"/>
      <c r="AGA46" s="15"/>
      <c r="AGB46" s="15"/>
      <c r="AGC46" s="15"/>
      <c r="AGD46" s="15"/>
      <c r="AGE46" s="15"/>
      <c r="AGF46" s="15"/>
      <c r="AGG46" s="15"/>
      <c r="AGH46" s="15"/>
      <c r="AGI46" s="15"/>
      <c r="AGJ46" s="15"/>
      <c r="AGK46" s="15"/>
      <c r="AGL46" s="15"/>
      <c r="AGM46" s="15"/>
      <c r="AGN46" s="15"/>
      <c r="AGO46" s="15"/>
      <c r="AGP46" s="15"/>
      <c r="AGQ46" s="15"/>
      <c r="AGR46" s="15"/>
      <c r="AGS46" s="15"/>
      <c r="AGT46" s="15"/>
      <c r="AGU46" s="15"/>
      <c r="AGV46" s="15"/>
      <c r="AGW46" s="15"/>
      <c r="AGX46" s="15"/>
      <c r="AGY46" s="15"/>
      <c r="AGZ46" s="15"/>
      <c r="AHA46" s="15"/>
      <c r="AHB46" s="15"/>
      <c r="AHC46" s="15"/>
      <c r="AHD46" s="15"/>
      <c r="AHE46" s="15"/>
      <c r="AHF46" s="15"/>
      <c r="AHG46" s="15"/>
      <c r="AHH46" s="15"/>
      <c r="AHI46" s="15"/>
      <c r="AHJ46" s="15"/>
      <c r="AHK46" s="15"/>
      <c r="AHL46" s="15"/>
      <c r="AHM46" s="15"/>
      <c r="AHN46" s="15"/>
      <c r="AHO46" s="15"/>
      <c r="AHP46" s="15"/>
      <c r="AHQ46" s="15"/>
      <c r="AHR46" s="15"/>
      <c r="AHS46" s="15"/>
      <c r="AHT46" s="15"/>
      <c r="AHU46" s="15"/>
      <c r="AHV46" s="15"/>
      <c r="AHW46" s="15"/>
      <c r="AHX46" s="15"/>
      <c r="AHY46" s="15"/>
      <c r="AHZ46" s="15"/>
      <c r="AIA46" s="15"/>
      <c r="AIB46" s="15"/>
      <c r="AIC46" s="15"/>
      <c r="AID46" s="15"/>
      <c r="AIE46" s="15"/>
      <c r="AIF46" s="15"/>
      <c r="AIG46" s="15"/>
      <c r="AIH46" s="15"/>
      <c r="AII46" s="15"/>
      <c r="AIJ46" s="15"/>
      <c r="AIK46" s="15"/>
      <c r="AIL46" s="15"/>
      <c r="AIM46" s="15"/>
      <c r="AIN46" s="15"/>
      <c r="AIO46" s="15"/>
      <c r="AIP46" s="15"/>
      <c r="AIQ46" s="15"/>
      <c r="AIR46" s="15"/>
      <c r="AIS46" s="15"/>
      <c r="AIT46" s="15"/>
      <c r="AIU46" s="15"/>
      <c r="AIV46" s="15"/>
      <c r="AIW46" s="15"/>
      <c r="AIX46" s="15"/>
      <c r="AIY46" s="15"/>
      <c r="AIZ46" s="15"/>
      <c r="AJA46" s="15"/>
      <c r="AJB46" s="15"/>
      <c r="AJC46" s="15"/>
      <c r="AJD46" s="15"/>
      <c r="AJE46" s="15"/>
      <c r="AJF46" s="15"/>
      <c r="AJG46" s="15"/>
      <c r="AJH46" s="15"/>
      <c r="AJI46" s="15"/>
      <c r="AJJ46" s="15"/>
      <c r="AJK46" s="15"/>
      <c r="AJL46" s="15"/>
      <c r="AJM46" s="15"/>
      <c r="AJN46" s="15"/>
      <c r="AJO46" s="15"/>
      <c r="AJP46" s="15"/>
      <c r="AJQ46" s="15"/>
      <c r="AJR46" s="15"/>
      <c r="AJS46" s="15"/>
      <c r="AJT46" s="15"/>
      <c r="AJU46" s="15"/>
      <c r="AJV46" s="15"/>
      <c r="AJW46" s="15"/>
      <c r="AJX46" s="15"/>
      <c r="AJY46" s="15"/>
      <c r="AJZ46" s="15"/>
      <c r="AKA46" s="15"/>
      <c r="AKB46" s="15"/>
      <c r="AKC46" s="15"/>
      <c r="AKD46" s="15"/>
      <c r="AKE46" s="15"/>
      <c r="AKF46" s="15"/>
      <c r="AKG46" s="15"/>
      <c r="AKH46" s="15"/>
      <c r="AKI46" s="15"/>
      <c r="AKJ46" s="15"/>
      <c r="AKK46" s="15"/>
      <c r="AKL46" s="15"/>
      <c r="AKM46" s="15"/>
      <c r="AKN46" s="15"/>
      <c r="AKO46" s="15"/>
      <c r="AKP46" s="15"/>
      <c r="AKQ46" s="15"/>
      <c r="AKR46" s="15"/>
      <c r="AKS46" s="15"/>
      <c r="AKT46" s="15"/>
      <c r="AKU46" s="15"/>
      <c r="AKV46" s="15"/>
      <c r="AKW46" s="15"/>
      <c r="AKX46" s="15"/>
      <c r="AKY46" s="15"/>
      <c r="AKZ46" s="15"/>
      <c r="ALA46" s="15"/>
      <c r="ALB46" s="15"/>
      <c r="ALC46" s="15"/>
      <c r="ALD46" s="15"/>
      <c r="ALE46" s="15"/>
      <c r="ALF46" s="15"/>
      <c r="ALG46" s="15"/>
      <c r="ALH46" s="15"/>
      <c r="ALI46" s="15"/>
      <c r="ALJ46" s="15"/>
      <c r="ALK46" s="15"/>
      <c r="ALL46" s="15"/>
      <c r="ALM46" s="15"/>
      <c r="ALN46" s="15"/>
      <c r="ALO46" s="15"/>
      <c r="ALP46" s="15"/>
      <c r="ALQ46" s="15"/>
      <c r="ALR46" s="15"/>
      <c r="ALS46" s="15"/>
      <c r="ALT46" s="15"/>
      <c r="ALU46" s="15"/>
      <c r="ALV46" s="15"/>
      <c r="ALW46" s="15"/>
      <c r="ALX46" s="15"/>
      <c r="ALY46" s="15"/>
      <c r="ALZ46" s="15"/>
      <c r="AMA46" s="15"/>
      <c r="AMB46" s="15"/>
      <c r="AMC46" s="15"/>
      <c r="AMD46" s="15"/>
      <c r="AME46" s="15"/>
      <c r="AMF46" s="15"/>
      <c r="AMG46" s="14"/>
      <c r="AMH46" s="14"/>
      <c r="AMI46" s="14"/>
      <c r="AMJ46" s="14"/>
    </row>
    <row r="47" spans="1:1024" s="13" customFormat="1" ht="130.5" hidden="1" x14ac:dyDescent="0.35">
      <c r="A47" s="19">
        <v>43655</v>
      </c>
      <c r="B47" s="17" t="s">
        <v>131</v>
      </c>
      <c r="C47" s="17" t="s">
        <v>396</v>
      </c>
      <c r="D47" s="18">
        <v>43656</v>
      </c>
      <c r="E47" s="17" t="s">
        <v>129</v>
      </c>
      <c r="F47" s="26">
        <v>0.67708333333333304</v>
      </c>
      <c r="G47" s="26">
        <v>0.69791666666666696</v>
      </c>
      <c r="H47" s="26">
        <v>0.70833333333333304</v>
      </c>
      <c r="I47" s="17">
        <v>0</v>
      </c>
      <c r="J47" s="17" t="s">
        <v>16</v>
      </c>
      <c r="K47" s="17" t="s">
        <v>15</v>
      </c>
      <c r="L47" s="16" t="s">
        <v>17</v>
      </c>
      <c r="M47" s="15"/>
      <c r="N47" s="15"/>
      <c r="O47" s="15"/>
      <c r="P47" s="15"/>
      <c r="Q47" s="15"/>
      <c r="R47" s="15"/>
      <c r="S47" s="15"/>
      <c r="T47" s="15"/>
      <c r="U47" s="15"/>
      <c r="V47" s="15"/>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15"/>
      <c r="CR47" s="15"/>
      <c r="CS47" s="15"/>
      <c r="CT47" s="15"/>
      <c r="CU47" s="15"/>
      <c r="CV47" s="15"/>
      <c r="CW47" s="15"/>
      <c r="CX47" s="15"/>
      <c r="CY47" s="15"/>
      <c r="CZ47" s="15"/>
      <c r="DA47" s="15"/>
      <c r="DB47" s="15"/>
      <c r="DC47" s="15"/>
      <c r="DD47" s="15"/>
      <c r="DE47" s="15"/>
      <c r="DF47" s="15"/>
      <c r="DG47" s="15"/>
      <c r="DH47" s="15"/>
      <c r="DI47" s="15"/>
      <c r="DJ47" s="15"/>
      <c r="DK47" s="15"/>
      <c r="DL47" s="15"/>
      <c r="DM47" s="15"/>
      <c r="DN47" s="15"/>
      <c r="DO47" s="15"/>
      <c r="DP47" s="15"/>
      <c r="DQ47" s="15"/>
      <c r="DR47" s="15"/>
      <c r="DS47" s="15"/>
      <c r="DT47" s="15"/>
      <c r="DU47" s="15"/>
      <c r="DV47" s="15"/>
      <c r="DW47" s="15"/>
      <c r="DX47" s="15"/>
      <c r="DY47" s="15"/>
      <c r="DZ47" s="15"/>
      <c r="EA47" s="15"/>
      <c r="EB47" s="15"/>
      <c r="EC47" s="15"/>
      <c r="ED47" s="15"/>
      <c r="EE47" s="15"/>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c r="ID47" s="15"/>
      <c r="IE47" s="15"/>
      <c r="IF47" s="15"/>
      <c r="IG47" s="15"/>
      <c r="IH47" s="15"/>
      <c r="II47" s="15"/>
      <c r="IJ47" s="15"/>
      <c r="IK47" s="15"/>
      <c r="IL47" s="15"/>
      <c r="IM47" s="15"/>
      <c r="IN47" s="15"/>
      <c r="IO47" s="15"/>
      <c r="IP47" s="15"/>
      <c r="IQ47" s="15"/>
      <c r="IR47" s="15"/>
      <c r="IS47" s="15"/>
      <c r="IT47" s="15"/>
      <c r="IU47" s="15"/>
      <c r="IV47" s="15"/>
      <c r="IW47" s="15"/>
      <c r="IX47" s="15"/>
      <c r="IY47" s="15"/>
      <c r="IZ47" s="15"/>
      <c r="JA47" s="15"/>
      <c r="JB47" s="15"/>
      <c r="JC47" s="15"/>
      <c r="JD47" s="15"/>
      <c r="JE47" s="15"/>
      <c r="JF47" s="15"/>
      <c r="JG47" s="15"/>
      <c r="JH47" s="15"/>
      <c r="JI47" s="15"/>
      <c r="JJ47" s="15"/>
      <c r="JK47" s="15"/>
      <c r="JL47" s="15"/>
      <c r="JM47" s="15"/>
      <c r="JN47" s="15"/>
      <c r="JO47" s="15"/>
      <c r="JP47" s="15"/>
      <c r="JQ47" s="15"/>
      <c r="JR47" s="15"/>
      <c r="JS47" s="15"/>
      <c r="JT47" s="15"/>
      <c r="JU47" s="15"/>
      <c r="JV47" s="15"/>
      <c r="JW47" s="15"/>
      <c r="JX47" s="15"/>
      <c r="JY47" s="15"/>
      <c r="JZ47" s="15"/>
      <c r="KA47" s="15"/>
      <c r="KB47" s="15"/>
      <c r="KC47" s="15"/>
      <c r="KD47" s="15"/>
      <c r="KE47" s="15"/>
      <c r="KF47" s="15"/>
      <c r="KG47" s="15"/>
      <c r="KH47" s="15"/>
      <c r="KI47" s="15"/>
      <c r="KJ47" s="15"/>
      <c r="KK47" s="15"/>
      <c r="KL47" s="15"/>
      <c r="KM47" s="15"/>
      <c r="KN47" s="15"/>
      <c r="KO47" s="15"/>
      <c r="KP47" s="15"/>
      <c r="KQ47" s="15"/>
      <c r="KR47" s="15"/>
      <c r="KS47" s="15"/>
      <c r="KT47" s="15"/>
      <c r="KU47" s="15"/>
      <c r="KV47" s="15"/>
      <c r="KW47" s="15"/>
      <c r="KX47" s="15"/>
      <c r="KY47" s="15"/>
      <c r="KZ47" s="15"/>
      <c r="LA47" s="15"/>
      <c r="LB47" s="15"/>
      <c r="LC47" s="15"/>
      <c r="LD47" s="15"/>
      <c r="LE47" s="15"/>
      <c r="LF47" s="15"/>
      <c r="LG47" s="15"/>
      <c r="LH47" s="15"/>
      <c r="LI47" s="15"/>
      <c r="LJ47" s="15"/>
      <c r="LK47" s="15"/>
      <c r="LL47" s="15"/>
      <c r="LM47" s="15"/>
      <c r="LN47" s="15"/>
      <c r="LO47" s="15"/>
      <c r="LP47" s="15"/>
      <c r="LQ47" s="15"/>
      <c r="LR47" s="15"/>
      <c r="LS47" s="15"/>
      <c r="LT47" s="15"/>
      <c r="LU47" s="15"/>
      <c r="LV47" s="15"/>
      <c r="LW47" s="15"/>
      <c r="LX47" s="15"/>
      <c r="LY47" s="15"/>
      <c r="LZ47" s="15"/>
      <c r="MA47" s="15"/>
      <c r="MB47" s="15"/>
      <c r="MC47" s="15"/>
      <c r="MD47" s="15"/>
      <c r="ME47" s="15"/>
      <c r="MF47" s="15"/>
      <c r="MG47" s="15"/>
      <c r="MH47" s="15"/>
      <c r="MI47" s="15"/>
      <c r="MJ47" s="15"/>
      <c r="MK47" s="15"/>
      <c r="ML47" s="15"/>
      <c r="MM47" s="15"/>
      <c r="MN47" s="15"/>
      <c r="MO47" s="15"/>
      <c r="MP47" s="15"/>
      <c r="MQ47" s="15"/>
      <c r="MR47" s="15"/>
      <c r="MS47" s="15"/>
      <c r="MT47" s="15"/>
      <c r="MU47" s="15"/>
      <c r="MV47" s="15"/>
      <c r="MW47" s="15"/>
      <c r="MX47" s="15"/>
      <c r="MY47" s="15"/>
      <c r="MZ47" s="15"/>
      <c r="NA47" s="15"/>
      <c r="NB47" s="15"/>
      <c r="NC47" s="15"/>
      <c r="ND47" s="15"/>
      <c r="NE47" s="15"/>
      <c r="NF47" s="15"/>
      <c r="NG47" s="15"/>
      <c r="NH47" s="15"/>
      <c r="NI47" s="15"/>
      <c r="NJ47" s="15"/>
      <c r="NK47" s="15"/>
      <c r="NL47" s="15"/>
      <c r="NM47" s="15"/>
      <c r="NN47" s="15"/>
      <c r="NO47" s="15"/>
      <c r="NP47" s="15"/>
      <c r="NQ47" s="15"/>
      <c r="NR47" s="15"/>
      <c r="NS47" s="15"/>
      <c r="NT47" s="15"/>
      <c r="NU47" s="15"/>
      <c r="NV47" s="15"/>
      <c r="NW47" s="15"/>
      <c r="NX47" s="15"/>
      <c r="NY47" s="15"/>
      <c r="NZ47" s="15"/>
      <c r="OA47" s="15"/>
      <c r="OB47" s="15"/>
      <c r="OC47" s="15"/>
      <c r="OD47" s="15"/>
      <c r="OE47" s="15"/>
      <c r="OF47" s="15"/>
      <c r="OG47" s="15"/>
      <c r="OH47" s="15"/>
      <c r="OI47" s="15"/>
      <c r="OJ47" s="15"/>
      <c r="OK47" s="15"/>
      <c r="OL47" s="15"/>
      <c r="OM47" s="15"/>
      <c r="ON47" s="15"/>
      <c r="OO47" s="15"/>
      <c r="OP47" s="15"/>
      <c r="OQ47" s="15"/>
      <c r="OR47" s="15"/>
      <c r="OS47" s="15"/>
      <c r="OT47" s="15"/>
      <c r="OU47" s="15"/>
      <c r="OV47" s="15"/>
      <c r="OW47" s="15"/>
      <c r="OX47" s="15"/>
      <c r="OY47" s="15"/>
      <c r="OZ47" s="15"/>
      <c r="PA47" s="15"/>
      <c r="PB47" s="15"/>
      <c r="PC47" s="15"/>
      <c r="PD47" s="15"/>
      <c r="PE47" s="15"/>
      <c r="PF47" s="15"/>
      <c r="PG47" s="15"/>
      <c r="PH47" s="15"/>
      <c r="PI47" s="15"/>
      <c r="PJ47" s="15"/>
      <c r="PK47" s="15"/>
      <c r="PL47" s="15"/>
      <c r="PM47" s="15"/>
      <c r="PN47" s="15"/>
      <c r="PO47" s="15"/>
      <c r="PP47" s="15"/>
      <c r="PQ47" s="15"/>
      <c r="PR47" s="15"/>
      <c r="PS47" s="15"/>
      <c r="PT47" s="15"/>
      <c r="PU47" s="15"/>
      <c r="PV47" s="15"/>
      <c r="PW47" s="15"/>
      <c r="PX47" s="15"/>
      <c r="PY47" s="15"/>
      <c r="PZ47" s="15"/>
      <c r="QA47" s="15"/>
      <c r="QB47" s="15"/>
      <c r="QC47" s="15"/>
      <c r="QD47" s="15"/>
      <c r="QE47" s="15"/>
      <c r="QF47" s="15"/>
      <c r="QG47" s="15"/>
      <c r="QH47" s="15"/>
      <c r="QI47" s="15"/>
      <c r="QJ47" s="15"/>
      <c r="QK47" s="15"/>
      <c r="QL47" s="15"/>
      <c r="QM47" s="15"/>
      <c r="QN47" s="15"/>
      <c r="QO47" s="15"/>
      <c r="QP47" s="15"/>
      <c r="QQ47" s="15"/>
      <c r="QR47" s="15"/>
      <c r="QS47" s="15"/>
      <c r="QT47" s="15"/>
      <c r="QU47" s="15"/>
      <c r="QV47" s="15"/>
      <c r="QW47" s="15"/>
      <c r="QX47" s="15"/>
      <c r="QY47" s="15"/>
      <c r="QZ47" s="15"/>
      <c r="RA47" s="15"/>
      <c r="RB47" s="15"/>
      <c r="RC47" s="15"/>
      <c r="RD47" s="15"/>
      <c r="RE47" s="15"/>
      <c r="RF47" s="15"/>
      <c r="RG47" s="15"/>
      <c r="RH47" s="15"/>
      <c r="RI47" s="15"/>
      <c r="RJ47" s="15"/>
      <c r="RK47" s="15"/>
      <c r="RL47" s="15"/>
      <c r="RM47" s="15"/>
      <c r="RN47" s="15"/>
      <c r="RO47" s="15"/>
      <c r="RP47" s="15"/>
      <c r="RQ47" s="15"/>
      <c r="RR47" s="15"/>
      <c r="RS47" s="15"/>
      <c r="RT47" s="15"/>
      <c r="RU47" s="15"/>
      <c r="RV47" s="15"/>
      <c r="RW47" s="15"/>
      <c r="RX47" s="15"/>
      <c r="RY47" s="15"/>
      <c r="RZ47" s="15"/>
      <c r="SA47" s="15"/>
      <c r="SB47" s="15"/>
      <c r="SC47" s="15"/>
      <c r="SD47" s="15"/>
      <c r="SE47" s="15"/>
      <c r="SF47" s="15"/>
      <c r="SG47" s="15"/>
      <c r="SH47" s="15"/>
      <c r="SI47" s="15"/>
      <c r="SJ47" s="15"/>
      <c r="SK47" s="15"/>
      <c r="SL47" s="15"/>
      <c r="SM47" s="15"/>
      <c r="SN47" s="15"/>
      <c r="SO47" s="15"/>
      <c r="SP47" s="15"/>
      <c r="SQ47" s="15"/>
      <c r="SR47" s="15"/>
      <c r="SS47" s="15"/>
      <c r="ST47" s="15"/>
      <c r="SU47" s="15"/>
      <c r="SV47" s="15"/>
      <c r="SW47" s="15"/>
      <c r="SX47" s="15"/>
      <c r="SY47" s="15"/>
      <c r="SZ47" s="15"/>
      <c r="TA47" s="15"/>
      <c r="TB47" s="15"/>
      <c r="TC47" s="15"/>
      <c r="TD47" s="15"/>
      <c r="TE47" s="15"/>
      <c r="TF47" s="15"/>
      <c r="TG47" s="15"/>
      <c r="TH47" s="15"/>
      <c r="TI47" s="15"/>
      <c r="TJ47" s="15"/>
      <c r="TK47" s="15"/>
      <c r="TL47" s="15"/>
      <c r="TM47" s="15"/>
      <c r="TN47" s="15"/>
      <c r="TO47" s="15"/>
      <c r="TP47" s="15"/>
      <c r="TQ47" s="15"/>
      <c r="TR47" s="15"/>
      <c r="TS47" s="15"/>
      <c r="TT47" s="15"/>
      <c r="TU47" s="15"/>
      <c r="TV47" s="15"/>
      <c r="TW47" s="15"/>
      <c r="TX47" s="15"/>
      <c r="TY47" s="15"/>
      <c r="TZ47" s="15"/>
      <c r="UA47" s="15"/>
      <c r="UB47" s="15"/>
      <c r="UC47" s="15"/>
      <c r="UD47" s="15"/>
      <c r="UE47" s="15"/>
      <c r="UF47" s="15"/>
      <c r="UG47" s="15"/>
      <c r="UH47" s="15"/>
      <c r="UI47" s="15"/>
      <c r="UJ47" s="15"/>
      <c r="UK47" s="15"/>
      <c r="UL47" s="15"/>
      <c r="UM47" s="15"/>
      <c r="UN47" s="15"/>
      <c r="UO47" s="15"/>
      <c r="UP47" s="15"/>
      <c r="UQ47" s="15"/>
      <c r="UR47" s="15"/>
      <c r="US47" s="15"/>
      <c r="UT47" s="15"/>
      <c r="UU47" s="15"/>
      <c r="UV47" s="15"/>
      <c r="UW47" s="15"/>
      <c r="UX47" s="15"/>
      <c r="UY47" s="15"/>
      <c r="UZ47" s="15"/>
      <c r="VA47" s="15"/>
      <c r="VB47" s="15"/>
      <c r="VC47" s="15"/>
      <c r="VD47" s="15"/>
      <c r="VE47" s="15"/>
      <c r="VF47" s="15"/>
      <c r="VG47" s="15"/>
      <c r="VH47" s="15"/>
      <c r="VI47" s="15"/>
      <c r="VJ47" s="15"/>
      <c r="VK47" s="15"/>
      <c r="VL47" s="15"/>
      <c r="VM47" s="15"/>
      <c r="VN47" s="15"/>
      <c r="VO47" s="15"/>
      <c r="VP47" s="15"/>
      <c r="VQ47" s="15"/>
      <c r="VR47" s="15"/>
      <c r="VS47" s="15"/>
      <c r="VT47" s="15"/>
      <c r="VU47" s="15"/>
      <c r="VV47" s="15"/>
      <c r="VW47" s="15"/>
      <c r="VX47" s="15"/>
      <c r="VY47" s="15"/>
      <c r="VZ47" s="15"/>
      <c r="WA47" s="15"/>
      <c r="WB47" s="15"/>
      <c r="WC47" s="15"/>
      <c r="WD47" s="15"/>
      <c r="WE47" s="15"/>
      <c r="WF47" s="15"/>
      <c r="WG47" s="15"/>
      <c r="WH47" s="15"/>
      <c r="WI47" s="15"/>
      <c r="WJ47" s="15"/>
      <c r="WK47" s="15"/>
      <c r="WL47" s="15"/>
      <c r="WM47" s="15"/>
      <c r="WN47" s="15"/>
      <c r="WO47" s="15"/>
      <c r="WP47" s="15"/>
      <c r="WQ47" s="15"/>
      <c r="WR47" s="15"/>
      <c r="WS47" s="15"/>
      <c r="WT47" s="15"/>
      <c r="WU47" s="15"/>
      <c r="WV47" s="15"/>
      <c r="WW47" s="15"/>
      <c r="WX47" s="15"/>
      <c r="WY47" s="15"/>
      <c r="WZ47" s="15"/>
      <c r="XA47" s="15"/>
      <c r="XB47" s="15"/>
      <c r="XC47" s="15"/>
      <c r="XD47" s="15"/>
      <c r="XE47" s="15"/>
      <c r="XF47" s="15"/>
      <c r="XG47" s="15"/>
      <c r="XH47" s="15"/>
      <c r="XI47" s="15"/>
      <c r="XJ47" s="15"/>
      <c r="XK47" s="15"/>
      <c r="XL47" s="15"/>
      <c r="XM47" s="15"/>
      <c r="XN47" s="15"/>
      <c r="XO47" s="15"/>
      <c r="XP47" s="15"/>
      <c r="XQ47" s="15"/>
      <c r="XR47" s="15"/>
      <c r="XS47" s="15"/>
      <c r="XT47" s="15"/>
      <c r="XU47" s="15"/>
      <c r="XV47" s="15"/>
      <c r="XW47" s="15"/>
      <c r="XX47" s="15"/>
      <c r="XY47" s="15"/>
      <c r="XZ47" s="15"/>
      <c r="YA47" s="15"/>
      <c r="YB47" s="15"/>
      <c r="YC47" s="15"/>
      <c r="YD47" s="15"/>
      <c r="YE47" s="15"/>
      <c r="YF47" s="15"/>
      <c r="YG47" s="15"/>
      <c r="YH47" s="15"/>
      <c r="YI47" s="15"/>
      <c r="YJ47" s="15"/>
      <c r="YK47" s="15"/>
      <c r="YL47" s="15"/>
      <c r="YM47" s="15"/>
      <c r="YN47" s="15"/>
      <c r="YO47" s="15"/>
      <c r="YP47" s="15"/>
      <c r="YQ47" s="15"/>
      <c r="YR47" s="15"/>
      <c r="YS47" s="15"/>
      <c r="YT47" s="15"/>
      <c r="YU47" s="15"/>
      <c r="YV47" s="15"/>
      <c r="YW47" s="15"/>
      <c r="YX47" s="15"/>
      <c r="YY47" s="15"/>
      <c r="YZ47" s="15"/>
      <c r="ZA47" s="15"/>
      <c r="ZB47" s="15"/>
      <c r="ZC47" s="15"/>
      <c r="ZD47" s="15"/>
      <c r="ZE47" s="15"/>
      <c r="ZF47" s="15"/>
      <c r="ZG47" s="15"/>
      <c r="ZH47" s="15"/>
      <c r="ZI47" s="15"/>
      <c r="ZJ47" s="15"/>
      <c r="ZK47" s="15"/>
      <c r="ZL47" s="15"/>
      <c r="ZM47" s="15"/>
      <c r="ZN47" s="15"/>
      <c r="ZO47" s="15"/>
      <c r="ZP47" s="15"/>
      <c r="ZQ47" s="15"/>
      <c r="ZR47" s="15"/>
      <c r="ZS47" s="15"/>
      <c r="ZT47" s="15"/>
      <c r="ZU47" s="15"/>
      <c r="ZV47" s="15"/>
      <c r="ZW47" s="15"/>
      <c r="ZX47" s="15"/>
      <c r="ZY47" s="15"/>
      <c r="ZZ47" s="15"/>
      <c r="AAA47" s="15"/>
      <c r="AAB47" s="15"/>
      <c r="AAC47" s="15"/>
      <c r="AAD47" s="15"/>
      <c r="AAE47" s="15"/>
      <c r="AAF47" s="15"/>
      <c r="AAG47" s="15"/>
      <c r="AAH47" s="15"/>
      <c r="AAI47" s="15"/>
      <c r="AAJ47" s="15"/>
      <c r="AAK47" s="15"/>
      <c r="AAL47" s="15"/>
      <c r="AAM47" s="15"/>
      <c r="AAN47" s="15"/>
      <c r="AAO47" s="15"/>
      <c r="AAP47" s="15"/>
      <c r="AAQ47" s="15"/>
      <c r="AAR47" s="15"/>
      <c r="AAS47" s="15"/>
      <c r="AAT47" s="15"/>
      <c r="AAU47" s="15"/>
      <c r="AAV47" s="15"/>
      <c r="AAW47" s="15"/>
      <c r="AAX47" s="15"/>
      <c r="AAY47" s="15"/>
      <c r="AAZ47" s="15"/>
      <c r="ABA47" s="15"/>
      <c r="ABB47" s="15"/>
      <c r="ABC47" s="15"/>
      <c r="ABD47" s="15"/>
      <c r="ABE47" s="15"/>
      <c r="ABF47" s="15"/>
      <c r="ABG47" s="15"/>
      <c r="ABH47" s="15"/>
      <c r="ABI47" s="15"/>
      <c r="ABJ47" s="15"/>
      <c r="ABK47" s="15"/>
      <c r="ABL47" s="15"/>
      <c r="ABM47" s="15"/>
      <c r="ABN47" s="15"/>
      <c r="ABO47" s="15"/>
      <c r="ABP47" s="15"/>
      <c r="ABQ47" s="15"/>
      <c r="ABR47" s="15"/>
      <c r="ABS47" s="15"/>
      <c r="ABT47" s="15"/>
      <c r="ABU47" s="15"/>
      <c r="ABV47" s="15"/>
      <c r="ABW47" s="15"/>
      <c r="ABX47" s="15"/>
      <c r="ABY47" s="15"/>
      <c r="ABZ47" s="15"/>
      <c r="ACA47" s="15"/>
      <c r="ACB47" s="15"/>
      <c r="ACC47" s="15"/>
      <c r="ACD47" s="15"/>
      <c r="ACE47" s="15"/>
      <c r="ACF47" s="15"/>
      <c r="ACG47" s="15"/>
      <c r="ACH47" s="15"/>
      <c r="ACI47" s="15"/>
      <c r="ACJ47" s="15"/>
      <c r="ACK47" s="15"/>
      <c r="ACL47" s="15"/>
      <c r="ACM47" s="15"/>
      <c r="ACN47" s="15"/>
      <c r="ACO47" s="15"/>
      <c r="ACP47" s="15"/>
      <c r="ACQ47" s="15"/>
      <c r="ACR47" s="15"/>
      <c r="ACS47" s="15"/>
      <c r="ACT47" s="15"/>
      <c r="ACU47" s="15"/>
      <c r="ACV47" s="15"/>
      <c r="ACW47" s="15"/>
      <c r="ACX47" s="15"/>
      <c r="ACY47" s="15"/>
      <c r="ACZ47" s="15"/>
      <c r="ADA47" s="15"/>
      <c r="ADB47" s="15"/>
      <c r="ADC47" s="15"/>
      <c r="ADD47" s="15"/>
      <c r="ADE47" s="15"/>
      <c r="ADF47" s="15"/>
      <c r="ADG47" s="15"/>
      <c r="ADH47" s="15"/>
      <c r="ADI47" s="15"/>
      <c r="ADJ47" s="15"/>
      <c r="ADK47" s="15"/>
      <c r="ADL47" s="15"/>
      <c r="ADM47" s="15"/>
      <c r="ADN47" s="15"/>
      <c r="ADO47" s="15"/>
      <c r="ADP47" s="15"/>
      <c r="ADQ47" s="15"/>
      <c r="ADR47" s="15"/>
      <c r="ADS47" s="15"/>
      <c r="ADT47" s="15"/>
      <c r="ADU47" s="15"/>
      <c r="ADV47" s="15"/>
      <c r="ADW47" s="15"/>
      <c r="ADX47" s="15"/>
      <c r="ADY47" s="15"/>
      <c r="ADZ47" s="15"/>
      <c r="AEA47" s="15"/>
      <c r="AEB47" s="15"/>
      <c r="AEC47" s="15"/>
      <c r="AED47" s="15"/>
      <c r="AEE47" s="15"/>
      <c r="AEF47" s="15"/>
      <c r="AEG47" s="15"/>
      <c r="AEH47" s="15"/>
      <c r="AEI47" s="15"/>
      <c r="AEJ47" s="15"/>
      <c r="AEK47" s="15"/>
      <c r="AEL47" s="15"/>
      <c r="AEM47" s="15"/>
      <c r="AEN47" s="15"/>
      <c r="AEO47" s="15"/>
      <c r="AEP47" s="15"/>
      <c r="AEQ47" s="15"/>
      <c r="AER47" s="15"/>
      <c r="AES47" s="15"/>
      <c r="AET47" s="15"/>
      <c r="AEU47" s="15"/>
      <c r="AEV47" s="15"/>
      <c r="AEW47" s="15"/>
      <c r="AEX47" s="15"/>
      <c r="AEY47" s="15"/>
      <c r="AEZ47" s="15"/>
      <c r="AFA47" s="15"/>
      <c r="AFB47" s="15"/>
      <c r="AFC47" s="15"/>
      <c r="AFD47" s="15"/>
      <c r="AFE47" s="15"/>
      <c r="AFF47" s="15"/>
      <c r="AFG47" s="15"/>
      <c r="AFH47" s="15"/>
      <c r="AFI47" s="15"/>
      <c r="AFJ47" s="15"/>
      <c r="AFK47" s="15"/>
      <c r="AFL47" s="15"/>
      <c r="AFM47" s="15"/>
      <c r="AFN47" s="15"/>
      <c r="AFO47" s="15"/>
      <c r="AFP47" s="15"/>
      <c r="AFQ47" s="15"/>
      <c r="AFR47" s="15"/>
      <c r="AFS47" s="15"/>
      <c r="AFT47" s="15"/>
      <c r="AFU47" s="15"/>
      <c r="AFV47" s="15"/>
      <c r="AFW47" s="15"/>
      <c r="AFX47" s="15"/>
      <c r="AFY47" s="15"/>
      <c r="AFZ47" s="15"/>
      <c r="AGA47" s="15"/>
      <c r="AGB47" s="15"/>
      <c r="AGC47" s="15"/>
      <c r="AGD47" s="15"/>
      <c r="AGE47" s="15"/>
      <c r="AGF47" s="15"/>
      <c r="AGG47" s="15"/>
      <c r="AGH47" s="15"/>
      <c r="AGI47" s="15"/>
      <c r="AGJ47" s="15"/>
      <c r="AGK47" s="15"/>
      <c r="AGL47" s="15"/>
      <c r="AGM47" s="15"/>
      <c r="AGN47" s="15"/>
      <c r="AGO47" s="15"/>
      <c r="AGP47" s="15"/>
      <c r="AGQ47" s="15"/>
      <c r="AGR47" s="15"/>
      <c r="AGS47" s="15"/>
      <c r="AGT47" s="15"/>
      <c r="AGU47" s="15"/>
      <c r="AGV47" s="15"/>
      <c r="AGW47" s="15"/>
      <c r="AGX47" s="15"/>
      <c r="AGY47" s="15"/>
      <c r="AGZ47" s="15"/>
      <c r="AHA47" s="15"/>
      <c r="AHB47" s="15"/>
      <c r="AHC47" s="15"/>
      <c r="AHD47" s="15"/>
      <c r="AHE47" s="15"/>
      <c r="AHF47" s="15"/>
      <c r="AHG47" s="15"/>
      <c r="AHH47" s="15"/>
      <c r="AHI47" s="15"/>
      <c r="AHJ47" s="15"/>
      <c r="AHK47" s="15"/>
      <c r="AHL47" s="15"/>
      <c r="AHM47" s="15"/>
      <c r="AHN47" s="15"/>
      <c r="AHO47" s="15"/>
      <c r="AHP47" s="15"/>
      <c r="AHQ47" s="15"/>
      <c r="AHR47" s="15"/>
      <c r="AHS47" s="15"/>
      <c r="AHT47" s="15"/>
      <c r="AHU47" s="15"/>
      <c r="AHV47" s="15"/>
      <c r="AHW47" s="15"/>
      <c r="AHX47" s="15"/>
      <c r="AHY47" s="15"/>
      <c r="AHZ47" s="15"/>
      <c r="AIA47" s="15"/>
      <c r="AIB47" s="15"/>
      <c r="AIC47" s="15"/>
      <c r="AID47" s="15"/>
      <c r="AIE47" s="15"/>
      <c r="AIF47" s="15"/>
      <c r="AIG47" s="15"/>
      <c r="AIH47" s="15"/>
      <c r="AII47" s="15"/>
      <c r="AIJ47" s="15"/>
      <c r="AIK47" s="15"/>
      <c r="AIL47" s="15"/>
      <c r="AIM47" s="15"/>
      <c r="AIN47" s="15"/>
      <c r="AIO47" s="15"/>
      <c r="AIP47" s="15"/>
      <c r="AIQ47" s="15"/>
      <c r="AIR47" s="15"/>
      <c r="AIS47" s="15"/>
      <c r="AIT47" s="15"/>
      <c r="AIU47" s="15"/>
      <c r="AIV47" s="15"/>
      <c r="AIW47" s="15"/>
      <c r="AIX47" s="15"/>
      <c r="AIY47" s="15"/>
      <c r="AIZ47" s="15"/>
      <c r="AJA47" s="15"/>
      <c r="AJB47" s="15"/>
      <c r="AJC47" s="15"/>
      <c r="AJD47" s="15"/>
      <c r="AJE47" s="15"/>
      <c r="AJF47" s="15"/>
      <c r="AJG47" s="15"/>
      <c r="AJH47" s="15"/>
      <c r="AJI47" s="15"/>
      <c r="AJJ47" s="15"/>
      <c r="AJK47" s="15"/>
      <c r="AJL47" s="15"/>
      <c r="AJM47" s="15"/>
      <c r="AJN47" s="15"/>
      <c r="AJO47" s="15"/>
      <c r="AJP47" s="15"/>
      <c r="AJQ47" s="15"/>
      <c r="AJR47" s="15"/>
      <c r="AJS47" s="15"/>
      <c r="AJT47" s="15"/>
      <c r="AJU47" s="15"/>
      <c r="AJV47" s="15"/>
      <c r="AJW47" s="15"/>
      <c r="AJX47" s="15"/>
      <c r="AJY47" s="15"/>
      <c r="AJZ47" s="15"/>
      <c r="AKA47" s="15"/>
      <c r="AKB47" s="15"/>
      <c r="AKC47" s="15"/>
      <c r="AKD47" s="15"/>
      <c r="AKE47" s="15"/>
      <c r="AKF47" s="15"/>
      <c r="AKG47" s="15"/>
      <c r="AKH47" s="15"/>
      <c r="AKI47" s="15"/>
      <c r="AKJ47" s="15"/>
      <c r="AKK47" s="15"/>
      <c r="AKL47" s="15"/>
      <c r="AKM47" s="15"/>
      <c r="AKN47" s="15"/>
      <c r="AKO47" s="15"/>
      <c r="AKP47" s="15"/>
      <c r="AKQ47" s="15"/>
      <c r="AKR47" s="15"/>
      <c r="AKS47" s="15"/>
      <c r="AKT47" s="15"/>
      <c r="AKU47" s="15"/>
      <c r="AKV47" s="15"/>
      <c r="AKW47" s="15"/>
      <c r="AKX47" s="15"/>
      <c r="AKY47" s="15"/>
      <c r="AKZ47" s="15"/>
      <c r="ALA47" s="15"/>
      <c r="ALB47" s="15"/>
      <c r="ALC47" s="15"/>
      <c r="ALD47" s="15"/>
      <c r="ALE47" s="15"/>
      <c r="ALF47" s="15"/>
      <c r="ALG47" s="15"/>
      <c r="ALH47" s="15"/>
      <c r="ALI47" s="15"/>
      <c r="ALJ47" s="15"/>
      <c r="ALK47" s="15"/>
      <c r="ALL47" s="15"/>
      <c r="ALM47" s="15"/>
      <c r="ALN47" s="15"/>
      <c r="ALO47" s="15"/>
      <c r="ALP47" s="15"/>
      <c r="ALQ47" s="15"/>
      <c r="ALR47" s="15"/>
      <c r="ALS47" s="15"/>
      <c r="ALT47" s="15"/>
      <c r="ALU47" s="15"/>
      <c r="ALV47" s="15"/>
      <c r="ALW47" s="15"/>
      <c r="ALX47" s="15"/>
      <c r="ALY47" s="15"/>
      <c r="ALZ47" s="15"/>
      <c r="AMA47" s="15"/>
      <c r="AMB47" s="15"/>
      <c r="AMC47" s="15"/>
      <c r="AMD47" s="15"/>
      <c r="AME47" s="15"/>
      <c r="AMF47" s="15"/>
      <c r="AMG47" s="14"/>
      <c r="AMH47" s="14"/>
      <c r="AMI47" s="14"/>
      <c r="AMJ47" s="14"/>
    </row>
    <row r="48" spans="1:1024" s="13" customFormat="1" ht="87" hidden="1" x14ac:dyDescent="0.35">
      <c r="A48" s="83">
        <v>43653</v>
      </c>
      <c r="B48" s="29" t="s">
        <v>395</v>
      </c>
      <c r="C48" s="29" t="s">
        <v>394</v>
      </c>
      <c r="D48" s="30">
        <v>43656</v>
      </c>
      <c r="E48" s="29" t="s">
        <v>393</v>
      </c>
      <c r="F48" s="31">
        <v>0.67708333333333304</v>
      </c>
      <c r="G48" s="31">
        <v>0.70833333333333304</v>
      </c>
      <c r="H48" s="31">
        <v>0.75</v>
      </c>
      <c r="I48" s="29">
        <v>240</v>
      </c>
      <c r="J48" s="17" t="s">
        <v>392</v>
      </c>
      <c r="K48" s="17" t="s">
        <v>15</v>
      </c>
      <c r="L48" s="16" t="s">
        <v>17</v>
      </c>
      <c r="M48" s="15">
        <v>240</v>
      </c>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c r="EC48" s="15"/>
      <c r="ED48" s="15"/>
      <c r="EE48" s="15"/>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c r="ID48" s="15"/>
      <c r="IE48" s="15"/>
      <c r="IF48" s="15"/>
      <c r="IG48" s="15"/>
      <c r="IH48" s="15"/>
      <c r="II48" s="15"/>
      <c r="IJ48" s="15"/>
      <c r="IK48" s="15"/>
      <c r="IL48" s="15"/>
      <c r="IM48" s="15"/>
      <c r="IN48" s="15"/>
      <c r="IO48" s="15"/>
      <c r="IP48" s="15"/>
      <c r="IQ48" s="15"/>
      <c r="IR48" s="15"/>
      <c r="IS48" s="15"/>
      <c r="IT48" s="15"/>
      <c r="IU48" s="15"/>
      <c r="IV48" s="15"/>
      <c r="IW48" s="15"/>
      <c r="IX48" s="15"/>
      <c r="IY48" s="15"/>
      <c r="IZ48" s="15"/>
      <c r="JA48" s="15"/>
      <c r="JB48" s="15"/>
      <c r="JC48" s="15"/>
      <c r="JD48" s="15"/>
      <c r="JE48" s="15"/>
      <c r="JF48" s="15"/>
      <c r="JG48" s="15"/>
      <c r="JH48" s="15"/>
      <c r="JI48" s="15"/>
      <c r="JJ48" s="15"/>
      <c r="JK48" s="15"/>
      <c r="JL48" s="15"/>
      <c r="JM48" s="15"/>
      <c r="JN48" s="15"/>
      <c r="JO48" s="15"/>
      <c r="JP48" s="15"/>
      <c r="JQ48" s="15"/>
      <c r="JR48" s="15"/>
      <c r="JS48" s="15"/>
      <c r="JT48" s="15"/>
      <c r="JU48" s="15"/>
      <c r="JV48" s="15"/>
      <c r="JW48" s="15"/>
      <c r="JX48" s="15"/>
      <c r="JY48" s="15"/>
      <c r="JZ48" s="15"/>
      <c r="KA48" s="15"/>
      <c r="KB48" s="15"/>
      <c r="KC48" s="15"/>
      <c r="KD48" s="15"/>
      <c r="KE48" s="15"/>
      <c r="KF48" s="15"/>
      <c r="KG48" s="15"/>
      <c r="KH48" s="15"/>
      <c r="KI48" s="15"/>
      <c r="KJ48" s="15"/>
      <c r="KK48" s="15"/>
      <c r="KL48" s="15"/>
      <c r="KM48" s="15"/>
      <c r="KN48" s="15"/>
      <c r="KO48" s="15"/>
      <c r="KP48" s="15"/>
      <c r="KQ48" s="15"/>
      <c r="KR48" s="15"/>
      <c r="KS48" s="15"/>
      <c r="KT48" s="15"/>
      <c r="KU48" s="15"/>
      <c r="KV48" s="15"/>
      <c r="KW48" s="15"/>
      <c r="KX48" s="15"/>
      <c r="KY48" s="15"/>
      <c r="KZ48" s="15"/>
      <c r="LA48" s="15"/>
      <c r="LB48" s="15"/>
      <c r="LC48" s="15"/>
      <c r="LD48" s="15"/>
      <c r="LE48" s="15"/>
      <c r="LF48" s="15"/>
      <c r="LG48" s="15"/>
      <c r="LH48" s="15"/>
      <c r="LI48" s="15"/>
      <c r="LJ48" s="15"/>
      <c r="LK48" s="15"/>
      <c r="LL48" s="15"/>
      <c r="LM48" s="15"/>
      <c r="LN48" s="15"/>
      <c r="LO48" s="15"/>
      <c r="LP48" s="15"/>
      <c r="LQ48" s="15"/>
      <c r="LR48" s="15"/>
      <c r="LS48" s="15"/>
      <c r="LT48" s="15"/>
      <c r="LU48" s="15"/>
      <c r="LV48" s="15"/>
      <c r="LW48" s="15"/>
      <c r="LX48" s="15"/>
      <c r="LY48" s="15"/>
      <c r="LZ48" s="15"/>
      <c r="MA48" s="15"/>
      <c r="MB48" s="15"/>
      <c r="MC48" s="15"/>
      <c r="MD48" s="15"/>
      <c r="ME48" s="15"/>
      <c r="MF48" s="15"/>
      <c r="MG48" s="15"/>
      <c r="MH48" s="15"/>
      <c r="MI48" s="15"/>
      <c r="MJ48" s="15"/>
      <c r="MK48" s="15"/>
      <c r="ML48" s="15"/>
      <c r="MM48" s="15"/>
      <c r="MN48" s="15"/>
      <c r="MO48" s="15"/>
      <c r="MP48" s="15"/>
      <c r="MQ48" s="15"/>
      <c r="MR48" s="15"/>
      <c r="MS48" s="15"/>
      <c r="MT48" s="15"/>
      <c r="MU48" s="15"/>
      <c r="MV48" s="15"/>
      <c r="MW48" s="15"/>
      <c r="MX48" s="15"/>
      <c r="MY48" s="15"/>
      <c r="MZ48" s="15"/>
      <c r="NA48" s="15"/>
      <c r="NB48" s="15"/>
      <c r="NC48" s="15"/>
      <c r="ND48" s="15"/>
      <c r="NE48" s="15"/>
      <c r="NF48" s="15"/>
      <c r="NG48" s="15"/>
      <c r="NH48" s="15"/>
      <c r="NI48" s="15"/>
      <c r="NJ48" s="15"/>
      <c r="NK48" s="15"/>
      <c r="NL48" s="15"/>
      <c r="NM48" s="15"/>
      <c r="NN48" s="15"/>
      <c r="NO48" s="15"/>
      <c r="NP48" s="15"/>
      <c r="NQ48" s="15"/>
      <c r="NR48" s="15"/>
      <c r="NS48" s="15"/>
      <c r="NT48" s="15"/>
      <c r="NU48" s="15"/>
      <c r="NV48" s="15"/>
      <c r="NW48" s="15"/>
      <c r="NX48" s="15"/>
      <c r="NY48" s="15"/>
      <c r="NZ48" s="15"/>
      <c r="OA48" s="15"/>
      <c r="OB48" s="15"/>
      <c r="OC48" s="15"/>
      <c r="OD48" s="15"/>
      <c r="OE48" s="15"/>
      <c r="OF48" s="15"/>
      <c r="OG48" s="15"/>
      <c r="OH48" s="15"/>
      <c r="OI48" s="15"/>
      <c r="OJ48" s="15"/>
      <c r="OK48" s="15"/>
      <c r="OL48" s="15"/>
      <c r="OM48" s="15"/>
      <c r="ON48" s="15"/>
      <c r="OO48" s="15"/>
      <c r="OP48" s="15"/>
      <c r="OQ48" s="15"/>
      <c r="OR48" s="15"/>
      <c r="OS48" s="15"/>
      <c r="OT48" s="15"/>
      <c r="OU48" s="15"/>
      <c r="OV48" s="15"/>
      <c r="OW48" s="15"/>
      <c r="OX48" s="15"/>
      <c r="OY48" s="15"/>
      <c r="OZ48" s="15"/>
      <c r="PA48" s="15"/>
      <c r="PB48" s="15"/>
      <c r="PC48" s="15"/>
      <c r="PD48" s="15"/>
      <c r="PE48" s="15"/>
      <c r="PF48" s="15"/>
      <c r="PG48" s="15"/>
      <c r="PH48" s="15"/>
      <c r="PI48" s="15"/>
      <c r="PJ48" s="15"/>
      <c r="PK48" s="15"/>
      <c r="PL48" s="15"/>
      <c r="PM48" s="15"/>
      <c r="PN48" s="15"/>
      <c r="PO48" s="15"/>
      <c r="PP48" s="15"/>
      <c r="PQ48" s="15"/>
      <c r="PR48" s="15"/>
      <c r="PS48" s="15"/>
      <c r="PT48" s="15"/>
      <c r="PU48" s="15"/>
      <c r="PV48" s="15"/>
      <c r="PW48" s="15"/>
      <c r="PX48" s="15"/>
      <c r="PY48" s="15"/>
      <c r="PZ48" s="15"/>
      <c r="QA48" s="15"/>
      <c r="QB48" s="15"/>
      <c r="QC48" s="15"/>
      <c r="QD48" s="15"/>
      <c r="QE48" s="15"/>
      <c r="QF48" s="15"/>
      <c r="QG48" s="15"/>
      <c r="QH48" s="15"/>
      <c r="QI48" s="15"/>
      <c r="QJ48" s="15"/>
      <c r="QK48" s="15"/>
      <c r="QL48" s="15"/>
      <c r="QM48" s="15"/>
      <c r="QN48" s="15"/>
      <c r="QO48" s="15"/>
      <c r="QP48" s="15"/>
      <c r="QQ48" s="15"/>
      <c r="QR48" s="15"/>
      <c r="QS48" s="15"/>
      <c r="QT48" s="15"/>
      <c r="QU48" s="15"/>
      <c r="QV48" s="15"/>
      <c r="QW48" s="15"/>
      <c r="QX48" s="15"/>
      <c r="QY48" s="15"/>
      <c r="QZ48" s="15"/>
      <c r="RA48" s="15"/>
      <c r="RB48" s="15"/>
      <c r="RC48" s="15"/>
      <c r="RD48" s="15"/>
      <c r="RE48" s="15"/>
      <c r="RF48" s="15"/>
      <c r="RG48" s="15"/>
      <c r="RH48" s="15"/>
      <c r="RI48" s="15"/>
      <c r="RJ48" s="15"/>
      <c r="RK48" s="15"/>
      <c r="RL48" s="15"/>
      <c r="RM48" s="15"/>
      <c r="RN48" s="15"/>
      <c r="RO48" s="15"/>
      <c r="RP48" s="15"/>
      <c r="RQ48" s="15"/>
      <c r="RR48" s="15"/>
      <c r="RS48" s="15"/>
      <c r="RT48" s="15"/>
      <c r="RU48" s="15"/>
      <c r="RV48" s="15"/>
      <c r="RW48" s="15"/>
      <c r="RX48" s="15"/>
      <c r="RY48" s="15"/>
      <c r="RZ48" s="15"/>
      <c r="SA48" s="15"/>
      <c r="SB48" s="15"/>
      <c r="SC48" s="15"/>
      <c r="SD48" s="15"/>
      <c r="SE48" s="15"/>
      <c r="SF48" s="15"/>
      <c r="SG48" s="15"/>
      <c r="SH48" s="15"/>
      <c r="SI48" s="15"/>
      <c r="SJ48" s="15"/>
      <c r="SK48" s="15"/>
      <c r="SL48" s="15"/>
      <c r="SM48" s="15"/>
      <c r="SN48" s="15"/>
      <c r="SO48" s="15"/>
      <c r="SP48" s="15"/>
      <c r="SQ48" s="15"/>
      <c r="SR48" s="15"/>
      <c r="SS48" s="15"/>
      <c r="ST48" s="15"/>
      <c r="SU48" s="15"/>
      <c r="SV48" s="15"/>
      <c r="SW48" s="15"/>
      <c r="SX48" s="15"/>
      <c r="SY48" s="15"/>
      <c r="SZ48" s="15"/>
      <c r="TA48" s="15"/>
      <c r="TB48" s="15"/>
      <c r="TC48" s="15"/>
      <c r="TD48" s="15"/>
      <c r="TE48" s="15"/>
      <c r="TF48" s="15"/>
      <c r="TG48" s="15"/>
      <c r="TH48" s="15"/>
      <c r="TI48" s="15"/>
      <c r="TJ48" s="15"/>
      <c r="TK48" s="15"/>
      <c r="TL48" s="15"/>
      <c r="TM48" s="15"/>
      <c r="TN48" s="15"/>
      <c r="TO48" s="15"/>
      <c r="TP48" s="15"/>
      <c r="TQ48" s="15"/>
      <c r="TR48" s="15"/>
      <c r="TS48" s="15"/>
      <c r="TT48" s="15"/>
      <c r="TU48" s="15"/>
      <c r="TV48" s="15"/>
      <c r="TW48" s="15"/>
      <c r="TX48" s="15"/>
      <c r="TY48" s="15"/>
      <c r="TZ48" s="15"/>
      <c r="UA48" s="15"/>
      <c r="UB48" s="15"/>
      <c r="UC48" s="15"/>
      <c r="UD48" s="15"/>
      <c r="UE48" s="15"/>
      <c r="UF48" s="15"/>
      <c r="UG48" s="15"/>
      <c r="UH48" s="15"/>
      <c r="UI48" s="15"/>
      <c r="UJ48" s="15"/>
      <c r="UK48" s="15"/>
      <c r="UL48" s="15"/>
      <c r="UM48" s="15"/>
      <c r="UN48" s="15"/>
      <c r="UO48" s="15"/>
      <c r="UP48" s="15"/>
      <c r="UQ48" s="15"/>
      <c r="UR48" s="15"/>
      <c r="US48" s="15"/>
      <c r="UT48" s="15"/>
      <c r="UU48" s="15"/>
      <c r="UV48" s="15"/>
      <c r="UW48" s="15"/>
      <c r="UX48" s="15"/>
      <c r="UY48" s="15"/>
      <c r="UZ48" s="15"/>
      <c r="VA48" s="15"/>
      <c r="VB48" s="15"/>
      <c r="VC48" s="15"/>
      <c r="VD48" s="15"/>
      <c r="VE48" s="15"/>
      <c r="VF48" s="15"/>
      <c r="VG48" s="15"/>
      <c r="VH48" s="15"/>
      <c r="VI48" s="15"/>
      <c r="VJ48" s="15"/>
      <c r="VK48" s="15"/>
      <c r="VL48" s="15"/>
      <c r="VM48" s="15"/>
      <c r="VN48" s="15"/>
      <c r="VO48" s="15"/>
      <c r="VP48" s="15"/>
      <c r="VQ48" s="15"/>
      <c r="VR48" s="15"/>
      <c r="VS48" s="15"/>
      <c r="VT48" s="15"/>
      <c r="VU48" s="15"/>
      <c r="VV48" s="15"/>
      <c r="VW48" s="15"/>
      <c r="VX48" s="15"/>
      <c r="VY48" s="15"/>
      <c r="VZ48" s="15"/>
      <c r="WA48" s="15"/>
      <c r="WB48" s="15"/>
      <c r="WC48" s="15"/>
      <c r="WD48" s="15"/>
      <c r="WE48" s="15"/>
      <c r="WF48" s="15"/>
      <c r="WG48" s="15"/>
      <c r="WH48" s="15"/>
      <c r="WI48" s="15"/>
      <c r="WJ48" s="15"/>
      <c r="WK48" s="15"/>
      <c r="WL48" s="15"/>
      <c r="WM48" s="15"/>
      <c r="WN48" s="15"/>
      <c r="WO48" s="15"/>
      <c r="WP48" s="15"/>
      <c r="WQ48" s="15"/>
      <c r="WR48" s="15"/>
      <c r="WS48" s="15"/>
      <c r="WT48" s="15"/>
      <c r="WU48" s="15"/>
      <c r="WV48" s="15"/>
      <c r="WW48" s="15"/>
      <c r="WX48" s="15"/>
      <c r="WY48" s="15"/>
      <c r="WZ48" s="15"/>
      <c r="XA48" s="15"/>
      <c r="XB48" s="15"/>
      <c r="XC48" s="15"/>
      <c r="XD48" s="15"/>
      <c r="XE48" s="15"/>
      <c r="XF48" s="15"/>
      <c r="XG48" s="15"/>
      <c r="XH48" s="15"/>
      <c r="XI48" s="15"/>
      <c r="XJ48" s="15"/>
      <c r="XK48" s="15"/>
      <c r="XL48" s="15"/>
      <c r="XM48" s="15"/>
      <c r="XN48" s="15"/>
      <c r="XO48" s="15"/>
      <c r="XP48" s="15"/>
      <c r="XQ48" s="15"/>
      <c r="XR48" s="15"/>
      <c r="XS48" s="15"/>
      <c r="XT48" s="15"/>
      <c r="XU48" s="15"/>
      <c r="XV48" s="15"/>
      <c r="XW48" s="15"/>
      <c r="XX48" s="15"/>
      <c r="XY48" s="15"/>
      <c r="XZ48" s="15"/>
      <c r="YA48" s="15"/>
      <c r="YB48" s="15"/>
      <c r="YC48" s="15"/>
      <c r="YD48" s="15"/>
      <c r="YE48" s="15"/>
      <c r="YF48" s="15"/>
      <c r="YG48" s="15"/>
      <c r="YH48" s="15"/>
      <c r="YI48" s="15"/>
      <c r="YJ48" s="15"/>
      <c r="YK48" s="15"/>
      <c r="YL48" s="15"/>
      <c r="YM48" s="15"/>
      <c r="YN48" s="15"/>
      <c r="YO48" s="15"/>
      <c r="YP48" s="15"/>
      <c r="YQ48" s="15"/>
      <c r="YR48" s="15"/>
      <c r="YS48" s="15"/>
      <c r="YT48" s="15"/>
      <c r="YU48" s="15"/>
      <c r="YV48" s="15"/>
      <c r="YW48" s="15"/>
      <c r="YX48" s="15"/>
      <c r="YY48" s="15"/>
      <c r="YZ48" s="15"/>
      <c r="ZA48" s="15"/>
      <c r="ZB48" s="15"/>
      <c r="ZC48" s="15"/>
      <c r="ZD48" s="15"/>
      <c r="ZE48" s="15"/>
      <c r="ZF48" s="15"/>
      <c r="ZG48" s="15"/>
      <c r="ZH48" s="15"/>
      <c r="ZI48" s="15"/>
      <c r="ZJ48" s="15"/>
      <c r="ZK48" s="15"/>
      <c r="ZL48" s="15"/>
      <c r="ZM48" s="15"/>
      <c r="ZN48" s="15"/>
      <c r="ZO48" s="15"/>
      <c r="ZP48" s="15"/>
      <c r="ZQ48" s="15"/>
      <c r="ZR48" s="15"/>
      <c r="ZS48" s="15"/>
      <c r="ZT48" s="15"/>
      <c r="ZU48" s="15"/>
      <c r="ZV48" s="15"/>
      <c r="ZW48" s="15"/>
      <c r="ZX48" s="15"/>
      <c r="ZY48" s="15"/>
      <c r="ZZ48" s="15"/>
      <c r="AAA48" s="15"/>
      <c r="AAB48" s="15"/>
      <c r="AAC48" s="15"/>
      <c r="AAD48" s="15"/>
      <c r="AAE48" s="15"/>
      <c r="AAF48" s="15"/>
      <c r="AAG48" s="15"/>
      <c r="AAH48" s="15"/>
      <c r="AAI48" s="15"/>
      <c r="AAJ48" s="15"/>
      <c r="AAK48" s="15"/>
      <c r="AAL48" s="15"/>
      <c r="AAM48" s="15"/>
      <c r="AAN48" s="15"/>
      <c r="AAO48" s="15"/>
      <c r="AAP48" s="15"/>
      <c r="AAQ48" s="15"/>
      <c r="AAR48" s="15"/>
      <c r="AAS48" s="15"/>
      <c r="AAT48" s="15"/>
      <c r="AAU48" s="15"/>
      <c r="AAV48" s="15"/>
      <c r="AAW48" s="15"/>
      <c r="AAX48" s="15"/>
      <c r="AAY48" s="15"/>
      <c r="AAZ48" s="15"/>
      <c r="ABA48" s="15"/>
      <c r="ABB48" s="15"/>
      <c r="ABC48" s="15"/>
      <c r="ABD48" s="15"/>
      <c r="ABE48" s="15"/>
      <c r="ABF48" s="15"/>
      <c r="ABG48" s="15"/>
      <c r="ABH48" s="15"/>
      <c r="ABI48" s="15"/>
      <c r="ABJ48" s="15"/>
      <c r="ABK48" s="15"/>
      <c r="ABL48" s="15"/>
      <c r="ABM48" s="15"/>
      <c r="ABN48" s="15"/>
      <c r="ABO48" s="15"/>
      <c r="ABP48" s="15"/>
      <c r="ABQ48" s="15"/>
      <c r="ABR48" s="15"/>
      <c r="ABS48" s="15"/>
      <c r="ABT48" s="15"/>
      <c r="ABU48" s="15"/>
      <c r="ABV48" s="15"/>
      <c r="ABW48" s="15"/>
      <c r="ABX48" s="15"/>
      <c r="ABY48" s="15"/>
      <c r="ABZ48" s="15"/>
      <c r="ACA48" s="15"/>
      <c r="ACB48" s="15"/>
      <c r="ACC48" s="15"/>
      <c r="ACD48" s="15"/>
      <c r="ACE48" s="15"/>
      <c r="ACF48" s="15"/>
      <c r="ACG48" s="15"/>
      <c r="ACH48" s="15"/>
      <c r="ACI48" s="15"/>
      <c r="ACJ48" s="15"/>
      <c r="ACK48" s="15"/>
      <c r="ACL48" s="15"/>
      <c r="ACM48" s="15"/>
      <c r="ACN48" s="15"/>
      <c r="ACO48" s="15"/>
      <c r="ACP48" s="15"/>
      <c r="ACQ48" s="15"/>
      <c r="ACR48" s="15"/>
      <c r="ACS48" s="15"/>
      <c r="ACT48" s="15"/>
      <c r="ACU48" s="15"/>
      <c r="ACV48" s="15"/>
      <c r="ACW48" s="15"/>
      <c r="ACX48" s="15"/>
      <c r="ACY48" s="15"/>
      <c r="ACZ48" s="15"/>
      <c r="ADA48" s="15"/>
      <c r="ADB48" s="15"/>
      <c r="ADC48" s="15"/>
      <c r="ADD48" s="15"/>
      <c r="ADE48" s="15"/>
      <c r="ADF48" s="15"/>
      <c r="ADG48" s="15"/>
      <c r="ADH48" s="15"/>
      <c r="ADI48" s="15"/>
      <c r="ADJ48" s="15"/>
      <c r="ADK48" s="15"/>
      <c r="ADL48" s="15"/>
      <c r="ADM48" s="15"/>
      <c r="ADN48" s="15"/>
      <c r="ADO48" s="15"/>
      <c r="ADP48" s="15"/>
      <c r="ADQ48" s="15"/>
      <c r="ADR48" s="15"/>
      <c r="ADS48" s="15"/>
      <c r="ADT48" s="15"/>
      <c r="ADU48" s="15"/>
      <c r="ADV48" s="15"/>
      <c r="ADW48" s="15"/>
      <c r="ADX48" s="15"/>
      <c r="ADY48" s="15"/>
      <c r="ADZ48" s="15"/>
      <c r="AEA48" s="15"/>
      <c r="AEB48" s="15"/>
      <c r="AEC48" s="15"/>
      <c r="AED48" s="15"/>
      <c r="AEE48" s="15"/>
      <c r="AEF48" s="15"/>
      <c r="AEG48" s="15"/>
      <c r="AEH48" s="15"/>
      <c r="AEI48" s="15"/>
      <c r="AEJ48" s="15"/>
      <c r="AEK48" s="15"/>
      <c r="AEL48" s="15"/>
      <c r="AEM48" s="15"/>
      <c r="AEN48" s="15"/>
      <c r="AEO48" s="15"/>
      <c r="AEP48" s="15"/>
      <c r="AEQ48" s="15"/>
      <c r="AER48" s="15"/>
      <c r="AES48" s="15"/>
      <c r="AET48" s="15"/>
      <c r="AEU48" s="15"/>
      <c r="AEV48" s="15"/>
      <c r="AEW48" s="15"/>
      <c r="AEX48" s="15"/>
      <c r="AEY48" s="15"/>
      <c r="AEZ48" s="15"/>
      <c r="AFA48" s="15"/>
      <c r="AFB48" s="15"/>
      <c r="AFC48" s="15"/>
      <c r="AFD48" s="15"/>
      <c r="AFE48" s="15"/>
      <c r="AFF48" s="15"/>
      <c r="AFG48" s="15"/>
      <c r="AFH48" s="15"/>
      <c r="AFI48" s="15"/>
      <c r="AFJ48" s="15"/>
      <c r="AFK48" s="15"/>
      <c r="AFL48" s="15"/>
      <c r="AFM48" s="15"/>
      <c r="AFN48" s="15"/>
      <c r="AFO48" s="15"/>
      <c r="AFP48" s="15"/>
      <c r="AFQ48" s="15"/>
      <c r="AFR48" s="15"/>
      <c r="AFS48" s="15"/>
      <c r="AFT48" s="15"/>
      <c r="AFU48" s="15"/>
      <c r="AFV48" s="15"/>
      <c r="AFW48" s="15"/>
      <c r="AFX48" s="15"/>
      <c r="AFY48" s="15"/>
      <c r="AFZ48" s="15"/>
      <c r="AGA48" s="15"/>
      <c r="AGB48" s="15"/>
      <c r="AGC48" s="15"/>
      <c r="AGD48" s="15"/>
      <c r="AGE48" s="15"/>
      <c r="AGF48" s="15"/>
      <c r="AGG48" s="15"/>
      <c r="AGH48" s="15"/>
      <c r="AGI48" s="15"/>
      <c r="AGJ48" s="15"/>
      <c r="AGK48" s="15"/>
      <c r="AGL48" s="15"/>
      <c r="AGM48" s="15"/>
      <c r="AGN48" s="15"/>
      <c r="AGO48" s="15"/>
      <c r="AGP48" s="15"/>
      <c r="AGQ48" s="15"/>
      <c r="AGR48" s="15"/>
      <c r="AGS48" s="15"/>
      <c r="AGT48" s="15"/>
      <c r="AGU48" s="15"/>
      <c r="AGV48" s="15"/>
      <c r="AGW48" s="15"/>
      <c r="AGX48" s="15"/>
      <c r="AGY48" s="15"/>
      <c r="AGZ48" s="15"/>
      <c r="AHA48" s="15"/>
      <c r="AHB48" s="15"/>
      <c r="AHC48" s="15"/>
      <c r="AHD48" s="15"/>
      <c r="AHE48" s="15"/>
      <c r="AHF48" s="15"/>
      <c r="AHG48" s="15"/>
      <c r="AHH48" s="15"/>
      <c r="AHI48" s="15"/>
      <c r="AHJ48" s="15"/>
      <c r="AHK48" s="15"/>
      <c r="AHL48" s="15"/>
      <c r="AHM48" s="15"/>
      <c r="AHN48" s="15"/>
      <c r="AHO48" s="15"/>
      <c r="AHP48" s="15"/>
      <c r="AHQ48" s="15"/>
      <c r="AHR48" s="15"/>
      <c r="AHS48" s="15"/>
      <c r="AHT48" s="15"/>
      <c r="AHU48" s="15"/>
      <c r="AHV48" s="15"/>
      <c r="AHW48" s="15"/>
      <c r="AHX48" s="15"/>
      <c r="AHY48" s="15"/>
      <c r="AHZ48" s="15"/>
      <c r="AIA48" s="15"/>
      <c r="AIB48" s="15"/>
      <c r="AIC48" s="15"/>
      <c r="AID48" s="15"/>
      <c r="AIE48" s="15"/>
      <c r="AIF48" s="15"/>
      <c r="AIG48" s="15"/>
      <c r="AIH48" s="15"/>
      <c r="AII48" s="15"/>
      <c r="AIJ48" s="15"/>
      <c r="AIK48" s="15"/>
      <c r="AIL48" s="15"/>
      <c r="AIM48" s="15"/>
      <c r="AIN48" s="15"/>
      <c r="AIO48" s="15"/>
      <c r="AIP48" s="15"/>
      <c r="AIQ48" s="15"/>
      <c r="AIR48" s="15"/>
      <c r="AIS48" s="15"/>
      <c r="AIT48" s="15"/>
      <c r="AIU48" s="15"/>
      <c r="AIV48" s="15"/>
      <c r="AIW48" s="15"/>
      <c r="AIX48" s="15"/>
      <c r="AIY48" s="15"/>
      <c r="AIZ48" s="15"/>
      <c r="AJA48" s="15"/>
      <c r="AJB48" s="15"/>
      <c r="AJC48" s="15"/>
      <c r="AJD48" s="15"/>
      <c r="AJE48" s="15"/>
      <c r="AJF48" s="15"/>
      <c r="AJG48" s="15"/>
      <c r="AJH48" s="15"/>
      <c r="AJI48" s="15"/>
      <c r="AJJ48" s="15"/>
      <c r="AJK48" s="15"/>
      <c r="AJL48" s="15"/>
      <c r="AJM48" s="15"/>
      <c r="AJN48" s="15"/>
      <c r="AJO48" s="15"/>
      <c r="AJP48" s="15"/>
      <c r="AJQ48" s="15"/>
      <c r="AJR48" s="15"/>
      <c r="AJS48" s="15"/>
      <c r="AJT48" s="15"/>
      <c r="AJU48" s="15"/>
      <c r="AJV48" s="15"/>
      <c r="AJW48" s="15"/>
      <c r="AJX48" s="15"/>
      <c r="AJY48" s="15"/>
      <c r="AJZ48" s="15"/>
      <c r="AKA48" s="15"/>
      <c r="AKB48" s="15"/>
      <c r="AKC48" s="15"/>
      <c r="AKD48" s="15"/>
      <c r="AKE48" s="15"/>
      <c r="AKF48" s="15"/>
      <c r="AKG48" s="15"/>
      <c r="AKH48" s="15"/>
      <c r="AKI48" s="15"/>
      <c r="AKJ48" s="15"/>
      <c r="AKK48" s="15"/>
      <c r="AKL48" s="15"/>
      <c r="AKM48" s="15"/>
      <c r="AKN48" s="15"/>
      <c r="AKO48" s="15"/>
      <c r="AKP48" s="15"/>
      <c r="AKQ48" s="15"/>
      <c r="AKR48" s="15"/>
      <c r="AKS48" s="15"/>
      <c r="AKT48" s="15"/>
      <c r="AKU48" s="15"/>
      <c r="AKV48" s="15"/>
      <c r="AKW48" s="15"/>
      <c r="AKX48" s="15"/>
      <c r="AKY48" s="15"/>
      <c r="AKZ48" s="15"/>
      <c r="ALA48" s="15"/>
      <c r="ALB48" s="15"/>
      <c r="ALC48" s="15"/>
      <c r="ALD48" s="15"/>
      <c r="ALE48" s="15"/>
      <c r="ALF48" s="15"/>
      <c r="ALG48" s="15"/>
      <c r="ALH48" s="15"/>
      <c r="ALI48" s="15"/>
      <c r="ALJ48" s="15"/>
      <c r="ALK48" s="15"/>
      <c r="ALL48" s="15"/>
      <c r="ALM48" s="15"/>
      <c r="ALN48" s="15"/>
      <c r="ALO48" s="15"/>
      <c r="ALP48" s="15"/>
      <c r="ALQ48" s="15"/>
      <c r="ALR48" s="15"/>
      <c r="ALS48" s="15"/>
      <c r="ALT48" s="15"/>
      <c r="ALU48" s="15"/>
      <c r="ALV48" s="15"/>
      <c r="ALW48" s="15"/>
      <c r="ALX48" s="15"/>
      <c r="ALY48" s="15"/>
      <c r="ALZ48" s="15"/>
      <c r="AMA48" s="15"/>
      <c r="AMB48" s="15"/>
      <c r="AMC48" s="15"/>
      <c r="AMD48" s="15"/>
      <c r="AME48" s="15"/>
      <c r="AMF48" s="15"/>
      <c r="AMG48" s="14"/>
      <c r="AMH48" s="14"/>
      <c r="AMI48" s="14"/>
      <c r="AMJ48" s="14"/>
    </row>
    <row r="49" spans="1:13" s="13" customFormat="1" ht="58" hidden="1" x14ac:dyDescent="0.35">
      <c r="A49" s="19">
        <v>43656</v>
      </c>
      <c r="B49" s="17" t="s">
        <v>391</v>
      </c>
      <c r="C49" s="17" t="s">
        <v>390</v>
      </c>
      <c r="D49" s="18">
        <v>43657</v>
      </c>
      <c r="E49" s="17" t="s">
        <v>389</v>
      </c>
      <c r="F49" s="26">
        <v>0.33333333333333298</v>
      </c>
      <c r="G49" s="26">
        <v>0.625</v>
      </c>
      <c r="H49" s="26">
        <v>0.83333333333333304</v>
      </c>
      <c r="I49" s="17">
        <v>0</v>
      </c>
      <c r="J49" s="17" t="s">
        <v>15</v>
      </c>
      <c r="K49" s="17" t="s">
        <v>119</v>
      </c>
      <c r="L49" s="16" t="s">
        <v>17</v>
      </c>
      <c r="M49" s="15"/>
    </row>
    <row r="50" spans="1:13" s="13" customFormat="1" ht="58" hidden="1" x14ac:dyDescent="0.35">
      <c r="A50" s="19">
        <v>43656</v>
      </c>
      <c r="B50" s="17" t="s">
        <v>388</v>
      </c>
      <c r="C50" s="17" t="s">
        <v>387</v>
      </c>
      <c r="D50" s="18">
        <v>43657</v>
      </c>
      <c r="E50" s="17" t="s">
        <v>386</v>
      </c>
      <c r="F50" s="26">
        <v>0.58333333333333304</v>
      </c>
      <c r="G50" s="26">
        <v>0.58333333333333304</v>
      </c>
      <c r="H50" s="26">
        <v>0.625</v>
      </c>
      <c r="I50" s="42">
        <v>533</v>
      </c>
      <c r="J50" s="42" t="s">
        <v>385</v>
      </c>
      <c r="K50" s="17" t="s">
        <v>119</v>
      </c>
      <c r="L50" s="16" t="s">
        <v>22</v>
      </c>
      <c r="M50" s="15">
        <f>SUM(M20:M48)</f>
        <v>2265</v>
      </c>
    </row>
    <row r="51" spans="1:13" s="13" customFormat="1" ht="101.5" hidden="1" x14ac:dyDescent="0.35">
      <c r="A51" s="83">
        <v>43648</v>
      </c>
      <c r="B51" s="29" t="s">
        <v>384</v>
      </c>
      <c r="C51" s="29" t="s">
        <v>383</v>
      </c>
      <c r="D51" s="30">
        <v>43657</v>
      </c>
      <c r="E51" s="29" t="s">
        <v>382</v>
      </c>
      <c r="F51" s="31">
        <v>0.58333333333333304</v>
      </c>
      <c r="G51" s="31">
        <v>0.625</v>
      </c>
      <c r="H51" s="31">
        <v>0.66666666666666696</v>
      </c>
      <c r="I51" s="29">
        <v>460</v>
      </c>
      <c r="J51" s="42" t="s">
        <v>381</v>
      </c>
      <c r="K51" s="17" t="s">
        <v>119</v>
      </c>
      <c r="L51" s="16" t="s">
        <v>17</v>
      </c>
      <c r="M51" s="15"/>
    </row>
    <row r="52" spans="1:13" s="13" customFormat="1" ht="72.5" hidden="1" x14ac:dyDescent="0.35">
      <c r="A52" s="19">
        <v>43654</v>
      </c>
      <c r="B52" s="17" t="s">
        <v>292</v>
      </c>
      <c r="C52" s="17" t="s">
        <v>380</v>
      </c>
      <c r="D52" s="18">
        <v>43657</v>
      </c>
      <c r="E52" s="26" t="s">
        <v>290</v>
      </c>
      <c r="F52" s="26">
        <v>0.58333333333333304</v>
      </c>
      <c r="G52" s="26">
        <v>0.66666666666666696</v>
      </c>
      <c r="H52" s="26">
        <v>0.70833333333333304</v>
      </c>
      <c r="I52" s="17">
        <v>0</v>
      </c>
      <c r="J52" s="17" t="s">
        <v>289</v>
      </c>
      <c r="K52" s="17" t="s">
        <v>119</v>
      </c>
      <c r="L52" s="16" t="s">
        <v>22</v>
      </c>
      <c r="M52" s="15"/>
    </row>
    <row r="53" spans="1:13" s="13" customFormat="1" hidden="1" x14ac:dyDescent="0.35">
      <c r="A53" s="19">
        <v>43654</v>
      </c>
      <c r="B53" s="17" t="s">
        <v>20</v>
      </c>
      <c r="C53" s="17" t="s">
        <v>379</v>
      </c>
      <c r="D53" s="18">
        <v>43657</v>
      </c>
      <c r="E53" s="17" t="s">
        <v>20</v>
      </c>
      <c r="F53" s="17" t="s">
        <v>15</v>
      </c>
      <c r="G53" s="17" t="s">
        <v>15</v>
      </c>
      <c r="H53" s="17" t="s">
        <v>15</v>
      </c>
      <c r="I53" s="17" t="s">
        <v>15</v>
      </c>
      <c r="J53" s="17" t="s">
        <v>20</v>
      </c>
      <c r="K53" s="17" t="s">
        <v>15</v>
      </c>
      <c r="L53" s="16" t="s">
        <v>22</v>
      </c>
      <c r="M53" s="15"/>
    </row>
    <row r="54" spans="1:13" s="13" customFormat="1" ht="87" hidden="1" x14ac:dyDescent="0.35">
      <c r="A54" s="83">
        <v>43648</v>
      </c>
      <c r="B54" s="29" t="s">
        <v>340</v>
      </c>
      <c r="C54" s="29" t="s">
        <v>378</v>
      </c>
      <c r="D54" s="30">
        <v>43658</v>
      </c>
      <c r="E54" s="29" t="s">
        <v>377</v>
      </c>
      <c r="F54" s="31">
        <v>0.55555555555555602</v>
      </c>
      <c r="G54" s="31">
        <v>0.58333333333333304</v>
      </c>
      <c r="H54" s="31">
        <v>0.625</v>
      </c>
      <c r="I54" s="100">
        <v>400</v>
      </c>
      <c r="J54" s="42" t="s">
        <v>376</v>
      </c>
      <c r="K54" s="17" t="s">
        <v>15</v>
      </c>
      <c r="L54" s="16" t="s">
        <v>17</v>
      </c>
      <c r="M54" s="15"/>
    </row>
    <row r="55" spans="1:13" s="13" customFormat="1" ht="174" x14ac:dyDescent="0.35">
      <c r="A55" s="19">
        <v>43658</v>
      </c>
      <c r="B55" s="17" t="s">
        <v>262</v>
      </c>
      <c r="C55" s="17" t="s">
        <v>375</v>
      </c>
      <c r="D55" s="18">
        <v>43658</v>
      </c>
      <c r="E55" s="17" t="s">
        <v>73</v>
      </c>
      <c r="F55" s="26">
        <v>0.75</v>
      </c>
      <c r="G55" s="26">
        <v>0.77083333333333304</v>
      </c>
      <c r="H55" s="26">
        <v>0.8125</v>
      </c>
      <c r="I55" s="17">
        <v>1552</v>
      </c>
      <c r="J55" s="42" t="s">
        <v>374</v>
      </c>
      <c r="K55" s="17" t="s">
        <v>140</v>
      </c>
      <c r="L55" s="16" t="s">
        <v>17</v>
      </c>
      <c r="M55" s="15"/>
    </row>
    <row r="56" spans="1:13" s="13" customFormat="1" hidden="1" x14ac:dyDescent="0.35">
      <c r="A56" s="19">
        <v>43654</v>
      </c>
      <c r="B56" s="17" t="s">
        <v>20</v>
      </c>
      <c r="C56" s="17" t="s">
        <v>112</v>
      </c>
      <c r="D56" s="18">
        <v>43658</v>
      </c>
      <c r="E56" s="17" t="s">
        <v>20</v>
      </c>
      <c r="F56" s="17" t="s">
        <v>15</v>
      </c>
      <c r="G56" s="17" t="s">
        <v>15</v>
      </c>
      <c r="H56" s="17" t="s">
        <v>15</v>
      </c>
      <c r="I56" s="17" t="s">
        <v>15</v>
      </c>
      <c r="J56" s="17" t="s">
        <v>20</v>
      </c>
      <c r="K56" s="17" t="s">
        <v>15</v>
      </c>
      <c r="L56" s="16" t="s">
        <v>22</v>
      </c>
      <c r="M56" s="15"/>
    </row>
    <row r="57" spans="1:13" s="13" customFormat="1" ht="43.5" hidden="1" x14ac:dyDescent="0.35">
      <c r="A57" s="19">
        <v>43654</v>
      </c>
      <c r="B57" s="17" t="s">
        <v>131</v>
      </c>
      <c r="C57" s="17" t="s">
        <v>373</v>
      </c>
      <c r="D57" s="18">
        <v>43659</v>
      </c>
      <c r="E57" s="17" t="s">
        <v>129</v>
      </c>
      <c r="F57" s="26">
        <v>0.41666666666666702</v>
      </c>
      <c r="G57" s="26">
        <v>0.43055555555555602</v>
      </c>
      <c r="H57" s="26">
        <v>0.4375</v>
      </c>
      <c r="I57" s="17">
        <v>0</v>
      </c>
      <c r="J57" s="17" t="s">
        <v>16</v>
      </c>
      <c r="K57" s="17" t="s">
        <v>140</v>
      </c>
      <c r="L57" s="16" t="s">
        <v>17</v>
      </c>
      <c r="M57" s="15"/>
    </row>
    <row r="58" spans="1:13" s="13" customFormat="1" ht="203" hidden="1" x14ac:dyDescent="0.35">
      <c r="A58" s="83">
        <v>43656</v>
      </c>
      <c r="B58" s="29" t="s">
        <v>372</v>
      </c>
      <c r="C58" s="29" t="s">
        <v>371</v>
      </c>
      <c r="D58" s="30">
        <v>43659</v>
      </c>
      <c r="E58" s="29" t="s">
        <v>370</v>
      </c>
      <c r="F58" s="31">
        <v>0.41666666666666702</v>
      </c>
      <c r="G58" s="31">
        <v>0.47916666666666702</v>
      </c>
      <c r="H58" s="31">
        <v>0.47916666666666702</v>
      </c>
      <c r="I58" s="29">
        <v>390</v>
      </c>
      <c r="J58" s="29" t="s">
        <v>369</v>
      </c>
      <c r="K58" s="17" t="s">
        <v>140</v>
      </c>
      <c r="L58" s="16" t="s">
        <v>22</v>
      </c>
      <c r="M58" s="15"/>
    </row>
    <row r="59" spans="1:13" s="13" customFormat="1" ht="87" hidden="1" x14ac:dyDescent="0.35">
      <c r="A59" s="19">
        <v>43647</v>
      </c>
      <c r="B59" s="17" t="s">
        <v>368</v>
      </c>
      <c r="C59" s="17" t="s">
        <v>367</v>
      </c>
      <c r="D59" s="18">
        <v>43659</v>
      </c>
      <c r="E59" s="17" t="s">
        <v>366</v>
      </c>
      <c r="F59" s="26">
        <v>0.41666666666666702</v>
      </c>
      <c r="G59" s="26">
        <v>0.51041666666666696</v>
      </c>
      <c r="H59" s="26">
        <v>0.52083333333333304</v>
      </c>
      <c r="I59" s="100">
        <v>540</v>
      </c>
      <c r="J59" s="42" t="s">
        <v>365</v>
      </c>
      <c r="K59" s="17" t="s">
        <v>140</v>
      </c>
      <c r="L59" s="16" t="s">
        <v>17</v>
      </c>
      <c r="M59" s="15"/>
    </row>
    <row r="60" spans="1:13" s="13" customFormat="1" ht="87" hidden="1" x14ac:dyDescent="0.35">
      <c r="A60" s="83">
        <v>43642</v>
      </c>
      <c r="B60" s="29" t="s">
        <v>364</v>
      </c>
      <c r="C60" s="29" t="s">
        <v>363</v>
      </c>
      <c r="D60" s="30">
        <v>43659</v>
      </c>
      <c r="E60" s="29" t="s">
        <v>362</v>
      </c>
      <c r="F60" s="31">
        <v>0.41666666666666702</v>
      </c>
      <c r="G60" s="31">
        <v>0.54166666666666696</v>
      </c>
      <c r="H60" s="31">
        <v>0.55555555555555602</v>
      </c>
      <c r="I60" s="17">
        <v>0</v>
      </c>
      <c r="J60" s="17" t="s">
        <v>361</v>
      </c>
      <c r="K60" s="17" t="s">
        <v>140</v>
      </c>
      <c r="L60" s="16" t="s">
        <v>17</v>
      </c>
      <c r="M60" s="15"/>
    </row>
    <row r="61" spans="1:13" s="13" customFormat="1" ht="87" hidden="1" x14ac:dyDescent="0.35">
      <c r="A61" s="83">
        <v>43654</v>
      </c>
      <c r="B61" s="29" t="s">
        <v>292</v>
      </c>
      <c r="C61" s="29" t="s">
        <v>360</v>
      </c>
      <c r="D61" s="30">
        <v>43659</v>
      </c>
      <c r="E61" s="29" t="s">
        <v>290</v>
      </c>
      <c r="F61" s="31">
        <v>0.41666666666666702</v>
      </c>
      <c r="G61" s="31">
        <v>0.56944444444444398</v>
      </c>
      <c r="H61" s="110">
        <v>0.58333333333333304</v>
      </c>
      <c r="I61" s="109">
        <v>859.5</v>
      </c>
      <c r="J61" s="42" t="s">
        <v>359</v>
      </c>
      <c r="K61" s="17" t="s">
        <v>140</v>
      </c>
      <c r="L61" s="16" t="s">
        <v>22</v>
      </c>
      <c r="M61" s="15"/>
    </row>
    <row r="62" spans="1:13" s="13" customFormat="1" ht="43.5" hidden="1" x14ac:dyDescent="0.35">
      <c r="A62" s="19">
        <v>43657</v>
      </c>
      <c r="B62" s="17" t="s">
        <v>169</v>
      </c>
      <c r="C62" s="17" t="s">
        <v>358</v>
      </c>
      <c r="D62" s="18">
        <v>43659</v>
      </c>
      <c r="E62" s="18" t="s">
        <v>357</v>
      </c>
      <c r="F62" s="26">
        <v>0.6875</v>
      </c>
      <c r="G62" s="26">
        <v>0.70833333333333304</v>
      </c>
      <c r="H62" s="26">
        <v>0.72916666666666696</v>
      </c>
      <c r="I62" s="17">
        <v>350</v>
      </c>
      <c r="J62" s="42" t="s">
        <v>356</v>
      </c>
      <c r="K62" s="17" t="s">
        <v>140</v>
      </c>
      <c r="L62" s="16" t="s">
        <v>17</v>
      </c>
      <c r="M62" s="15"/>
    </row>
    <row r="63" spans="1:13" s="13" customFormat="1" ht="261" x14ac:dyDescent="0.35">
      <c r="A63" s="83">
        <v>43653</v>
      </c>
      <c r="B63" s="29" t="s">
        <v>262</v>
      </c>
      <c r="C63" s="29" t="s">
        <v>355</v>
      </c>
      <c r="D63" s="30">
        <v>43659</v>
      </c>
      <c r="E63" s="29" t="s">
        <v>73</v>
      </c>
      <c r="F63" s="31">
        <v>0.75</v>
      </c>
      <c r="G63" s="31">
        <v>0.78125</v>
      </c>
      <c r="H63" s="31">
        <v>0.79166666666666696</v>
      </c>
      <c r="I63" s="29">
        <v>2730</v>
      </c>
      <c r="J63" s="42" t="s">
        <v>354</v>
      </c>
      <c r="K63" s="17" t="s">
        <v>140</v>
      </c>
      <c r="L63" s="81" t="s">
        <v>17</v>
      </c>
      <c r="M63" s="15"/>
    </row>
    <row r="64" spans="1:13" s="13" customFormat="1" ht="29" hidden="1" x14ac:dyDescent="0.35">
      <c r="A64" s="83">
        <v>43660</v>
      </c>
      <c r="B64" s="17" t="s">
        <v>353</v>
      </c>
      <c r="C64" s="17" t="s">
        <v>352</v>
      </c>
      <c r="D64" s="18">
        <v>43660</v>
      </c>
      <c r="E64" s="17" t="s">
        <v>351</v>
      </c>
      <c r="F64" s="26">
        <v>0.53125</v>
      </c>
      <c r="G64" s="26">
        <v>0.54166666666666696</v>
      </c>
      <c r="H64" s="26">
        <v>0.55208333333333304</v>
      </c>
      <c r="I64" s="17">
        <v>513.6</v>
      </c>
      <c r="J64" s="17" t="s">
        <v>350</v>
      </c>
      <c r="K64" s="17" t="s">
        <v>140</v>
      </c>
      <c r="L64" s="16" t="s">
        <v>17</v>
      </c>
      <c r="M64" s="15"/>
    </row>
    <row r="65" spans="1:12" s="13" customFormat="1" ht="101.5" hidden="1" x14ac:dyDescent="0.35">
      <c r="A65" s="106">
        <v>43647</v>
      </c>
      <c r="B65" s="103" t="s">
        <v>349</v>
      </c>
      <c r="C65" s="103" t="s">
        <v>348</v>
      </c>
      <c r="D65" s="105">
        <v>43660</v>
      </c>
      <c r="E65" s="103" t="s">
        <v>347</v>
      </c>
      <c r="F65" s="104">
        <v>0.59375</v>
      </c>
      <c r="G65" s="104">
        <v>0.60416666666666696</v>
      </c>
      <c r="H65" s="104">
        <v>0.61458333333333304</v>
      </c>
      <c r="I65" s="103">
        <v>360</v>
      </c>
      <c r="J65" s="103" t="s">
        <v>346</v>
      </c>
      <c r="K65" s="103" t="s">
        <v>140</v>
      </c>
      <c r="L65" s="102" t="s">
        <v>17</v>
      </c>
    </row>
    <row r="66" spans="1:12" s="13" customFormat="1" ht="145" hidden="1" x14ac:dyDescent="0.35">
      <c r="A66" s="19">
        <v>43612</v>
      </c>
      <c r="B66" s="17" t="s">
        <v>345</v>
      </c>
      <c r="C66" s="17" t="s">
        <v>344</v>
      </c>
      <c r="D66" s="18">
        <v>43660</v>
      </c>
      <c r="E66" s="17" t="s">
        <v>101</v>
      </c>
      <c r="F66" s="26">
        <v>0.59375</v>
      </c>
      <c r="G66" s="26">
        <v>0.66666666666666696</v>
      </c>
      <c r="H66" s="26">
        <v>0.69791666666666696</v>
      </c>
      <c r="I66" s="17">
        <v>2100</v>
      </c>
      <c r="J66" s="42" t="s">
        <v>343</v>
      </c>
      <c r="K66" s="17" t="s">
        <v>140</v>
      </c>
      <c r="L66" s="16" t="s">
        <v>17</v>
      </c>
    </row>
    <row r="67" spans="1:12" s="13" customFormat="1" ht="29" hidden="1" x14ac:dyDescent="0.35">
      <c r="A67" s="19">
        <v>43658</v>
      </c>
      <c r="B67" s="17" t="s">
        <v>342</v>
      </c>
      <c r="C67" s="17" t="s">
        <v>341</v>
      </c>
      <c r="D67" s="18">
        <v>43661</v>
      </c>
      <c r="E67" s="17" t="s">
        <v>115</v>
      </c>
      <c r="F67" s="26">
        <v>0.39583333333333298</v>
      </c>
      <c r="G67" s="26">
        <v>0.39583333333333298</v>
      </c>
      <c r="H67" s="26">
        <v>0.39583333333333298</v>
      </c>
      <c r="I67" s="17">
        <v>0</v>
      </c>
      <c r="J67" s="17" t="s">
        <v>16</v>
      </c>
      <c r="K67" s="17" t="s">
        <v>136</v>
      </c>
      <c r="L67" s="16" t="s">
        <v>17</v>
      </c>
    </row>
    <row r="68" spans="1:12" s="13" customFormat="1" ht="72.5" hidden="1" x14ac:dyDescent="0.35">
      <c r="A68" s="19">
        <v>43648</v>
      </c>
      <c r="B68" s="17" t="s">
        <v>340</v>
      </c>
      <c r="C68" s="17" t="s">
        <v>339</v>
      </c>
      <c r="D68" s="18">
        <v>43661</v>
      </c>
      <c r="E68" s="17" t="s">
        <v>338</v>
      </c>
      <c r="F68" s="26">
        <v>0.45833333333333298</v>
      </c>
      <c r="G68" s="26">
        <v>0.5</v>
      </c>
      <c r="H68" s="26">
        <v>0.5</v>
      </c>
      <c r="I68" s="17">
        <v>291</v>
      </c>
      <c r="J68" s="42" t="s">
        <v>337</v>
      </c>
      <c r="K68" s="17" t="s">
        <v>119</v>
      </c>
      <c r="L68" s="16" t="s">
        <v>17</v>
      </c>
    </row>
    <row r="69" spans="1:12" s="13" customFormat="1" hidden="1" x14ac:dyDescent="0.35">
      <c r="A69" s="19">
        <v>43658</v>
      </c>
      <c r="B69" s="17" t="s">
        <v>20</v>
      </c>
      <c r="C69" s="17" t="s">
        <v>336</v>
      </c>
      <c r="D69" s="18">
        <v>43661</v>
      </c>
      <c r="E69" s="17" t="s">
        <v>20</v>
      </c>
      <c r="F69" s="17" t="s">
        <v>15</v>
      </c>
      <c r="G69" s="26">
        <v>0.5</v>
      </c>
      <c r="H69" s="26">
        <v>0.5</v>
      </c>
      <c r="I69" s="17">
        <v>0</v>
      </c>
      <c r="J69" s="17" t="s">
        <v>20</v>
      </c>
      <c r="K69" s="17" t="s">
        <v>15</v>
      </c>
      <c r="L69" s="16" t="s">
        <v>17</v>
      </c>
    </row>
    <row r="70" spans="1:12" s="13" customFormat="1" ht="72.5" hidden="1" x14ac:dyDescent="0.35">
      <c r="A70" s="19">
        <v>43658</v>
      </c>
      <c r="B70" s="17" t="s">
        <v>222</v>
      </c>
      <c r="C70" s="17" t="s">
        <v>335</v>
      </c>
      <c r="D70" s="18" t="s">
        <v>334</v>
      </c>
      <c r="E70" s="17" t="s">
        <v>333</v>
      </c>
      <c r="F70" s="17" t="s">
        <v>331</v>
      </c>
      <c r="G70" s="17" t="s">
        <v>49</v>
      </c>
      <c r="H70" s="17" t="s">
        <v>49</v>
      </c>
      <c r="I70" s="17">
        <f>30*5</f>
        <v>150</v>
      </c>
      <c r="J70" s="42" t="s">
        <v>332</v>
      </c>
      <c r="K70" s="17" t="s">
        <v>331</v>
      </c>
      <c r="L70" s="16" t="s">
        <v>330</v>
      </c>
    </row>
    <row r="71" spans="1:12" s="13" customFormat="1" ht="188.5" hidden="1" x14ac:dyDescent="0.35">
      <c r="A71" s="19">
        <v>43658</v>
      </c>
      <c r="B71" s="17" t="s">
        <v>329</v>
      </c>
      <c r="C71" s="17" t="s">
        <v>328</v>
      </c>
      <c r="D71" s="18">
        <v>43662</v>
      </c>
      <c r="E71" s="17" t="s">
        <v>327</v>
      </c>
      <c r="F71" s="26">
        <v>0.5625</v>
      </c>
      <c r="G71" s="26">
        <v>0.57638888888888895</v>
      </c>
      <c r="H71" s="26">
        <v>0.59722222222222199</v>
      </c>
      <c r="I71" s="100">
        <v>480</v>
      </c>
      <c r="J71" s="42" t="s">
        <v>326</v>
      </c>
      <c r="K71" s="17" t="s">
        <v>140</v>
      </c>
      <c r="L71" s="16" t="s">
        <v>17</v>
      </c>
    </row>
    <row r="72" spans="1:12" s="13" customFormat="1" ht="29" hidden="1" x14ac:dyDescent="0.35">
      <c r="A72" s="19">
        <v>43658</v>
      </c>
      <c r="B72" s="17" t="s">
        <v>325</v>
      </c>
      <c r="C72" s="17" t="s">
        <v>324</v>
      </c>
      <c r="D72" s="18">
        <v>43662</v>
      </c>
      <c r="E72" s="32" t="s">
        <v>323</v>
      </c>
      <c r="F72" s="17" t="s">
        <v>15</v>
      </c>
      <c r="G72" s="32" t="s">
        <v>49</v>
      </c>
      <c r="H72" s="32" t="s">
        <v>49</v>
      </c>
      <c r="I72" s="17">
        <v>0</v>
      </c>
      <c r="J72" s="17" t="s">
        <v>322</v>
      </c>
      <c r="K72" s="17" t="s">
        <v>140</v>
      </c>
      <c r="L72" s="16" t="s">
        <v>17</v>
      </c>
    </row>
    <row r="73" spans="1:12" s="13" customFormat="1" ht="29" hidden="1" x14ac:dyDescent="0.35">
      <c r="A73" s="19">
        <v>43660</v>
      </c>
      <c r="B73" s="17" t="s">
        <v>321</v>
      </c>
      <c r="C73" s="17" t="s">
        <v>320</v>
      </c>
      <c r="D73" s="18">
        <v>43663</v>
      </c>
      <c r="E73" s="17" t="s">
        <v>229</v>
      </c>
      <c r="F73" s="26">
        <v>0.41666666666666702</v>
      </c>
      <c r="G73" s="26">
        <v>0.41666666666666702</v>
      </c>
      <c r="H73" s="26">
        <v>0.41666666666666702</v>
      </c>
      <c r="I73" s="17">
        <v>0</v>
      </c>
      <c r="J73" s="17" t="s">
        <v>16</v>
      </c>
      <c r="K73" s="17" t="s">
        <v>16</v>
      </c>
      <c r="L73" s="16" t="s">
        <v>22</v>
      </c>
    </row>
    <row r="74" spans="1:12" s="13" customFormat="1" ht="43.5" hidden="1" x14ac:dyDescent="0.35">
      <c r="A74" s="19">
        <v>43660</v>
      </c>
      <c r="B74" s="17" t="s">
        <v>131</v>
      </c>
      <c r="C74" s="17" t="s">
        <v>319</v>
      </c>
      <c r="D74" s="18">
        <v>43663</v>
      </c>
      <c r="E74" s="17" t="s">
        <v>129</v>
      </c>
      <c r="F74" s="26">
        <v>0.41666666666666702</v>
      </c>
      <c r="G74" s="26">
        <v>0.4375</v>
      </c>
      <c r="H74" s="26">
        <v>0.45833333333333298</v>
      </c>
      <c r="I74" s="17">
        <v>0</v>
      </c>
      <c r="J74" s="17" t="s">
        <v>16</v>
      </c>
      <c r="K74" s="17" t="s">
        <v>15</v>
      </c>
      <c r="L74" s="16" t="s">
        <v>17</v>
      </c>
    </row>
    <row r="75" spans="1:12" s="13" customFormat="1" ht="72.5" hidden="1" x14ac:dyDescent="0.35">
      <c r="A75" s="83">
        <v>43658</v>
      </c>
      <c r="B75" s="29" t="s">
        <v>318</v>
      </c>
      <c r="C75" s="29" t="s">
        <v>317</v>
      </c>
      <c r="D75" s="30">
        <v>43663</v>
      </c>
      <c r="E75" s="29" t="s">
        <v>316</v>
      </c>
      <c r="F75" s="31">
        <v>0.64583333333333304</v>
      </c>
      <c r="G75" s="31">
        <v>0.70833333333333304</v>
      </c>
      <c r="H75" s="31">
        <v>0.70833333333333304</v>
      </c>
      <c r="I75" s="29">
        <v>560</v>
      </c>
      <c r="J75" s="29" t="s">
        <v>257</v>
      </c>
      <c r="K75" s="29" t="s">
        <v>315</v>
      </c>
      <c r="L75" s="81" t="s">
        <v>314</v>
      </c>
    </row>
    <row r="76" spans="1:12" s="13" customFormat="1" ht="58" hidden="1" x14ac:dyDescent="0.35">
      <c r="A76" s="19">
        <v>43660</v>
      </c>
      <c r="B76" s="17" t="s">
        <v>313</v>
      </c>
      <c r="C76" s="17" t="s">
        <v>312</v>
      </c>
      <c r="D76" s="18">
        <v>43663</v>
      </c>
      <c r="E76" s="17" t="s">
        <v>311</v>
      </c>
      <c r="F76" s="17" t="s">
        <v>15</v>
      </c>
      <c r="G76" s="26">
        <v>0.70833333333333304</v>
      </c>
      <c r="H76" s="26">
        <v>0.70833333333333304</v>
      </c>
      <c r="I76" s="17">
        <v>200</v>
      </c>
      <c r="J76" s="32" t="s">
        <v>310</v>
      </c>
      <c r="K76" s="17" t="s">
        <v>15</v>
      </c>
      <c r="L76" s="16" t="s">
        <v>22</v>
      </c>
    </row>
    <row r="77" spans="1:12" s="13" customFormat="1" hidden="1" x14ac:dyDescent="0.35">
      <c r="A77" s="83">
        <v>43661</v>
      </c>
      <c r="B77" s="29" t="s">
        <v>309</v>
      </c>
      <c r="C77" s="29" t="s">
        <v>308</v>
      </c>
      <c r="D77" s="30">
        <v>43663</v>
      </c>
      <c r="E77" s="29" t="s">
        <v>307</v>
      </c>
      <c r="F77" s="29" t="s">
        <v>15</v>
      </c>
      <c r="G77" s="31">
        <v>0.72916666666666696</v>
      </c>
      <c r="H77" s="31">
        <v>0.72916666666666696</v>
      </c>
      <c r="I77" s="29">
        <v>0</v>
      </c>
      <c r="J77" s="29" t="s">
        <v>15</v>
      </c>
      <c r="K77" s="29" t="s">
        <v>15</v>
      </c>
      <c r="L77" s="81" t="s">
        <v>17</v>
      </c>
    </row>
    <row r="78" spans="1:12" s="13" customFormat="1" hidden="1" x14ac:dyDescent="0.35">
      <c r="A78" s="19">
        <v>43660</v>
      </c>
      <c r="B78" s="17" t="s">
        <v>20</v>
      </c>
      <c r="C78" s="17" t="s">
        <v>306</v>
      </c>
      <c r="D78" s="18">
        <v>43663</v>
      </c>
      <c r="E78" s="17" t="s">
        <v>20</v>
      </c>
      <c r="F78" s="17" t="s">
        <v>15</v>
      </c>
      <c r="G78" s="17" t="s">
        <v>15</v>
      </c>
      <c r="H78" s="17" t="s">
        <v>15</v>
      </c>
      <c r="I78" s="17" t="s">
        <v>15</v>
      </c>
      <c r="J78" s="17" t="s">
        <v>20</v>
      </c>
      <c r="K78" s="17" t="s">
        <v>15</v>
      </c>
      <c r="L78" s="16" t="s">
        <v>17</v>
      </c>
    </row>
    <row r="79" spans="1:12" s="13" customFormat="1" ht="232" hidden="1" x14ac:dyDescent="0.35">
      <c r="A79" s="19">
        <v>43660</v>
      </c>
      <c r="B79" s="17" t="s">
        <v>305</v>
      </c>
      <c r="C79" s="17" t="s">
        <v>304</v>
      </c>
      <c r="D79" s="18">
        <v>43664</v>
      </c>
      <c r="E79" s="17" t="s">
        <v>254</v>
      </c>
      <c r="F79" s="17" t="s">
        <v>15</v>
      </c>
      <c r="G79" s="26">
        <v>0.5625</v>
      </c>
      <c r="H79" s="26">
        <v>0.5625</v>
      </c>
      <c r="I79" s="17">
        <v>0</v>
      </c>
      <c r="J79" s="17" t="s">
        <v>16</v>
      </c>
      <c r="K79" s="17" t="s">
        <v>15</v>
      </c>
      <c r="L79" s="16" t="s">
        <v>17</v>
      </c>
    </row>
    <row r="80" spans="1:12" s="13" customFormat="1" hidden="1" x14ac:dyDescent="0.35">
      <c r="A80" s="19">
        <v>43660</v>
      </c>
      <c r="B80" s="17" t="s">
        <v>20</v>
      </c>
      <c r="C80" s="17" t="s">
        <v>303</v>
      </c>
      <c r="D80" s="18">
        <v>43664</v>
      </c>
      <c r="E80" s="17" t="s">
        <v>20</v>
      </c>
      <c r="F80" s="17" t="s">
        <v>15</v>
      </c>
      <c r="G80" s="17" t="s">
        <v>15</v>
      </c>
      <c r="H80" s="17" t="s">
        <v>15</v>
      </c>
      <c r="I80" s="17">
        <v>0</v>
      </c>
      <c r="J80" s="17" t="s">
        <v>20</v>
      </c>
      <c r="K80" s="17" t="s">
        <v>15</v>
      </c>
      <c r="L80" s="16" t="s">
        <v>22</v>
      </c>
    </row>
    <row r="81" spans="1:1024" s="13" customFormat="1" hidden="1" x14ac:dyDescent="0.35">
      <c r="A81" s="19">
        <v>43659</v>
      </c>
      <c r="B81" s="17" t="s">
        <v>20</v>
      </c>
      <c r="C81" s="17" t="s">
        <v>302</v>
      </c>
      <c r="D81" s="18">
        <v>43664</v>
      </c>
      <c r="E81" s="17" t="s">
        <v>20</v>
      </c>
      <c r="F81" s="17" t="s">
        <v>15</v>
      </c>
      <c r="G81" s="17" t="s">
        <v>15</v>
      </c>
      <c r="H81" s="17" t="s">
        <v>15</v>
      </c>
      <c r="I81" s="17">
        <v>0</v>
      </c>
      <c r="J81" s="17" t="s">
        <v>20</v>
      </c>
      <c r="K81" s="17" t="s">
        <v>15</v>
      </c>
      <c r="L81" s="16" t="s">
        <v>17</v>
      </c>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c r="BY81" s="15"/>
      <c r="BZ81" s="15"/>
      <c r="CA81" s="15"/>
      <c r="CB81" s="15"/>
      <c r="CC81" s="15"/>
      <c r="CD81" s="15"/>
      <c r="CE81" s="15"/>
      <c r="CF81" s="15"/>
      <c r="CG81" s="15"/>
      <c r="CH81" s="15"/>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c r="IU81" s="15"/>
      <c r="IV81" s="15"/>
      <c r="IW81" s="15"/>
      <c r="IX81" s="15"/>
      <c r="IY81" s="15"/>
      <c r="IZ81" s="15"/>
      <c r="JA81" s="15"/>
      <c r="JB81" s="15"/>
      <c r="JC81" s="15"/>
      <c r="JD81" s="15"/>
      <c r="JE81" s="15"/>
      <c r="JF81" s="15"/>
      <c r="JG81" s="15"/>
      <c r="JH81" s="15"/>
      <c r="JI81" s="15"/>
      <c r="JJ81" s="15"/>
      <c r="JK81" s="15"/>
      <c r="JL81" s="15"/>
      <c r="JM81" s="15"/>
      <c r="JN81" s="15"/>
      <c r="JO81" s="15"/>
      <c r="JP81" s="15"/>
      <c r="JQ81" s="15"/>
      <c r="JR81" s="15"/>
      <c r="JS81" s="15"/>
      <c r="JT81" s="15"/>
      <c r="JU81" s="15"/>
      <c r="JV81" s="15"/>
      <c r="JW81" s="15"/>
      <c r="JX81" s="15"/>
      <c r="JY81" s="15"/>
      <c r="JZ81" s="15"/>
      <c r="KA81" s="15"/>
      <c r="KB81" s="15"/>
      <c r="KC81" s="15"/>
      <c r="KD81" s="15"/>
      <c r="KE81" s="15"/>
      <c r="KF81" s="15"/>
      <c r="KG81" s="15"/>
      <c r="KH81" s="15"/>
      <c r="KI81" s="15"/>
      <c r="KJ81" s="15"/>
      <c r="KK81" s="15"/>
      <c r="KL81" s="15"/>
      <c r="KM81" s="15"/>
      <c r="KN81" s="15"/>
      <c r="KO81" s="15"/>
      <c r="KP81" s="15"/>
      <c r="KQ81" s="15"/>
      <c r="KR81" s="15"/>
      <c r="KS81" s="15"/>
      <c r="KT81" s="15"/>
      <c r="KU81" s="15"/>
      <c r="KV81" s="15"/>
      <c r="KW81" s="15"/>
      <c r="KX81" s="15"/>
      <c r="KY81" s="15"/>
      <c r="KZ81" s="15"/>
      <c r="LA81" s="15"/>
      <c r="LB81" s="15"/>
      <c r="LC81" s="15"/>
      <c r="LD81" s="15"/>
      <c r="LE81" s="15"/>
      <c r="LF81" s="15"/>
      <c r="LG81" s="15"/>
      <c r="LH81" s="15"/>
      <c r="LI81" s="15"/>
      <c r="LJ81" s="15"/>
      <c r="LK81" s="15"/>
      <c r="LL81" s="15"/>
      <c r="LM81" s="15"/>
      <c r="LN81" s="15"/>
      <c r="LO81" s="15"/>
      <c r="LP81" s="15"/>
      <c r="LQ81" s="15"/>
      <c r="LR81" s="15"/>
      <c r="LS81" s="15"/>
      <c r="LT81" s="15"/>
      <c r="LU81" s="15"/>
      <c r="LV81" s="15"/>
      <c r="LW81" s="15"/>
      <c r="LX81" s="15"/>
      <c r="LY81" s="15"/>
      <c r="LZ81" s="15"/>
      <c r="MA81" s="15"/>
      <c r="MB81" s="15"/>
      <c r="MC81" s="15"/>
      <c r="MD81" s="15"/>
      <c r="ME81" s="15"/>
      <c r="MF81" s="15"/>
      <c r="MG81" s="15"/>
      <c r="MH81" s="15"/>
      <c r="MI81" s="15"/>
      <c r="MJ81" s="15"/>
      <c r="MK81" s="15"/>
      <c r="ML81" s="15"/>
      <c r="MM81" s="15"/>
      <c r="MN81" s="15"/>
      <c r="MO81" s="15"/>
      <c r="MP81" s="15"/>
      <c r="MQ81" s="15"/>
      <c r="MR81" s="15"/>
      <c r="MS81" s="15"/>
      <c r="MT81" s="15"/>
      <c r="MU81" s="15"/>
      <c r="MV81" s="15"/>
      <c r="MW81" s="15"/>
      <c r="MX81" s="15"/>
      <c r="MY81" s="15"/>
      <c r="MZ81" s="15"/>
      <c r="NA81" s="15"/>
      <c r="NB81" s="15"/>
      <c r="NC81" s="15"/>
      <c r="ND81" s="15"/>
      <c r="NE81" s="15"/>
      <c r="NF81" s="15"/>
      <c r="NG81" s="15"/>
      <c r="NH81" s="15"/>
      <c r="NI81" s="15"/>
      <c r="NJ81" s="15"/>
      <c r="NK81" s="15"/>
      <c r="NL81" s="15"/>
      <c r="NM81" s="15"/>
      <c r="NN81" s="15"/>
      <c r="NO81" s="15"/>
      <c r="NP81" s="15"/>
      <c r="NQ81" s="15"/>
      <c r="NR81" s="15"/>
      <c r="NS81" s="15"/>
      <c r="NT81" s="15"/>
      <c r="NU81" s="15"/>
      <c r="NV81" s="15"/>
      <c r="NW81" s="15"/>
      <c r="NX81" s="15"/>
      <c r="NY81" s="15"/>
      <c r="NZ81" s="15"/>
      <c r="OA81" s="15"/>
      <c r="OB81" s="15"/>
      <c r="OC81" s="15"/>
      <c r="OD81" s="15"/>
      <c r="OE81" s="15"/>
      <c r="OF81" s="15"/>
      <c r="OG81" s="15"/>
      <c r="OH81" s="15"/>
      <c r="OI81" s="15"/>
      <c r="OJ81" s="15"/>
      <c r="OK81" s="15"/>
      <c r="OL81" s="15"/>
      <c r="OM81" s="15"/>
      <c r="ON81" s="15"/>
      <c r="OO81" s="15"/>
      <c r="OP81" s="15"/>
      <c r="OQ81" s="15"/>
      <c r="OR81" s="15"/>
      <c r="OS81" s="15"/>
      <c r="OT81" s="15"/>
      <c r="OU81" s="15"/>
      <c r="OV81" s="15"/>
      <c r="OW81" s="15"/>
      <c r="OX81" s="15"/>
      <c r="OY81" s="15"/>
      <c r="OZ81" s="15"/>
      <c r="PA81" s="15"/>
      <c r="PB81" s="15"/>
      <c r="PC81" s="15"/>
      <c r="PD81" s="15"/>
      <c r="PE81" s="15"/>
      <c r="PF81" s="15"/>
      <c r="PG81" s="15"/>
      <c r="PH81" s="15"/>
      <c r="PI81" s="15"/>
      <c r="PJ81" s="15"/>
      <c r="PK81" s="15"/>
      <c r="PL81" s="15"/>
      <c r="PM81" s="15"/>
      <c r="PN81" s="15"/>
      <c r="PO81" s="15"/>
      <c r="PP81" s="15"/>
      <c r="PQ81" s="15"/>
      <c r="PR81" s="15"/>
      <c r="PS81" s="15"/>
      <c r="PT81" s="15"/>
      <c r="PU81" s="15"/>
      <c r="PV81" s="15"/>
      <c r="PW81" s="15"/>
      <c r="PX81" s="15"/>
      <c r="PY81" s="15"/>
      <c r="PZ81" s="15"/>
      <c r="QA81" s="15"/>
      <c r="QB81" s="15"/>
      <c r="QC81" s="15"/>
      <c r="QD81" s="15"/>
      <c r="QE81" s="15"/>
      <c r="QF81" s="15"/>
      <c r="QG81" s="15"/>
      <c r="QH81" s="15"/>
      <c r="QI81" s="15"/>
      <c r="QJ81" s="15"/>
      <c r="QK81" s="15"/>
      <c r="QL81" s="15"/>
      <c r="QM81" s="15"/>
      <c r="QN81" s="15"/>
      <c r="QO81" s="15"/>
      <c r="QP81" s="15"/>
      <c r="QQ81" s="15"/>
      <c r="QR81" s="15"/>
      <c r="QS81" s="15"/>
      <c r="QT81" s="15"/>
      <c r="QU81" s="15"/>
      <c r="QV81" s="15"/>
      <c r="QW81" s="15"/>
      <c r="QX81" s="15"/>
      <c r="QY81" s="15"/>
      <c r="QZ81" s="15"/>
      <c r="RA81" s="15"/>
      <c r="RB81" s="15"/>
      <c r="RC81" s="15"/>
      <c r="RD81" s="15"/>
      <c r="RE81" s="15"/>
      <c r="RF81" s="15"/>
      <c r="RG81" s="15"/>
      <c r="RH81" s="15"/>
      <c r="RI81" s="15"/>
      <c r="RJ81" s="15"/>
      <c r="RK81" s="15"/>
      <c r="RL81" s="15"/>
      <c r="RM81" s="15"/>
      <c r="RN81" s="15"/>
      <c r="RO81" s="15"/>
      <c r="RP81" s="15"/>
      <c r="RQ81" s="15"/>
      <c r="RR81" s="15"/>
      <c r="RS81" s="15"/>
      <c r="RT81" s="15"/>
      <c r="RU81" s="15"/>
      <c r="RV81" s="15"/>
      <c r="RW81" s="15"/>
      <c r="RX81" s="15"/>
      <c r="RY81" s="15"/>
      <c r="RZ81" s="15"/>
      <c r="SA81" s="15"/>
      <c r="SB81" s="15"/>
      <c r="SC81" s="15"/>
      <c r="SD81" s="15"/>
      <c r="SE81" s="15"/>
      <c r="SF81" s="15"/>
      <c r="SG81" s="15"/>
      <c r="SH81" s="15"/>
      <c r="SI81" s="15"/>
      <c r="SJ81" s="15"/>
      <c r="SK81" s="15"/>
      <c r="SL81" s="15"/>
      <c r="SM81" s="15"/>
      <c r="SN81" s="15"/>
      <c r="SO81" s="15"/>
      <c r="SP81" s="15"/>
      <c r="SQ81" s="15"/>
      <c r="SR81" s="15"/>
      <c r="SS81" s="15"/>
      <c r="ST81" s="15"/>
      <c r="SU81" s="15"/>
      <c r="SV81" s="15"/>
      <c r="SW81" s="15"/>
      <c r="SX81" s="15"/>
      <c r="SY81" s="15"/>
      <c r="SZ81" s="15"/>
      <c r="TA81" s="15"/>
      <c r="TB81" s="15"/>
      <c r="TC81" s="15"/>
      <c r="TD81" s="15"/>
      <c r="TE81" s="15"/>
      <c r="TF81" s="15"/>
      <c r="TG81" s="15"/>
      <c r="TH81" s="15"/>
      <c r="TI81" s="15"/>
      <c r="TJ81" s="15"/>
      <c r="TK81" s="15"/>
      <c r="TL81" s="15"/>
      <c r="TM81" s="15"/>
      <c r="TN81" s="15"/>
      <c r="TO81" s="15"/>
      <c r="TP81" s="15"/>
      <c r="TQ81" s="15"/>
      <c r="TR81" s="15"/>
      <c r="TS81" s="15"/>
      <c r="TT81" s="15"/>
      <c r="TU81" s="15"/>
      <c r="TV81" s="15"/>
      <c r="TW81" s="15"/>
      <c r="TX81" s="15"/>
      <c r="TY81" s="15"/>
      <c r="TZ81" s="15"/>
      <c r="UA81" s="15"/>
      <c r="UB81" s="15"/>
      <c r="UC81" s="15"/>
      <c r="UD81" s="15"/>
      <c r="UE81" s="15"/>
      <c r="UF81" s="15"/>
      <c r="UG81" s="15"/>
      <c r="UH81" s="15"/>
      <c r="UI81" s="15"/>
      <c r="UJ81" s="15"/>
      <c r="UK81" s="15"/>
      <c r="UL81" s="15"/>
      <c r="UM81" s="15"/>
      <c r="UN81" s="15"/>
      <c r="UO81" s="15"/>
      <c r="UP81" s="15"/>
      <c r="UQ81" s="15"/>
      <c r="UR81" s="15"/>
      <c r="US81" s="15"/>
      <c r="UT81" s="15"/>
      <c r="UU81" s="15"/>
      <c r="UV81" s="15"/>
      <c r="UW81" s="15"/>
      <c r="UX81" s="15"/>
      <c r="UY81" s="15"/>
      <c r="UZ81" s="15"/>
      <c r="VA81" s="15"/>
      <c r="VB81" s="15"/>
      <c r="VC81" s="15"/>
      <c r="VD81" s="15"/>
      <c r="VE81" s="15"/>
      <c r="VF81" s="15"/>
      <c r="VG81" s="15"/>
      <c r="VH81" s="15"/>
      <c r="VI81" s="15"/>
      <c r="VJ81" s="15"/>
      <c r="VK81" s="15"/>
      <c r="VL81" s="15"/>
      <c r="VM81" s="15"/>
      <c r="VN81" s="15"/>
      <c r="VO81" s="15"/>
      <c r="VP81" s="15"/>
      <c r="VQ81" s="15"/>
      <c r="VR81" s="15"/>
      <c r="VS81" s="15"/>
      <c r="VT81" s="15"/>
      <c r="VU81" s="15"/>
      <c r="VV81" s="15"/>
      <c r="VW81" s="15"/>
      <c r="VX81" s="15"/>
      <c r="VY81" s="15"/>
      <c r="VZ81" s="15"/>
      <c r="WA81" s="15"/>
      <c r="WB81" s="15"/>
      <c r="WC81" s="15"/>
      <c r="WD81" s="15"/>
      <c r="WE81" s="15"/>
      <c r="WF81" s="15"/>
      <c r="WG81" s="15"/>
      <c r="WH81" s="15"/>
      <c r="WI81" s="15"/>
      <c r="WJ81" s="15"/>
      <c r="WK81" s="15"/>
      <c r="WL81" s="15"/>
      <c r="WM81" s="15"/>
      <c r="WN81" s="15"/>
      <c r="WO81" s="15"/>
      <c r="WP81" s="15"/>
      <c r="WQ81" s="15"/>
      <c r="WR81" s="15"/>
      <c r="WS81" s="15"/>
      <c r="WT81" s="15"/>
      <c r="WU81" s="15"/>
      <c r="WV81" s="15"/>
      <c r="WW81" s="15"/>
      <c r="WX81" s="15"/>
      <c r="WY81" s="15"/>
      <c r="WZ81" s="15"/>
      <c r="XA81" s="15"/>
      <c r="XB81" s="15"/>
      <c r="XC81" s="15"/>
      <c r="XD81" s="15"/>
      <c r="XE81" s="15"/>
      <c r="XF81" s="15"/>
      <c r="XG81" s="15"/>
      <c r="XH81" s="15"/>
      <c r="XI81" s="15"/>
      <c r="XJ81" s="15"/>
      <c r="XK81" s="15"/>
      <c r="XL81" s="15"/>
      <c r="XM81" s="15"/>
      <c r="XN81" s="15"/>
      <c r="XO81" s="15"/>
      <c r="XP81" s="15"/>
      <c r="XQ81" s="15"/>
      <c r="XR81" s="15"/>
      <c r="XS81" s="15"/>
      <c r="XT81" s="15"/>
      <c r="XU81" s="15"/>
      <c r="XV81" s="15"/>
      <c r="XW81" s="15"/>
      <c r="XX81" s="15"/>
      <c r="XY81" s="15"/>
      <c r="XZ81" s="15"/>
      <c r="YA81" s="15"/>
      <c r="YB81" s="15"/>
      <c r="YC81" s="15"/>
      <c r="YD81" s="15"/>
      <c r="YE81" s="15"/>
      <c r="YF81" s="15"/>
      <c r="YG81" s="15"/>
      <c r="YH81" s="15"/>
      <c r="YI81" s="15"/>
      <c r="YJ81" s="15"/>
      <c r="YK81" s="15"/>
      <c r="YL81" s="15"/>
      <c r="YM81" s="15"/>
      <c r="YN81" s="15"/>
      <c r="YO81" s="15"/>
      <c r="YP81" s="15"/>
      <c r="YQ81" s="15"/>
      <c r="YR81" s="15"/>
      <c r="YS81" s="15"/>
      <c r="YT81" s="15"/>
      <c r="YU81" s="15"/>
      <c r="YV81" s="15"/>
      <c r="YW81" s="15"/>
      <c r="YX81" s="15"/>
      <c r="YY81" s="15"/>
      <c r="YZ81" s="15"/>
      <c r="ZA81" s="15"/>
      <c r="ZB81" s="15"/>
      <c r="ZC81" s="15"/>
      <c r="ZD81" s="15"/>
      <c r="ZE81" s="15"/>
      <c r="ZF81" s="15"/>
      <c r="ZG81" s="15"/>
      <c r="ZH81" s="15"/>
      <c r="ZI81" s="15"/>
      <c r="ZJ81" s="15"/>
      <c r="ZK81" s="15"/>
      <c r="ZL81" s="15"/>
      <c r="ZM81" s="15"/>
      <c r="ZN81" s="15"/>
      <c r="ZO81" s="15"/>
      <c r="ZP81" s="15"/>
      <c r="ZQ81" s="15"/>
      <c r="ZR81" s="15"/>
      <c r="ZS81" s="15"/>
      <c r="ZT81" s="15"/>
      <c r="ZU81" s="15"/>
      <c r="ZV81" s="15"/>
      <c r="ZW81" s="15"/>
      <c r="ZX81" s="15"/>
      <c r="ZY81" s="15"/>
      <c r="ZZ81" s="15"/>
      <c r="AAA81" s="15"/>
      <c r="AAB81" s="15"/>
      <c r="AAC81" s="15"/>
      <c r="AAD81" s="15"/>
      <c r="AAE81" s="15"/>
      <c r="AAF81" s="15"/>
      <c r="AAG81" s="15"/>
      <c r="AAH81" s="15"/>
      <c r="AAI81" s="15"/>
      <c r="AAJ81" s="15"/>
      <c r="AAK81" s="15"/>
      <c r="AAL81" s="15"/>
      <c r="AAM81" s="15"/>
      <c r="AAN81" s="15"/>
      <c r="AAO81" s="15"/>
      <c r="AAP81" s="15"/>
      <c r="AAQ81" s="15"/>
      <c r="AAR81" s="15"/>
      <c r="AAS81" s="15"/>
      <c r="AAT81" s="15"/>
      <c r="AAU81" s="15"/>
      <c r="AAV81" s="15"/>
      <c r="AAW81" s="15"/>
      <c r="AAX81" s="15"/>
      <c r="AAY81" s="15"/>
      <c r="AAZ81" s="15"/>
      <c r="ABA81" s="15"/>
      <c r="ABB81" s="15"/>
      <c r="ABC81" s="15"/>
      <c r="ABD81" s="15"/>
      <c r="ABE81" s="15"/>
      <c r="ABF81" s="15"/>
      <c r="ABG81" s="15"/>
      <c r="ABH81" s="15"/>
      <c r="ABI81" s="15"/>
      <c r="ABJ81" s="15"/>
      <c r="ABK81" s="15"/>
      <c r="ABL81" s="15"/>
      <c r="ABM81" s="15"/>
      <c r="ABN81" s="15"/>
      <c r="ABO81" s="15"/>
      <c r="ABP81" s="15"/>
      <c r="ABQ81" s="15"/>
      <c r="ABR81" s="15"/>
      <c r="ABS81" s="15"/>
      <c r="ABT81" s="15"/>
      <c r="ABU81" s="15"/>
      <c r="ABV81" s="15"/>
      <c r="ABW81" s="15"/>
      <c r="ABX81" s="15"/>
      <c r="ABY81" s="15"/>
      <c r="ABZ81" s="15"/>
      <c r="ACA81" s="15"/>
      <c r="ACB81" s="15"/>
      <c r="ACC81" s="15"/>
      <c r="ACD81" s="15"/>
      <c r="ACE81" s="15"/>
      <c r="ACF81" s="15"/>
      <c r="ACG81" s="15"/>
      <c r="ACH81" s="15"/>
      <c r="ACI81" s="15"/>
      <c r="ACJ81" s="15"/>
      <c r="ACK81" s="15"/>
      <c r="ACL81" s="15"/>
      <c r="ACM81" s="15"/>
      <c r="ACN81" s="15"/>
      <c r="ACO81" s="15"/>
      <c r="ACP81" s="15"/>
      <c r="ACQ81" s="15"/>
      <c r="ACR81" s="15"/>
      <c r="ACS81" s="15"/>
      <c r="ACT81" s="15"/>
      <c r="ACU81" s="15"/>
      <c r="ACV81" s="15"/>
      <c r="ACW81" s="15"/>
      <c r="ACX81" s="15"/>
      <c r="ACY81" s="15"/>
      <c r="ACZ81" s="15"/>
      <c r="ADA81" s="15"/>
      <c r="ADB81" s="15"/>
      <c r="ADC81" s="15"/>
      <c r="ADD81" s="15"/>
      <c r="ADE81" s="15"/>
      <c r="ADF81" s="15"/>
      <c r="ADG81" s="15"/>
      <c r="ADH81" s="15"/>
      <c r="ADI81" s="15"/>
      <c r="ADJ81" s="15"/>
      <c r="ADK81" s="15"/>
      <c r="ADL81" s="15"/>
      <c r="ADM81" s="15"/>
      <c r="ADN81" s="15"/>
      <c r="ADO81" s="15"/>
      <c r="ADP81" s="15"/>
      <c r="ADQ81" s="15"/>
      <c r="ADR81" s="15"/>
      <c r="ADS81" s="15"/>
      <c r="ADT81" s="15"/>
      <c r="ADU81" s="15"/>
      <c r="ADV81" s="15"/>
      <c r="ADW81" s="15"/>
      <c r="ADX81" s="15"/>
      <c r="ADY81" s="15"/>
      <c r="ADZ81" s="15"/>
      <c r="AEA81" s="15"/>
      <c r="AEB81" s="15"/>
      <c r="AEC81" s="15"/>
      <c r="AED81" s="15"/>
      <c r="AEE81" s="15"/>
      <c r="AEF81" s="15"/>
      <c r="AEG81" s="15"/>
      <c r="AEH81" s="15"/>
      <c r="AEI81" s="15"/>
      <c r="AEJ81" s="15"/>
      <c r="AEK81" s="15"/>
      <c r="AEL81" s="15"/>
      <c r="AEM81" s="15"/>
      <c r="AEN81" s="15"/>
      <c r="AEO81" s="15"/>
      <c r="AEP81" s="15"/>
      <c r="AEQ81" s="15"/>
      <c r="AER81" s="15"/>
      <c r="AES81" s="15"/>
      <c r="AET81" s="15"/>
      <c r="AEU81" s="15"/>
      <c r="AEV81" s="15"/>
      <c r="AEW81" s="15"/>
      <c r="AEX81" s="15"/>
      <c r="AEY81" s="15"/>
      <c r="AEZ81" s="15"/>
      <c r="AFA81" s="15"/>
      <c r="AFB81" s="15"/>
      <c r="AFC81" s="15"/>
      <c r="AFD81" s="15"/>
      <c r="AFE81" s="15"/>
      <c r="AFF81" s="15"/>
      <c r="AFG81" s="15"/>
      <c r="AFH81" s="15"/>
      <c r="AFI81" s="15"/>
      <c r="AFJ81" s="15"/>
      <c r="AFK81" s="15"/>
      <c r="AFL81" s="15"/>
      <c r="AFM81" s="15"/>
      <c r="AFN81" s="15"/>
      <c r="AFO81" s="15"/>
      <c r="AFP81" s="15"/>
      <c r="AFQ81" s="15"/>
      <c r="AFR81" s="15"/>
      <c r="AFS81" s="15"/>
      <c r="AFT81" s="15"/>
      <c r="AFU81" s="15"/>
      <c r="AFV81" s="15"/>
      <c r="AFW81" s="15"/>
      <c r="AFX81" s="15"/>
      <c r="AFY81" s="15"/>
      <c r="AFZ81" s="15"/>
      <c r="AGA81" s="15"/>
      <c r="AGB81" s="15"/>
      <c r="AGC81" s="15"/>
      <c r="AGD81" s="15"/>
      <c r="AGE81" s="15"/>
      <c r="AGF81" s="15"/>
      <c r="AGG81" s="15"/>
      <c r="AGH81" s="15"/>
      <c r="AGI81" s="15"/>
      <c r="AGJ81" s="15"/>
      <c r="AGK81" s="15"/>
      <c r="AGL81" s="15"/>
      <c r="AGM81" s="15"/>
      <c r="AGN81" s="15"/>
      <c r="AGO81" s="15"/>
      <c r="AGP81" s="15"/>
      <c r="AGQ81" s="15"/>
      <c r="AGR81" s="15"/>
      <c r="AGS81" s="15"/>
      <c r="AGT81" s="15"/>
      <c r="AGU81" s="15"/>
      <c r="AGV81" s="15"/>
      <c r="AGW81" s="15"/>
      <c r="AGX81" s="15"/>
      <c r="AGY81" s="15"/>
      <c r="AGZ81" s="15"/>
      <c r="AHA81" s="15"/>
      <c r="AHB81" s="15"/>
      <c r="AHC81" s="15"/>
      <c r="AHD81" s="15"/>
      <c r="AHE81" s="15"/>
      <c r="AHF81" s="15"/>
      <c r="AHG81" s="15"/>
      <c r="AHH81" s="15"/>
      <c r="AHI81" s="15"/>
      <c r="AHJ81" s="15"/>
      <c r="AHK81" s="15"/>
      <c r="AHL81" s="15"/>
      <c r="AHM81" s="15"/>
      <c r="AHN81" s="15"/>
      <c r="AHO81" s="15"/>
      <c r="AHP81" s="15"/>
      <c r="AHQ81" s="15"/>
      <c r="AHR81" s="15"/>
      <c r="AHS81" s="15"/>
      <c r="AHT81" s="15"/>
      <c r="AHU81" s="15"/>
      <c r="AHV81" s="15"/>
      <c r="AHW81" s="15"/>
      <c r="AHX81" s="15"/>
      <c r="AHY81" s="15"/>
      <c r="AHZ81" s="15"/>
      <c r="AIA81" s="15"/>
      <c r="AIB81" s="15"/>
      <c r="AIC81" s="15"/>
      <c r="AID81" s="15"/>
      <c r="AIE81" s="15"/>
      <c r="AIF81" s="15"/>
      <c r="AIG81" s="15"/>
      <c r="AIH81" s="15"/>
      <c r="AII81" s="15"/>
      <c r="AIJ81" s="15"/>
      <c r="AIK81" s="15"/>
      <c r="AIL81" s="15"/>
      <c r="AIM81" s="15"/>
      <c r="AIN81" s="15"/>
      <c r="AIO81" s="15"/>
      <c r="AIP81" s="15"/>
      <c r="AIQ81" s="15"/>
      <c r="AIR81" s="15"/>
      <c r="AIS81" s="15"/>
      <c r="AIT81" s="15"/>
      <c r="AIU81" s="15"/>
      <c r="AIV81" s="15"/>
      <c r="AIW81" s="15"/>
      <c r="AIX81" s="15"/>
      <c r="AIY81" s="15"/>
      <c r="AIZ81" s="15"/>
      <c r="AJA81" s="15"/>
      <c r="AJB81" s="15"/>
      <c r="AJC81" s="15"/>
      <c r="AJD81" s="15"/>
      <c r="AJE81" s="15"/>
      <c r="AJF81" s="15"/>
      <c r="AJG81" s="15"/>
      <c r="AJH81" s="15"/>
      <c r="AJI81" s="15"/>
      <c r="AJJ81" s="15"/>
      <c r="AJK81" s="15"/>
      <c r="AJL81" s="15"/>
      <c r="AJM81" s="15"/>
      <c r="AJN81" s="15"/>
      <c r="AJO81" s="15"/>
      <c r="AJP81" s="15"/>
      <c r="AJQ81" s="15"/>
      <c r="AJR81" s="15"/>
      <c r="AJS81" s="15"/>
      <c r="AJT81" s="15"/>
      <c r="AJU81" s="15"/>
      <c r="AJV81" s="15"/>
      <c r="AJW81" s="15"/>
      <c r="AJX81" s="15"/>
      <c r="AJY81" s="15"/>
      <c r="AJZ81" s="15"/>
      <c r="AKA81" s="15"/>
      <c r="AKB81" s="15"/>
      <c r="AKC81" s="15"/>
      <c r="AKD81" s="15"/>
      <c r="AKE81" s="15"/>
      <c r="AKF81" s="15"/>
      <c r="AKG81" s="15"/>
      <c r="AKH81" s="15"/>
      <c r="AKI81" s="15"/>
      <c r="AKJ81" s="15"/>
      <c r="AKK81" s="15"/>
      <c r="AKL81" s="15"/>
      <c r="AKM81" s="15"/>
      <c r="AKN81" s="15"/>
      <c r="AKO81" s="15"/>
      <c r="AKP81" s="15"/>
      <c r="AKQ81" s="15"/>
      <c r="AKR81" s="15"/>
      <c r="AKS81" s="15"/>
      <c r="AKT81" s="15"/>
      <c r="AKU81" s="15"/>
      <c r="AKV81" s="15"/>
      <c r="AKW81" s="15"/>
      <c r="AKX81" s="15"/>
      <c r="AKY81" s="15"/>
      <c r="AKZ81" s="15"/>
      <c r="ALA81" s="15"/>
      <c r="ALB81" s="15"/>
      <c r="ALC81" s="15"/>
      <c r="ALD81" s="15"/>
      <c r="ALE81" s="15"/>
      <c r="ALF81" s="15"/>
      <c r="ALG81" s="15"/>
      <c r="ALH81" s="15"/>
      <c r="ALI81" s="15"/>
      <c r="ALJ81" s="15"/>
      <c r="ALK81" s="15"/>
      <c r="ALL81" s="15"/>
      <c r="ALM81" s="15"/>
      <c r="ALN81" s="15"/>
      <c r="ALO81" s="15"/>
      <c r="ALP81" s="15"/>
      <c r="ALQ81" s="15"/>
      <c r="ALR81" s="15"/>
      <c r="ALS81" s="15"/>
      <c r="ALT81" s="15"/>
      <c r="ALU81" s="15"/>
      <c r="ALV81" s="15"/>
      <c r="ALW81" s="15"/>
      <c r="ALX81" s="15"/>
      <c r="ALY81" s="15"/>
      <c r="ALZ81" s="15"/>
      <c r="AMA81" s="15"/>
      <c r="AMB81" s="15"/>
      <c r="AMC81" s="15"/>
      <c r="AMD81" s="15"/>
      <c r="AME81" s="15"/>
      <c r="AMF81" s="15"/>
      <c r="AMG81" s="14"/>
      <c r="AMH81" s="14"/>
      <c r="AMI81" s="14"/>
      <c r="AMJ81" s="14"/>
    </row>
    <row r="82" spans="1:1024" s="13" customFormat="1" hidden="1" x14ac:dyDescent="0.35">
      <c r="A82" s="19">
        <v>43660</v>
      </c>
      <c r="B82" s="17" t="s">
        <v>20</v>
      </c>
      <c r="C82" s="17" t="s">
        <v>301</v>
      </c>
      <c r="D82" s="18">
        <v>43664</v>
      </c>
      <c r="E82" s="17" t="s">
        <v>20</v>
      </c>
      <c r="F82" s="17" t="s">
        <v>15</v>
      </c>
      <c r="G82" s="17" t="s">
        <v>15</v>
      </c>
      <c r="H82" s="17" t="s">
        <v>15</v>
      </c>
      <c r="I82" s="17">
        <v>0</v>
      </c>
      <c r="J82" s="17" t="s">
        <v>20</v>
      </c>
      <c r="K82" s="17" t="s">
        <v>15</v>
      </c>
      <c r="L82" s="16" t="s">
        <v>17</v>
      </c>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15"/>
      <c r="CB82" s="15"/>
      <c r="CC82" s="15"/>
      <c r="CD82" s="15"/>
      <c r="CE82" s="15"/>
      <c r="CF82" s="15"/>
      <c r="CG82" s="15"/>
      <c r="CH82" s="15"/>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c r="IU82" s="15"/>
      <c r="IV82" s="15"/>
      <c r="IW82" s="15"/>
      <c r="IX82" s="15"/>
      <c r="IY82" s="15"/>
      <c r="IZ82" s="15"/>
      <c r="JA82" s="15"/>
      <c r="JB82" s="15"/>
      <c r="JC82" s="15"/>
      <c r="JD82" s="15"/>
      <c r="JE82" s="15"/>
      <c r="JF82" s="15"/>
      <c r="JG82" s="15"/>
      <c r="JH82" s="15"/>
      <c r="JI82" s="15"/>
      <c r="JJ82" s="15"/>
      <c r="JK82" s="15"/>
      <c r="JL82" s="15"/>
      <c r="JM82" s="15"/>
      <c r="JN82" s="15"/>
      <c r="JO82" s="15"/>
      <c r="JP82" s="15"/>
      <c r="JQ82" s="15"/>
      <c r="JR82" s="15"/>
      <c r="JS82" s="15"/>
      <c r="JT82" s="15"/>
      <c r="JU82" s="15"/>
      <c r="JV82" s="15"/>
      <c r="JW82" s="15"/>
      <c r="JX82" s="15"/>
      <c r="JY82" s="15"/>
      <c r="JZ82" s="15"/>
      <c r="KA82" s="15"/>
      <c r="KB82" s="15"/>
      <c r="KC82" s="15"/>
      <c r="KD82" s="15"/>
      <c r="KE82" s="15"/>
      <c r="KF82" s="15"/>
      <c r="KG82" s="15"/>
      <c r="KH82" s="15"/>
      <c r="KI82" s="15"/>
      <c r="KJ82" s="15"/>
      <c r="KK82" s="15"/>
      <c r="KL82" s="15"/>
      <c r="KM82" s="15"/>
      <c r="KN82" s="15"/>
      <c r="KO82" s="15"/>
      <c r="KP82" s="15"/>
      <c r="KQ82" s="15"/>
      <c r="KR82" s="15"/>
      <c r="KS82" s="15"/>
      <c r="KT82" s="15"/>
      <c r="KU82" s="15"/>
      <c r="KV82" s="15"/>
      <c r="KW82" s="15"/>
      <c r="KX82" s="15"/>
      <c r="KY82" s="15"/>
      <c r="KZ82" s="15"/>
      <c r="LA82" s="15"/>
      <c r="LB82" s="15"/>
      <c r="LC82" s="15"/>
      <c r="LD82" s="15"/>
      <c r="LE82" s="15"/>
      <c r="LF82" s="15"/>
      <c r="LG82" s="15"/>
      <c r="LH82" s="15"/>
      <c r="LI82" s="15"/>
      <c r="LJ82" s="15"/>
      <c r="LK82" s="15"/>
      <c r="LL82" s="15"/>
      <c r="LM82" s="15"/>
      <c r="LN82" s="15"/>
      <c r="LO82" s="15"/>
      <c r="LP82" s="15"/>
      <c r="LQ82" s="15"/>
      <c r="LR82" s="15"/>
      <c r="LS82" s="15"/>
      <c r="LT82" s="15"/>
      <c r="LU82" s="15"/>
      <c r="LV82" s="15"/>
      <c r="LW82" s="15"/>
      <c r="LX82" s="15"/>
      <c r="LY82" s="15"/>
      <c r="LZ82" s="15"/>
      <c r="MA82" s="15"/>
      <c r="MB82" s="15"/>
      <c r="MC82" s="15"/>
      <c r="MD82" s="15"/>
      <c r="ME82" s="15"/>
      <c r="MF82" s="15"/>
      <c r="MG82" s="15"/>
      <c r="MH82" s="15"/>
      <c r="MI82" s="15"/>
      <c r="MJ82" s="15"/>
      <c r="MK82" s="15"/>
      <c r="ML82" s="15"/>
      <c r="MM82" s="15"/>
      <c r="MN82" s="15"/>
      <c r="MO82" s="15"/>
      <c r="MP82" s="15"/>
      <c r="MQ82" s="15"/>
      <c r="MR82" s="15"/>
      <c r="MS82" s="15"/>
      <c r="MT82" s="15"/>
      <c r="MU82" s="15"/>
      <c r="MV82" s="15"/>
      <c r="MW82" s="15"/>
      <c r="MX82" s="15"/>
      <c r="MY82" s="15"/>
      <c r="MZ82" s="15"/>
      <c r="NA82" s="15"/>
      <c r="NB82" s="15"/>
      <c r="NC82" s="15"/>
      <c r="ND82" s="15"/>
      <c r="NE82" s="15"/>
      <c r="NF82" s="15"/>
      <c r="NG82" s="15"/>
      <c r="NH82" s="15"/>
      <c r="NI82" s="15"/>
      <c r="NJ82" s="15"/>
      <c r="NK82" s="15"/>
      <c r="NL82" s="15"/>
      <c r="NM82" s="15"/>
      <c r="NN82" s="15"/>
      <c r="NO82" s="15"/>
      <c r="NP82" s="15"/>
      <c r="NQ82" s="15"/>
      <c r="NR82" s="15"/>
      <c r="NS82" s="15"/>
      <c r="NT82" s="15"/>
      <c r="NU82" s="15"/>
      <c r="NV82" s="15"/>
      <c r="NW82" s="15"/>
      <c r="NX82" s="15"/>
      <c r="NY82" s="15"/>
      <c r="NZ82" s="15"/>
      <c r="OA82" s="15"/>
      <c r="OB82" s="15"/>
      <c r="OC82" s="15"/>
      <c r="OD82" s="15"/>
      <c r="OE82" s="15"/>
      <c r="OF82" s="15"/>
      <c r="OG82" s="15"/>
      <c r="OH82" s="15"/>
      <c r="OI82" s="15"/>
      <c r="OJ82" s="15"/>
      <c r="OK82" s="15"/>
      <c r="OL82" s="15"/>
      <c r="OM82" s="15"/>
      <c r="ON82" s="15"/>
      <c r="OO82" s="15"/>
      <c r="OP82" s="15"/>
      <c r="OQ82" s="15"/>
      <c r="OR82" s="15"/>
      <c r="OS82" s="15"/>
      <c r="OT82" s="15"/>
      <c r="OU82" s="15"/>
      <c r="OV82" s="15"/>
      <c r="OW82" s="15"/>
      <c r="OX82" s="15"/>
      <c r="OY82" s="15"/>
      <c r="OZ82" s="15"/>
      <c r="PA82" s="15"/>
      <c r="PB82" s="15"/>
      <c r="PC82" s="15"/>
      <c r="PD82" s="15"/>
      <c r="PE82" s="15"/>
      <c r="PF82" s="15"/>
      <c r="PG82" s="15"/>
      <c r="PH82" s="15"/>
      <c r="PI82" s="15"/>
      <c r="PJ82" s="15"/>
      <c r="PK82" s="15"/>
      <c r="PL82" s="15"/>
      <c r="PM82" s="15"/>
      <c r="PN82" s="15"/>
      <c r="PO82" s="15"/>
      <c r="PP82" s="15"/>
      <c r="PQ82" s="15"/>
      <c r="PR82" s="15"/>
      <c r="PS82" s="15"/>
      <c r="PT82" s="15"/>
      <c r="PU82" s="15"/>
      <c r="PV82" s="15"/>
      <c r="PW82" s="15"/>
      <c r="PX82" s="15"/>
      <c r="PY82" s="15"/>
      <c r="PZ82" s="15"/>
      <c r="QA82" s="15"/>
      <c r="QB82" s="15"/>
      <c r="QC82" s="15"/>
      <c r="QD82" s="15"/>
      <c r="QE82" s="15"/>
      <c r="QF82" s="15"/>
      <c r="QG82" s="15"/>
      <c r="QH82" s="15"/>
      <c r="QI82" s="15"/>
      <c r="QJ82" s="15"/>
      <c r="QK82" s="15"/>
      <c r="QL82" s="15"/>
      <c r="QM82" s="15"/>
      <c r="QN82" s="15"/>
      <c r="QO82" s="15"/>
      <c r="QP82" s="15"/>
      <c r="QQ82" s="15"/>
      <c r="QR82" s="15"/>
      <c r="QS82" s="15"/>
      <c r="QT82" s="15"/>
      <c r="QU82" s="15"/>
      <c r="QV82" s="15"/>
      <c r="QW82" s="15"/>
      <c r="QX82" s="15"/>
      <c r="QY82" s="15"/>
      <c r="QZ82" s="15"/>
      <c r="RA82" s="15"/>
      <c r="RB82" s="15"/>
      <c r="RC82" s="15"/>
      <c r="RD82" s="15"/>
      <c r="RE82" s="15"/>
      <c r="RF82" s="15"/>
      <c r="RG82" s="15"/>
      <c r="RH82" s="15"/>
      <c r="RI82" s="15"/>
      <c r="RJ82" s="15"/>
      <c r="RK82" s="15"/>
      <c r="RL82" s="15"/>
      <c r="RM82" s="15"/>
      <c r="RN82" s="15"/>
      <c r="RO82" s="15"/>
      <c r="RP82" s="15"/>
      <c r="RQ82" s="15"/>
      <c r="RR82" s="15"/>
      <c r="RS82" s="15"/>
      <c r="RT82" s="15"/>
      <c r="RU82" s="15"/>
      <c r="RV82" s="15"/>
      <c r="RW82" s="15"/>
      <c r="RX82" s="15"/>
      <c r="RY82" s="15"/>
      <c r="RZ82" s="15"/>
      <c r="SA82" s="15"/>
      <c r="SB82" s="15"/>
      <c r="SC82" s="15"/>
      <c r="SD82" s="15"/>
      <c r="SE82" s="15"/>
      <c r="SF82" s="15"/>
      <c r="SG82" s="15"/>
      <c r="SH82" s="15"/>
      <c r="SI82" s="15"/>
      <c r="SJ82" s="15"/>
      <c r="SK82" s="15"/>
      <c r="SL82" s="15"/>
      <c r="SM82" s="15"/>
      <c r="SN82" s="15"/>
      <c r="SO82" s="15"/>
      <c r="SP82" s="15"/>
      <c r="SQ82" s="15"/>
      <c r="SR82" s="15"/>
      <c r="SS82" s="15"/>
      <c r="ST82" s="15"/>
      <c r="SU82" s="15"/>
      <c r="SV82" s="15"/>
      <c r="SW82" s="15"/>
      <c r="SX82" s="15"/>
      <c r="SY82" s="15"/>
      <c r="SZ82" s="15"/>
      <c r="TA82" s="15"/>
      <c r="TB82" s="15"/>
      <c r="TC82" s="15"/>
      <c r="TD82" s="15"/>
      <c r="TE82" s="15"/>
      <c r="TF82" s="15"/>
      <c r="TG82" s="15"/>
      <c r="TH82" s="15"/>
      <c r="TI82" s="15"/>
      <c r="TJ82" s="15"/>
      <c r="TK82" s="15"/>
      <c r="TL82" s="15"/>
      <c r="TM82" s="15"/>
      <c r="TN82" s="15"/>
      <c r="TO82" s="15"/>
      <c r="TP82" s="15"/>
      <c r="TQ82" s="15"/>
      <c r="TR82" s="15"/>
      <c r="TS82" s="15"/>
      <c r="TT82" s="15"/>
      <c r="TU82" s="15"/>
      <c r="TV82" s="15"/>
      <c r="TW82" s="15"/>
      <c r="TX82" s="15"/>
      <c r="TY82" s="15"/>
      <c r="TZ82" s="15"/>
      <c r="UA82" s="15"/>
      <c r="UB82" s="15"/>
      <c r="UC82" s="15"/>
      <c r="UD82" s="15"/>
      <c r="UE82" s="15"/>
      <c r="UF82" s="15"/>
      <c r="UG82" s="15"/>
      <c r="UH82" s="15"/>
      <c r="UI82" s="15"/>
      <c r="UJ82" s="15"/>
      <c r="UK82" s="15"/>
      <c r="UL82" s="15"/>
      <c r="UM82" s="15"/>
      <c r="UN82" s="15"/>
      <c r="UO82" s="15"/>
      <c r="UP82" s="15"/>
      <c r="UQ82" s="15"/>
      <c r="UR82" s="15"/>
      <c r="US82" s="15"/>
      <c r="UT82" s="15"/>
      <c r="UU82" s="15"/>
      <c r="UV82" s="15"/>
      <c r="UW82" s="15"/>
      <c r="UX82" s="15"/>
      <c r="UY82" s="15"/>
      <c r="UZ82" s="15"/>
      <c r="VA82" s="15"/>
      <c r="VB82" s="15"/>
      <c r="VC82" s="15"/>
      <c r="VD82" s="15"/>
      <c r="VE82" s="15"/>
      <c r="VF82" s="15"/>
      <c r="VG82" s="15"/>
      <c r="VH82" s="15"/>
      <c r="VI82" s="15"/>
      <c r="VJ82" s="15"/>
      <c r="VK82" s="15"/>
      <c r="VL82" s="15"/>
      <c r="VM82" s="15"/>
      <c r="VN82" s="15"/>
      <c r="VO82" s="15"/>
      <c r="VP82" s="15"/>
      <c r="VQ82" s="15"/>
      <c r="VR82" s="15"/>
      <c r="VS82" s="15"/>
      <c r="VT82" s="15"/>
      <c r="VU82" s="15"/>
      <c r="VV82" s="15"/>
      <c r="VW82" s="15"/>
      <c r="VX82" s="15"/>
      <c r="VY82" s="15"/>
      <c r="VZ82" s="15"/>
      <c r="WA82" s="15"/>
      <c r="WB82" s="15"/>
      <c r="WC82" s="15"/>
      <c r="WD82" s="15"/>
      <c r="WE82" s="15"/>
      <c r="WF82" s="15"/>
      <c r="WG82" s="15"/>
      <c r="WH82" s="15"/>
      <c r="WI82" s="15"/>
      <c r="WJ82" s="15"/>
      <c r="WK82" s="15"/>
      <c r="WL82" s="15"/>
      <c r="WM82" s="15"/>
      <c r="WN82" s="15"/>
      <c r="WO82" s="15"/>
      <c r="WP82" s="15"/>
      <c r="WQ82" s="15"/>
      <c r="WR82" s="15"/>
      <c r="WS82" s="15"/>
      <c r="WT82" s="15"/>
      <c r="WU82" s="15"/>
      <c r="WV82" s="15"/>
      <c r="WW82" s="15"/>
      <c r="WX82" s="15"/>
      <c r="WY82" s="15"/>
      <c r="WZ82" s="15"/>
      <c r="XA82" s="15"/>
      <c r="XB82" s="15"/>
      <c r="XC82" s="15"/>
      <c r="XD82" s="15"/>
      <c r="XE82" s="15"/>
      <c r="XF82" s="15"/>
      <c r="XG82" s="15"/>
      <c r="XH82" s="15"/>
      <c r="XI82" s="15"/>
      <c r="XJ82" s="15"/>
      <c r="XK82" s="15"/>
      <c r="XL82" s="15"/>
      <c r="XM82" s="15"/>
      <c r="XN82" s="15"/>
      <c r="XO82" s="15"/>
      <c r="XP82" s="15"/>
      <c r="XQ82" s="15"/>
      <c r="XR82" s="15"/>
      <c r="XS82" s="15"/>
      <c r="XT82" s="15"/>
      <c r="XU82" s="15"/>
      <c r="XV82" s="15"/>
      <c r="XW82" s="15"/>
      <c r="XX82" s="15"/>
      <c r="XY82" s="15"/>
      <c r="XZ82" s="15"/>
      <c r="YA82" s="15"/>
      <c r="YB82" s="15"/>
      <c r="YC82" s="15"/>
      <c r="YD82" s="15"/>
      <c r="YE82" s="15"/>
      <c r="YF82" s="15"/>
      <c r="YG82" s="15"/>
      <c r="YH82" s="15"/>
      <c r="YI82" s="15"/>
      <c r="YJ82" s="15"/>
      <c r="YK82" s="15"/>
      <c r="YL82" s="15"/>
      <c r="YM82" s="15"/>
      <c r="YN82" s="15"/>
      <c r="YO82" s="15"/>
      <c r="YP82" s="15"/>
      <c r="YQ82" s="15"/>
      <c r="YR82" s="15"/>
      <c r="YS82" s="15"/>
      <c r="YT82" s="15"/>
      <c r="YU82" s="15"/>
      <c r="YV82" s="15"/>
      <c r="YW82" s="15"/>
      <c r="YX82" s="15"/>
      <c r="YY82" s="15"/>
      <c r="YZ82" s="15"/>
      <c r="ZA82" s="15"/>
      <c r="ZB82" s="15"/>
      <c r="ZC82" s="15"/>
      <c r="ZD82" s="15"/>
      <c r="ZE82" s="15"/>
      <c r="ZF82" s="15"/>
      <c r="ZG82" s="15"/>
      <c r="ZH82" s="15"/>
      <c r="ZI82" s="15"/>
      <c r="ZJ82" s="15"/>
      <c r="ZK82" s="15"/>
      <c r="ZL82" s="15"/>
      <c r="ZM82" s="15"/>
      <c r="ZN82" s="15"/>
      <c r="ZO82" s="15"/>
      <c r="ZP82" s="15"/>
      <c r="ZQ82" s="15"/>
      <c r="ZR82" s="15"/>
      <c r="ZS82" s="15"/>
      <c r="ZT82" s="15"/>
      <c r="ZU82" s="15"/>
      <c r="ZV82" s="15"/>
      <c r="ZW82" s="15"/>
      <c r="ZX82" s="15"/>
      <c r="ZY82" s="15"/>
      <c r="ZZ82" s="15"/>
      <c r="AAA82" s="15"/>
      <c r="AAB82" s="15"/>
      <c r="AAC82" s="15"/>
      <c r="AAD82" s="15"/>
      <c r="AAE82" s="15"/>
      <c r="AAF82" s="15"/>
      <c r="AAG82" s="15"/>
      <c r="AAH82" s="15"/>
      <c r="AAI82" s="15"/>
      <c r="AAJ82" s="15"/>
      <c r="AAK82" s="15"/>
      <c r="AAL82" s="15"/>
      <c r="AAM82" s="15"/>
      <c r="AAN82" s="15"/>
      <c r="AAO82" s="15"/>
      <c r="AAP82" s="15"/>
      <c r="AAQ82" s="15"/>
      <c r="AAR82" s="15"/>
      <c r="AAS82" s="15"/>
      <c r="AAT82" s="15"/>
      <c r="AAU82" s="15"/>
      <c r="AAV82" s="15"/>
      <c r="AAW82" s="15"/>
      <c r="AAX82" s="15"/>
      <c r="AAY82" s="15"/>
      <c r="AAZ82" s="15"/>
      <c r="ABA82" s="15"/>
      <c r="ABB82" s="15"/>
      <c r="ABC82" s="15"/>
      <c r="ABD82" s="15"/>
      <c r="ABE82" s="15"/>
      <c r="ABF82" s="15"/>
      <c r="ABG82" s="15"/>
      <c r="ABH82" s="15"/>
      <c r="ABI82" s="15"/>
      <c r="ABJ82" s="15"/>
      <c r="ABK82" s="15"/>
      <c r="ABL82" s="15"/>
      <c r="ABM82" s="15"/>
      <c r="ABN82" s="15"/>
      <c r="ABO82" s="15"/>
      <c r="ABP82" s="15"/>
      <c r="ABQ82" s="15"/>
      <c r="ABR82" s="15"/>
      <c r="ABS82" s="15"/>
      <c r="ABT82" s="15"/>
      <c r="ABU82" s="15"/>
      <c r="ABV82" s="15"/>
      <c r="ABW82" s="15"/>
      <c r="ABX82" s="15"/>
      <c r="ABY82" s="15"/>
      <c r="ABZ82" s="15"/>
      <c r="ACA82" s="15"/>
      <c r="ACB82" s="15"/>
      <c r="ACC82" s="15"/>
      <c r="ACD82" s="15"/>
      <c r="ACE82" s="15"/>
      <c r="ACF82" s="15"/>
      <c r="ACG82" s="15"/>
      <c r="ACH82" s="15"/>
      <c r="ACI82" s="15"/>
      <c r="ACJ82" s="15"/>
      <c r="ACK82" s="15"/>
      <c r="ACL82" s="15"/>
      <c r="ACM82" s="15"/>
      <c r="ACN82" s="15"/>
      <c r="ACO82" s="15"/>
      <c r="ACP82" s="15"/>
      <c r="ACQ82" s="15"/>
      <c r="ACR82" s="15"/>
      <c r="ACS82" s="15"/>
      <c r="ACT82" s="15"/>
      <c r="ACU82" s="15"/>
      <c r="ACV82" s="15"/>
      <c r="ACW82" s="15"/>
      <c r="ACX82" s="15"/>
      <c r="ACY82" s="15"/>
      <c r="ACZ82" s="15"/>
      <c r="ADA82" s="15"/>
      <c r="ADB82" s="15"/>
      <c r="ADC82" s="15"/>
      <c r="ADD82" s="15"/>
      <c r="ADE82" s="15"/>
      <c r="ADF82" s="15"/>
      <c r="ADG82" s="15"/>
      <c r="ADH82" s="15"/>
      <c r="ADI82" s="15"/>
      <c r="ADJ82" s="15"/>
      <c r="ADK82" s="15"/>
      <c r="ADL82" s="15"/>
      <c r="ADM82" s="15"/>
      <c r="ADN82" s="15"/>
      <c r="ADO82" s="15"/>
      <c r="ADP82" s="15"/>
      <c r="ADQ82" s="15"/>
      <c r="ADR82" s="15"/>
      <c r="ADS82" s="15"/>
      <c r="ADT82" s="15"/>
      <c r="ADU82" s="15"/>
      <c r="ADV82" s="15"/>
      <c r="ADW82" s="15"/>
      <c r="ADX82" s="15"/>
      <c r="ADY82" s="15"/>
      <c r="ADZ82" s="15"/>
      <c r="AEA82" s="15"/>
      <c r="AEB82" s="15"/>
      <c r="AEC82" s="15"/>
      <c r="AED82" s="15"/>
      <c r="AEE82" s="15"/>
      <c r="AEF82" s="15"/>
      <c r="AEG82" s="15"/>
      <c r="AEH82" s="15"/>
      <c r="AEI82" s="15"/>
      <c r="AEJ82" s="15"/>
      <c r="AEK82" s="15"/>
      <c r="AEL82" s="15"/>
      <c r="AEM82" s="15"/>
      <c r="AEN82" s="15"/>
      <c r="AEO82" s="15"/>
      <c r="AEP82" s="15"/>
      <c r="AEQ82" s="15"/>
      <c r="AER82" s="15"/>
      <c r="AES82" s="15"/>
      <c r="AET82" s="15"/>
      <c r="AEU82" s="15"/>
      <c r="AEV82" s="15"/>
      <c r="AEW82" s="15"/>
      <c r="AEX82" s="15"/>
      <c r="AEY82" s="15"/>
      <c r="AEZ82" s="15"/>
      <c r="AFA82" s="15"/>
      <c r="AFB82" s="15"/>
      <c r="AFC82" s="15"/>
      <c r="AFD82" s="15"/>
      <c r="AFE82" s="15"/>
      <c r="AFF82" s="15"/>
      <c r="AFG82" s="15"/>
      <c r="AFH82" s="15"/>
      <c r="AFI82" s="15"/>
      <c r="AFJ82" s="15"/>
      <c r="AFK82" s="15"/>
      <c r="AFL82" s="15"/>
      <c r="AFM82" s="15"/>
      <c r="AFN82" s="15"/>
      <c r="AFO82" s="15"/>
      <c r="AFP82" s="15"/>
      <c r="AFQ82" s="15"/>
      <c r="AFR82" s="15"/>
      <c r="AFS82" s="15"/>
      <c r="AFT82" s="15"/>
      <c r="AFU82" s="15"/>
      <c r="AFV82" s="15"/>
      <c r="AFW82" s="15"/>
      <c r="AFX82" s="15"/>
      <c r="AFY82" s="15"/>
      <c r="AFZ82" s="15"/>
      <c r="AGA82" s="15"/>
      <c r="AGB82" s="15"/>
      <c r="AGC82" s="15"/>
      <c r="AGD82" s="15"/>
      <c r="AGE82" s="15"/>
      <c r="AGF82" s="15"/>
      <c r="AGG82" s="15"/>
      <c r="AGH82" s="15"/>
      <c r="AGI82" s="15"/>
      <c r="AGJ82" s="15"/>
      <c r="AGK82" s="15"/>
      <c r="AGL82" s="15"/>
      <c r="AGM82" s="15"/>
      <c r="AGN82" s="15"/>
      <c r="AGO82" s="15"/>
      <c r="AGP82" s="15"/>
      <c r="AGQ82" s="15"/>
      <c r="AGR82" s="15"/>
      <c r="AGS82" s="15"/>
      <c r="AGT82" s="15"/>
      <c r="AGU82" s="15"/>
      <c r="AGV82" s="15"/>
      <c r="AGW82" s="15"/>
      <c r="AGX82" s="15"/>
      <c r="AGY82" s="15"/>
      <c r="AGZ82" s="15"/>
      <c r="AHA82" s="15"/>
      <c r="AHB82" s="15"/>
      <c r="AHC82" s="15"/>
      <c r="AHD82" s="15"/>
      <c r="AHE82" s="15"/>
      <c r="AHF82" s="15"/>
      <c r="AHG82" s="15"/>
      <c r="AHH82" s="15"/>
      <c r="AHI82" s="15"/>
      <c r="AHJ82" s="15"/>
      <c r="AHK82" s="15"/>
      <c r="AHL82" s="15"/>
      <c r="AHM82" s="15"/>
      <c r="AHN82" s="15"/>
      <c r="AHO82" s="15"/>
      <c r="AHP82" s="15"/>
      <c r="AHQ82" s="15"/>
      <c r="AHR82" s="15"/>
      <c r="AHS82" s="15"/>
      <c r="AHT82" s="15"/>
      <c r="AHU82" s="15"/>
      <c r="AHV82" s="15"/>
      <c r="AHW82" s="15"/>
      <c r="AHX82" s="15"/>
      <c r="AHY82" s="15"/>
      <c r="AHZ82" s="15"/>
      <c r="AIA82" s="15"/>
      <c r="AIB82" s="15"/>
      <c r="AIC82" s="15"/>
      <c r="AID82" s="15"/>
      <c r="AIE82" s="15"/>
      <c r="AIF82" s="15"/>
      <c r="AIG82" s="15"/>
      <c r="AIH82" s="15"/>
      <c r="AII82" s="15"/>
      <c r="AIJ82" s="15"/>
      <c r="AIK82" s="15"/>
      <c r="AIL82" s="15"/>
      <c r="AIM82" s="15"/>
      <c r="AIN82" s="15"/>
      <c r="AIO82" s="15"/>
      <c r="AIP82" s="15"/>
      <c r="AIQ82" s="15"/>
      <c r="AIR82" s="15"/>
      <c r="AIS82" s="15"/>
      <c r="AIT82" s="15"/>
      <c r="AIU82" s="15"/>
      <c r="AIV82" s="15"/>
      <c r="AIW82" s="15"/>
      <c r="AIX82" s="15"/>
      <c r="AIY82" s="15"/>
      <c r="AIZ82" s="15"/>
      <c r="AJA82" s="15"/>
      <c r="AJB82" s="15"/>
      <c r="AJC82" s="15"/>
      <c r="AJD82" s="15"/>
      <c r="AJE82" s="15"/>
      <c r="AJF82" s="15"/>
      <c r="AJG82" s="15"/>
      <c r="AJH82" s="15"/>
      <c r="AJI82" s="15"/>
      <c r="AJJ82" s="15"/>
      <c r="AJK82" s="15"/>
      <c r="AJL82" s="15"/>
      <c r="AJM82" s="15"/>
      <c r="AJN82" s="15"/>
      <c r="AJO82" s="15"/>
      <c r="AJP82" s="15"/>
      <c r="AJQ82" s="15"/>
      <c r="AJR82" s="15"/>
      <c r="AJS82" s="15"/>
      <c r="AJT82" s="15"/>
      <c r="AJU82" s="15"/>
      <c r="AJV82" s="15"/>
      <c r="AJW82" s="15"/>
      <c r="AJX82" s="15"/>
      <c r="AJY82" s="15"/>
      <c r="AJZ82" s="15"/>
      <c r="AKA82" s="15"/>
      <c r="AKB82" s="15"/>
      <c r="AKC82" s="15"/>
      <c r="AKD82" s="15"/>
      <c r="AKE82" s="15"/>
      <c r="AKF82" s="15"/>
      <c r="AKG82" s="15"/>
      <c r="AKH82" s="15"/>
      <c r="AKI82" s="15"/>
      <c r="AKJ82" s="15"/>
      <c r="AKK82" s="15"/>
      <c r="AKL82" s="15"/>
      <c r="AKM82" s="15"/>
      <c r="AKN82" s="15"/>
      <c r="AKO82" s="15"/>
      <c r="AKP82" s="15"/>
      <c r="AKQ82" s="15"/>
      <c r="AKR82" s="15"/>
      <c r="AKS82" s="15"/>
      <c r="AKT82" s="15"/>
      <c r="AKU82" s="15"/>
      <c r="AKV82" s="15"/>
      <c r="AKW82" s="15"/>
      <c r="AKX82" s="15"/>
      <c r="AKY82" s="15"/>
      <c r="AKZ82" s="15"/>
      <c r="ALA82" s="15"/>
      <c r="ALB82" s="15"/>
      <c r="ALC82" s="15"/>
      <c r="ALD82" s="15"/>
      <c r="ALE82" s="15"/>
      <c r="ALF82" s="15"/>
      <c r="ALG82" s="15"/>
      <c r="ALH82" s="15"/>
      <c r="ALI82" s="15"/>
      <c r="ALJ82" s="15"/>
      <c r="ALK82" s="15"/>
      <c r="ALL82" s="15"/>
      <c r="ALM82" s="15"/>
      <c r="ALN82" s="15"/>
      <c r="ALO82" s="15"/>
      <c r="ALP82" s="15"/>
      <c r="ALQ82" s="15"/>
      <c r="ALR82" s="15"/>
      <c r="ALS82" s="15"/>
      <c r="ALT82" s="15"/>
      <c r="ALU82" s="15"/>
      <c r="ALV82" s="15"/>
      <c r="ALW82" s="15"/>
      <c r="ALX82" s="15"/>
      <c r="ALY82" s="15"/>
      <c r="ALZ82" s="15"/>
      <c r="AMA82" s="15"/>
      <c r="AMB82" s="15"/>
      <c r="AMC82" s="15"/>
      <c r="AMD82" s="15"/>
      <c r="AME82" s="15"/>
      <c r="AMF82" s="15"/>
      <c r="AMG82" s="14"/>
      <c r="AMH82" s="14"/>
      <c r="AMI82" s="14"/>
      <c r="AMJ82" s="14"/>
    </row>
    <row r="83" spans="1:1024" s="13" customFormat="1" ht="29" hidden="1" x14ac:dyDescent="0.35">
      <c r="A83" s="19">
        <v>43662</v>
      </c>
      <c r="B83" s="17" t="s">
        <v>300</v>
      </c>
      <c r="C83" s="17" t="s">
        <v>299</v>
      </c>
      <c r="D83" s="18">
        <v>43664</v>
      </c>
      <c r="E83" s="17" t="s">
        <v>298</v>
      </c>
      <c r="F83" s="17" t="s">
        <v>15</v>
      </c>
      <c r="G83" s="17" t="s">
        <v>15</v>
      </c>
      <c r="H83" s="17" t="s">
        <v>15</v>
      </c>
      <c r="I83" s="17">
        <v>0</v>
      </c>
      <c r="J83" s="17" t="s">
        <v>298</v>
      </c>
      <c r="K83" s="17" t="s">
        <v>15</v>
      </c>
      <c r="L83" s="16" t="s">
        <v>22</v>
      </c>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15"/>
      <c r="CB83" s="15"/>
      <c r="CC83" s="15"/>
      <c r="CD83" s="15"/>
      <c r="CE83" s="15"/>
      <c r="CF83" s="15"/>
      <c r="CG83" s="15"/>
      <c r="CH83" s="15"/>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c r="IV83" s="15"/>
      <c r="IW83" s="15"/>
      <c r="IX83" s="15"/>
      <c r="IY83" s="15"/>
      <c r="IZ83" s="15"/>
      <c r="JA83" s="15"/>
      <c r="JB83" s="15"/>
      <c r="JC83" s="15"/>
      <c r="JD83" s="15"/>
      <c r="JE83" s="15"/>
      <c r="JF83" s="15"/>
      <c r="JG83" s="15"/>
      <c r="JH83" s="15"/>
      <c r="JI83" s="15"/>
      <c r="JJ83" s="15"/>
      <c r="JK83" s="15"/>
      <c r="JL83" s="15"/>
      <c r="JM83" s="15"/>
      <c r="JN83" s="15"/>
      <c r="JO83" s="15"/>
      <c r="JP83" s="15"/>
      <c r="JQ83" s="15"/>
      <c r="JR83" s="15"/>
      <c r="JS83" s="15"/>
      <c r="JT83" s="15"/>
      <c r="JU83" s="15"/>
      <c r="JV83" s="15"/>
      <c r="JW83" s="15"/>
      <c r="JX83" s="15"/>
      <c r="JY83" s="15"/>
      <c r="JZ83" s="15"/>
      <c r="KA83" s="15"/>
      <c r="KB83" s="15"/>
      <c r="KC83" s="15"/>
      <c r="KD83" s="15"/>
      <c r="KE83" s="15"/>
      <c r="KF83" s="15"/>
      <c r="KG83" s="15"/>
      <c r="KH83" s="15"/>
      <c r="KI83" s="15"/>
      <c r="KJ83" s="15"/>
      <c r="KK83" s="15"/>
      <c r="KL83" s="15"/>
      <c r="KM83" s="15"/>
      <c r="KN83" s="15"/>
      <c r="KO83" s="15"/>
      <c r="KP83" s="15"/>
      <c r="KQ83" s="15"/>
      <c r="KR83" s="15"/>
      <c r="KS83" s="15"/>
      <c r="KT83" s="15"/>
      <c r="KU83" s="15"/>
      <c r="KV83" s="15"/>
      <c r="KW83" s="15"/>
      <c r="KX83" s="15"/>
      <c r="KY83" s="15"/>
      <c r="KZ83" s="15"/>
      <c r="LA83" s="15"/>
      <c r="LB83" s="15"/>
      <c r="LC83" s="15"/>
      <c r="LD83" s="15"/>
      <c r="LE83" s="15"/>
      <c r="LF83" s="15"/>
      <c r="LG83" s="15"/>
      <c r="LH83" s="15"/>
      <c r="LI83" s="15"/>
      <c r="LJ83" s="15"/>
      <c r="LK83" s="15"/>
      <c r="LL83" s="15"/>
      <c r="LM83" s="15"/>
      <c r="LN83" s="15"/>
      <c r="LO83" s="15"/>
      <c r="LP83" s="15"/>
      <c r="LQ83" s="15"/>
      <c r="LR83" s="15"/>
      <c r="LS83" s="15"/>
      <c r="LT83" s="15"/>
      <c r="LU83" s="15"/>
      <c r="LV83" s="15"/>
      <c r="LW83" s="15"/>
      <c r="LX83" s="15"/>
      <c r="LY83" s="15"/>
      <c r="LZ83" s="15"/>
      <c r="MA83" s="15"/>
      <c r="MB83" s="15"/>
      <c r="MC83" s="15"/>
      <c r="MD83" s="15"/>
      <c r="ME83" s="15"/>
      <c r="MF83" s="15"/>
      <c r="MG83" s="15"/>
      <c r="MH83" s="15"/>
      <c r="MI83" s="15"/>
      <c r="MJ83" s="15"/>
      <c r="MK83" s="15"/>
      <c r="ML83" s="15"/>
      <c r="MM83" s="15"/>
      <c r="MN83" s="15"/>
      <c r="MO83" s="15"/>
      <c r="MP83" s="15"/>
      <c r="MQ83" s="15"/>
      <c r="MR83" s="15"/>
      <c r="MS83" s="15"/>
      <c r="MT83" s="15"/>
      <c r="MU83" s="15"/>
      <c r="MV83" s="15"/>
      <c r="MW83" s="15"/>
      <c r="MX83" s="15"/>
      <c r="MY83" s="15"/>
      <c r="MZ83" s="15"/>
      <c r="NA83" s="15"/>
      <c r="NB83" s="15"/>
      <c r="NC83" s="15"/>
      <c r="ND83" s="15"/>
      <c r="NE83" s="15"/>
      <c r="NF83" s="15"/>
      <c r="NG83" s="15"/>
      <c r="NH83" s="15"/>
      <c r="NI83" s="15"/>
      <c r="NJ83" s="15"/>
      <c r="NK83" s="15"/>
      <c r="NL83" s="15"/>
      <c r="NM83" s="15"/>
      <c r="NN83" s="15"/>
      <c r="NO83" s="15"/>
      <c r="NP83" s="15"/>
      <c r="NQ83" s="15"/>
      <c r="NR83" s="15"/>
      <c r="NS83" s="15"/>
      <c r="NT83" s="15"/>
      <c r="NU83" s="15"/>
      <c r="NV83" s="15"/>
      <c r="NW83" s="15"/>
      <c r="NX83" s="15"/>
      <c r="NY83" s="15"/>
      <c r="NZ83" s="15"/>
      <c r="OA83" s="15"/>
      <c r="OB83" s="15"/>
      <c r="OC83" s="15"/>
      <c r="OD83" s="15"/>
      <c r="OE83" s="15"/>
      <c r="OF83" s="15"/>
      <c r="OG83" s="15"/>
      <c r="OH83" s="15"/>
      <c r="OI83" s="15"/>
      <c r="OJ83" s="15"/>
      <c r="OK83" s="15"/>
      <c r="OL83" s="15"/>
      <c r="OM83" s="15"/>
      <c r="ON83" s="15"/>
      <c r="OO83" s="15"/>
      <c r="OP83" s="15"/>
      <c r="OQ83" s="15"/>
      <c r="OR83" s="15"/>
      <c r="OS83" s="15"/>
      <c r="OT83" s="15"/>
      <c r="OU83" s="15"/>
      <c r="OV83" s="15"/>
      <c r="OW83" s="15"/>
      <c r="OX83" s="15"/>
      <c r="OY83" s="15"/>
      <c r="OZ83" s="15"/>
      <c r="PA83" s="15"/>
      <c r="PB83" s="15"/>
      <c r="PC83" s="15"/>
      <c r="PD83" s="15"/>
      <c r="PE83" s="15"/>
      <c r="PF83" s="15"/>
      <c r="PG83" s="15"/>
      <c r="PH83" s="15"/>
      <c r="PI83" s="15"/>
      <c r="PJ83" s="15"/>
      <c r="PK83" s="15"/>
      <c r="PL83" s="15"/>
      <c r="PM83" s="15"/>
      <c r="PN83" s="15"/>
      <c r="PO83" s="15"/>
      <c r="PP83" s="15"/>
      <c r="PQ83" s="15"/>
      <c r="PR83" s="15"/>
      <c r="PS83" s="15"/>
      <c r="PT83" s="15"/>
      <c r="PU83" s="15"/>
      <c r="PV83" s="15"/>
      <c r="PW83" s="15"/>
      <c r="PX83" s="15"/>
      <c r="PY83" s="15"/>
      <c r="PZ83" s="15"/>
      <c r="QA83" s="15"/>
      <c r="QB83" s="15"/>
      <c r="QC83" s="15"/>
      <c r="QD83" s="15"/>
      <c r="QE83" s="15"/>
      <c r="QF83" s="15"/>
      <c r="QG83" s="15"/>
      <c r="QH83" s="15"/>
      <c r="QI83" s="15"/>
      <c r="QJ83" s="15"/>
      <c r="QK83" s="15"/>
      <c r="QL83" s="15"/>
      <c r="QM83" s="15"/>
      <c r="QN83" s="15"/>
      <c r="QO83" s="15"/>
      <c r="QP83" s="15"/>
      <c r="QQ83" s="15"/>
      <c r="QR83" s="15"/>
      <c r="QS83" s="15"/>
      <c r="QT83" s="15"/>
      <c r="QU83" s="15"/>
      <c r="QV83" s="15"/>
      <c r="QW83" s="15"/>
      <c r="QX83" s="15"/>
      <c r="QY83" s="15"/>
      <c r="QZ83" s="15"/>
      <c r="RA83" s="15"/>
      <c r="RB83" s="15"/>
      <c r="RC83" s="15"/>
      <c r="RD83" s="15"/>
      <c r="RE83" s="15"/>
      <c r="RF83" s="15"/>
      <c r="RG83" s="15"/>
      <c r="RH83" s="15"/>
      <c r="RI83" s="15"/>
      <c r="RJ83" s="15"/>
      <c r="RK83" s="15"/>
      <c r="RL83" s="15"/>
      <c r="RM83" s="15"/>
      <c r="RN83" s="15"/>
      <c r="RO83" s="15"/>
      <c r="RP83" s="15"/>
      <c r="RQ83" s="15"/>
      <c r="RR83" s="15"/>
      <c r="RS83" s="15"/>
      <c r="RT83" s="15"/>
      <c r="RU83" s="15"/>
      <c r="RV83" s="15"/>
      <c r="RW83" s="15"/>
      <c r="RX83" s="15"/>
      <c r="RY83" s="15"/>
      <c r="RZ83" s="15"/>
      <c r="SA83" s="15"/>
      <c r="SB83" s="15"/>
      <c r="SC83" s="15"/>
      <c r="SD83" s="15"/>
      <c r="SE83" s="15"/>
      <c r="SF83" s="15"/>
      <c r="SG83" s="15"/>
      <c r="SH83" s="15"/>
      <c r="SI83" s="15"/>
      <c r="SJ83" s="15"/>
      <c r="SK83" s="15"/>
      <c r="SL83" s="15"/>
      <c r="SM83" s="15"/>
      <c r="SN83" s="15"/>
      <c r="SO83" s="15"/>
      <c r="SP83" s="15"/>
      <c r="SQ83" s="15"/>
      <c r="SR83" s="15"/>
      <c r="SS83" s="15"/>
      <c r="ST83" s="15"/>
      <c r="SU83" s="15"/>
      <c r="SV83" s="15"/>
      <c r="SW83" s="15"/>
      <c r="SX83" s="15"/>
      <c r="SY83" s="15"/>
      <c r="SZ83" s="15"/>
      <c r="TA83" s="15"/>
      <c r="TB83" s="15"/>
      <c r="TC83" s="15"/>
      <c r="TD83" s="15"/>
      <c r="TE83" s="15"/>
      <c r="TF83" s="15"/>
      <c r="TG83" s="15"/>
      <c r="TH83" s="15"/>
      <c r="TI83" s="15"/>
      <c r="TJ83" s="15"/>
      <c r="TK83" s="15"/>
      <c r="TL83" s="15"/>
      <c r="TM83" s="15"/>
      <c r="TN83" s="15"/>
      <c r="TO83" s="15"/>
      <c r="TP83" s="15"/>
      <c r="TQ83" s="15"/>
      <c r="TR83" s="15"/>
      <c r="TS83" s="15"/>
      <c r="TT83" s="15"/>
      <c r="TU83" s="15"/>
      <c r="TV83" s="15"/>
      <c r="TW83" s="15"/>
      <c r="TX83" s="15"/>
      <c r="TY83" s="15"/>
      <c r="TZ83" s="15"/>
      <c r="UA83" s="15"/>
      <c r="UB83" s="15"/>
      <c r="UC83" s="15"/>
      <c r="UD83" s="15"/>
      <c r="UE83" s="15"/>
      <c r="UF83" s="15"/>
      <c r="UG83" s="15"/>
      <c r="UH83" s="15"/>
      <c r="UI83" s="15"/>
      <c r="UJ83" s="15"/>
      <c r="UK83" s="15"/>
      <c r="UL83" s="15"/>
      <c r="UM83" s="15"/>
      <c r="UN83" s="15"/>
      <c r="UO83" s="15"/>
      <c r="UP83" s="15"/>
      <c r="UQ83" s="15"/>
      <c r="UR83" s="15"/>
      <c r="US83" s="15"/>
      <c r="UT83" s="15"/>
      <c r="UU83" s="15"/>
      <c r="UV83" s="15"/>
      <c r="UW83" s="15"/>
      <c r="UX83" s="15"/>
      <c r="UY83" s="15"/>
      <c r="UZ83" s="15"/>
      <c r="VA83" s="15"/>
      <c r="VB83" s="15"/>
      <c r="VC83" s="15"/>
      <c r="VD83" s="15"/>
      <c r="VE83" s="15"/>
      <c r="VF83" s="15"/>
      <c r="VG83" s="15"/>
      <c r="VH83" s="15"/>
      <c r="VI83" s="15"/>
      <c r="VJ83" s="15"/>
      <c r="VK83" s="15"/>
      <c r="VL83" s="15"/>
      <c r="VM83" s="15"/>
      <c r="VN83" s="15"/>
      <c r="VO83" s="15"/>
      <c r="VP83" s="15"/>
      <c r="VQ83" s="15"/>
      <c r="VR83" s="15"/>
      <c r="VS83" s="15"/>
      <c r="VT83" s="15"/>
      <c r="VU83" s="15"/>
      <c r="VV83" s="15"/>
      <c r="VW83" s="15"/>
      <c r="VX83" s="15"/>
      <c r="VY83" s="15"/>
      <c r="VZ83" s="15"/>
      <c r="WA83" s="15"/>
      <c r="WB83" s="15"/>
      <c r="WC83" s="15"/>
      <c r="WD83" s="15"/>
      <c r="WE83" s="15"/>
      <c r="WF83" s="15"/>
      <c r="WG83" s="15"/>
      <c r="WH83" s="15"/>
      <c r="WI83" s="15"/>
      <c r="WJ83" s="15"/>
      <c r="WK83" s="15"/>
      <c r="WL83" s="15"/>
      <c r="WM83" s="15"/>
      <c r="WN83" s="15"/>
      <c r="WO83" s="15"/>
      <c r="WP83" s="15"/>
      <c r="WQ83" s="15"/>
      <c r="WR83" s="15"/>
      <c r="WS83" s="15"/>
      <c r="WT83" s="15"/>
      <c r="WU83" s="15"/>
      <c r="WV83" s="15"/>
      <c r="WW83" s="15"/>
      <c r="WX83" s="15"/>
      <c r="WY83" s="15"/>
      <c r="WZ83" s="15"/>
      <c r="XA83" s="15"/>
      <c r="XB83" s="15"/>
      <c r="XC83" s="15"/>
      <c r="XD83" s="15"/>
      <c r="XE83" s="15"/>
      <c r="XF83" s="15"/>
      <c r="XG83" s="15"/>
      <c r="XH83" s="15"/>
      <c r="XI83" s="15"/>
      <c r="XJ83" s="15"/>
      <c r="XK83" s="15"/>
      <c r="XL83" s="15"/>
      <c r="XM83" s="15"/>
      <c r="XN83" s="15"/>
      <c r="XO83" s="15"/>
      <c r="XP83" s="15"/>
      <c r="XQ83" s="15"/>
      <c r="XR83" s="15"/>
      <c r="XS83" s="15"/>
      <c r="XT83" s="15"/>
      <c r="XU83" s="15"/>
      <c r="XV83" s="15"/>
      <c r="XW83" s="15"/>
      <c r="XX83" s="15"/>
      <c r="XY83" s="15"/>
      <c r="XZ83" s="15"/>
      <c r="YA83" s="15"/>
      <c r="YB83" s="15"/>
      <c r="YC83" s="15"/>
      <c r="YD83" s="15"/>
      <c r="YE83" s="15"/>
      <c r="YF83" s="15"/>
      <c r="YG83" s="15"/>
      <c r="YH83" s="15"/>
      <c r="YI83" s="15"/>
      <c r="YJ83" s="15"/>
      <c r="YK83" s="15"/>
      <c r="YL83" s="15"/>
      <c r="YM83" s="15"/>
      <c r="YN83" s="15"/>
      <c r="YO83" s="15"/>
      <c r="YP83" s="15"/>
      <c r="YQ83" s="15"/>
      <c r="YR83" s="15"/>
      <c r="YS83" s="15"/>
      <c r="YT83" s="15"/>
      <c r="YU83" s="15"/>
      <c r="YV83" s="15"/>
      <c r="YW83" s="15"/>
      <c r="YX83" s="15"/>
      <c r="YY83" s="15"/>
      <c r="YZ83" s="15"/>
      <c r="ZA83" s="15"/>
      <c r="ZB83" s="15"/>
      <c r="ZC83" s="15"/>
      <c r="ZD83" s="15"/>
      <c r="ZE83" s="15"/>
      <c r="ZF83" s="15"/>
      <c r="ZG83" s="15"/>
      <c r="ZH83" s="15"/>
      <c r="ZI83" s="15"/>
      <c r="ZJ83" s="15"/>
      <c r="ZK83" s="15"/>
      <c r="ZL83" s="15"/>
      <c r="ZM83" s="15"/>
      <c r="ZN83" s="15"/>
      <c r="ZO83" s="15"/>
      <c r="ZP83" s="15"/>
      <c r="ZQ83" s="15"/>
      <c r="ZR83" s="15"/>
      <c r="ZS83" s="15"/>
      <c r="ZT83" s="15"/>
      <c r="ZU83" s="15"/>
      <c r="ZV83" s="15"/>
      <c r="ZW83" s="15"/>
      <c r="ZX83" s="15"/>
      <c r="ZY83" s="15"/>
      <c r="ZZ83" s="15"/>
      <c r="AAA83" s="15"/>
      <c r="AAB83" s="15"/>
      <c r="AAC83" s="15"/>
      <c r="AAD83" s="15"/>
      <c r="AAE83" s="15"/>
      <c r="AAF83" s="15"/>
      <c r="AAG83" s="15"/>
      <c r="AAH83" s="15"/>
      <c r="AAI83" s="15"/>
      <c r="AAJ83" s="15"/>
      <c r="AAK83" s="15"/>
      <c r="AAL83" s="15"/>
      <c r="AAM83" s="15"/>
      <c r="AAN83" s="15"/>
      <c r="AAO83" s="15"/>
      <c r="AAP83" s="15"/>
      <c r="AAQ83" s="15"/>
      <c r="AAR83" s="15"/>
      <c r="AAS83" s="15"/>
      <c r="AAT83" s="15"/>
      <c r="AAU83" s="15"/>
      <c r="AAV83" s="15"/>
      <c r="AAW83" s="15"/>
      <c r="AAX83" s="15"/>
      <c r="AAY83" s="15"/>
      <c r="AAZ83" s="15"/>
      <c r="ABA83" s="15"/>
      <c r="ABB83" s="15"/>
      <c r="ABC83" s="15"/>
      <c r="ABD83" s="15"/>
      <c r="ABE83" s="15"/>
      <c r="ABF83" s="15"/>
      <c r="ABG83" s="15"/>
      <c r="ABH83" s="15"/>
      <c r="ABI83" s="15"/>
      <c r="ABJ83" s="15"/>
      <c r="ABK83" s="15"/>
      <c r="ABL83" s="15"/>
      <c r="ABM83" s="15"/>
      <c r="ABN83" s="15"/>
      <c r="ABO83" s="15"/>
      <c r="ABP83" s="15"/>
      <c r="ABQ83" s="15"/>
      <c r="ABR83" s="15"/>
      <c r="ABS83" s="15"/>
      <c r="ABT83" s="15"/>
      <c r="ABU83" s="15"/>
      <c r="ABV83" s="15"/>
      <c r="ABW83" s="15"/>
      <c r="ABX83" s="15"/>
      <c r="ABY83" s="15"/>
      <c r="ABZ83" s="15"/>
      <c r="ACA83" s="15"/>
      <c r="ACB83" s="15"/>
      <c r="ACC83" s="15"/>
      <c r="ACD83" s="15"/>
      <c r="ACE83" s="15"/>
      <c r="ACF83" s="15"/>
      <c r="ACG83" s="15"/>
      <c r="ACH83" s="15"/>
      <c r="ACI83" s="15"/>
      <c r="ACJ83" s="15"/>
      <c r="ACK83" s="15"/>
      <c r="ACL83" s="15"/>
      <c r="ACM83" s="15"/>
      <c r="ACN83" s="15"/>
      <c r="ACO83" s="15"/>
      <c r="ACP83" s="15"/>
      <c r="ACQ83" s="15"/>
      <c r="ACR83" s="15"/>
      <c r="ACS83" s="15"/>
      <c r="ACT83" s="15"/>
      <c r="ACU83" s="15"/>
      <c r="ACV83" s="15"/>
      <c r="ACW83" s="15"/>
      <c r="ACX83" s="15"/>
      <c r="ACY83" s="15"/>
      <c r="ACZ83" s="15"/>
      <c r="ADA83" s="15"/>
      <c r="ADB83" s="15"/>
      <c r="ADC83" s="15"/>
      <c r="ADD83" s="15"/>
      <c r="ADE83" s="15"/>
      <c r="ADF83" s="15"/>
      <c r="ADG83" s="15"/>
      <c r="ADH83" s="15"/>
      <c r="ADI83" s="15"/>
      <c r="ADJ83" s="15"/>
      <c r="ADK83" s="15"/>
      <c r="ADL83" s="15"/>
      <c r="ADM83" s="15"/>
      <c r="ADN83" s="15"/>
      <c r="ADO83" s="15"/>
      <c r="ADP83" s="15"/>
      <c r="ADQ83" s="15"/>
      <c r="ADR83" s="15"/>
      <c r="ADS83" s="15"/>
      <c r="ADT83" s="15"/>
      <c r="ADU83" s="15"/>
      <c r="ADV83" s="15"/>
      <c r="ADW83" s="15"/>
      <c r="ADX83" s="15"/>
      <c r="ADY83" s="15"/>
      <c r="ADZ83" s="15"/>
      <c r="AEA83" s="15"/>
      <c r="AEB83" s="15"/>
      <c r="AEC83" s="15"/>
      <c r="AED83" s="15"/>
      <c r="AEE83" s="15"/>
      <c r="AEF83" s="15"/>
      <c r="AEG83" s="15"/>
      <c r="AEH83" s="15"/>
      <c r="AEI83" s="15"/>
      <c r="AEJ83" s="15"/>
      <c r="AEK83" s="15"/>
      <c r="AEL83" s="15"/>
      <c r="AEM83" s="15"/>
      <c r="AEN83" s="15"/>
      <c r="AEO83" s="15"/>
      <c r="AEP83" s="15"/>
      <c r="AEQ83" s="15"/>
      <c r="AER83" s="15"/>
      <c r="AES83" s="15"/>
      <c r="AET83" s="15"/>
      <c r="AEU83" s="15"/>
      <c r="AEV83" s="15"/>
      <c r="AEW83" s="15"/>
      <c r="AEX83" s="15"/>
      <c r="AEY83" s="15"/>
      <c r="AEZ83" s="15"/>
      <c r="AFA83" s="15"/>
      <c r="AFB83" s="15"/>
      <c r="AFC83" s="15"/>
      <c r="AFD83" s="15"/>
      <c r="AFE83" s="15"/>
      <c r="AFF83" s="15"/>
      <c r="AFG83" s="15"/>
      <c r="AFH83" s="15"/>
      <c r="AFI83" s="15"/>
      <c r="AFJ83" s="15"/>
      <c r="AFK83" s="15"/>
      <c r="AFL83" s="15"/>
      <c r="AFM83" s="15"/>
      <c r="AFN83" s="15"/>
      <c r="AFO83" s="15"/>
      <c r="AFP83" s="15"/>
      <c r="AFQ83" s="15"/>
      <c r="AFR83" s="15"/>
      <c r="AFS83" s="15"/>
      <c r="AFT83" s="15"/>
      <c r="AFU83" s="15"/>
      <c r="AFV83" s="15"/>
      <c r="AFW83" s="15"/>
      <c r="AFX83" s="15"/>
      <c r="AFY83" s="15"/>
      <c r="AFZ83" s="15"/>
      <c r="AGA83" s="15"/>
      <c r="AGB83" s="15"/>
      <c r="AGC83" s="15"/>
      <c r="AGD83" s="15"/>
      <c r="AGE83" s="15"/>
      <c r="AGF83" s="15"/>
      <c r="AGG83" s="15"/>
      <c r="AGH83" s="15"/>
      <c r="AGI83" s="15"/>
      <c r="AGJ83" s="15"/>
      <c r="AGK83" s="15"/>
      <c r="AGL83" s="15"/>
      <c r="AGM83" s="15"/>
      <c r="AGN83" s="15"/>
      <c r="AGO83" s="15"/>
      <c r="AGP83" s="15"/>
      <c r="AGQ83" s="15"/>
      <c r="AGR83" s="15"/>
      <c r="AGS83" s="15"/>
      <c r="AGT83" s="15"/>
      <c r="AGU83" s="15"/>
      <c r="AGV83" s="15"/>
      <c r="AGW83" s="15"/>
      <c r="AGX83" s="15"/>
      <c r="AGY83" s="15"/>
      <c r="AGZ83" s="15"/>
      <c r="AHA83" s="15"/>
      <c r="AHB83" s="15"/>
      <c r="AHC83" s="15"/>
      <c r="AHD83" s="15"/>
      <c r="AHE83" s="15"/>
      <c r="AHF83" s="15"/>
      <c r="AHG83" s="15"/>
      <c r="AHH83" s="15"/>
      <c r="AHI83" s="15"/>
      <c r="AHJ83" s="15"/>
      <c r="AHK83" s="15"/>
      <c r="AHL83" s="15"/>
      <c r="AHM83" s="15"/>
      <c r="AHN83" s="15"/>
      <c r="AHO83" s="15"/>
      <c r="AHP83" s="15"/>
      <c r="AHQ83" s="15"/>
      <c r="AHR83" s="15"/>
      <c r="AHS83" s="15"/>
      <c r="AHT83" s="15"/>
      <c r="AHU83" s="15"/>
      <c r="AHV83" s="15"/>
      <c r="AHW83" s="15"/>
      <c r="AHX83" s="15"/>
      <c r="AHY83" s="15"/>
      <c r="AHZ83" s="15"/>
      <c r="AIA83" s="15"/>
      <c r="AIB83" s="15"/>
      <c r="AIC83" s="15"/>
      <c r="AID83" s="15"/>
      <c r="AIE83" s="15"/>
      <c r="AIF83" s="15"/>
      <c r="AIG83" s="15"/>
      <c r="AIH83" s="15"/>
      <c r="AII83" s="15"/>
      <c r="AIJ83" s="15"/>
      <c r="AIK83" s="15"/>
      <c r="AIL83" s="15"/>
      <c r="AIM83" s="15"/>
      <c r="AIN83" s="15"/>
      <c r="AIO83" s="15"/>
      <c r="AIP83" s="15"/>
      <c r="AIQ83" s="15"/>
      <c r="AIR83" s="15"/>
      <c r="AIS83" s="15"/>
      <c r="AIT83" s="15"/>
      <c r="AIU83" s="15"/>
      <c r="AIV83" s="15"/>
      <c r="AIW83" s="15"/>
      <c r="AIX83" s="15"/>
      <c r="AIY83" s="15"/>
      <c r="AIZ83" s="15"/>
      <c r="AJA83" s="15"/>
      <c r="AJB83" s="15"/>
      <c r="AJC83" s="15"/>
      <c r="AJD83" s="15"/>
      <c r="AJE83" s="15"/>
      <c r="AJF83" s="15"/>
      <c r="AJG83" s="15"/>
      <c r="AJH83" s="15"/>
      <c r="AJI83" s="15"/>
      <c r="AJJ83" s="15"/>
      <c r="AJK83" s="15"/>
      <c r="AJL83" s="15"/>
      <c r="AJM83" s="15"/>
      <c r="AJN83" s="15"/>
      <c r="AJO83" s="15"/>
      <c r="AJP83" s="15"/>
      <c r="AJQ83" s="15"/>
      <c r="AJR83" s="15"/>
      <c r="AJS83" s="15"/>
      <c r="AJT83" s="15"/>
      <c r="AJU83" s="15"/>
      <c r="AJV83" s="15"/>
      <c r="AJW83" s="15"/>
      <c r="AJX83" s="15"/>
      <c r="AJY83" s="15"/>
      <c r="AJZ83" s="15"/>
      <c r="AKA83" s="15"/>
      <c r="AKB83" s="15"/>
      <c r="AKC83" s="15"/>
      <c r="AKD83" s="15"/>
      <c r="AKE83" s="15"/>
      <c r="AKF83" s="15"/>
      <c r="AKG83" s="15"/>
      <c r="AKH83" s="15"/>
      <c r="AKI83" s="15"/>
      <c r="AKJ83" s="15"/>
      <c r="AKK83" s="15"/>
      <c r="AKL83" s="15"/>
      <c r="AKM83" s="15"/>
      <c r="AKN83" s="15"/>
      <c r="AKO83" s="15"/>
      <c r="AKP83" s="15"/>
      <c r="AKQ83" s="15"/>
      <c r="AKR83" s="15"/>
      <c r="AKS83" s="15"/>
      <c r="AKT83" s="15"/>
      <c r="AKU83" s="15"/>
      <c r="AKV83" s="15"/>
      <c r="AKW83" s="15"/>
      <c r="AKX83" s="15"/>
      <c r="AKY83" s="15"/>
      <c r="AKZ83" s="15"/>
      <c r="ALA83" s="15"/>
      <c r="ALB83" s="15"/>
      <c r="ALC83" s="15"/>
      <c r="ALD83" s="15"/>
      <c r="ALE83" s="15"/>
      <c r="ALF83" s="15"/>
      <c r="ALG83" s="15"/>
      <c r="ALH83" s="15"/>
      <c r="ALI83" s="15"/>
      <c r="ALJ83" s="15"/>
      <c r="ALK83" s="15"/>
      <c r="ALL83" s="15"/>
      <c r="ALM83" s="15"/>
      <c r="ALN83" s="15"/>
      <c r="ALO83" s="15"/>
      <c r="ALP83" s="15"/>
      <c r="ALQ83" s="15"/>
      <c r="ALR83" s="15"/>
      <c r="ALS83" s="15"/>
      <c r="ALT83" s="15"/>
      <c r="ALU83" s="15"/>
      <c r="ALV83" s="15"/>
      <c r="ALW83" s="15"/>
      <c r="ALX83" s="15"/>
      <c r="ALY83" s="15"/>
      <c r="ALZ83" s="15"/>
      <c r="AMA83" s="15"/>
      <c r="AMB83" s="15"/>
      <c r="AMC83" s="15"/>
      <c r="AMD83" s="15"/>
      <c r="AME83" s="15"/>
      <c r="AMF83" s="15"/>
      <c r="AMG83" s="14"/>
      <c r="AMH83" s="14"/>
      <c r="AMI83" s="14"/>
      <c r="AMJ83" s="14"/>
    </row>
    <row r="84" spans="1:1024" s="107" customFormat="1" ht="58" hidden="1" x14ac:dyDescent="0.35">
      <c r="A84" s="19">
        <v>43663</v>
      </c>
      <c r="B84" s="17" t="s">
        <v>297</v>
      </c>
      <c r="C84" s="17" t="s">
        <v>296</v>
      </c>
      <c r="D84" s="18">
        <v>43665</v>
      </c>
      <c r="E84" s="17" t="s">
        <v>295</v>
      </c>
      <c r="F84" s="26">
        <v>0.5</v>
      </c>
      <c r="G84" s="26">
        <v>0.52083333333333304</v>
      </c>
      <c r="H84" s="26">
        <v>0.53125</v>
      </c>
      <c r="I84" s="17">
        <v>70</v>
      </c>
      <c r="J84" s="17" t="s">
        <v>294</v>
      </c>
      <c r="K84" s="17" t="s">
        <v>119</v>
      </c>
      <c r="L84" s="16" t="s">
        <v>17</v>
      </c>
      <c r="AMG84" s="108"/>
      <c r="AMH84" s="108"/>
      <c r="AMI84" s="108"/>
      <c r="AMJ84" s="108"/>
    </row>
    <row r="85" spans="1:1024" s="107" customFormat="1" ht="43.5" hidden="1" x14ac:dyDescent="0.35">
      <c r="A85" s="19">
        <v>43653</v>
      </c>
      <c r="B85" s="17" t="s">
        <v>68</v>
      </c>
      <c r="C85" s="17" t="s">
        <v>293</v>
      </c>
      <c r="D85" s="18">
        <v>43665</v>
      </c>
      <c r="E85" s="17" t="s">
        <v>48</v>
      </c>
      <c r="F85" s="26">
        <v>0.5</v>
      </c>
      <c r="G85" s="26">
        <v>0.55555555555555602</v>
      </c>
      <c r="H85" s="26">
        <v>0.5625</v>
      </c>
      <c r="I85" s="17">
        <v>225</v>
      </c>
      <c r="J85" s="42" t="s">
        <v>70</v>
      </c>
      <c r="K85" s="17" t="s">
        <v>15</v>
      </c>
      <c r="L85" s="16" t="s">
        <v>17</v>
      </c>
      <c r="AMG85" s="108"/>
      <c r="AMH85" s="108"/>
      <c r="AMI85" s="108"/>
      <c r="AMJ85" s="108"/>
    </row>
    <row r="86" spans="1:1024" s="107" customFormat="1" ht="72.5" hidden="1" x14ac:dyDescent="0.35">
      <c r="A86" s="19">
        <v>43662</v>
      </c>
      <c r="B86" s="17" t="s">
        <v>292</v>
      </c>
      <c r="C86" s="17" t="s">
        <v>291</v>
      </c>
      <c r="D86" s="18">
        <v>43665</v>
      </c>
      <c r="E86" s="26" t="s">
        <v>290</v>
      </c>
      <c r="F86" s="26">
        <v>0.5</v>
      </c>
      <c r="G86" s="26">
        <v>0.59375</v>
      </c>
      <c r="H86" s="26">
        <v>0.60416666666666696</v>
      </c>
      <c r="I86" s="17">
        <v>0</v>
      </c>
      <c r="J86" s="17" t="s">
        <v>289</v>
      </c>
      <c r="K86" s="17"/>
      <c r="L86" s="16" t="s">
        <v>22</v>
      </c>
      <c r="AMG86" s="108"/>
      <c r="AMH86" s="108"/>
      <c r="AMI86" s="108"/>
      <c r="AMJ86" s="108"/>
    </row>
    <row r="87" spans="1:1024" s="13" customFormat="1" ht="58" hidden="1" x14ac:dyDescent="0.35">
      <c r="A87" s="19">
        <v>43660</v>
      </c>
      <c r="B87" s="17" t="s">
        <v>131</v>
      </c>
      <c r="C87" s="17" t="s">
        <v>288</v>
      </c>
      <c r="D87" s="18">
        <v>43665</v>
      </c>
      <c r="E87" s="17" t="s">
        <v>129</v>
      </c>
      <c r="F87" s="26">
        <v>0.69791666666666696</v>
      </c>
      <c r="G87" s="26">
        <v>0.71875</v>
      </c>
      <c r="H87" s="26">
        <v>0.72916666666666696</v>
      </c>
      <c r="I87" s="17">
        <v>568.75</v>
      </c>
      <c r="J87" s="42" t="s">
        <v>287</v>
      </c>
      <c r="K87" s="17" t="s">
        <v>15</v>
      </c>
      <c r="L87" s="16" t="s">
        <v>17</v>
      </c>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c r="BY87" s="15"/>
      <c r="BZ87" s="15"/>
      <c r="CA87" s="15"/>
      <c r="CB87" s="15"/>
      <c r="CC87" s="15"/>
      <c r="CD87" s="15"/>
      <c r="CE87" s="15"/>
      <c r="CF87" s="15"/>
      <c r="CG87" s="15"/>
      <c r="CH87" s="15"/>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c r="IU87" s="15"/>
      <c r="IV87" s="15"/>
      <c r="IW87" s="15"/>
      <c r="IX87" s="15"/>
      <c r="IY87" s="15"/>
      <c r="IZ87" s="15"/>
      <c r="JA87" s="15"/>
      <c r="JB87" s="15"/>
      <c r="JC87" s="15"/>
      <c r="JD87" s="15"/>
      <c r="JE87" s="15"/>
      <c r="JF87" s="15"/>
      <c r="JG87" s="15"/>
      <c r="JH87" s="15"/>
      <c r="JI87" s="15"/>
      <c r="JJ87" s="15"/>
      <c r="JK87" s="15"/>
      <c r="JL87" s="15"/>
      <c r="JM87" s="15"/>
      <c r="JN87" s="15"/>
      <c r="JO87" s="15"/>
      <c r="JP87" s="15"/>
      <c r="JQ87" s="15"/>
      <c r="JR87" s="15"/>
      <c r="JS87" s="15"/>
      <c r="JT87" s="15"/>
      <c r="JU87" s="15"/>
      <c r="JV87" s="15"/>
      <c r="JW87" s="15"/>
      <c r="JX87" s="15"/>
      <c r="JY87" s="15"/>
      <c r="JZ87" s="15"/>
      <c r="KA87" s="15"/>
      <c r="KB87" s="15"/>
      <c r="KC87" s="15"/>
      <c r="KD87" s="15"/>
      <c r="KE87" s="15"/>
      <c r="KF87" s="15"/>
      <c r="KG87" s="15"/>
      <c r="KH87" s="15"/>
      <c r="KI87" s="15"/>
      <c r="KJ87" s="15"/>
      <c r="KK87" s="15"/>
      <c r="KL87" s="15"/>
      <c r="KM87" s="15"/>
      <c r="KN87" s="15"/>
      <c r="KO87" s="15"/>
      <c r="KP87" s="15"/>
      <c r="KQ87" s="15"/>
      <c r="KR87" s="15"/>
      <c r="KS87" s="15"/>
      <c r="KT87" s="15"/>
      <c r="KU87" s="15"/>
      <c r="KV87" s="15"/>
      <c r="KW87" s="15"/>
      <c r="KX87" s="15"/>
      <c r="KY87" s="15"/>
      <c r="KZ87" s="15"/>
      <c r="LA87" s="15"/>
      <c r="LB87" s="15"/>
      <c r="LC87" s="15"/>
      <c r="LD87" s="15"/>
      <c r="LE87" s="15"/>
      <c r="LF87" s="15"/>
      <c r="LG87" s="15"/>
      <c r="LH87" s="15"/>
      <c r="LI87" s="15"/>
      <c r="LJ87" s="15"/>
      <c r="LK87" s="15"/>
      <c r="LL87" s="15"/>
      <c r="LM87" s="15"/>
      <c r="LN87" s="15"/>
      <c r="LO87" s="15"/>
      <c r="LP87" s="15"/>
      <c r="LQ87" s="15"/>
      <c r="LR87" s="15"/>
      <c r="LS87" s="15"/>
      <c r="LT87" s="15"/>
      <c r="LU87" s="15"/>
      <c r="LV87" s="15"/>
      <c r="LW87" s="15"/>
      <c r="LX87" s="15"/>
      <c r="LY87" s="15"/>
      <c r="LZ87" s="15"/>
      <c r="MA87" s="15"/>
      <c r="MB87" s="15"/>
      <c r="MC87" s="15"/>
      <c r="MD87" s="15"/>
      <c r="ME87" s="15"/>
      <c r="MF87" s="15"/>
      <c r="MG87" s="15"/>
      <c r="MH87" s="15"/>
      <c r="MI87" s="15"/>
      <c r="MJ87" s="15"/>
      <c r="MK87" s="15"/>
      <c r="ML87" s="15"/>
      <c r="MM87" s="15"/>
      <c r="MN87" s="15"/>
      <c r="MO87" s="15"/>
      <c r="MP87" s="15"/>
      <c r="MQ87" s="15"/>
      <c r="MR87" s="15"/>
      <c r="MS87" s="15"/>
      <c r="MT87" s="15"/>
      <c r="MU87" s="15"/>
      <c r="MV87" s="15"/>
      <c r="MW87" s="15"/>
      <c r="MX87" s="15"/>
      <c r="MY87" s="15"/>
      <c r="MZ87" s="15"/>
      <c r="NA87" s="15"/>
      <c r="NB87" s="15"/>
      <c r="NC87" s="15"/>
      <c r="ND87" s="15"/>
      <c r="NE87" s="15"/>
      <c r="NF87" s="15"/>
      <c r="NG87" s="15"/>
      <c r="NH87" s="15"/>
      <c r="NI87" s="15"/>
      <c r="NJ87" s="15"/>
      <c r="NK87" s="15"/>
      <c r="NL87" s="15"/>
      <c r="NM87" s="15"/>
      <c r="NN87" s="15"/>
      <c r="NO87" s="15"/>
      <c r="NP87" s="15"/>
      <c r="NQ87" s="15"/>
      <c r="NR87" s="15"/>
      <c r="NS87" s="15"/>
      <c r="NT87" s="15"/>
      <c r="NU87" s="15"/>
      <c r="NV87" s="15"/>
      <c r="NW87" s="15"/>
      <c r="NX87" s="15"/>
      <c r="NY87" s="15"/>
      <c r="NZ87" s="15"/>
      <c r="OA87" s="15"/>
      <c r="OB87" s="15"/>
      <c r="OC87" s="15"/>
      <c r="OD87" s="15"/>
      <c r="OE87" s="15"/>
      <c r="OF87" s="15"/>
      <c r="OG87" s="15"/>
      <c r="OH87" s="15"/>
      <c r="OI87" s="15"/>
      <c r="OJ87" s="15"/>
      <c r="OK87" s="15"/>
      <c r="OL87" s="15"/>
      <c r="OM87" s="15"/>
      <c r="ON87" s="15"/>
      <c r="OO87" s="15"/>
      <c r="OP87" s="15"/>
      <c r="OQ87" s="15"/>
      <c r="OR87" s="15"/>
      <c r="OS87" s="15"/>
      <c r="OT87" s="15"/>
      <c r="OU87" s="15"/>
      <c r="OV87" s="15"/>
      <c r="OW87" s="15"/>
      <c r="OX87" s="15"/>
      <c r="OY87" s="15"/>
      <c r="OZ87" s="15"/>
      <c r="PA87" s="15"/>
      <c r="PB87" s="15"/>
      <c r="PC87" s="15"/>
      <c r="PD87" s="15"/>
      <c r="PE87" s="15"/>
      <c r="PF87" s="15"/>
      <c r="PG87" s="15"/>
      <c r="PH87" s="15"/>
      <c r="PI87" s="15"/>
      <c r="PJ87" s="15"/>
      <c r="PK87" s="15"/>
      <c r="PL87" s="15"/>
      <c r="PM87" s="15"/>
      <c r="PN87" s="15"/>
      <c r="PO87" s="15"/>
      <c r="PP87" s="15"/>
      <c r="PQ87" s="15"/>
      <c r="PR87" s="15"/>
      <c r="PS87" s="15"/>
      <c r="PT87" s="15"/>
      <c r="PU87" s="15"/>
      <c r="PV87" s="15"/>
      <c r="PW87" s="15"/>
      <c r="PX87" s="15"/>
      <c r="PY87" s="15"/>
      <c r="PZ87" s="15"/>
      <c r="QA87" s="15"/>
      <c r="QB87" s="15"/>
      <c r="QC87" s="15"/>
      <c r="QD87" s="15"/>
      <c r="QE87" s="15"/>
      <c r="QF87" s="15"/>
      <c r="QG87" s="15"/>
      <c r="QH87" s="15"/>
      <c r="QI87" s="15"/>
      <c r="QJ87" s="15"/>
      <c r="QK87" s="15"/>
      <c r="QL87" s="15"/>
      <c r="QM87" s="15"/>
      <c r="QN87" s="15"/>
      <c r="QO87" s="15"/>
      <c r="QP87" s="15"/>
      <c r="QQ87" s="15"/>
      <c r="QR87" s="15"/>
      <c r="QS87" s="15"/>
      <c r="QT87" s="15"/>
      <c r="QU87" s="15"/>
      <c r="QV87" s="15"/>
      <c r="QW87" s="15"/>
      <c r="QX87" s="15"/>
      <c r="QY87" s="15"/>
      <c r="QZ87" s="15"/>
      <c r="RA87" s="15"/>
      <c r="RB87" s="15"/>
      <c r="RC87" s="15"/>
      <c r="RD87" s="15"/>
      <c r="RE87" s="15"/>
      <c r="RF87" s="15"/>
      <c r="RG87" s="15"/>
      <c r="RH87" s="15"/>
      <c r="RI87" s="15"/>
      <c r="RJ87" s="15"/>
      <c r="RK87" s="15"/>
      <c r="RL87" s="15"/>
      <c r="RM87" s="15"/>
      <c r="RN87" s="15"/>
      <c r="RO87" s="15"/>
      <c r="RP87" s="15"/>
      <c r="RQ87" s="15"/>
      <c r="RR87" s="15"/>
      <c r="RS87" s="15"/>
      <c r="RT87" s="15"/>
      <c r="RU87" s="15"/>
      <c r="RV87" s="15"/>
      <c r="RW87" s="15"/>
      <c r="RX87" s="15"/>
      <c r="RY87" s="15"/>
      <c r="RZ87" s="15"/>
      <c r="SA87" s="15"/>
      <c r="SB87" s="15"/>
      <c r="SC87" s="15"/>
      <c r="SD87" s="15"/>
      <c r="SE87" s="15"/>
      <c r="SF87" s="15"/>
      <c r="SG87" s="15"/>
      <c r="SH87" s="15"/>
      <c r="SI87" s="15"/>
      <c r="SJ87" s="15"/>
      <c r="SK87" s="15"/>
      <c r="SL87" s="15"/>
      <c r="SM87" s="15"/>
      <c r="SN87" s="15"/>
      <c r="SO87" s="15"/>
      <c r="SP87" s="15"/>
      <c r="SQ87" s="15"/>
      <c r="SR87" s="15"/>
      <c r="SS87" s="15"/>
      <c r="ST87" s="15"/>
      <c r="SU87" s="15"/>
      <c r="SV87" s="15"/>
      <c r="SW87" s="15"/>
      <c r="SX87" s="15"/>
      <c r="SY87" s="15"/>
      <c r="SZ87" s="15"/>
      <c r="TA87" s="15"/>
      <c r="TB87" s="15"/>
      <c r="TC87" s="15"/>
      <c r="TD87" s="15"/>
      <c r="TE87" s="15"/>
      <c r="TF87" s="15"/>
      <c r="TG87" s="15"/>
      <c r="TH87" s="15"/>
      <c r="TI87" s="15"/>
      <c r="TJ87" s="15"/>
      <c r="TK87" s="15"/>
      <c r="TL87" s="15"/>
      <c r="TM87" s="15"/>
      <c r="TN87" s="15"/>
      <c r="TO87" s="15"/>
      <c r="TP87" s="15"/>
      <c r="TQ87" s="15"/>
      <c r="TR87" s="15"/>
      <c r="TS87" s="15"/>
      <c r="TT87" s="15"/>
      <c r="TU87" s="15"/>
      <c r="TV87" s="15"/>
      <c r="TW87" s="15"/>
      <c r="TX87" s="15"/>
      <c r="TY87" s="15"/>
      <c r="TZ87" s="15"/>
      <c r="UA87" s="15"/>
      <c r="UB87" s="15"/>
      <c r="UC87" s="15"/>
      <c r="UD87" s="15"/>
      <c r="UE87" s="15"/>
      <c r="UF87" s="15"/>
      <c r="UG87" s="15"/>
      <c r="UH87" s="15"/>
      <c r="UI87" s="15"/>
      <c r="UJ87" s="15"/>
      <c r="UK87" s="15"/>
      <c r="UL87" s="15"/>
      <c r="UM87" s="15"/>
      <c r="UN87" s="15"/>
      <c r="UO87" s="15"/>
      <c r="UP87" s="15"/>
      <c r="UQ87" s="15"/>
      <c r="UR87" s="15"/>
      <c r="US87" s="15"/>
      <c r="UT87" s="15"/>
      <c r="UU87" s="15"/>
      <c r="UV87" s="15"/>
      <c r="UW87" s="15"/>
      <c r="UX87" s="15"/>
      <c r="UY87" s="15"/>
      <c r="UZ87" s="15"/>
      <c r="VA87" s="15"/>
      <c r="VB87" s="15"/>
      <c r="VC87" s="15"/>
      <c r="VD87" s="15"/>
      <c r="VE87" s="15"/>
      <c r="VF87" s="15"/>
      <c r="VG87" s="15"/>
      <c r="VH87" s="15"/>
      <c r="VI87" s="15"/>
      <c r="VJ87" s="15"/>
      <c r="VK87" s="15"/>
      <c r="VL87" s="15"/>
      <c r="VM87" s="15"/>
      <c r="VN87" s="15"/>
      <c r="VO87" s="15"/>
      <c r="VP87" s="15"/>
      <c r="VQ87" s="15"/>
      <c r="VR87" s="15"/>
      <c r="VS87" s="15"/>
      <c r="VT87" s="15"/>
      <c r="VU87" s="15"/>
      <c r="VV87" s="15"/>
      <c r="VW87" s="15"/>
      <c r="VX87" s="15"/>
      <c r="VY87" s="15"/>
      <c r="VZ87" s="15"/>
      <c r="WA87" s="15"/>
      <c r="WB87" s="15"/>
      <c r="WC87" s="15"/>
      <c r="WD87" s="15"/>
      <c r="WE87" s="15"/>
      <c r="WF87" s="15"/>
      <c r="WG87" s="15"/>
      <c r="WH87" s="15"/>
      <c r="WI87" s="15"/>
      <c r="WJ87" s="15"/>
      <c r="WK87" s="15"/>
      <c r="WL87" s="15"/>
      <c r="WM87" s="15"/>
      <c r="WN87" s="15"/>
      <c r="WO87" s="15"/>
      <c r="WP87" s="15"/>
      <c r="WQ87" s="15"/>
      <c r="WR87" s="15"/>
      <c r="WS87" s="15"/>
      <c r="WT87" s="15"/>
      <c r="WU87" s="15"/>
      <c r="WV87" s="15"/>
      <c r="WW87" s="15"/>
      <c r="WX87" s="15"/>
      <c r="WY87" s="15"/>
      <c r="WZ87" s="15"/>
      <c r="XA87" s="15"/>
      <c r="XB87" s="15"/>
      <c r="XC87" s="15"/>
      <c r="XD87" s="15"/>
      <c r="XE87" s="15"/>
      <c r="XF87" s="15"/>
      <c r="XG87" s="15"/>
      <c r="XH87" s="15"/>
      <c r="XI87" s="15"/>
      <c r="XJ87" s="15"/>
      <c r="XK87" s="15"/>
      <c r="XL87" s="15"/>
      <c r="XM87" s="15"/>
      <c r="XN87" s="15"/>
      <c r="XO87" s="15"/>
      <c r="XP87" s="15"/>
      <c r="XQ87" s="15"/>
      <c r="XR87" s="15"/>
      <c r="XS87" s="15"/>
      <c r="XT87" s="15"/>
      <c r="XU87" s="15"/>
      <c r="XV87" s="15"/>
      <c r="XW87" s="15"/>
      <c r="XX87" s="15"/>
      <c r="XY87" s="15"/>
      <c r="XZ87" s="15"/>
      <c r="YA87" s="15"/>
      <c r="YB87" s="15"/>
      <c r="YC87" s="15"/>
      <c r="YD87" s="15"/>
      <c r="YE87" s="15"/>
      <c r="YF87" s="15"/>
      <c r="YG87" s="15"/>
      <c r="YH87" s="15"/>
      <c r="YI87" s="15"/>
      <c r="YJ87" s="15"/>
      <c r="YK87" s="15"/>
      <c r="YL87" s="15"/>
      <c r="YM87" s="15"/>
      <c r="YN87" s="15"/>
      <c r="YO87" s="15"/>
      <c r="YP87" s="15"/>
      <c r="YQ87" s="15"/>
      <c r="YR87" s="15"/>
      <c r="YS87" s="15"/>
      <c r="YT87" s="15"/>
      <c r="YU87" s="15"/>
      <c r="YV87" s="15"/>
      <c r="YW87" s="15"/>
      <c r="YX87" s="15"/>
      <c r="YY87" s="15"/>
      <c r="YZ87" s="15"/>
      <c r="ZA87" s="15"/>
      <c r="ZB87" s="15"/>
      <c r="ZC87" s="15"/>
      <c r="ZD87" s="15"/>
      <c r="ZE87" s="15"/>
      <c r="ZF87" s="15"/>
      <c r="ZG87" s="15"/>
      <c r="ZH87" s="15"/>
      <c r="ZI87" s="15"/>
      <c r="ZJ87" s="15"/>
      <c r="ZK87" s="15"/>
      <c r="ZL87" s="15"/>
      <c r="ZM87" s="15"/>
      <c r="ZN87" s="15"/>
      <c r="ZO87" s="15"/>
      <c r="ZP87" s="15"/>
      <c r="ZQ87" s="15"/>
      <c r="ZR87" s="15"/>
      <c r="ZS87" s="15"/>
      <c r="ZT87" s="15"/>
      <c r="ZU87" s="15"/>
      <c r="ZV87" s="15"/>
      <c r="ZW87" s="15"/>
      <c r="ZX87" s="15"/>
      <c r="ZY87" s="15"/>
      <c r="ZZ87" s="15"/>
      <c r="AAA87" s="15"/>
      <c r="AAB87" s="15"/>
      <c r="AAC87" s="15"/>
      <c r="AAD87" s="15"/>
      <c r="AAE87" s="15"/>
      <c r="AAF87" s="15"/>
      <c r="AAG87" s="15"/>
      <c r="AAH87" s="15"/>
      <c r="AAI87" s="15"/>
      <c r="AAJ87" s="15"/>
      <c r="AAK87" s="15"/>
      <c r="AAL87" s="15"/>
      <c r="AAM87" s="15"/>
      <c r="AAN87" s="15"/>
      <c r="AAO87" s="15"/>
      <c r="AAP87" s="15"/>
      <c r="AAQ87" s="15"/>
      <c r="AAR87" s="15"/>
      <c r="AAS87" s="15"/>
      <c r="AAT87" s="15"/>
      <c r="AAU87" s="15"/>
      <c r="AAV87" s="15"/>
      <c r="AAW87" s="15"/>
      <c r="AAX87" s="15"/>
      <c r="AAY87" s="15"/>
      <c r="AAZ87" s="15"/>
      <c r="ABA87" s="15"/>
      <c r="ABB87" s="15"/>
      <c r="ABC87" s="15"/>
      <c r="ABD87" s="15"/>
      <c r="ABE87" s="15"/>
      <c r="ABF87" s="15"/>
      <c r="ABG87" s="15"/>
      <c r="ABH87" s="15"/>
      <c r="ABI87" s="15"/>
      <c r="ABJ87" s="15"/>
      <c r="ABK87" s="15"/>
      <c r="ABL87" s="15"/>
      <c r="ABM87" s="15"/>
      <c r="ABN87" s="15"/>
      <c r="ABO87" s="15"/>
      <c r="ABP87" s="15"/>
      <c r="ABQ87" s="15"/>
      <c r="ABR87" s="15"/>
      <c r="ABS87" s="15"/>
      <c r="ABT87" s="15"/>
      <c r="ABU87" s="15"/>
      <c r="ABV87" s="15"/>
      <c r="ABW87" s="15"/>
      <c r="ABX87" s="15"/>
      <c r="ABY87" s="15"/>
      <c r="ABZ87" s="15"/>
      <c r="ACA87" s="15"/>
      <c r="ACB87" s="15"/>
      <c r="ACC87" s="15"/>
      <c r="ACD87" s="15"/>
      <c r="ACE87" s="15"/>
      <c r="ACF87" s="15"/>
      <c r="ACG87" s="15"/>
      <c r="ACH87" s="15"/>
      <c r="ACI87" s="15"/>
      <c r="ACJ87" s="15"/>
      <c r="ACK87" s="15"/>
      <c r="ACL87" s="15"/>
      <c r="ACM87" s="15"/>
      <c r="ACN87" s="15"/>
      <c r="ACO87" s="15"/>
      <c r="ACP87" s="15"/>
      <c r="ACQ87" s="15"/>
      <c r="ACR87" s="15"/>
      <c r="ACS87" s="15"/>
      <c r="ACT87" s="15"/>
      <c r="ACU87" s="15"/>
      <c r="ACV87" s="15"/>
      <c r="ACW87" s="15"/>
      <c r="ACX87" s="15"/>
      <c r="ACY87" s="15"/>
      <c r="ACZ87" s="15"/>
      <c r="ADA87" s="15"/>
      <c r="ADB87" s="15"/>
      <c r="ADC87" s="15"/>
      <c r="ADD87" s="15"/>
      <c r="ADE87" s="15"/>
      <c r="ADF87" s="15"/>
      <c r="ADG87" s="15"/>
      <c r="ADH87" s="15"/>
      <c r="ADI87" s="15"/>
      <c r="ADJ87" s="15"/>
      <c r="ADK87" s="15"/>
      <c r="ADL87" s="15"/>
      <c r="ADM87" s="15"/>
      <c r="ADN87" s="15"/>
      <c r="ADO87" s="15"/>
      <c r="ADP87" s="15"/>
      <c r="ADQ87" s="15"/>
      <c r="ADR87" s="15"/>
      <c r="ADS87" s="15"/>
      <c r="ADT87" s="15"/>
      <c r="ADU87" s="15"/>
      <c r="ADV87" s="15"/>
      <c r="ADW87" s="15"/>
      <c r="ADX87" s="15"/>
      <c r="ADY87" s="15"/>
      <c r="ADZ87" s="15"/>
      <c r="AEA87" s="15"/>
      <c r="AEB87" s="15"/>
      <c r="AEC87" s="15"/>
      <c r="AED87" s="15"/>
      <c r="AEE87" s="15"/>
      <c r="AEF87" s="15"/>
      <c r="AEG87" s="15"/>
      <c r="AEH87" s="15"/>
      <c r="AEI87" s="15"/>
      <c r="AEJ87" s="15"/>
      <c r="AEK87" s="15"/>
      <c r="AEL87" s="15"/>
      <c r="AEM87" s="15"/>
      <c r="AEN87" s="15"/>
      <c r="AEO87" s="15"/>
      <c r="AEP87" s="15"/>
      <c r="AEQ87" s="15"/>
      <c r="AER87" s="15"/>
      <c r="AES87" s="15"/>
      <c r="AET87" s="15"/>
      <c r="AEU87" s="15"/>
      <c r="AEV87" s="15"/>
      <c r="AEW87" s="15"/>
      <c r="AEX87" s="15"/>
      <c r="AEY87" s="15"/>
      <c r="AEZ87" s="15"/>
      <c r="AFA87" s="15"/>
      <c r="AFB87" s="15"/>
      <c r="AFC87" s="15"/>
      <c r="AFD87" s="15"/>
      <c r="AFE87" s="15"/>
      <c r="AFF87" s="15"/>
      <c r="AFG87" s="15"/>
      <c r="AFH87" s="15"/>
      <c r="AFI87" s="15"/>
      <c r="AFJ87" s="15"/>
      <c r="AFK87" s="15"/>
      <c r="AFL87" s="15"/>
      <c r="AFM87" s="15"/>
      <c r="AFN87" s="15"/>
      <c r="AFO87" s="15"/>
      <c r="AFP87" s="15"/>
      <c r="AFQ87" s="15"/>
      <c r="AFR87" s="15"/>
      <c r="AFS87" s="15"/>
      <c r="AFT87" s="15"/>
      <c r="AFU87" s="15"/>
      <c r="AFV87" s="15"/>
      <c r="AFW87" s="15"/>
      <c r="AFX87" s="15"/>
      <c r="AFY87" s="15"/>
      <c r="AFZ87" s="15"/>
      <c r="AGA87" s="15"/>
      <c r="AGB87" s="15"/>
      <c r="AGC87" s="15"/>
      <c r="AGD87" s="15"/>
      <c r="AGE87" s="15"/>
      <c r="AGF87" s="15"/>
      <c r="AGG87" s="15"/>
      <c r="AGH87" s="15"/>
      <c r="AGI87" s="15"/>
      <c r="AGJ87" s="15"/>
      <c r="AGK87" s="15"/>
      <c r="AGL87" s="15"/>
      <c r="AGM87" s="15"/>
      <c r="AGN87" s="15"/>
      <c r="AGO87" s="15"/>
      <c r="AGP87" s="15"/>
      <c r="AGQ87" s="15"/>
      <c r="AGR87" s="15"/>
      <c r="AGS87" s="15"/>
      <c r="AGT87" s="15"/>
      <c r="AGU87" s="15"/>
      <c r="AGV87" s="15"/>
      <c r="AGW87" s="15"/>
      <c r="AGX87" s="15"/>
      <c r="AGY87" s="15"/>
      <c r="AGZ87" s="15"/>
      <c r="AHA87" s="15"/>
      <c r="AHB87" s="15"/>
      <c r="AHC87" s="15"/>
      <c r="AHD87" s="15"/>
      <c r="AHE87" s="15"/>
      <c r="AHF87" s="15"/>
      <c r="AHG87" s="15"/>
      <c r="AHH87" s="15"/>
      <c r="AHI87" s="15"/>
      <c r="AHJ87" s="15"/>
      <c r="AHK87" s="15"/>
      <c r="AHL87" s="15"/>
      <c r="AHM87" s="15"/>
      <c r="AHN87" s="15"/>
      <c r="AHO87" s="15"/>
      <c r="AHP87" s="15"/>
      <c r="AHQ87" s="15"/>
      <c r="AHR87" s="15"/>
      <c r="AHS87" s="15"/>
      <c r="AHT87" s="15"/>
      <c r="AHU87" s="15"/>
      <c r="AHV87" s="15"/>
      <c r="AHW87" s="15"/>
      <c r="AHX87" s="15"/>
      <c r="AHY87" s="15"/>
      <c r="AHZ87" s="15"/>
      <c r="AIA87" s="15"/>
      <c r="AIB87" s="15"/>
      <c r="AIC87" s="15"/>
      <c r="AID87" s="15"/>
      <c r="AIE87" s="15"/>
      <c r="AIF87" s="15"/>
      <c r="AIG87" s="15"/>
      <c r="AIH87" s="15"/>
      <c r="AII87" s="15"/>
      <c r="AIJ87" s="15"/>
      <c r="AIK87" s="15"/>
      <c r="AIL87" s="15"/>
      <c r="AIM87" s="15"/>
      <c r="AIN87" s="15"/>
      <c r="AIO87" s="15"/>
      <c r="AIP87" s="15"/>
      <c r="AIQ87" s="15"/>
      <c r="AIR87" s="15"/>
      <c r="AIS87" s="15"/>
      <c r="AIT87" s="15"/>
      <c r="AIU87" s="15"/>
      <c r="AIV87" s="15"/>
      <c r="AIW87" s="15"/>
      <c r="AIX87" s="15"/>
      <c r="AIY87" s="15"/>
      <c r="AIZ87" s="15"/>
      <c r="AJA87" s="15"/>
      <c r="AJB87" s="15"/>
      <c r="AJC87" s="15"/>
      <c r="AJD87" s="15"/>
      <c r="AJE87" s="15"/>
      <c r="AJF87" s="15"/>
      <c r="AJG87" s="15"/>
      <c r="AJH87" s="15"/>
      <c r="AJI87" s="15"/>
      <c r="AJJ87" s="15"/>
      <c r="AJK87" s="15"/>
      <c r="AJL87" s="15"/>
      <c r="AJM87" s="15"/>
      <c r="AJN87" s="15"/>
      <c r="AJO87" s="15"/>
      <c r="AJP87" s="15"/>
      <c r="AJQ87" s="15"/>
      <c r="AJR87" s="15"/>
      <c r="AJS87" s="15"/>
      <c r="AJT87" s="15"/>
      <c r="AJU87" s="15"/>
      <c r="AJV87" s="15"/>
      <c r="AJW87" s="15"/>
      <c r="AJX87" s="15"/>
      <c r="AJY87" s="15"/>
      <c r="AJZ87" s="15"/>
      <c r="AKA87" s="15"/>
      <c r="AKB87" s="15"/>
      <c r="AKC87" s="15"/>
      <c r="AKD87" s="15"/>
      <c r="AKE87" s="15"/>
      <c r="AKF87" s="15"/>
      <c r="AKG87" s="15"/>
      <c r="AKH87" s="15"/>
      <c r="AKI87" s="15"/>
      <c r="AKJ87" s="15"/>
      <c r="AKK87" s="15"/>
      <c r="AKL87" s="15"/>
      <c r="AKM87" s="15"/>
      <c r="AKN87" s="15"/>
      <c r="AKO87" s="15"/>
      <c r="AKP87" s="15"/>
      <c r="AKQ87" s="15"/>
      <c r="AKR87" s="15"/>
      <c r="AKS87" s="15"/>
      <c r="AKT87" s="15"/>
      <c r="AKU87" s="15"/>
      <c r="AKV87" s="15"/>
      <c r="AKW87" s="15"/>
      <c r="AKX87" s="15"/>
      <c r="AKY87" s="15"/>
      <c r="AKZ87" s="15"/>
      <c r="ALA87" s="15"/>
      <c r="ALB87" s="15"/>
      <c r="ALC87" s="15"/>
      <c r="ALD87" s="15"/>
      <c r="ALE87" s="15"/>
      <c r="ALF87" s="15"/>
      <c r="ALG87" s="15"/>
      <c r="ALH87" s="15"/>
      <c r="ALI87" s="15"/>
      <c r="ALJ87" s="15"/>
      <c r="ALK87" s="15"/>
      <c r="ALL87" s="15"/>
      <c r="ALM87" s="15"/>
      <c r="ALN87" s="15"/>
      <c r="ALO87" s="15"/>
      <c r="ALP87" s="15"/>
      <c r="ALQ87" s="15"/>
      <c r="ALR87" s="15"/>
      <c r="ALS87" s="15"/>
      <c r="ALT87" s="15"/>
      <c r="ALU87" s="15"/>
      <c r="ALV87" s="15"/>
      <c r="ALW87" s="15"/>
      <c r="ALX87" s="15"/>
      <c r="ALY87" s="15"/>
      <c r="ALZ87" s="15"/>
      <c r="AMA87" s="15"/>
      <c r="AMB87" s="15"/>
      <c r="AMC87" s="15"/>
      <c r="AMD87" s="15"/>
      <c r="AME87" s="15"/>
      <c r="AMF87" s="15"/>
      <c r="AMG87" s="14"/>
      <c r="AMH87" s="14"/>
      <c r="AMI87" s="14"/>
      <c r="AMJ87" s="14"/>
    </row>
    <row r="88" spans="1:1024" s="13" customFormat="1" ht="101.5" hidden="1" x14ac:dyDescent="0.35">
      <c r="A88" s="19">
        <v>43663</v>
      </c>
      <c r="B88" s="17" t="s">
        <v>25</v>
      </c>
      <c r="C88" s="17" t="s">
        <v>286</v>
      </c>
      <c r="D88" s="18">
        <v>43665</v>
      </c>
      <c r="E88" s="17" t="s">
        <v>27</v>
      </c>
      <c r="F88" s="26">
        <v>0.69791666666666696</v>
      </c>
      <c r="G88" s="26">
        <v>0.76041666666666696</v>
      </c>
      <c r="H88" s="26">
        <v>0.78125</v>
      </c>
      <c r="I88" s="17">
        <v>238</v>
      </c>
      <c r="J88" s="42" t="s">
        <v>252</v>
      </c>
      <c r="K88" s="17" t="s">
        <v>119</v>
      </c>
      <c r="L88" s="16" t="s">
        <v>17</v>
      </c>
      <c r="M88" s="15"/>
      <c r="N88" s="15"/>
      <c r="O88" s="15"/>
      <c r="P88" s="15"/>
      <c r="Q88" s="15">
        <f>SUM(I67:I89)</f>
        <v>3157.75</v>
      </c>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c r="IU88" s="15"/>
      <c r="IV88" s="15"/>
      <c r="IW88" s="15"/>
      <c r="IX88" s="15"/>
      <c r="IY88" s="15"/>
      <c r="IZ88" s="15"/>
      <c r="JA88" s="15"/>
      <c r="JB88" s="15"/>
      <c r="JC88" s="15"/>
      <c r="JD88" s="15"/>
      <c r="JE88" s="15"/>
      <c r="JF88" s="15"/>
      <c r="JG88" s="15"/>
      <c r="JH88" s="15"/>
      <c r="JI88" s="15"/>
      <c r="JJ88" s="15"/>
      <c r="JK88" s="15"/>
      <c r="JL88" s="15"/>
      <c r="JM88" s="15"/>
      <c r="JN88" s="15"/>
      <c r="JO88" s="15"/>
      <c r="JP88" s="15"/>
      <c r="JQ88" s="15"/>
      <c r="JR88" s="15"/>
      <c r="JS88" s="15"/>
      <c r="JT88" s="15"/>
      <c r="JU88" s="15"/>
      <c r="JV88" s="15"/>
      <c r="JW88" s="15"/>
      <c r="JX88" s="15"/>
      <c r="JY88" s="15"/>
      <c r="JZ88" s="15"/>
      <c r="KA88" s="15"/>
      <c r="KB88" s="15"/>
      <c r="KC88" s="15"/>
      <c r="KD88" s="15"/>
      <c r="KE88" s="15"/>
      <c r="KF88" s="15"/>
      <c r="KG88" s="15"/>
      <c r="KH88" s="15"/>
      <c r="KI88" s="15"/>
      <c r="KJ88" s="15"/>
      <c r="KK88" s="15"/>
      <c r="KL88" s="15"/>
      <c r="KM88" s="15"/>
      <c r="KN88" s="15"/>
      <c r="KO88" s="15"/>
      <c r="KP88" s="15"/>
      <c r="KQ88" s="15"/>
      <c r="KR88" s="15"/>
      <c r="KS88" s="15"/>
      <c r="KT88" s="15"/>
      <c r="KU88" s="15"/>
      <c r="KV88" s="15"/>
      <c r="KW88" s="15"/>
      <c r="KX88" s="15"/>
      <c r="KY88" s="15"/>
      <c r="KZ88" s="15"/>
      <c r="LA88" s="15"/>
      <c r="LB88" s="15"/>
      <c r="LC88" s="15"/>
      <c r="LD88" s="15"/>
      <c r="LE88" s="15"/>
      <c r="LF88" s="15"/>
      <c r="LG88" s="15"/>
      <c r="LH88" s="15"/>
      <c r="LI88" s="15"/>
      <c r="LJ88" s="15"/>
      <c r="LK88" s="15"/>
      <c r="LL88" s="15"/>
      <c r="LM88" s="15"/>
      <c r="LN88" s="15"/>
      <c r="LO88" s="15"/>
      <c r="LP88" s="15"/>
      <c r="LQ88" s="15"/>
      <c r="LR88" s="15"/>
      <c r="LS88" s="15"/>
      <c r="LT88" s="15"/>
      <c r="LU88" s="15"/>
      <c r="LV88" s="15"/>
      <c r="LW88" s="15"/>
      <c r="LX88" s="15"/>
      <c r="LY88" s="15"/>
      <c r="LZ88" s="15"/>
      <c r="MA88" s="15"/>
      <c r="MB88" s="15"/>
      <c r="MC88" s="15"/>
      <c r="MD88" s="15"/>
      <c r="ME88" s="15"/>
      <c r="MF88" s="15"/>
      <c r="MG88" s="15"/>
      <c r="MH88" s="15"/>
      <c r="MI88" s="15"/>
      <c r="MJ88" s="15"/>
      <c r="MK88" s="15"/>
      <c r="ML88" s="15"/>
      <c r="MM88" s="15"/>
      <c r="MN88" s="15"/>
      <c r="MO88" s="15"/>
      <c r="MP88" s="15"/>
      <c r="MQ88" s="15"/>
      <c r="MR88" s="15"/>
      <c r="MS88" s="15"/>
      <c r="MT88" s="15"/>
      <c r="MU88" s="15"/>
      <c r="MV88" s="15"/>
      <c r="MW88" s="15"/>
      <c r="MX88" s="15"/>
      <c r="MY88" s="15"/>
      <c r="MZ88" s="15"/>
      <c r="NA88" s="15"/>
      <c r="NB88" s="15"/>
      <c r="NC88" s="15"/>
      <c r="ND88" s="15"/>
      <c r="NE88" s="15"/>
      <c r="NF88" s="15"/>
      <c r="NG88" s="15"/>
      <c r="NH88" s="15"/>
      <c r="NI88" s="15"/>
      <c r="NJ88" s="15"/>
      <c r="NK88" s="15"/>
      <c r="NL88" s="15"/>
      <c r="NM88" s="15"/>
      <c r="NN88" s="15"/>
      <c r="NO88" s="15"/>
      <c r="NP88" s="15"/>
      <c r="NQ88" s="15"/>
      <c r="NR88" s="15"/>
      <c r="NS88" s="15"/>
      <c r="NT88" s="15"/>
      <c r="NU88" s="15"/>
      <c r="NV88" s="15"/>
      <c r="NW88" s="15"/>
      <c r="NX88" s="15"/>
      <c r="NY88" s="15"/>
      <c r="NZ88" s="15"/>
      <c r="OA88" s="15"/>
      <c r="OB88" s="15"/>
      <c r="OC88" s="15"/>
      <c r="OD88" s="15"/>
      <c r="OE88" s="15"/>
      <c r="OF88" s="15"/>
      <c r="OG88" s="15"/>
      <c r="OH88" s="15"/>
      <c r="OI88" s="15"/>
      <c r="OJ88" s="15"/>
      <c r="OK88" s="15"/>
      <c r="OL88" s="15"/>
      <c r="OM88" s="15"/>
      <c r="ON88" s="15"/>
      <c r="OO88" s="15"/>
      <c r="OP88" s="15"/>
      <c r="OQ88" s="15"/>
      <c r="OR88" s="15"/>
      <c r="OS88" s="15"/>
      <c r="OT88" s="15"/>
      <c r="OU88" s="15"/>
      <c r="OV88" s="15"/>
      <c r="OW88" s="15"/>
      <c r="OX88" s="15"/>
      <c r="OY88" s="15"/>
      <c r="OZ88" s="15"/>
      <c r="PA88" s="15"/>
      <c r="PB88" s="15"/>
      <c r="PC88" s="15"/>
      <c r="PD88" s="15"/>
      <c r="PE88" s="15"/>
      <c r="PF88" s="15"/>
      <c r="PG88" s="15"/>
      <c r="PH88" s="15"/>
      <c r="PI88" s="15"/>
      <c r="PJ88" s="15"/>
      <c r="PK88" s="15"/>
      <c r="PL88" s="15"/>
      <c r="PM88" s="15"/>
      <c r="PN88" s="15"/>
      <c r="PO88" s="15"/>
      <c r="PP88" s="15"/>
      <c r="PQ88" s="15"/>
      <c r="PR88" s="15"/>
      <c r="PS88" s="15"/>
      <c r="PT88" s="15"/>
      <c r="PU88" s="15"/>
      <c r="PV88" s="15"/>
      <c r="PW88" s="15"/>
      <c r="PX88" s="15"/>
      <c r="PY88" s="15"/>
      <c r="PZ88" s="15"/>
      <c r="QA88" s="15"/>
      <c r="QB88" s="15"/>
      <c r="QC88" s="15"/>
      <c r="QD88" s="15"/>
      <c r="QE88" s="15"/>
      <c r="QF88" s="15"/>
      <c r="QG88" s="15"/>
      <c r="QH88" s="15"/>
      <c r="QI88" s="15"/>
      <c r="QJ88" s="15"/>
      <c r="QK88" s="15"/>
      <c r="QL88" s="15"/>
      <c r="QM88" s="15"/>
      <c r="QN88" s="15"/>
      <c r="QO88" s="15"/>
      <c r="QP88" s="15"/>
      <c r="QQ88" s="15"/>
      <c r="QR88" s="15"/>
      <c r="QS88" s="15"/>
      <c r="QT88" s="15"/>
      <c r="QU88" s="15"/>
      <c r="QV88" s="15"/>
      <c r="QW88" s="15"/>
      <c r="QX88" s="15"/>
      <c r="QY88" s="15"/>
      <c r="QZ88" s="15"/>
      <c r="RA88" s="15"/>
      <c r="RB88" s="15"/>
      <c r="RC88" s="15"/>
      <c r="RD88" s="15"/>
      <c r="RE88" s="15"/>
      <c r="RF88" s="15"/>
      <c r="RG88" s="15"/>
      <c r="RH88" s="15"/>
      <c r="RI88" s="15"/>
      <c r="RJ88" s="15"/>
      <c r="RK88" s="15"/>
      <c r="RL88" s="15"/>
      <c r="RM88" s="15"/>
      <c r="RN88" s="15"/>
      <c r="RO88" s="15"/>
      <c r="RP88" s="15"/>
      <c r="RQ88" s="15"/>
      <c r="RR88" s="15"/>
      <c r="RS88" s="15"/>
      <c r="RT88" s="15"/>
      <c r="RU88" s="15"/>
      <c r="RV88" s="15"/>
      <c r="RW88" s="15"/>
      <c r="RX88" s="15"/>
      <c r="RY88" s="15"/>
      <c r="RZ88" s="15"/>
      <c r="SA88" s="15"/>
      <c r="SB88" s="15"/>
      <c r="SC88" s="15"/>
      <c r="SD88" s="15"/>
      <c r="SE88" s="15"/>
      <c r="SF88" s="15"/>
      <c r="SG88" s="15"/>
      <c r="SH88" s="15"/>
      <c r="SI88" s="15"/>
      <c r="SJ88" s="15"/>
      <c r="SK88" s="15"/>
      <c r="SL88" s="15"/>
      <c r="SM88" s="15"/>
      <c r="SN88" s="15"/>
      <c r="SO88" s="15"/>
      <c r="SP88" s="15"/>
      <c r="SQ88" s="15"/>
      <c r="SR88" s="15"/>
      <c r="SS88" s="15"/>
      <c r="ST88" s="15"/>
      <c r="SU88" s="15"/>
      <c r="SV88" s="15"/>
      <c r="SW88" s="15"/>
      <c r="SX88" s="15"/>
      <c r="SY88" s="15"/>
      <c r="SZ88" s="15"/>
      <c r="TA88" s="15"/>
      <c r="TB88" s="15"/>
      <c r="TC88" s="15"/>
      <c r="TD88" s="15"/>
      <c r="TE88" s="15"/>
      <c r="TF88" s="15"/>
      <c r="TG88" s="15"/>
      <c r="TH88" s="15"/>
      <c r="TI88" s="15"/>
      <c r="TJ88" s="15"/>
      <c r="TK88" s="15"/>
      <c r="TL88" s="15"/>
      <c r="TM88" s="15"/>
      <c r="TN88" s="15"/>
      <c r="TO88" s="15"/>
      <c r="TP88" s="15"/>
      <c r="TQ88" s="15"/>
      <c r="TR88" s="15"/>
      <c r="TS88" s="15"/>
      <c r="TT88" s="15"/>
      <c r="TU88" s="15"/>
      <c r="TV88" s="15"/>
      <c r="TW88" s="15"/>
      <c r="TX88" s="15"/>
      <c r="TY88" s="15"/>
      <c r="TZ88" s="15"/>
      <c r="UA88" s="15"/>
      <c r="UB88" s="15"/>
      <c r="UC88" s="15"/>
      <c r="UD88" s="15"/>
      <c r="UE88" s="15"/>
      <c r="UF88" s="15"/>
      <c r="UG88" s="15"/>
      <c r="UH88" s="15"/>
      <c r="UI88" s="15"/>
      <c r="UJ88" s="15"/>
      <c r="UK88" s="15"/>
      <c r="UL88" s="15"/>
      <c r="UM88" s="15"/>
      <c r="UN88" s="15"/>
      <c r="UO88" s="15"/>
      <c r="UP88" s="15"/>
      <c r="UQ88" s="15"/>
      <c r="UR88" s="15"/>
      <c r="US88" s="15"/>
      <c r="UT88" s="15"/>
      <c r="UU88" s="15"/>
      <c r="UV88" s="15"/>
      <c r="UW88" s="15"/>
      <c r="UX88" s="15"/>
      <c r="UY88" s="15"/>
      <c r="UZ88" s="15"/>
      <c r="VA88" s="15"/>
      <c r="VB88" s="15"/>
      <c r="VC88" s="15"/>
      <c r="VD88" s="15"/>
      <c r="VE88" s="15"/>
      <c r="VF88" s="15"/>
      <c r="VG88" s="15"/>
      <c r="VH88" s="15"/>
      <c r="VI88" s="15"/>
      <c r="VJ88" s="15"/>
      <c r="VK88" s="15"/>
      <c r="VL88" s="15"/>
      <c r="VM88" s="15"/>
      <c r="VN88" s="15"/>
      <c r="VO88" s="15"/>
      <c r="VP88" s="15"/>
      <c r="VQ88" s="15"/>
      <c r="VR88" s="15"/>
      <c r="VS88" s="15"/>
      <c r="VT88" s="15"/>
      <c r="VU88" s="15"/>
      <c r="VV88" s="15"/>
      <c r="VW88" s="15"/>
      <c r="VX88" s="15"/>
      <c r="VY88" s="15"/>
      <c r="VZ88" s="15"/>
      <c r="WA88" s="15"/>
      <c r="WB88" s="15"/>
      <c r="WC88" s="15"/>
      <c r="WD88" s="15"/>
      <c r="WE88" s="15"/>
      <c r="WF88" s="15"/>
      <c r="WG88" s="15"/>
      <c r="WH88" s="15"/>
      <c r="WI88" s="15"/>
      <c r="WJ88" s="15"/>
      <c r="WK88" s="15"/>
      <c r="WL88" s="15"/>
      <c r="WM88" s="15"/>
      <c r="WN88" s="15"/>
      <c r="WO88" s="15"/>
      <c r="WP88" s="15"/>
      <c r="WQ88" s="15"/>
      <c r="WR88" s="15"/>
      <c r="WS88" s="15"/>
      <c r="WT88" s="15"/>
      <c r="WU88" s="15"/>
      <c r="WV88" s="15"/>
      <c r="WW88" s="15"/>
      <c r="WX88" s="15"/>
      <c r="WY88" s="15"/>
      <c r="WZ88" s="15"/>
      <c r="XA88" s="15"/>
      <c r="XB88" s="15"/>
      <c r="XC88" s="15"/>
      <c r="XD88" s="15"/>
      <c r="XE88" s="15"/>
      <c r="XF88" s="15"/>
      <c r="XG88" s="15"/>
      <c r="XH88" s="15"/>
      <c r="XI88" s="15"/>
      <c r="XJ88" s="15"/>
      <c r="XK88" s="15"/>
      <c r="XL88" s="15"/>
      <c r="XM88" s="15"/>
      <c r="XN88" s="15"/>
      <c r="XO88" s="15"/>
      <c r="XP88" s="15"/>
      <c r="XQ88" s="15"/>
      <c r="XR88" s="15"/>
      <c r="XS88" s="15"/>
      <c r="XT88" s="15"/>
      <c r="XU88" s="15"/>
      <c r="XV88" s="15"/>
      <c r="XW88" s="15"/>
      <c r="XX88" s="15"/>
      <c r="XY88" s="15"/>
      <c r="XZ88" s="15"/>
      <c r="YA88" s="15"/>
      <c r="YB88" s="15"/>
      <c r="YC88" s="15"/>
      <c r="YD88" s="15"/>
      <c r="YE88" s="15"/>
      <c r="YF88" s="15"/>
      <c r="YG88" s="15"/>
      <c r="YH88" s="15"/>
      <c r="YI88" s="15"/>
      <c r="YJ88" s="15"/>
      <c r="YK88" s="15"/>
      <c r="YL88" s="15"/>
      <c r="YM88" s="15"/>
      <c r="YN88" s="15"/>
      <c r="YO88" s="15"/>
      <c r="YP88" s="15"/>
      <c r="YQ88" s="15"/>
      <c r="YR88" s="15"/>
      <c r="YS88" s="15"/>
      <c r="YT88" s="15"/>
      <c r="YU88" s="15"/>
      <c r="YV88" s="15"/>
      <c r="YW88" s="15"/>
      <c r="YX88" s="15"/>
      <c r="YY88" s="15"/>
      <c r="YZ88" s="15"/>
      <c r="ZA88" s="15"/>
      <c r="ZB88" s="15"/>
      <c r="ZC88" s="15"/>
      <c r="ZD88" s="15"/>
      <c r="ZE88" s="15"/>
      <c r="ZF88" s="15"/>
      <c r="ZG88" s="15"/>
      <c r="ZH88" s="15"/>
      <c r="ZI88" s="15"/>
      <c r="ZJ88" s="15"/>
      <c r="ZK88" s="15"/>
      <c r="ZL88" s="15"/>
      <c r="ZM88" s="15"/>
      <c r="ZN88" s="15"/>
      <c r="ZO88" s="15"/>
      <c r="ZP88" s="15"/>
      <c r="ZQ88" s="15"/>
      <c r="ZR88" s="15"/>
      <c r="ZS88" s="15"/>
      <c r="ZT88" s="15"/>
      <c r="ZU88" s="15"/>
      <c r="ZV88" s="15"/>
      <c r="ZW88" s="15"/>
      <c r="ZX88" s="15"/>
      <c r="ZY88" s="15"/>
      <c r="ZZ88" s="15"/>
      <c r="AAA88" s="15"/>
      <c r="AAB88" s="15"/>
      <c r="AAC88" s="15"/>
      <c r="AAD88" s="15"/>
      <c r="AAE88" s="15"/>
      <c r="AAF88" s="15"/>
      <c r="AAG88" s="15"/>
      <c r="AAH88" s="15"/>
      <c r="AAI88" s="15"/>
      <c r="AAJ88" s="15"/>
      <c r="AAK88" s="15"/>
      <c r="AAL88" s="15"/>
      <c r="AAM88" s="15"/>
      <c r="AAN88" s="15"/>
      <c r="AAO88" s="15"/>
      <c r="AAP88" s="15"/>
      <c r="AAQ88" s="15"/>
      <c r="AAR88" s="15"/>
      <c r="AAS88" s="15"/>
      <c r="AAT88" s="15"/>
      <c r="AAU88" s="15"/>
      <c r="AAV88" s="15"/>
      <c r="AAW88" s="15"/>
      <c r="AAX88" s="15"/>
      <c r="AAY88" s="15"/>
      <c r="AAZ88" s="15"/>
      <c r="ABA88" s="15"/>
      <c r="ABB88" s="15"/>
      <c r="ABC88" s="15"/>
      <c r="ABD88" s="15"/>
      <c r="ABE88" s="15"/>
      <c r="ABF88" s="15"/>
      <c r="ABG88" s="15"/>
      <c r="ABH88" s="15"/>
      <c r="ABI88" s="15"/>
      <c r="ABJ88" s="15"/>
      <c r="ABK88" s="15"/>
      <c r="ABL88" s="15"/>
      <c r="ABM88" s="15"/>
      <c r="ABN88" s="15"/>
      <c r="ABO88" s="15"/>
      <c r="ABP88" s="15"/>
      <c r="ABQ88" s="15"/>
      <c r="ABR88" s="15"/>
      <c r="ABS88" s="15"/>
      <c r="ABT88" s="15"/>
      <c r="ABU88" s="15"/>
      <c r="ABV88" s="15"/>
      <c r="ABW88" s="15"/>
      <c r="ABX88" s="15"/>
      <c r="ABY88" s="15"/>
      <c r="ABZ88" s="15"/>
      <c r="ACA88" s="15"/>
      <c r="ACB88" s="15"/>
      <c r="ACC88" s="15"/>
      <c r="ACD88" s="15"/>
      <c r="ACE88" s="15"/>
      <c r="ACF88" s="15"/>
      <c r="ACG88" s="15"/>
      <c r="ACH88" s="15"/>
      <c r="ACI88" s="15"/>
      <c r="ACJ88" s="15"/>
      <c r="ACK88" s="15"/>
      <c r="ACL88" s="15"/>
      <c r="ACM88" s="15"/>
      <c r="ACN88" s="15"/>
      <c r="ACO88" s="15"/>
      <c r="ACP88" s="15"/>
      <c r="ACQ88" s="15"/>
      <c r="ACR88" s="15"/>
      <c r="ACS88" s="15"/>
      <c r="ACT88" s="15"/>
      <c r="ACU88" s="15"/>
      <c r="ACV88" s="15"/>
      <c r="ACW88" s="15"/>
      <c r="ACX88" s="15"/>
      <c r="ACY88" s="15"/>
      <c r="ACZ88" s="15"/>
      <c r="ADA88" s="15"/>
      <c r="ADB88" s="15"/>
      <c r="ADC88" s="15"/>
      <c r="ADD88" s="15"/>
      <c r="ADE88" s="15"/>
      <c r="ADF88" s="15"/>
      <c r="ADG88" s="15"/>
      <c r="ADH88" s="15"/>
      <c r="ADI88" s="15"/>
      <c r="ADJ88" s="15"/>
      <c r="ADK88" s="15"/>
      <c r="ADL88" s="15"/>
      <c r="ADM88" s="15"/>
      <c r="ADN88" s="15"/>
      <c r="ADO88" s="15"/>
      <c r="ADP88" s="15"/>
      <c r="ADQ88" s="15"/>
      <c r="ADR88" s="15"/>
      <c r="ADS88" s="15"/>
      <c r="ADT88" s="15"/>
      <c r="ADU88" s="15"/>
      <c r="ADV88" s="15"/>
      <c r="ADW88" s="15"/>
      <c r="ADX88" s="15"/>
      <c r="ADY88" s="15"/>
      <c r="ADZ88" s="15"/>
      <c r="AEA88" s="15"/>
      <c r="AEB88" s="15"/>
      <c r="AEC88" s="15"/>
      <c r="AED88" s="15"/>
      <c r="AEE88" s="15"/>
      <c r="AEF88" s="15"/>
      <c r="AEG88" s="15"/>
      <c r="AEH88" s="15"/>
      <c r="AEI88" s="15"/>
      <c r="AEJ88" s="15"/>
      <c r="AEK88" s="15"/>
      <c r="AEL88" s="15"/>
      <c r="AEM88" s="15"/>
      <c r="AEN88" s="15"/>
      <c r="AEO88" s="15"/>
      <c r="AEP88" s="15"/>
      <c r="AEQ88" s="15"/>
      <c r="AER88" s="15"/>
      <c r="AES88" s="15"/>
      <c r="AET88" s="15"/>
      <c r="AEU88" s="15"/>
      <c r="AEV88" s="15"/>
      <c r="AEW88" s="15"/>
      <c r="AEX88" s="15"/>
      <c r="AEY88" s="15"/>
      <c r="AEZ88" s="15"/>
      <c r="AFA88" s="15"/>
      <c r="AFB88" s="15"/>
      <c r="AFC88" s="15"/>
      <c r="AFD88" s="15"/>
      <c r="AFE88" s="15"/>
      <c r="AFF88" s="15"/>
      <c r="AFG88" s="15"/>
      <c r="AFH88" s="15"/>
      <c r="AFI88" s="15"/>
      <c r="AFJ88" s="15"/>
      <c r="AFK88" s="15"/>
      <c r="AFL88" s="15"/>
      <c r="AFM88" s="15"/>
      <c r="AFN88" s="15"/>
      <c r="AFO88" s="15"/>
      <c r="AFP88" s="15"/>
      <c r="AFQ88" s="15"/>
      <c r="AFR88" s="15"/>
      <c r="AFS88" s="15"/>
      <c r="AFT88" s="15"/>
      <c r="AFU88" s="15"/>
      <c r="AFV88" s="15"/>
      <c r="AFW88" s="15"/>
      <c r="AFX88" s="15"/>
      <c r="AFY88" s="15"/>
      <c r="AFZ88" s="15"/>
      <c r="AGA88" s="15"/>
      <c r="AGB88" s="15"/>
      <c r="AGC88" s="15"/>
      <c r="AGD88" s="15"/>
      <c r="AGE88" s="15"/>
      <c r="AGF88" s="15"/>
      <c r="AGG88" s="15"/>
      <c r="AGH88" s="15"/>
      <c r="AGI88" s="15"/>
      <c r="AGJ88" s="15"/>
      <c r="AGK88" s="15"/>
      <c r="AGL88" s="15"/>
      <c r="AGM88" s="15"/>
      <c r="AGN88" s="15"/>
      <c r="AGO88" s="15"/>
      <c r="AGP88" s="15"/>
      <c r="AGQ88" s="15"/>
      <c r="AGR88" s="15"/>
      <c r="AGS88" s="15"/>
      <c r="AGT88" s="15"/>
      <c r="AGU88" s="15"/>
      <c r="AGV88" s="15"/>
      <c r="AGW88" s="15"/>
      <c r="AGX88" s="15"/>
      <c r="AGY88" s="15"/>
      <c r="AGZ88" s="15"/>
      <c r="AHA88" s="15"/>
      <c r="AHB88" s="15"/>
      <c r="AHC88" s="15"/>
      <c r="AHD88" s="15"/>
      <c r="AHE88" s="15"/>
      <c r="AHF88" s="15"/>
      <c r="AHG88" s="15"/>
      <c r="AHH88" s="15"/>
      <c r="AHI88" s="15"/>
      <c r="AHJ88" s="15"/>
      <c r="AHK88" s="15"/>
      <c r="AHL88" s="15"/>
      <c r="AHM88" s="15"/>
      <c r="AHN88" s="15"/>
      <c r="AHO88" s="15"/>
      <c r="AHP88" s="15"/>
      <c r="AHQ88" s="15"/>
      <c r="AHR88" s="15"/>
      <c r="AHS88" s="15"/>
      <c r="AHT88" s="15"/>
      <c r="AHU88" s="15"/>
      <c r="AHV88" s="15"/>
      <c r="AHW88" s="15"/>
      <c r="AHX88" s="15"/>
      <c r="AHY88" s="15"/>
      <c r="AHZ88" s="15"/>
      <c r="AIA88" s="15"/>
      <c r="AIB88" s="15"/>
      <c r="AIC88" s="15"/>
      <c r="AID88" s="15"/>
      <c r="AIE88" s="15"/>
      <c r="AIF88" s="15"/>
      <c r="AIG88" s="15"/>
      <c r="AIH88" s="15"/>
      <c r="AII88" s="15"/>
      <c r="AIJ88" s="15"/>
      <c r="AIK88" s="15"/>
      <c r="AIL88" s="15"/>
      <c r="AIM88" s="15"/>
      <c r="AIN88" s="15"/>
      <c r="AIO88" s="15"/>
      <c r="AIP88" s="15"/>
      <c r="AIQ88" s="15"/>
      <c r="AIR88" s="15"/>
      <c r="AIS88" s="15"/>
      <c r="AIT88" s="15"/>
      <c r="AIU88" s="15"/>
      <c r="AIV88" s="15"/>
      <c r="AIW88" s="15"/>
      <c r="AIX88" s="15"/>
      <c r="AIY88" s="15"/>
      <c r="AIZ88" s="15"/>
      <c r="AJA88" s="15"/>
      <c r="AJB88" s="15"/>
      <c r="AJC88" s="15"/>
      <c r="AJD88" s="15"/>
      <c r="AJE88" s="15"/>
      <c r="AJF88" s="15"/>
      <c r="AJG88" s="15"/>
      <c r="AJH88" s="15"/>
      <c r="AJI88" s="15"/>
      <c r="AJJ88" s="15"/>
      <c r="AJK88" s="15"/>
      <c r="AJL88" s="15"/>
      <c r="AJM88" s="15"/>
      <c r="AJN88" s="15"/>
      <c r="AJO88" s="15"/>
      <c r="AJP88" s="15"/>
      <c r="AJQ88" s="15"/>
      <c r="AJR88" s="15"/>
      <c r="AJS88" s="15"/>
      <c r="AJT88" s="15"/>
      <c r="AJU88" s="15"/>
      <c r="AJV88" s="15"/>
      <c r="AJW88" s="15"/>
      <c r="AJX88" s="15"/>
      <c r="AJY88" s="15"/>
      <c r="AJZ88" s="15"/>
      <c r="AKA88" s="15"/>
      <c r="AKB88" s="15"/>
      <c r="AKC88" s="15"/>
      <c r="AKD88" s="15"/>
      <c r="AKE88" s="15"/>
      <c r="AKF88" s="15"/>
      <c r="AKG88" s="15"/>
      <c r="AKH88" s="15"/>
      <c r="AKI88" s="15"/>
      <c r="AKJ88" s="15"/>
      <c r="AKK88" s="15"/>
      <c r="AKL88" s="15"/>
      <c r="AKM88" s="15"/>
      <c r="AKN88" s="15"/>
      <c r="AKO88" s="15"/>
      <c r="AKP88" s="15"/>
      <c r="AKQ88" s="15"/>
      <c r="AKR88" s="15"/>
      <c r="AKS88" s="15"/>
      <c r="AKT88" s="15"/>
      <c r="AKU88" s="15"/>
      <c r="AKV88" s="15"/>
      <c r="AKW88" s="15"/>
      <c r="AKX88" s="15"/>
      <c r="AKY88" s="15"/>
      <c r="AKZ88" s="15"/>
      <c r="ALA88" s="15"/>
      <c r="ALB88" s="15"/>
      <c r="ALC88" s="15"/>
      <c r="ALD88" s="15"/>
      <c r="ALE88" s="15"/>
      <c r="ALF88" s="15"/>
      <c r="ALG88" s="15"/>
      <c r="ALH88" s="15"/>
      <c r="ALI88" s="15"/>
      <c r="ALJ88" s="15"/>
      <c r="ALK88" s="15"/>
      <c r="ALL88" s="15"/>
      <c r="ALM88" s="15"/>
      <c r="ALN88" s="15"/>
      <c r="ALO88" s="15"/>
      <c r="ALP88" s="15"/>
      <c r="ALQ88" s="15"/>
      <c r="ALR88" s="15"/>
      <c r="ALS88" s="15"/>
      <c r="ALT88" s="15"/>
      <c r="ALU88" s="15"/>
      <c r="ALV88" s="15"/>
      <c r="ALW88" s="15"/>
      <c r="ALX88" s="15"/>
      <c r="ALY88" s="15"/>
      <c r="ALZ88" s="15"/>
      <c r="AMA88" s="15"/>
      <c r="AMB88" s="15"/>
      <c r="AMC88" s="15"/>
      <c r="AMD88" s="15"/>
      <c r="AME88" s="15"/>
      <c r="AMF88" s="15"/>
      <c r="AMG88" s="14"/>
      <c r="AMH88" s="14"/>
      <c r="AMI88" s="14"/>
      <c r="AMJ88" s="14"/>
    </row>
    <row r="89" spans="1:1024" s="13" customFormat="1" ht="58" hidden="1" x14ac:dyDescent="0.35">
      <c r="A89" s="106">
        <v>43660</v>
      </c>
      <c r="B89" s="103" t="s">
        <v>285</v>
      </c>
      <c r="C89" s="103" t="s">
        <v>284</v>
      </c>
      <c r="D89" s="105">
        <v>43665</v>
      </c>
      <c r="E89" s="103" t="s">
        <v>283</v>
      </c>
      <c r="F89" s="104">
        <v>0.69791666666666696</v>
      </c>
      <c r="G89" s="104">
        <v>0.8125</v>
      </c>
      <c r="H89" s="104">
        <v>0.83333333333333304</v>
      </c>
      <c r="I89" s="103">
        <v>375</v>
      </c>
      <c r="J89" s="103" t="s">
        <v>257</v>
      </c>
      <c r="K89" s="103" t="s">
        <v>98</v>
      </c>
      <c r="L89" s="102" t="s">
        <v>17</v>
      </c>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c r="IU89" s="15"/>
      <c r="IV89" s="15"/>
      <c r="IW89" s="15"/>
      <c r="IX89" s="15"/>
      <c r="IY89" s="15"/>
      <c r="IZ89" s="15"/>
      <c r="JA89" s="15"/>
      <c r="JB89" s="15"/>
      <c r="JC89" s="15"/>
      <c r="JD89" s="15"/>
      <c r="JE89" s="15"/>
      <c r="JF89" s="15"/>
      <c r="JG89" s="15"/>
      <c r="JH89" s="15"/>
      <c r="JI89" s="15"/>
      <c r="JJ89" s="15"/>
      <c r="JK89" s="15"/>
      <c r="JL89" s="15"/>
      <c r="JM89" s="15"/>
      <c r="JN89" s="15"/>
      <c r="JO89" s="15"/>
      <c r="JP89" s="15"/>
      <c r="JQ89" s="15"/>
      <c r="JR89" s="15"/>
      <c r="JS89" s="15"/>
      <c r="JT89" s="15"/>
      <c r="JU89" s="15"/>
      <c r="JV89" s="15"/>
      <c r="JW89" s="15"/>
      <c r="JX89" s="15"/>
      <c r="JY89" s="15"/>
      <c r="JZ89" s="15"/>
      <c r="KA89" s="15"/>
      <c r="KB89" s="15"/>
      <c r="KC89" s="15"/>
      <c r="KD89" s="15"/>
      <c r="KE89" s="15"/>
      <c r="KF89" s="15"/>
      <c r="KG89" s="15"/>
      <c r="KH89" s="15"/>
      <c r="KI89" s="15"/>
      <c r="KJ89" s="15"/>
      <c r="KK89" s="15"/>
      <c r="KL89" s="15"/>
      <c r="KM89" s="15"/>
      <c r="KN89" s="15"/>
      <c r="KO89" s="15"/>
      <c r="KP89" s="15"/>
      <c r="KQ89" s="15"/>
      <c r="KR89" s="15"/>
      <c r="KS89" s="15"/>
      <c r="KT89" s="15"/>
      <c r="KU89" s="15"/>
      <c r="KV89" s="15"/>
      <c r="KW89" s="15"/>
      <c r="KX89" s="15"/>
      <c r="KY89" s="15"/>
      <c r="KZ89" s="15"/>
      <c r="LA89" s="15"/>
      <c r="LB89" s="15"/>
      <c r="LC89" s="15"/>
      <c r="LD89" s="15"/>
      <c r="LE89" s="15"/>
      <c r="LF89" s="15"/>
      <c r="LG89" s="15"/>
      <c r="LH89" s="15"/>
      <c r="LI89" s="15"/>
      <c r="LJ89" s="15"/>
      <c r="LK89" s="15"/>
      <c r="LL89" s="15"/>
      <c r="LM89" s="15"/>
      <c r="LN89" s="15"/>
      <c r="LO89" s="15"/>
      <c r="LP89" s="15"/>
      <c r="LQ89" s="15"/>
      <c r="LR89" s="15"/>
      <c r="LS89" s="15"/>
      <c r="LT89" s="15"/>
      <c r="LU89" s="15"/>
      <c r="LV89" s="15"/>
      <c r="LW89" s="15"/>
      <c r="LX89" s="15"/>
      <c r="LY89" s="15"/>
      <c r="LZ89" s="15"/>
      <c r="MA89" s="15"/>
      <c r="MB89" s="15"/>
      <c r="MC89" s="15"/>
      <c r="MD89" s="15"/>
      <c r="ME89" s="15"/>
      <c r="MF89" s="15"/>
      <c r="MG89" s="15"/>
      <c r="MH89" s="15"/>
      <c r="MI89" s="15"/>
      <c r="MJ89" s="15"/>
      <c r="MK89" s="15"/>
      <c r="ML89" s="15"/>
      <c r="MM89" s="15"/>
      <c r="MN89" s="15"/>
      <c r="MO89" s="15"/>
      <c r="MP89" s="15"/>
      <c r="MQ89" s="15"/>
      <c r="MR89" s="15"/>
      <c r="MS89" s="15"/>
      <c r="MT89" s="15"/>
      <c r="MU89" s="15"/>
      <c r="MV89" s="15"/>
      <c r="MW89" s="15"/>
      <c r="MX89" s="15"/>
      <c r="MY89" s="15"/>
      <c r="MZ89" s="15"/>
      <c r="NA89" s="15"/>
      <c r="NB89" s="15"/>
      <c r="NC89" s="15"/>
      <c r="ND89" s="15"/>
      <c r="NE89" s="15"/>
      <c r="NF89" s="15"/>
      <c r="NG89" s="15"/>
      <c r="NH89" s="15"/>
      <c r="NI89" s="15"/>
      <c r="NJ89" s="15"/>
      <c r="NK89" s="15"/>
      <c r="NL89" s="15"/>
      <c r="NM89" s="15"/>
      <c r="NN89" s="15"/>
      <c r="NO89" s="15"/>
      <c r="NP89" s="15"/>
      <c r="NQ89" s="15"/>
      <c r="NR89" s="15"/>
      <c r="NS89" s="15"/>
      <c r="NT89" s="15"/>
      <c r="NU89" s="15"/>
      <c r="NV89" s="15"/>
      <c r="NW89" s="15"/>
      <c r="NX89" s="15"/>
      <c r="NY89" s="15"/>
      <c r="NZ89" s="15"/>
      <c r="OA89" s="15"/>
      <c r="OB89" s="15"/>
      <c r="OC89" s="15"/>
      <c r="OD89" s="15"/>
      <c r="OE89" s="15"/>
      <c r="OF89" s="15"/>
      <c r="OG89" s="15"/>
      <c r="OH89" s="15"/>
      <c r="OI89" s="15"/>
      <c r="OJ89" s="15"/>
      <c r="OK89" s="15"/>
      <c r="OL89" s="15"/>
      <c r="OM89" s="15"/>
      <c r="ON89" s="15"/>
      <c r="OO89" s="15"/>
      <c r="OP89" s="15"/>
      <c r="OQ89" s="15"/>
      <c r="OR89" s="15"/>
      <c r="OS89" s="15"/>
      <c r="OT89" s="15"/>
      <c r="OU89" s="15"/>
      <c r="OV89" s="15"/>
      <c r="OW89" s="15"/>
      <c r="OX89" s="15"/>
      <c r="OY89" s="15"/>
      <c r="OZ89" s="15"/>
      <c r="PA89" s="15"/>
      <c r="PB89" s="15"/>
      <c r="PC89" s="15"/>
      <c r="PD89" s="15"/>
      <c r="PE89" s="15"/>
      <c r="PF89" s="15"/>
      <c r="PG89" s="15"/>
      <c r="PH89" s="15"/>
      <c r="PI89" s="15"/>
      <c r="PJ89" s="15"/>
      <c r="PK89" s="15"/>
      <c r="PL89" s="15"/>
      <c r="PM89" s="15"/>
      <c r="PN89" s="15"/>
      <c r="PO89" s="15"/>
      <c r="PP89" s="15"/>
      <c r="PQ89" s="15"/>
      <c r="PR89" s="15"/>
      <c r="PS89" s="15"/>
      <c r="PT89" s="15"/>
      <c r="PU89" s="15"/>
      <c r="PV89" s="15"/>
      <c r="PW89" s="15"/>
      <c r="PX89" s="15"/>
      <c r="PY89" s="15"/>
      <c r="PZ89" s="15"/>
      <c r="QA89" s="15"/>
      <c r="QB89" s="15"/>
      <c r="QC89" s="15"/>
      <c r="QD89" s="15"/>
      <c r="QE89" s="15"/>
      <c r="QF89" s="15"/>
      <c r="QG89" s="15"/>
      <c r="QH89" s="15"/>
      <c r="QI89" s="15"/>
      <c r="QJ89" s="15"/>
      <c r="QK89" s="15"/>
      <c r="QL89" s="15"/>
      <c r="QM89" s="15"/>
      <c r="QN89" s="15"/>
      <c r="QO89" s="15"/>
      <c r="QP89" s="15"/>
      <c r="QQ89" s="15"/>
      <c r="QR89" s="15"/>
      <c r="QS89" s="15"/>
      <c r="QT89" s="15"/>
      <c r="QU89" s="15"/>
      <c r="QV89" s="15"/>
      <c r="QW89" s="15"/>
      <c r="QX89" s="15"/>
      <c r="QY89" s="15"/>
      <c r="QZ89" s="15"/>
      <c r="RA89" s="15"/>
      <c r="RB89" s="15"/>
      <c r="RC89" s="15"/>
      <c r="RD89" s="15"/>
      <c r="RE89" s="15"/>
      <c r="RF89" s="15"/>
      <c r="RG89" s="15"/>
      <c r="RH89" s="15"/>
      <c r="RI89" s="15"/>
      <c r="RJ89" s="15"/>
      <c r="RK89" s="15"/>
      <c r="RL89" s="15"/>
      <c r="RM89" s="15"/>
      <c r="RN89" s="15"/>
      <c r="RO89" s="15"/>
      <c r="RP89" s="15"/>
      <c r="RQ89" s="15"/>
      <c r="RR89" s="15"/>
      <c r="RS89" s="15"/>
      <c r="RT89" s="15"/>
      <c r="RU89" s="15"/>
      <c r="RV89" s="15"/>
      <c r="RW89" s="15"/>
      <c r="RX89" s="15"/>
      <c r="RY89" s="15"/>
      <c r="RZ89" s="15"/>
      <c r="SA89" s="15"/>
      <c r="SB89" s="15"/>
      <c r="SC89" s="15"/>
      <c r="SD89" s="15"/>
      <c r="SE89" s="15"/>
      <c r="SF89" s="15"/>
      <c r="SG89" s="15"/>
      <c r="SH89" s="15"/>
      <c r="SI89" s="15"/>
      <c r="SJ89" s="15"/>
      <c r="SK89" s="15"/>
      <c r="SL89" s="15"/>
      <c r="SM89" s="15"/>
      <c r="SN89" s="15"/>
      <c r="SO89" s="15"/>
      <c r="SP89" s="15"/>
      <c r="SQ89" s="15"/>
      <c r="SR89" s="15"/>
      <c r="SS89" s="15"/>
      <c r="ST89" s="15"/>
      <c r="SU89" s="15"/>
      <c r="SV89" s="15"/>
      <c r="SW89" s="15"/>
      <c r="SX89" s="15"/>
      <c r="SY89" s="15"/>
      <c r="SZ89" s="15"/>
      <c r="TA89" s="15"/>
      <c r="TB89" s="15"/>
      <c r="TC89" s="15"/>
      <c r="TD89" s="15"/>
      <c r="TE89" s="15"/>
      <c r="TF89" s="15"/>
      <c r="TG89" s="15"/>
      <c r="TH89" s="15"/>
      <c r="TI89" s="15"/>
      <c r="TJ89" s="15"/>
      <c r="TK89" s="15"/>
      <c r="TL89" s="15"/>
      <c r="TM89" s="15"/>
      <c r="TN89" s="15"/>
      <c r="TO89" s="15"/>
      <c r="TP89" s="15"/>
      <c r="TQ89" s="15"/>
      <c r="TR89" s="15"/>
      <c r="TS89" s="15"/>
      <c r="TT89" s="15"/>
      <c r="TU89" s="15"/>
      <c r="TV89" s="15"/>
      <c r="TW89" s="15"/>
      <c r="TX89" s="15"/>
      <c r="TY89" s="15"/>
      <c r="TZ89" s="15"/>
      <c r="UA89" s="15"/>
      <c r="UB89" s="15"/>
      <c r="UC89" s="15"/>
      <c r="UD89" s="15"/>
      <c r="UE89" s="15"/>
      <c r="UF89" s="15"/>
      <c r="UG89" s="15"/>
      <c r="UH89" s="15"/>
      <c r="UI89" s="15"/>
      <c r="UJ89" s="15"/>
      <c r="UK89" s="15"/>
      <c r="UL89" s="15"/>
      <c r="UM89" s="15"/>
      <c r="UN89" s="15"/>
      <c r="UO89" s="15"/>
      <c r="UP89" s="15"/>
      <c r="UQ89" s="15"/>
      <c r="UR89" s="15"/>
      <c r="US89" s="15"/>
      <c r="UT89" s="15"/>
      <c r="UU89" s="15"/>
      <c r="UV89" s="15"/>
      <c r="UW89" s="15"/>
      <c r="UX89" s="15"/>
      <c r="UY89" s="15"/>
      <c r="UZ89" s="15"/>
      <c r="VA89" s="15"/>
      <c r="VB89" s="15"/>
      <c r="VC89" s="15"/>
      <c r="VD89" s="15"/>
      <c r="VE89" s="15"/>
      <c r="VF89" s="15"/>
      <c r="VG89" s="15"/>
      <c r="VH89" s="15"/>
      <c r="VI89" s="15"/>
      <c r="VJ89" s="15"/>
      <c r="VK89" s="15"/>
      <c r="VL89" s="15"/>
      <c r="VM89" s="15"/>
      <c r="VN89" s="15"/>
      <c r="VO89" s="15"/>
      <c r="VP89" s="15"/>
      <c r="VQ89" s="15"/>
      <c r="VR89" s="15"/>
      <c r="VS89" s="15"/>
      <c r="VT89" s="15"/>
      <c r="VU89" s="15"/>
      <c r="VV89" s="15"/>
      <c r="VW89" s="15"/>
      <c r="VX89" s="15"/>
      <c r="VY89" s="15"/>
      <c r="VZ89" s="15"/>
      <c r="WA89" s="15"/>
      <c r="WB89" s="15"/>
      <c r="WC89" s="15"/>
      <c r="WD89" s="15"/>
      <c r="WE89" s="15"/>
      <c r="WF89" s="15"/>
      <c r="WG89" s="15"/>
      <c r="WH89" s="15"/>
      <c r="WI89" s="15"/>
      <c r="WJ89" s="15"/>
      <c r="WK89" s="15"/>
      <c r="WL89" s="15"/>
      <c r="WM89" s="15"/>
      <c r="WN89" s="15"/>
      <c r="WO89" s="15"/>
      <c r="WP89" s="15"/>
      <c r="WQ89" s="15"/>
      <c r="WR89" s="15"/>
      <c r="WS89" s="15"/>
      <c r="WT89" s="15"/>
      <c r="WU89" s="15"/>
      <c r="WV89" s="15"/>
      <c r="WW89" s="15"/>
      <c r="WX89" s="15"/>
      <c r="WY89" s="15"/>
      <c r="WZ89" s="15"/>
      <c r="XA89" s="15"/>
      <c r="XB89" s="15"/>
      <c r="XC89" s="15"/>
      <c r="XD89" s="15"/>
      <c r="XE89" s="15"/>
      <c r="XF89" s="15"/>
      <c r="XG89" s="15"/>
      <c r="XH89" s="15"/>
      <c r="XI89" s="15"/>
      <c r="XJ89" s="15"/>
      <c r="XK89" s="15"/>
      <c r="XL89" s="15"/>
      <c r="XM89" s="15"/>
      <c r="XN89" s="15"/>
      <c r="XO89" s="15"/>
      <c r="XP89" s="15"/>
      <c r="XQ89" s="15"/>
      <c r="XR89" s="15"/>
      <c r="XS89" s="15"/>
      <c r="XT89" s="15"/>
      <c r="XU89" s="15"/>
      <c r="XV89" s="15"/>
      <c r="XW89" s="15"/>
      <c r="XX89" s="15"/>
      <c r="XY89" s="15"/>
      <c r="XZ89" s="15"/>
      <c r="YA89" s="15"/>
      <c r="YB89" s="15"/>
      <c r="YC89" s="15"/>
      <c r="YD89" s="15"/>
      <c r="YE89" s="15"/>
      <c r="YF89" s="15"/>
      <c r="YG89" s="15"/>
      <c r="YH89" s="15"/>
      <c r="YI89" s="15"/>
      <c r="YJ89" s="15"/>
      <c r="YK89" s="15"/>
      <c r="YL89" s="15"/>
      <c r="YM89" s="15"/>
      <c r="YN89" s="15"/>
      <c r="YO89" s="15"/>
      <c r="YP89" s="15"/>
      <c r="YQ89" s="15"/>
      <c r="YR89" s="15"/>
      <c r="YS89" s="15"/>
      <c r="YT89" s="15"/>
      <c r="YU89" s="15"/>
      <c r="YV89" s="15"/>
      <c r="YW89" s="15"/>
      <c r="YX89" s="15"/>
      <c r="YY89" s="15"/>
      <c r="YZ89" s="15"/>
      <c r="ZA89" s="15"/>
      <c r="ZB89" s="15"/>
      <c r="ZC89" s="15"/>
      <c r="ZD89" s="15"/>
      <c r="ZE89" s="15"/>
      <c r="ZF89" s="15"/>
      <c r="ZG89" s="15"/>
      <c r="ZH89" s="15"/>
      <c r="ZI89" s="15"/>
      <c r="ZJ89" s="15"/>
      <c r="ZK89" s="15"/>
      <c r="ZL89" s="15"/>
      <c r="ZM89" s="15"/>
      <c r="ZN89" s="15"/>
      <c r="ZO89" s="15"/>
      <c r="ZP89" s="15"/>
      <c r="ZQ89" s="15"/>
      <c r="ZR89" s="15"/>
      <c r="ZS89" s="15"/>
      <c r="ZT89" s="15"/>
      <c r="ZU89" s="15"/>
      <c r="ZV89" s="15"/>
      <c r="ZW89" s="15"/>
      <c r="ZX89" s="15"/>
      <c r="ZY89" s="15"/>
      <c r="ZZ89" s="15"/>
      <c r="AAA89" s="15"/>
      <c r="AAB89" s="15"/>
      <c r="AAC89" s="15"/>
      <c r="AAD89" s="15"/>
      <c r="AAE89" s="15"/>
      <c r="AAF89" s="15"/>
      <c r="AAG89" s="15"/>
      <c r="AAH89" s="15"/>
      <c r="AAI89" s="15"/>
      <c r="AAJ89" s="15"/>
      <c r="AAK89" s="15"/>
      <c r="AAL89" s="15"/>
      <c r="AAM89" s="15"/>
      <c r="AAN89" s="15"/>
      <c r="AAO89" s="15"/>
      <c r="AAP89" s="15"/>
      <c r="AAQ89" s="15"/>
      <c r="AAR89" s="15"/>
      <c r="AAS89" s="15"/>
      <c r="AAT89" s="15"/>
      <c r="AAU89" s="15"/>
      <c r="AAV89" s="15"/>
      <c r="AAW89" s="15"/>
      <c r="AAX89" s="15"/>
      <c r="AAY89" s="15"/>
      <c r="AAZ89" s="15"/>
      <c r="ABA89" s="15"/>
      <c r="ABB89" s="15"/>
      <c r="ABC89" s="15"/>
      <c r="ABD89" s="15"/>
      <c r="ABE89" s="15"/>
      <c r="ABF89" s="15"/>
      <c r="ABG89" s="15"/>
      <c r="ABH89" s="15"/>
      <c r="ABI89" s="15"/>
      <c r="ABJ89" s="15"/>
      <c r="ABK89" s="15"/>
      <c r="ABL89" s="15"/>
      <c r="ABM89" s="15"/>
      <c r="ABN89" s="15"/>
      <c r="ABO89" s="15"/>
      <c r="ABP89" s="15"/>
      <c r="ABQ89" s="15"/>
      <c r="ABR89" s="15"/>
      <c r="ABS89" s="15"/>
      <c r="ABT89" s="15"/>
      <c r="ABU89" s="15"/>
      <c r="ABV89" s="15"/>
      <c r="ABW89" s="15"/>
      <c r="ABX89" s="15"/>
      <c r="ABY89" s="15"/>
      <c r="ABZ89" s="15"/>
      <c r="ACA89" s="15"/>
      <c r="ACB89" s="15"/>
      <c r="ACC89" s="15"/>
      <c r="ACD89" s="15"/>
      <c r="ACE89" s="15"/>
      <c r="ACF89" s="15"/>
      <c r="ACG89" s="15"/>
      <c r="ACH89" s="15"/>
      <c r="ACI89" s="15"/>
      <c r="ACJ89" s="15"/>
      <c r="ACK89" s="15"/>
      <c r="ACL89" s="15"/>
      <c r="ACM89" s="15"/>
      <c r="ACN89" s="15"/>
      <c r="ACO89" s="15"/>
      <c r="ACP89" s="15"/>
      <c r="ACQ89" s="15"/>
      <c r="ACR89" s="15"/>
      <c r="ACS89" s="15"/>
      <c r="ACT89" s="15"/>
      <c r="ACU89" s="15"/>
      <c r="ACV89" s="15"/>
      <c r="ACW89" s="15"/>
      <c r="ACX89" s="15"/>
      <c r="ACY89" s="15"/>
      <c r="ACZ89" s="15"/>
      <c r="ADA89" s="15"/>
      <c r="ADB89" s="15"/>
      <c r="ADC89" s="15"/>
      <c r="ADD89" s="15"/>
      <c r="ADE89" s="15"/>
      <c r="ADF89" s="15"/>
      <c r="ADG89" s="15"/>
      <c r="ADH89" s="15"/>
      <c r="ADI89" s="15"/>
      <c r="ADJ89" s="15"/>
      <c r="ADK89" s="15"/>
      <c r="ADL89" s="15"/>
      <c r="ADM89" s="15"/>
      <c r="ADN89" s="15"/>
      <c r="ADO89" s="15"/>
      <c r="ADP89" s="15"/>
      <c r="ADQ89" s="15"/>
      <c r="ADR89" s="15"/>
      <c r="ADS89" s="15"/>
      <c r="ADT89" s="15"/>
      <c r="ADU89" s="15"/>
      <c r="ADV89" s="15"/>
      <c r="ADW89" s="15"/>
      <c r="ADX89" s="15"/>
      <c r="ADY89" s="15"/>
      <c r="ADZ89" s="15"/>
      <c r="AEA89" s="15"/>
      <c r="AEB89" s="15"/>
      <c r="AEC89" s="15"/>
      <c r="AED89" s="15"/>
      <c r="AEE89" s="15"/>
      <c r="AEF89" s="15"/>
      <c r="AEG89" s="15"/>
      <c r="AEH89" s="15"/>
      <c r="AEI89" s="15"/>
      <c r="AEJ89" s="15"/>
      <c r="AEK89" s="15"/>
      <c r="AEL89" s="15"/>
      <c r="AEM89" s="15"/>
      <c r="AEN89" s="15"/>
      <c r="AEO89" s="15"/>
      <c r="AEP89" s="15"/>
      <c r="AEQ89" s="15"/>
      <c r="AER89" s="15"/>
      <c r="AES89" s="15"/>
      <c r="AET89" s="15"/>
      <c r="AEU89" s="15"/>
      <c r="AEV89" s="15"/>
      <c r="AEW89" s="15"/>
      <c r="AEX89" s="15"/>
      <c r="AEY89" s="15"/>
      <c r="AEZ89" s="15"/>
      <c r="AFA89" s="15"/>
      <c r="AFB89" s="15"/>
      <c r="AFC89" s="15"/>
      <c r="AFD89" s="15"/>
      <c r="AFE89" s="15"/>
      <c r="AFF89" s="15"/>
      <c r="AFG89" s="15"/>
      <c r="AFH89" s="15"/>
      <c r="AFI89" s="15"/>
      <c r="AFJ89" s="15"/>
      <c r="AFK89" s="15"/>
      <c r="AFL89" s="15"/>
      <c r="AFM89" s="15"/>
      <c r="AFN89" s="15"/>
      <c r="AFO89" s="15"/>
      <c r="AFP89" s="15"/>
      <c r="AFQ89" s="15"/>
      <c r="AFR89" s="15"/>
      <c r="AFS89" s="15"/>
      <c r="AFT89" s="15"/>
      <c r="AFU89" s="15"/>
      <c r="AFV89" s="15"/>
      <c r="AFW89" s="15"/>
      <c r="AFX89" s="15"/>
      <c r="AFY89" s="15"/>
      <c r="AFZ89" s="15"/>
      <c r="AGA89" s="15"/>
      <c r="AGB89" s="15"/>
      <c r="AGC89" s="15"/>
      <c r="AGD89" s="15"/>
      <c r="AGE89" s="15"/>
      <c r="AGF89" s="15"/>
      <c r="AGG89" s="15"/>
      <c r="AGH89" s="15"/>
      <c r="AGI89" s="15"/>
      <c r="AGJ89" s="15"/>
      <c r="AGK89" s="15"/>
      <c r="AGL89" s="15"/>
      <c r="AGM89" s="15"/>
      <c r="AGN89" s="15"/>
      <c r="AGO89" s="15"/>
      <c r="AGP89" s="15"/>
      <c r="AGQ89" s="15"/>
      <c r="AGR89" s="15"/>
      <c r="AGS89" s="15"/>
      <c r="AGT89" s="15"/>
      <c r="AGU89" s="15"/>
      <c r="AGV89" s="15"/>
      <c r="AGW89" s="15"/>
      <c r="AGX89" s="15"/>
      <c r="AGY89" s="15"/>
      <c r="AGZ89" s="15"/>
      <c r="AHA89" s="15"/>
      <c r="AHB89" s="15"/>
      <c r="AHC89" s="15"/>
      <c r="AHD89" s="15"/>
      <c r="AHE89" s="15"/>
      <c r="AHF89" s="15"/>
      <c r="AHG89" s="15"/>
      <c r="AHH89" s="15"/>
      <c r="AHI89" s="15"/>
      <c r="AHJ89" s="15"/>
      <c r="AHK89" s="15"/>
      <c r="AHL89" s="15"/>
      <c r="AHM89" s="15"/>
      <c r="AHN89" s="15"/>
      <c r="AHO89" s="15"/>
      <c r="AHP89" s="15"/>
      <c r="AHQ89" s="15"/>
      <c r="AHR89" s="15"/>
      <c r="AHS89" s="15"/>
      <c r="AHT89" s="15"/>
      <c r="AHU89" s="15"/>
      <c r="AHV89" s="15"/>
      <c r="AHW89" s="15"/>
      <c r="AHX89" s="15"/>
      <c r="AHY89" s="15"/>
      <c r="AHZ89" s="15"/>
      <c r="AIA89" s="15"/>
      <c r="AIB89" s="15"/>
      <c r="AIC89" s="15"/>
      <c r="AID89" s="15"/>
      <c r="AIE89" s="15"/>
      <c r="AIF89" s="15"/>
      <c r="AIG89" s="15"/>
      <c r="AIH89" s="15"/>
      <c r="AII89" s="15"/>
      <c r="AIJ89" s="15"/>
      <c r="AIK89" s="15"/>
      <c r="AIL89" s="15"/>
      <c r="AIM89" s="15"/>
      <c r="AIN89" s="15"/>
      <c r="AIO89" s="15"/>
      <c r="AIP89" s="15"/>
      <c r="AIQ89" s="15"/>
      <c r="AIR89" s="15"/>
      <c r="AIS89" s="15"/>
      <c r="AIT89" s="15"/>
      <c r="AIU89" s="15"/>
      <c r="AIV89" s="15"/>
      <c r="AIW89" s="15"/>
      <c r="AIX89" s="15"/>
      <c r="AIY89" s="15"/>
      <c r="AIZ89" s="15"/>
      <c r="AJA89" s="15"/>
      <c r="AJB89" s="15"/>
      <c r="AJC89" s="15"/>
      <c r="AJD89" s="15"/>
      <c r="AJE89" s="15"/>
      <c r="AJF89" s="15"/>
      <c r="AJG89" s="15"/>
      <c r="AJH89" s="15"/>
      <c r="AJI89" s="15"/>
      <c r="AJJ89" s="15"/>
      <c r="AJK89" s="15"/>
      <c r="AJL89" s="15"/>
      <c r="AJM89" s="15"/>
      <c r="AJN89" s="15"/>
      <c r="AJO89" s="15"/>
      <c r="AJP89" s="15"/>
      <c r="AJQ89" s="15"/>
      <c r="AJR89" s="15"/>
      <c r="AJS89" s="15"/>
      <c r="AJT89" s="15"/>
      <c r="AJU89" s="15"/>
      <c r="AJV89" s="15"/>
      <c r="AJW89" s="15"/>
      <c r="AJX89" s="15"/>
      <c r="AJY89" s="15"/>
      <c r="AJZ89" s="15"/>
      <c r="AKA89" s="15"/>
      <c r="AKB89" s="15"/>
      <c r="AKC89" s="15"/>
      <c r="AKD89" s="15"/>
      <c r="AKE89" s="15"/>
      <c r="AKF89" s="15"/>
      <c r="AKG89" s="15"/>
      <c r="AKH89" s="15"/>
      <c r="AKI89" s="15"/>
      <c r="AKJ89" s="15"/>
      <c r="AKK89" s="15"/>
      <c r="AKL89" s="15"/>
      <c r="AKM89" s="15"/>
      <c r="AKN89" s="15"/>
      <c r="AKO89" s="15"/>
      <c r="AKP89" s="15"/>
      <c r="AKQ89" s="15"/>
      <c r="AKR89" s="15"/>
      <c r="AKS89" s="15"/>
      <c r="AKT89" s="15"/>
      <c r="AKU89" s="15"/>
      <c r="AKV89" s="15"/>
      <c r="AKW89" s="15"/>
      <c r="AKX89" s="15"/>
      <c r="AKY89" s="15"/>
      <c r="AKZ89" s="15"/>
      <c r="ALA89" s="15"/>
      <c r="ALB89" s="15"/>
      <c r="ALC89" s="15"/>
      <c r="ALD89" s="15"/>
      <c r="ALE89" s="15"/>
      <c r="ALF89" s="15"/>
      <c r="ALG89" s="15"/>
      <c r="ALH89" s="15"/>
      <c r="ALI89" s="15"/>
      <c r="ALJ89" s="15"/>
      <c r="ALK89" s="15"/>
      <c r="ALL89" s="15"/>
      <c r="ALM89" s="15"/>
      <c r="ALN89" s="15"/>
      <c r="ALO89" s="15"/>
      <c r="ALP89" s="15"/>
      <c r="ALQ89" s="15"/>
      <c r="ALR89" s="15"/>
      <c r="ALS89" s="15"/>
      <c r="ALT89" s="15"/>
      <c r="ALU89" s="15"/>
      <c r="ALV89" s="15"/>
      <c r="ALW89" s="15"/>
      <c r="ALX89" s="15"/>
      <c r="ALY89" s="15"/>
      <c r="ALZ89" s="15"/>
      <c r="AMA89" s="15"/>
      <c r="AMB89" s="15"/>
      <c r="AMC89" s="15"/>
      <c r="AMD89" s="15"/>
      <c r="AME89" s="15"/>
      <c r="AMF89" s="15"/>
      <c r="AMG89" s="14"/>
      <c r="AMH89" s="14"/>
      <c r="AMI89" s="14"/>
      <c r="AMJ89" s="14"/>
    </row>
    <row r="90" spans="1:1024" s="13" customFormat="1" hidden="1" x14ac:dyDescent="0.35">
      <c r="A90" s="19">
        <v>43660</v>
      </c>
      <c r="B90" s="17" t="s">
        <v>20</v>
      </c>
      <c r="C90" s="17" t="s">
        <v>282</v>
      </c>
      <c r="D90" s="18">
        <v>43665</v>
      </c>
      <c r="E90" s="17" t="s">
        <v>20</v>
      </c>
      <c r="F90" s="17" t="s">
        <v>15</v>
      </c>
      <c r="G90" s="17" t="s">
        <v>15</v>
      </c>
      <c r="H90" s="17" t="s">
        <v>15</v>
      </c>
      <c r="I90" s="17" t="s">
        <v>15</v>
      </c>
      <c r="J90" s="17" t="s">
        <v>20</v>
      </c>
      <c r="K90" s="17" t="s">
        <v>15</v>
      </c>
      <c r="L90" s="16" t="s">
        <v>17</v>
      </c>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c r="BY90" s="15"/>
      <c r="BZ90" s="15"/>
      <c r="CA90" s="15"/>
      <c r="CB90" s="15"/>
      <c r="CC90" s="15"/>
      <c r="CD90" s="15"/>
      <c r="CE90" s="15"/>
      <c r="CF90" s="15"/>
      <c r="CG90" s="15"/>
      <c r="CH90" s="15"/>
      <c r="CI90" s="15"/>
      <c r="CJ90" s="15"/>
      <c r="CK90" s="15"/>
      <c r="CL90" s="15"/>
      <c r="CM90" s="15"/>
      <c r="CN90" s="15"/>
      <c r="CO90" s="15"/>
      <c r="CP90" s="15"/>
      <c r="CQ90" s="15"/>
      <c r="CR90" s="15"/>
      <c r="CS90" s="15"/>
      <c r="CT90" s="15"/>
      <c r="CU90" s="15"/>
      <c r="CV90" s="15"/>
      <c r="CW90" s="15"/>
      <c r="CX90" s="15"/>
      <c r="CY90" s="15"/>
      <c r="CZ90" s="15"/>
      <c r="DA90" s="15"/>
      <c r="DB90" s="15"/>
      <c r="DC90" s="15"/>
      <c r="DD90" s="15"/>
      <c r="DE90" s="15"/>
      <c r="DF90" s="15"/>
      <c r="DG90" s="15"/>
      <c r="DH90" s="15"/>
      <c r="DI90" s="15"/>
      <c r="DJ90" s="15"/>
      <c r="DK90" s="15"/>
      <c r="DL90" s="15"/>
      <c r="DM90" s="15"/>
      <c r="DN90" s="15"/>
      <c r="DO90" s="15"/>
      <c r="DP90" s="15"/>
      <c r="DQ90" s="15"/>
      <c r="DR90" s="15"/>
      <c r="DS90" s="15"/>
      <c r="DT90" s="15"/>
      <c r="DU90" s="15"/>
      <c r="DV90" s="15"/>
      <c r="DW90" s="15"/>
      <c r="DX90" s="15"/>
      <c r="DY90" s="15"/>
      <c r="DZ90" s="15"/>
      <c r="EA90" s="15"/>
      <c r="EB90" s="15"/>
      <c r="EC90" s="15"/>
      <c r="ED90" s="15"/>
      <c r="EE90" s="15"/>
      <c r="EF90" s="15"/>
      <c r="EG90" s="15"/>
      <c r="EH90" s="15"/>
      <c r="EI90" s="15"/>
      <c r="EJ90" s="15"/>
      <c r="EK90" s="15"/>
      <c r="EL90" s="15"/>
      <c r="EM90" s="15"/>
      <c r="EN90" s="15"/>
      <c r="EO90" s="15"/>
      <c r="EP90" s="15"/>
      <c r="EQ90" s="15"/>
      <c r="ER90" s="15"/>
      <c r="ES90" s="15"/>
      <c r="ET90" s="15"/>
      <c r="EU90" s="15"/>
      <c r="EV90" s="15"/>
      <c r="EW90" s="15"/>
      <c r="EX90" s="15"/>
      <c r="EY90" s="15"/>
      <c r="EZ90" s="15"/>
      <c r="FA90" s="15"/>
      <c r="FB90" s="15"/>
      <c r="FC90" s="15"/>
      <c r="FD90" s="15"/>
      <c r="FE90" s="15"/>
      <c r="FF90" s="15"/>
      <c r="FG90" s="15"/>
      <c r="FH90" s="15"/>
      <c r="FI90" s="15"/>
      <c r="FJ90" s="15"/>
      <c r="FK90" s="15"/>
      <c r="FL90" s="15"/>
      <c r="FM90" s="15"/>
      <c r="FN90" s="15"/>
      <c r="FO90" s="15"/>
      <c r="FP90" s="15"/>
      <c r="FQ90" s="15"/>
      <c r="FR90" s="15"/>
      <c r="FS90" s="15"/>
      <c r="FT90" s="15"/>
      <c r="FU90" s="15"/>
      <c r="FV90" s="15"/>
      <c r="FW90" s="15"/>
      <c r="FX90" s="15"/>
      <c r="FY90" s="15"/>
      <c r="FZ90" s="15"/>
      <c r="GA90" s="15"/>
      <c r="GB90" s="15"/>
      <c r="GC90" s="15"/>
      <c r="GD90" s="15"/>
      <c r="GE90" s="15"/>
      <c r="GF90" s="15"/>
      <c r="GG90" s="15"/>
      <c r="GH90" s="15"/>
      <c r="GI90" s="15"/>
      <c r="GJ90" s="15"/>
      <c r="GK90" s="15"/>
      <c r="GL90" s="15"/>
      <c r="GM90" s="15"/>
      <c r="GN90" s="15"/>
      <c r="GO90" s="15"/>
      <c r="GP90" s="15"/>
      <c r="GQ90" s="15"/>
      <c r="GR90" s="15"/>
      <c r="GS90" s="15"/>
      <c r="GT90" s="15"/>
      <c r="GU90" s="15"/>
      <c r="GV90" s="15"/>
      <c r="GW90" s="15"/>
      <c r="GX90" s="15"/>
      <c r="GY90" s="15"/>
      <c r="GZ90" s="15"/>
      <c r="HA90" s="15"/>
      <c r="HB90" s="15"/>
      <c r="HC90" s="15"/>
      <c r="HD90" s="15"/>
      <c r="HE90" s="15"/>
      <c r="HF90" s="15"/>
      <c r="HG90" s="15"/>
      <c r="HH90" s="15"/>
      <c r="HI90" s="15"/>
      <c r="HJ90" s="15"/>
      <c r="HK90" s="15"/>
      <c r="HL90" s="15"/>
      <c r="HM90" s="15"/>
      <c r="HN90" s="15"/>
      <c r="HO90" s="15"/>
      <c r="HP90" s="15"/>
      <c r="HQ90" s="15"/>
      <c r="HR90" s="15"/>
      <c r="HS90" s="15"/>
      <c r="HT90" s="15"/>
      <c r="HU90" s="15"/>
      <c r="HV90" s="15"/>
      <c r="HW90" s="15"/>
      <c r="HX90" s="15"/>
      <c r="HY90" s="15"/>
      <c r="HZ90" s="15"/>
      <c r="IA90" s="15"/>
      <c r="IB90" s="15"/>
      <c r="IC90" s="15"/>
      <c r="ID90" s="15"/>
      <c r="IE90" s="15"/>
      <c r="IF90" s="15"/>
      <c r="IG90" s="15"/>
      <c r="IH90" s="15"/>
      <c r="II90" s="15"/>
      <c r="IJ90" s="15"/>
      <c r="IK90" s="15"/>
      <c r="IL90" s="15"/>
      <c r="IM90" s="15"/>
      <c r="IN90" s="15"/>
      <c r="IO90" s="15"/>
      <c r="IP90" s="15"/>
      <c r="IQ90" s="15"/>
      <c r="IR90" s="15"/>
      <c r="IS90" s="15"/>
      <c r="IT90" s="15"/>
      <c r="IU90" s="15"/>
      <c r="IV90" s="15"/>
      <c r="IW90" s="15"/>
      <c r="IX90" s="15"/>
      <c r="IY90" s="15"/>
      <c r="IZ90" s="15"/>
      <c r="JA90" s="15"/>
      <c r="JB90" s="15"/>
      <c r="JC90" s="15"/>
      <c r="JD90" s="15"/>
      <c r="JE90" s="15"/>
      <c r="JF90" s="15"/>
      <c r="JG90" s="15"/>
      <c r="JH90" s="15"/>
      <c r="JI90" s="15"/>
      <c r="JJ90" s="15"/>
      <c r="JK90" s="15"/>
      <c r="JL90" s="15"/>
      <c r="JM90" s="15"/>
      <c r="JN90" s="15"/>
      <c r="JO90" s="15"/>
      <c r="JP90" s="15"/>
      <c r="JQ90" s="15"/>
      <c r="JR90" s="15"/>
      <c r="JS90" s="15"/>
      <c r="JT90" s="15"/>
      <c r="JU90" s="15"/>
      <c r="JV90" s="15"/>
      <c r="JW90" s="15"/>
      <c r="JX90" s="15"/>
      <c r="JY90" s="15"/>
      <c r="JZ90" s="15"/>
      <c r="KA90" s="15"/>
      <c r="KB90" s="15"/>
      <c r="KC90" s="15"/>
      <c r="KD90" s="15"/>
      <c r="KE90" s="15"/>
      <c r="KF90" s="15"/>
      <c r="KG90" s="15"/>
      <c r="KH90" s="15"/>
      <c r="KI90" s="15"/>
      <c r="KJ90" s="15"/>
      <c r="KK90" s="15"/>
      <c r="KL90" s="15"/>
      <c r="KM90" s="15"/>
      <c r="KN90" s="15"/>
      <c r="KO90" s="15"/>
      <c r="KP90" s="15"/>
      <c r="KQ90" s="15"/>
      <c r="KR90" s="15"/>
      <c r="KS90" s="15"/>
      <c r="KT90" s="15"/>
      <c r="KU90" s="15"/>
      <c r="KV90" s="15"/>
      <c r="KW90" s="15"/>
      <c r="KX90" s="15"/>
      <c r="KY90" s="15"/>
      <c r="KZ90" s="15"/>
      <c r="LA90" s="15"/>
      <c r="LB90" s="15"/>
      <c r="LC90" s="15"/>
      <c r="LD90" s="15"/>
      <c r="LE90" s="15"/>
      <c r="LF90" s="15"/>
      <c r="LG90" s="15"/>
      <c r="LH90" s="15"/>
      <c r="LI90" s="15"/>
      <c r="LJ90" s="15"/>
      <c r="LK90" s="15"/>
      <c r="LL90" s="15"/>
      <c r="LM90" s="15"/>
      <c r="LN90" s="15"/>
      <c r="LO90" s="15"/>
      <c r="LP90" s="15"/>
      <c r="LQ90" s="15"/>
      <c r="LR90" s="15"/>
      <c r="LS90" s="15"/>
      <c r="LT90" s="15"/>
      <c r="LU90" s="15"/>
      <c r="LV90" s="15"/>
      <c r="LW90" s="15"/>
      <c r="LX90" s="15"/>
      <c r="LY90" s="15"/>
      <c r="LZ90" s="15"/>
      <c r="MA90" s="15"/>
      <c r="MB90" s="15"/>
      <c r="MC90" s="15"/>
      <c r="MD90" s="15"/>
      <c r="ME90" s="15"/>
      <c r="MF90" s="15"/>
      <c r="MG90" s="15"/>
      <c r="MH90" s="15"/>
      <c r="MI90" s="15"/>
      <c r="MJ90" s="15"/>
      <c r="MK90" s="15"/>
      <c r="ML90" s="15"/>
      <c r="MM90" s="15"/>
      <c r="MN90" s="15"/>
      <c r="MO90" s="15"/>
      <c r="MP90" s="15"/>
      <c r="MQ90" s="15"/>
      <c r="MR90" s="15"/>
      <c r="MS90" s="15"/>
      <c r="MT90" s="15"/>
      <c r="MU90" s="15"/>
      <c r="MV90" s="15"/>
      <c r="MW90" s="15"/>
      <c r="MX90" s="15"/>
      <c r="MY90" s="15"/>
      <c r="MZ90" s="15"/>
      <c r="NA90" s="15"/>
      <c r="NB90" s="15"/>
      <c r="NC90" s="15"/>
      <c r="ND90" s="15"/>
      <c r="NE90" s="15"/>
      <c r="NF90" s="15"/>
      <c r="NG90" s="15"/>
      <c r="NH90" s="15"/>
      <c r="NI90" s="15"/>
      <c r="NJ90" s="15"/>
      <c r="NK90" s="15"/>
      <c r="NL90" s="15"/>
      <c r="NM90" s="15"/>
      <c r="NN90" s="15"/>
      <c r="NO90" s="15"/>
      <c r="NP90" s="15"/>
      <c r="NQ90" s="15"/>
      <c r="NR90" s="15"/>
      <c r="NS90" s="15"/>
      <c r="NT90" s="15"/>
      <c r="NU90" s="15"/>
      <c r="NV90" s="15"/>
      <c r="NW90" s="15"/>
      <c r="NX90" s="15"/>
      <c r="NY90" s="15"/>
      <c r="NZ90" s="15"/>
      <c r="OA90" s="15"/>
      <c r="OB90" s="15"/>
      <c r="OC90" s="15"/>
      <c r="OD90" s="15"/>
      <c r="OE90" s="15"/>
      <c r="OF90" s="15"/>
      <c r="OG90" s="15"/>
      <c r="OH90" s="15"/>
      <c r="OI90" s="15"/>
      <c r="OJ90" s="15"/>
      <c r="OK90" s="15"/>
      <c r="OL90" s="15"/>
      <c r="OM90" s="15"/>
      <c r="ON90" s="15"/>
      <c r="OO90" s="15"/>
      <c r="OP90" s="15"/>
      <c r="OQ90" s="15"/>
      <c r="OR90" s="15"/>
      <c r="OS90" s="15"/>
      <c r="OT90" s="15"/>
      <c r="OU90" s="15"/>
      <c r="OV90" s="15"/>
      <c r="OW90" s="15"/>
      <c r="OX90" s="15"/>
      <c r="OY90" s="15"/>
      <c r="OZ90" s="15"/>
      <c r="PA90" s="15"/>
      <c r="PB90" s="15"/>
      <c r="PC90" s="15"/>
      <c r="PD90" s="15"/>
      <c r="PE90" s="15"/>
      <c r="PF90" s="15"/>
      <c r="PG90" s="15"/>
      <c r="PH90" s="15"/>
      <c r="PI90" s="15"/>
      <c r="PJ90" s="15"/>
      <c r="PK90" s="15"/>
      <c r="PL90" s="15"/>
      <c r="PM90" s="15"/>
      <c r="PN90" s="15"/>
      <c r="PO90" s="15"/>
      <c r="PP90" s="15"/>
      <c r="PQ90" s="15"/>
      <c r="PR90" s="15"/>
      <c r="PS90" s="15"/>
      <c r="PT90" s="15"/>
      <c r="PU90" s="15"/>
      <c r="PV90" s="15"/>
      <c r="PW90" s="15"/>
      <c r="PX90" s="15"/>
      <c r="PY90" s="15"/>
      <c r="PZ90" s="15"/>
      <c r="QA90" s="15"/>
      <c r="QB90" s="15"/>
      <c r="QC90" s="15"/>
      <c r="QD90" s="15"/>
      <c r="QE90" s="15"/>
      <c r="QF90" s="15"/>
      <c r="QG90" s="15"/>
      <c r="QH90" s="15"/>
      <c r="QI90" s="15"/>
      <c r="QJ90" s="15"/>
      <c r="QK90" s="15"/>
      <c r="QL90" s="15"/>
      <c r="QM90" s="15"/>
      <c r="QN90" s="15"/>
      <c r="QO90" s="15"/>
      <c r="QP90" s="15"/>
      <c r="QQ90" s="15"/>
      <c r="QR90" s="15"/>
      <c r="QS90" s="15"/>
      <c r="QT90" s="15"/>
      <c r="QU90" s="15"/>
      <c r="QV90" s="15"/>
      <c r="QW90" s="15"/>
      <c r="QX90" s="15"/>
      <c r="QY90" s="15"/>
      <c r="QZ90" s="15"/>
      <c r="RA90" s="15"/>
      <c r="RB90" s="15"/>
      <c r="RC90" s="15"/>
      <c r="RD90" s="15"/>
      <c r="RE90" s="15"/>
      <c r="RF90" s="15"/>
      <c r="RG90" s="15"/>
      <c r="RH90" s="15"/>
      <c r="RI90" s="15"/>
      <c r="RJ90" s="15"/>
      <c r="RK90" s="15"/>
      <c r="RL90" s="15"/>
      <c r="RM90" s="15"/>
      <c r="RN90" s="15"/>
      <c r="RO90" s="15"/>
      <c r="RP90" s="15"/>
      <c r="RQ90" s="15"/>
      <c r="RR90" s="15"/>
      <c r="RS90" s="15"/>
      <c r="RT90" s="15"/>
      <c r="RU90" s="15"/>
      <c r="RV90" s="15"/>
      <c r="RW90" s="15"/>
      <c r="RX90" s="15"/>
      <c r="RY90" s="15"/>
      <c r="RZ90" s="15"/>
      <c r="SA90" s="15"/>
      <c r="SB90" s="15"/>
      <c r="SC90" s="15"/>
      <c r="SD90" s="15"/>
      <c r="SE90" s="15"/>
      <c r="SF90" s="15"/>
      <c r="SG90" s="15"/>
      <c r="SH90" s="15"/>
      <c r="SI90" s="15"/>
      <c r="SJ90" s="15"/>
      <c r="SK90" s="15"/>
      <c r="SL90" s="15"/>
      <c r="SM90" s="15"/>
      <c r="SN90" s="15"/>
      <c r="SO90" s="15"/>
      <c r="SP90" s="15"/>
      <c r="SQ90" s="15"/>
      <c r="SR90" s="15"/>
      <c r="SS90" s="15"/>
      <c r="ST90" s="15"/>
      <c r="SU90" s="15"/>
      <c r="SV90" s="15"/>
      <c r="SW90" s="15"/>
      <c r="SX90" s="15"/>
      <c r="SY90" s="15"/>
      <c r="SZ90" s="15"/>
      <c r="TA90" s="15"/>
      <c r="TB90" s="15"/>
      <c r="TC90" s="15"/>
      <c r="TD90" s="15"/>
      <c r="TE90" s="15"/>
      <c r="TF90" s="15"/>
      <c r="TG90" s="15"/>
      <c r="TH90" s="15"/>
      <c r="TI90" s="15"/>
      <c r="TJ90" s="15"/>
      <c r="TK90" s="15"/>
      <c r="TL90" s="15"/>
      <c r="TM90" s="15"/>
      <c r="TN90" s="15"/>
      <c r="TO90" s="15"/>
      <c r="TP90" s="15"/>
      <c r="TQ90" s="15"/>
      <c r="TR90" s="15"/>
      <c r="TS90" s="15"/>
      <c r="TT90" s="15"/>
      <c r="TU90" s="15"/>
      <c r="TV90" s="15"/>
      <c r="TW90" s="15"/>
      <c r="TX90" s="15"/>
      <c r="TY90" s="15"/>
      <c r="TZ90" s="15"/>
      <c r="UA90" s="15"/>
      <c r="UB90" s="15"/>
      <c r="UC90" s="15"/>
      <c r="UD90" s="15"/>
      <c r="UE90" s="15"/>
      <c r="UF90" s="15"/>
      <c r="UG90" s="15"/>
      <c r="UH90" s="15"/>
      <c r="UI90" s="15"/>
      <c r="UJ90" s="15"/>
      <c r="UK90" s="15"/>
      <c r="UL90" s="15"/>
      <c r="UM90" s="15"/>
      <c r="UN90" s="15"/>
      <c r="UO90" s="15"/>
      <c r="UP90" s="15"/>
      <c r="UQ90" s="15"/>
      <c r="UR90" s="15"/>
      <c r="US90" s="15"/>
      <c r="UT90" s="15"/>
      <c r="UU90" s="15"/>
      <c r="UV90" s="15"/>
      <c r="UW90" s="15"/>
      <c r="UX90" s="15"/>
      <c r="UY90" s="15"/>
      <c r="UZ90" s="15"/>
      <c r="VA90" s="15"/>
      <c r="VB90" s="15"/>
      <c r="VC90" s="15"/>
      <c r="VD90" s="15"/>
      <c r="VE90" s="15"/>
      <c r="VF90" s="15"/>
      <c r="VG90" s="15"/>
      <c r="VH90" s="15"/>
      <c r="VI90" s="15"/>
      <c r="VJ90" s="15"/>
      <c r="VK90" s="15"/>
      <c r="VL90" s="15"/>
      <c r="VM90" s="15"/>
      <c r="VN90" s="15"/>
      <c r="VO90" s="15"/>
      <c r="VP90" s="15"/>
      <c r="VQ90" s="15"/>
      <c r="VR90" s="15"/>
      <c r="VS90" s="15"/>
      <c r="VT90" s="15"/>
      <c r="VU90" s="15"/>
      <c r="VV90" s="15"/>
      <c r="VW90" s="15"/>
      <c r="VX90" s="15"/>
      <c r="VY90" s="15"/>
      <c r="VZ90" s="15"/>
      <c r="WA90" s="15"/>
      <c r="WB90" s="15"/>
      <c r="WC90" s="15"/>
      <c r="WD90" s="15"/>
      <c r="WE90" s="15"/>
      <c r="WF90" s="15"/>
      <c r="WG90" s="15"/>
      <c r="WH90" s="15"/>
      <c r="WI90" s="15"/>
      <c r="WJ90" s="15"/>
      <c r="WK90" s="15"/>
      <c r="WL90" s="15"/>
      <c r="WM90" s="15"/>
      <c r="WN90" s="15"/>
      <c r="WO90" s="15"/>
      <c r="WP90" s="15"/>
      <c r="WQ90" s="15"/>
      <c r="WR90" s="15"/>
      <c r="WS90" s="15"/>
      <c r="WT90" s="15"/>
      <c r="WU90" s="15"/>
      <c r="WV90" s="15"/>
      <c r="WW90" s="15"/>
      <c r="WX90" s="15"/>
      <c r="WY90" s="15"/>
      <c r="WZ90" s="15"/>
      <c r="XA90" s="15"/>
      <c r="XB90" s="15"/>
      <c r="XC90" s="15"/>
      <c r="XD90" s="15"/>
      <c r="XE90" s="15"/>
      <c r="XF90" s="15"/>
      <c r="XG90" s="15"/>
      <c r="XH90" s="15"/>
      <c r="XI90" s="15"/>
      <c r="XJ90" s="15"/>
      <c r="XK90" s="15"/>
      <c r="XL90" s="15"/>
      <c r="XM90" s="15"/>
      <c r="XN90" s="15"/>
      <c r="XO90" s="15"/>
      <c r="XP90" s="15"/>
      <c r="XQ90" s="15"/>
      <c r="XR90" s="15"/>
      <c r="XS90" s="15"/>
      <c r="XT90" s="15"/>
      <c r="XU90" s="15"/>
      <c r="XV90" s="15"/>
      <c r="XW90" s="15"/>
      <c r="XX90" s="15"/>
      <c r="XY90" s="15"/>
      <c r="XZ90" s="15"/>
      <c r="YA90" s="15"/>
      <c r="YB90" s="15"/>
      <c r="YC90" s="15"/>
      <c r="YD90" s="15"/>
      <c r="YE90" s="15"/>
      <c r="YF90" s="15"/>
      <c r="YG90" s="15"/>
      <c r="YH90" s="15"/>
      <c r="YI90" s="15"/>
      <c r="YJ90" s="15"/>
      <c r="YK90" s="15"/>
      <c r="YL90" s="15"/>
      <c r="YM90" s="15"/>
      <c r="YN90" s="15"/>
      <c r="YO90" s="15"/>
      <c r="YP90" s="15"/>
      <c r="YQ90" s="15"/>
      <c r="YR90" s="15"/>
      <c r="YS90" s="15"/>
      <c r="YT90" s="15"/>
      <c r="YU90" s="15"/>
      <c r="YV90" s="15"/>
      <c r="YW90" s="15"/>
      <c r="YX90" s="15"/>
      <c r="YY90" s="15"/>
      <c r="YZ90" s="15"/>
      <c r="ZA90" s="15"/>
      <c r="ZB90" s="15"/>
      <c r="ZC90" s="15"/>
      <c r="ZD90" s="15"/>
      <c r="ZE90" s="15"/>
      <c r="ZF90" s="15"/>
      <c r="ZG90" s="15"/>
      <c r="ZH90" s="15"/>
      <c r="ZI90" s="15"/>
      <c r="ZJ90" s="15"/>
      <c r="ZK90" s="15"/>
      <c r="ZL90" s="15"/>
      <c r="ZM90" s="15"/>
      <c r="ZN90" s="15"/>
      <c r="ZO90" s="15"/>
      <c r="ZP90" s="15"/>
      <c r="ZQ90" s="15"/>
      <c r="ZR90" s="15"/>
      <c r="ZS90" s="15"/>
      <c r="ZT90" s="15"/>
      <c r="ZU90" s="15"/>
      <c r="ZV90" s="15"/>
      <c r="ZW90" s="15"/>
      <c r="ZX90" s="15"/>
      <c r="ZY90" s="15"/>
      <c r="ZZ90" s="15"/>
      <c r="AAA90" s="15"/>
      <c r="AAB90" s="15"/>
      <c r="AAC90" s="15"/>
      <c r="AAD90" s="15"/>
      <c r="AAE90" s="15"/>
      <c r="AAF90" s="15"/>
      <c r="AAG90" s="15"/>
      <c r="AAH90" s="15"/>
      <c r="AAI90" s="15"/>
      <c r="AAJ90" s="15"/>
      <c r="AAK90" s="15"/>
      <c r="AAL90" s="15"/>
      <c r="AAM90" s="15"/>
      <c r="AAN90" s="15"/>
      <c r="AAO90" s="15"/>
      <c r="AAP90" s="15"/>
      <c r="AAQ90" s="15"/>
      <c r="AAR90" s="15"/>
      <c r="AAS90" s="15"/>
      <c r="AAT90" s="15"/>
      <c r="AAU90" s="15"/>
      <c r="AAV90" s="15"/>
      <c r="AAW90" s="15"/>
      <c r="AAX90" s="15"/>
      <c r="AAY90" s="15"/>
      <c r="AAZ90" s="15"/>
      <c r="ABA90" s="15"/>
      <c r="ABB90" s="15"/>
      <c r="ABC90" s="15"/>
      <c r="ABD90" s="15"/>
      <c r="ABE90" s="15"/>
      <c r="ABF90" s="15"/>
      <c r="ABG90" s="15"/>
      <c r="ABH90" s="15"/>
      <c r="ABI90" s="15"/>
      <c r="ABJ90" s="15"/>
      <c r="ABK90" s="15"/>
      <c r="ABL90" s="15"/>
      <c r="ABM90" s="15"/>
      <c r="ABN90" s="15"/>
      <c r="ABO90" s="15"/>
      <c r="ABP90" s="15"/>
      <c r="ABQ90" s="15"/>
      <c r="ABR90" s="15"/>
      <c r="ABS90" s="15"/>
      <c r="ABT90" s="15"/>
      <c r="ABU90" s="15"/>
      <c r="ABV90" s="15"/>
      <c r="ABW90" s="15"/>
      <c r="ABX90" s="15"/>
      <c r="ABY90" s="15"/>
      <c r="ABZ90" s="15"/>
      <c r="ACA90" s="15"/>
      <c r="ACB90" s="15"/>
      <c r="ACC90" s="15"/>
      <c r="ACD90" s="15"/>
      <c r="ACE90" s="15"/>
      <c r="ACF90" s="15"/>
      <c r="ACG90" s="15"/>
      <c r="ACH90" s="15"/>
      <c r="ACI90" s="15"/>
      <c r="ACJ90" s="15"/>
      <c r="ACK90" s="15"/>
      <c r="ACL90" s="15"/>
      <c r="ACM90" s="15"/>
      <c r="ACN90" s="15"/>
      <c r="ACO90" s="15"/>
      <c r="ACP90" s="15"/>
      <c r="ACQ90" s="15"/>
      <c r="ACR90" s="15"/>
      <c r="ACS90" s="15"/>
      <c r="ACT90" s="15"/>
      <c r="ACU90" s="15"/>
      <c r="ACV90" s="15"/>
      <c r="ACW90" s="15"/>
      <c r="ACX90" s="15"/>
      <c r="ACY90" s="15"/>
      <c r="ACZ90" s="15"/>
      <c r="ADA90" s="15"/>
      <c r="ADB90" s="15"/>
      <c r="ADC90" s="15"/>
      <c r="ADD90" s="15"/>
      <c r="ADE90" s="15"/>
      <c r="ADF90" s="15"/>
      <c r="ADG90" s="15"/>
      <c r="ADH90" s="15"/>
      <c r="ADI90" s="15"/>
      <c r="ADJ90" s="15"/>
      <c r="ADK90" s="15"/>
      <c r="ADL90" s="15"/>
      <c r="ADM90" s="15"/>
      <c r="ADN90" s="15"/>
      <c r="ADO90" s="15"/>
      <c r="ADP90" s="15"/>
      <c r="ADQ90" s="15"/>
      <c r="ADR90" s="15"/>
      <c r="ADS90" s="15"/>
      <c r="ADT90" s="15"/>
      <c r="ADU90" s="15"/>
      <c r="ADV90" s="15"/>
      <c r="ADW90" s="15"/>
      <c r="ADX90" s="15"/>
      <c r="ADY90" s="15"/>
      <c r="ADZ90" s="15"/>
      <c r="AEA90" s="15"/>
      <c r="AEB90" s="15"/>
      <c r="AEC90" s="15"/>
      <c r="AED90" s="15"/>
      <c r="AEE90" s="15"/>
      <c r="AEF90" s="15"/>
      <c r="AEG90" s="15"/>
      <c r="AEH90" s="15"/>
      <c r="AEI90" s="15"/>
      <c r="AEJ90" s="15"/>
      <c r="AEK90" s="15"/>
      <c r="AEL90" s="15"/>
      <c r="AEM90" s="15"/>
      <c r="AEN90" s="15"/>
      <c r="AEO90" s="15"/>
      <c r="AEP90" s="15"/>
      <c r="AEQ90" s="15"/>
      <c r="AER90" s="15"/>
      <c r="AES90" s="15"/>
      <c r="AET90" s="15"/>
      <c r="AEU90" s="15"/>
      <c r="AEV90" s="15"/>
      <c r="AEW90" s="15"/>
      <c r="AEX90" s="15"/>
      <c r="AEY90" s="15"/>
      <c r="AEZ90" s="15"/>
      <c r="AFA90" s="15"/>
      <c r="AFB90" s="15"/>
      <c r="AFC90" s="15"/>
      <c r="AFD90" s="15"/>
      <c r="AFE90" s="15"/>
      <c r="AFF90" s="15"/>
      <c r="AFG90" s="15"/>
      <c r="AFH90" s="15"/>
      <c r="AFI90" s="15"/>
      <c r="AFJ90" s="15"/>
      <c r="AFK90" s="15"/>
      <c r="AFL90" s="15"/>
      <c r="AFM90" s="15"/>
      <c r="AFN90" s="15"/>
      <c r="AFO90" s="15"/>
      <c r="AFP90" s="15"/>
      <c r="AFQ90" s="15"/>
      <c r="AFR90" s="15"/>
      <c r="AFS90" s="15"/>
      <c r="AFT90" s="15"/>
      <c r="AFU90" s="15"/>
      <c r="AFV90" s="15"/>
      <c r="AFW90" s="15"/>
      <c r="AFX90" s="15"/>
      <c r="AFY90" s="15"/>
      <c r="AFZ90" s="15"/>
      <c r="AGA90" s="15"/>
      <c r="AGB90" s="15"/>
      <c r="AGC90" s="15"/>
      <c r="AGD90" s="15"/>
      <c r="AGE90" s="15"/>
      <c r="AGF90" s="15"/>
      <c r="AGG90" s="15"/>
      <c r="AGH90" s="15"/>
      <c r="AGI90" s="15"/>
      <c r="AGJ90" s="15"/>
      <c r="AGK90" s="15"/>
      <c r="AGL90" s="15"/>
      <c r="AGM90" s="15"/>
      <c r="AGN90" s="15"/>
      <c r="AGO90" s="15"/>
      <c r="AGP90" s="15"/>
      <c r="AGQ90" s="15"/>
      <c r="AGR90" s="15"/>
      <c r="AGS90" s="15"/>
      <c r="AGT90" s="15"/>
      <c r="AGU90" s="15"/>
      <c r="AGV90" s="15"/>
      <c r="AGW90" s="15"/>
      <c r="AGX90" s="15"/>
      <c r="AGY90" s="15"/>
      <c r="AGZ90" s="15"/>
      <c r="AHA90" s="15"/>
      <c r="AHB90" s="15"/>
      <c r="AHC90" s="15"/>
      <c r="AHD90" s="15"/>
      <c r="AHE90" s="15"/>
      <c r="AHF90" s="15"/>
      <c r="AHG90" s="15"/>
      <c r="AHH90" s="15"/>
      <c r="AHI90" s="15"/>
      <c r="AHJ90" s="15"/>
      <c r="AHK90" s="15"/>
      <c r="AHL90" s="15"/>
      <c r="AHM90" s="15"/>
      <c r="AHN90" s="15"/>
      <c r="AHO90" s="15"/>
      <c r="AHP90" s="15"/>
      <c r="AHQ90" s="15"/>
      <c r="AHR90" s="15"/>
      <c r="AHS90" s="15"/>
      <c r="AHT90" s="15"/>
      <c r="AHU90" s="15"/>
      <c r="AHV90" s="15"/>
      <c r="AHW90" s="15"/>
      <c r="AHX90" s="15"/>
      <c r="AHY90" s="15"/>
      <c r="AHZ90" s="15"/>
      <c r="AIA90" s="15"/>
      <c r="AIB90" s="15"/>
      <c r="AIC90" s="15"/>
      <c r="AID90" s="15"/>
      <c r="AIE90" s="15"/>
      <c r="AIF90" s="15"/>
      <c r="AIG90" s="15"/>
      <c r="AIH90" s="15"/>
      <c r="AII90" s="15"/>
      <c r="AIJ90" s="15"/>
      <c r="AIK90" s="15"/>
      <c r="AIL90" s="15"/>
      <c r="AIM90" s="15"/>
      <c r="AIN90" s="15"/>
      <c r="AIO90" s="15"/>
      <c r="AIP90" s="15"/>
      <c r="AIQ90" s="15"/>
      <c r="AIR90" s="15"/>
      <c r="AIS90" s="15"/>
      <c r="AIT90" s="15"/>
      <c r="AIU90" s="15"/>
      <c r="AIV90" s="15"/>
      <c r="AIW90" s="15"/>
      <c r="AIX90" s="15"/>
      <c r="AIY90" s="15"/>
      <c r="AIZ90" s="15"/>
      <c r="AJA90" s="15"/>
      <c r="AJB90" s="15"/>
      <c r="AJC90" s="15"/>
      <c r="AJD90" s="15"/>
      <c r="AJE90" s="15"/>
      <c r="AJF90" s="15"/>
      <c r="AJG90" s="15"/>
      <c r="AJH90" s="15"/>
      <c r="AJI90" s="15"/>
      <c r="AJJ90" s="15"/>
      <c r="AJK90" s="15"/>
      <c r="AJL90" s="15"/>
      <c r="AJM90" s="15"/>
      <c r="AJN90" s="15"/>
      <c r="AJO90" s="15"/>
      <c r="AJP90" s="15"/>
      <c r="AJQ90" s="15"/>
      <c r="AJR90" s="15"/>
      <c r="AJS90" s="15"/>
      <c r="AJT90" s="15"/>
      <c r="AJU90" s="15"/>
      <c r="AJV90" s="15"/>
      <c r="AJW90" s="15"/>
      <c r="AJX90" s="15"/>
      <c r="AJY90" s="15"/>
      <c r="AJZ90" s="15"/>
      <c r="AKA90" s="15"/>
      <c r="AKB90" s="15"/>
      <c r="AKC90" s="15"/>
      <c r="AKD90" s="15"/>
      <c r="AKE90" s="15"/>
      <c r="AKF90" s="15"/>
      <c r="AKG90" s="15"/>
      <c r="AKH90" s="15"/>
      <c r="AKI90" s="15"/>
      <c r="AKJ90" s="15"/>
      <c r="AKK90" s="15"/>
      <c r="AKL90" s="15"/>
      <c r="AKM90" s="15"/>
      <c r="AKN90" s="15"/>
      <c r="AKO90" s="15"/>
      <c r="AKP90" s="15"/>
      <c r="AKQ90" s="15"/>
      <c r="AKR90" s="15"/>
      <c r="AKS90" s="15"/>
      <c r="AKT90" s="15"/>
      <c r="AKU90" s="15"/>
      <c r="AKV90" s="15"/>
      <c r="AKW90" s="15"/>
      <c r="AKX90" s="15"/>
      <c r="AKY90" s="15"/>
      <c r="AKZ90" s="15"/>
      <c r="ALA90" s="15"/>
      <c r="ALB90" s="15"/>
      <c r="ALC90" s="15"/>
      <c r="ALD90" s="15"/>
      <c r="ALE90" s="15"/>
      <c r="ALF90" s="15"/>
      <c r="ALG90" s="15"/>
      <c r="ALH90" s="15"/>
      <c r="ALI90" s="15"/>
      <c r="ALJ90" s="15"/>
      <c r="ALK90" s="15"/>
      <c r="ALL90" s="15"/>
      <c r="ALM90" s="15"/>
      <c r="ALN90" s="15"/>
      <c r="ALO90" s="15"/>
      <c r="ALP90" s="15"/>
      <c r="ALQ90" s="15"/>
      <c r="ALR90" s="15"/>
      <c r="ALS90" s="15"/>
      <c r="ALT90" s="15"/>
      <c r="ALU90" s="15"/>
      <c r="ALV90" s="15"/>
      <c r="ALW90" s="15"/>
      <c r="ALX90" s="15"/>
      <c r="ALY90" s="15"/>
      <c r="ALZ90" s="15"/>
      <c r="AMA90" s="15"/>
      <c r="AMB90" s="15"/>
      <c r="AMC90" s="15"/>
      <c r="AMD90" s="15"/>
      <c r="AME90" s="15"/>
      <c r="AMF90" s="15"/>
      <c r="AMG90" s="14"/>
      <c r="AMH90" s="14"/>
      <c r="AMI90" s="14"/>
      <c r="AMJ90" s="14"/>
    </row>
    <row r="91" spans="1:1024" s="13" customFormat="1" hidden="1" x14ac:dyDescent="0.35">
      <c r="A91" s="19">
        <v>43660</v>
      </c>
      <c r="B91" s="17" t="s">
        <v>20</v>
      </c>
      <c r="C91" s="17" t="s">
        <v>281</v>
      </c>
      <c r="D91" s="18">
        <v>43665</v>
      </c>
      <c r="E91" s="17" t="s">
        <v>20</v>
      </c>
      <c r="F91" s="17" t="s">
        <v>15</v>
      </c>
      <c r="G91" s="17" t="s">
        <v>15</v>
      </c>
      <c r="H91" s="17" t="s">
        <v>15</v>
      </c>
      <c r="I91" s="17" t="s">
        <v>15</v>
      </c>
      <c r="J91" s="17" t="s">
        <v>20</v>
      </c>
      <c r="K91" s="17" t="s">
        <v>15</v>
      </c>
      <c r="L91" s="16" t="s">
        <v>22</v>
      </c>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c r="BY91" s="15"/>
      <c r="BZ91" s="15"/>
      <c r="CA91" s="15"/>
      <c r="CB91" s="15"/>
      <c r="CC91" s="15"/>
      <c r="CD91" s="15"/>
      <c r="CE91" s="15"/>
      <c r="CF91" s="15"/>
      <c r="CG91" s="15"/>
      <c r="CH91" s="15"/>
      <c r="CI91" s="15"/>
      <c r="CJ91" s="15"/>
      <c r="CK91" s="15"/>
      <c r="CL91" s="15"/>
      <c r="CM91" s="15"/>
      <c r="CN91" s="15"/>
      <c r="CO91" s="15"/>
      <c r="CP91" s="15"/>
      <c r="CQ91" s="15"/>
      <c r="CR91" s="15"/>
      <c r="CS91" s="15"/>
      <c r="CT91" s="15"/>
      <c r="CU91" s="15"/>
      <c r="CV91" s="15"/>
      <c r="CW91" s="15"/>
      <c r="CX91" s="15"/>
      <c r="CY91" s="15"/>
      <c r="CZ91" s="15"/>
      <c r="DA91" s="15"/>
      <c r="DB91" s="15"/>
      <c r="DC91" s="15"/>
      <c r="DD91" s="15"/>
      <c r="DE91" s="15"/>
      <c r="DF91" s="15"/>
      <c r="DG91" s="15"/>
      <c r="DH91" s="15"/>
      <c r="DI91" s="15"/>
      <c r="DJ91" s="15"/>
      <c r="DK91" s="15"/>
      <c r="DL91" s="15"/>
      <c r="DM91" s="15"/>
      <c r="DN91" s="15"/>
      <c r="DO91" s="15"/>
      <c r="DP91" s="15"/>
      <c r="DQ91" s="15"/>
      <c r="DR91" s="15"/>
      <c r="DS91" s="15"/>
      <c r="DT91" s="15"/>
      <c r="DU91" s="15"/>
      <c r="DV91" s="15"/>
      <c r="DW91" s="15"/>
      <c r="DX91" s="15"/>
      <c r="DY91" s="15"/>
      <c r="DZ91" s="15"/>
      <c r="EA91" s="15"/>
      <c r="EB91" s="15"/>
      <c r="EC91" s="15"/>
      <c r="ED91" s="15"/>
      <c r="EE91" s="15"/>
      <c r="EF91" s="15"/>
      <c r="EG91" s="15"/>
      <c r="EH91" s="15"/>
      <c r="EI91" s="15"/>
      <c r="EJ91" s="15"/>
      <c r="EK91" s="15"/>
      <c r="EL91" s="15"/>
      <c r="EM91" s="15"/>
      <c r="EN91" s="15"/>
      <c r="EO91" s="15"/>
      <c r="EP91" s="15"/>
      <c r="EQ91" s="15"/>
      <c r="ER91" s="15"/>
      <c r="ES91" s="15"/>
      <c r="ET91" s="15"/>
      <c r="EU91" s="15"/>
      <c r="EV91" s="15"/>
      <c r="EW91" s="15"/>
      <c r="EX91" s="15"/>
      <c r="EY91" s="15"/>
      <c r="EZ91" s="15"/>
      <c r="FA91" s="15"/>
      <c r="FB91" s="15"/>
      <c r="FC91" s="15"/>
      <c r="FD91" s="15"/>
      <c r="FE91" s="15"/>
      <c r="FF91" s="15"/>
      <c r="FG91" s="15"/>
      <c r="FH91" s="15"/>
      <c r="FI91" s="15"/>
      <c r="FJ91" s="15"/>
      <c r="FK91" s="15"/>
      <c r="FL91" s="15"/>
      <c r="FM91" s="15"/>
      <c r="FN91" s="15"/>
      <c r="FO91" s="15"/>
      <c r="FP91" s="15"/>
      <c r="FQ91" s="15"/>
      <c r="FR91" s="15"/>
      <c r="FS91" s="15"/>
      <c r="FT91" s="15"/>
      <c r="FU91" s="15"/>
      <c r="FV91" s="15"/>
      <c r="FW91" s="15"/>
      <c r="FX91" s="15"/>
      <c r="FY91" s="15"/>
      <c r="FZ91" s="15"/>
      <c r="GA91" s="15"/>
      <c r="GB91" s="15"/>
      <c r="GC91" s="15"/>
      <c r="GD91" s="15"/>
      <c r="GE91" s="15"/>
      <c r="GF91" s="15"/>
      <c r="GG91" s="15"/>
      <c r="GH91" s="15"/>
      <c r="GI91" s="15"/>
      <c r="GJ91" s="15"/>
      <c r="GK91" s="15"/>
      <c r="GL91" s="15"/>
      <c r="GM91" s="15"/>
      <c r="GN91" s="15"/>
      <c r="GO91" s="15"/>
      <c r="GP91" s="15"/>
      <c r="GQ91" s="15"/>
      <c r="GR91" s="15"/>
      <c r="GS91" s="15"/>
      <c r="GT91" s="15"/>
      <c r="GU91" s="15"/>
      <c r="GV91" s="15"/>
      <c r="GW91" s="15"/>
      <c r="GX91" s="15"/>
      <c r="GY91" s="15"/>
      <c r="GZ91" s="15"/>
      <c r="HA91" s="15"/>
      <c r="HB91" s="15"/>
      <c r="HC91" s="15"/>
      <c r="HD91" s="15"/>
      <c r="HE91" s="15"/>
      <c r="HF91" s="15"/>
      <c r="HG91" s="15"/>
      <c r="HH91" s="15"/>
      <c r="HI91" s="15"/>
      <c r="HJ91" s="15"/>
      <c r="HK91" s="15"/>
      <c r="HL91" s="15"/>
      <c r="HM91" s="15"/>
      <c r="HN91" s="15"/>
      <c r="HO91" s="15"/>
      <c r="HP91" s="15"/>
      <c r="HQ91" s="15"/>
      <c r="HR91" s="15"/>
      <c r="HS91" s="15"/>
      <c r="HT91" s="15"/>
      <c r="HU91" s="15"/>
      <c r="HV91" s="15"/>
      <c r="HW91" s="15"/>
      <c r="HX91" s="15"/>
      <c r="HY91" s="15"/>
      <c r="HZ91" s="15"/>
      <c r="IA91" s="15"/>
      <c r="IB91" s="15"/>
      <c r="IC91" s="15"/>
      <c r="ID91" s="15"/>
      <c r="IE91" s="15"/>
      <c r="IF91" s="15"/>
      <c r="IG91" s="15"/>
      <c r="IH91" s="15"/>
      <c r="II91" s="15"/>
      <c r="IJ91" s="15"/>
      <c r="IK91" s="15"/>
      <c r="IL91" s="15"/>
      <c r="IM91" s="15"/>
      <c r="IN91" s="15"/>
      <c r="IO91" s="15"/>
      <c r="IP91" s="15"/>
      <c r="IQ91" s="15"/>
      <c r="IR91" s="15"/>
      <c r="IS91" s="15"/>
      <c r="IT91" s="15"/>
      <c r="IU91" s="15"/>
      <c r="IV91" s="15"/>
      <c r="IW91" s="15"/>
      <c r="IX91" s="15"/>
      <c r="IY91" s="15"/>
      <c r="IZ91" s="15"/>
      <c r="JA91" s="15"/>
      <c r="JB91" s="15"/>
      <c r="JC91" s="15"/>
      <c r="JD91" s="15"/>
      <c r="JE91" s="15"/>
      <c r="JF91" s="15"/>
      <c r="JG91" s="15"/>
      <c r="JH91" s="15"/>
      <c r="JI91" s="15"/>
      <c r="JJ91" s="15"/>
      <c r="JK91" s="15"/>
      <c r="JL91" s="15"/>
      <c r="JM91" s="15"/>
      <c r="JN91" s="15"/>
      <c r="JO91" s="15"/>
      <c r="JP91" s="15"/>
      <c r="JQ91" s="15"/>
      <c r="JR91" s="15"/>
      <c r="JS91" s="15"/>
      <c r="JT91" s="15"/>
      <c r="JU91" s="15"/>
      <c r="JV91" s="15"/>
      <c r="JW91" s="15"/>
      <c r="JX91" s="15"/>
      <c r="JY91" s="15"/>
      <c r="JZ91" s="15"/>
      <c r="KA91" s="15"/>
      <c r="KB91" s="15"/>
      <c r="KC91" s="15"/>
      <c r="KD91" s="15"/>
      <c r="KE91" s="15"/>
      <c r="KF91" s="15"/>
      <c r="KG91" s="15"/>
      <c r="KH91" s="15"/>
      <c r="KI91" s="15"/>
      <c r="KJ91" s="15"/>
      <c r="KK91" s="15"/>
      <c r="KL91" s="15"/>
      <c r="KM91" s="15"/>
      <c r="KN91" s="15"/>
      <c r="KO91" s="15"/>
      <c r="KP91" s="15"/>
      <c r="KQ91" s="15"/>
      <c r="KR91" s="15"/>
      <c r="KS91" s="15"/>
      <c r="KT91" s="15"/>
      <c r="KU91" s="15"/>
      <c r="KV91" s="15"/>
      <c r="KW91" s="15"/>
      <c r="KX91" s="15"/>
      <c r="KY91" s="15"/>
      <c r="KZ91" s="15"/>
      <c r="LA91" s="15"/>
      <c r="LB91" s="15"/>
      <c r="LC91" s="15"/>
      <c r="LD91" s="15"/>
      <c r="LE91" s="15"/>
      <c r="LF91" s="15"/>
      <c r="LG91" s="15"/>
      <c r="LH91" s="15"/>
      <c r="LI91" s="15"/>
      <c r="LJ91" s="15"/>
      <c r="LK91" s="15"/>
      <c r="LL91" s="15"/>
      <c r="LM91" s="15"/>
      <c r="LN91" s="15"/>
      <c r="LO91" s="15"/>
      <c r="LP91" s="15"/>
      <c r="LQ91" s="15"/>
      <c r="LR91" s="15"/>
      <c r="LS91" s="15"/>
      <c r="LT91" s="15"/>
      <c r="LU91" s="15"/>
      <c r="LV91" s="15"/>
      <c r="LW91" s="15"/>
      <c r="LX91" s="15"/>
      <c r="LY91" s="15"/>
      <c r="LZ91" s="15"/>
      <c r="MA91" s="15"/>
      <c r="MB91" s="15"/>
      <c r="MC91" s="15"/>
      <c r="MD91" s="15"/>
      <c r="ME91" s="15"/>
      <c r="MF91" s="15"/>
      <c r="MG91" s="15"/>
      <c r="MH91" s="15"/>
      <c r="MI91" s="15"/>
      <c r="MJ91" s="15"/>
      <c r="MK91" s="15"/>
      <c r="ML91" s="15"/>
      <c r="MM91" s="15"/>
      <c r="MN91" s="15"/>
      <c r="MO91" s="15"/>
      <c r="MP91" s="15"/>
      <c r="MQ91" s="15"/>
      <c r="MR91" s="15"/>
      <c r="MS91" s="15"/>
      <c r="MT91" s="15"/>
      <c r="MU91" s="15"/>
      <c r="MV91" s="15"/>
      <c r="MW91" s="15"/>
      <c r="MX91" s="15"/>
      <c r="MY91" s="15"/>
      <c r="MZ91" s="15"/>
      <c r="NA91" s="15"/>
      <c r="NB91" s="15"/>
      <c r="NC91" s="15"/>
      <c r="ND91" s="15"/>
      <c r="NE91" s="15"/>
      <c r="NF91" s="15"/>
      <c r="NG91" s="15"/>
      <c r="NH91" s="15"/>
      <c r="NI91" s="15"/>
      <c r="NJ91" s="15"/>
      <c r="NK91" s="15"/>
      <c r="NL91" s="15"/>
      <c r="NM91" s="15"/>
      <c r="NN91" s="15"/>
      <c r="NO91" s="15"/>
      <c r="NP91" s="15"/>
      <c r="NQ91" s="15"/>
      <c r="NR91" s="15"/>
      <c r="NS91" s="15"/>
      <c r="NT91" s="15"/>
      <c r="NU91" s="15"/>
      <c r="NV91" s="15"/>
      <c r="NW91" s="15"/>
      <c r="NX91" s="15"/>
      <c r="NY91" s="15"/>
      <c r="NZ91" s="15"/>
      <c r="OA91" s="15"/>
      <c r="OB91" s="15"/>
      <c r="OC91" s="15"/>
      <c r="OD91" s="15"/>
      <c r="OE91" s="15"/>
      <c r="OF91" s="15"/>
      <c r="OG91" s="15"/>
      <c r="OH91" s="15"/>
      <c r="OI91" s="15"/>
      <c r="OJ91" s="15"/>
      <c r="OK91" s="15"/>
      <c r="OL91" s="15"/>
      <c r="OM91" s="15"/>
      <c r="ON91" s="15"/>
      <c r="OO91" s="15"/>
      <c r="OP91" s="15"/>
      <c r="OQ91" s="15"/>
      <c r="OR91" s="15"/>
      <c r="OS91" s="15"/>
      <c r="OT91" s="15"/>
      <c r="OU91" s="15"/>
      <c r="OV91" s="15"/>
      <c r="OW91" s="15"/>
      <c r="OX91" s="15"/>
      <c r="OY91" s="15"/>
      <c r="OZ91" s="15"/>
      <c r="PA91" s="15"/>
      <c r="PB91" s="15"/>
      <c r="PC91" s="15"/>
      <c r="PD91" s="15"/>
      <c r="PE91" s="15"/>
      <c r="PF91" s="15"/>
      <c r="PG91" s="15"/>
      <c r="PH91" s="15"/>
      <c r="PI91" s="15"/>
      <c r="PJ91" s="15"/>
      <c r="PK91" s="15"/>
      <c r="PL91" s="15"/>
      <c r="PM91" s="15"/>
      <c r="PN91" s="15"/>
      <c r="PO91" s="15"/>
      <c r="PP91" s="15"/>
      <c r="PQ91" s="15"/>
      <c r="PR91" s="15"/>
      <c r="PS91" s="15"/>
      <c r="PT91" s="15"/>
      <c r="PU91" s="15"/>
      <c r="PV91" s="15"/>
      <c r="PW91" s="15"/>
      <c r="PX91" s="15"/>
      <c r="PY91" s="15"/>
      <c r="PZ91" s="15"/>
      <c r="QA91" s="15"/>
      <c r="QB91" s="15"/>
      <c r="QC91" s="15"/>
      <c r="QD91" s="15"/>
      <c r="QE91" s="15"/>
      <c r="QF91" s="15"/>
      <c r="QG91" s="15"/>
      <c r="QH91" s="15"/>
      <c r="QI91" s="15"/>
      <c r="QJ91" s="15"/>
      <c r="QK91" s="15"/>
      <c r="QL91" s="15"/>
      <c r="QM91" s="15"/>
      <c r="QN91" s="15"/>
      <c r="QO91" s="15"/>
      <c r="QP91" s="15"/>
      <c r="QQ91" s="15"/>
      <c r="QR91" s="15"/>
      <c r="QS91" s="15"/>
      <c r="QT91" s="15"/>
      <c r="QU91" s="15"/>
      <c r="QV91" s="15"/>
      <c r="QW91" s="15"/>
      <c r="QX91" s="15"/>
      <c r="QY91" s="15"/>
      <c r="QZ91" s="15"/>
      <c r="RA91" s="15"/>
      <c r="RB91" s="15"/>
      <c r="RC91" s="15"/>
      <c r="RD91" s="15"/>
      <c r="RE91" s="15"/>
      <c r="RF91" s="15"/>
      <c r="RG91" s="15"/>
      <c r="RH91" s="15"/>
      <c r="RI91" s="15"/>
      <c r="RJ91" s="15"/>
      <c r="RK91" s="15"/>
      <c r="RL91" s="15"/>
      <c r="RM91" s="15"/>
      <c r="RN91" s="15"/>
      <c r="RO91" s="15"/>
      <c r="RP91" s="15"/>
      <c r="RQ91" s="15"/>
      <c r="RR91" s="15"/>
      <c r="RS91" s="15"/>
      <c r="RT91" s="15"/>
      <c r="RU91" s="15"/>
      <c r="RV91" s="15"/>
      <c r="RW91" s="15"/>
      <c r="RX91" s="15"/>
      <c r="RY91" s="15"/>
      <c r="RZ91" s="15"/>
      <c r="SA91" s="15"/>
      <c r="SB91" s="15"/>
      <c r="SC91" s="15"/>
      <c r="SD91" s="15"/>
      <c r="SE91" s="15"/>
      <c r="SF91" s="15"/>
      <c r="SG91" s="15"/>
      <c r="SH91" s="15"/>
      <c r="SI91" s="15"/>
      <c r="SJ91" s="15"/>
      <c r="SK91" s="15"/>
      <c r="SL91" s="15"/>
      <c r="SM91" s="15"/>
      <c r="SN91" s="15"/>
      <c r="SO91" s="15"/>
      <c r="SP91" s="15"/>
      <c r="SQ91" s="15"/>
      <c r="SR91" s="15"/>
      <c r="SS91" s="15"/>
      <c r="ST91" s="15"/>
      <c r="SU91" s="15"/>
      <c r="SV91" s="15"/>
      <c r="SW91" s="15"/>
      <c r="SX91" s="15"/>
      <c r="SY91" s="15"/>
      <c r="SZ91" s="15"/>
      <c r="TA91" s="15"/>
      <c r="TB91" s="15"/>
      <c r="TC91" s="15"/>
      <c r="TD91" s="15"/>
      <c r="TE91" s="15"/>
      <c r="TF91" s="15"/>
      <c r="TG91" s="15"/>
      <c r="TH91" s="15"/>
      <c r="TI91" s="15"/>
      <c r="TJ91" s="15"/>
      <c r="TK91" s="15"/>
      <c r="TL91" s="15"/>
      <c r="TM91" s="15"/>
      <c r="TN91" s="15"/>
      <c r="TO91" s="15"/>
      <c r="TP91" s="15"/>
      <c r="TQ91" s="15"/>
      <c r="TR91" s="15"/>
      <c r="TS91" s="15"/>
      <c r="TT91" s="15"/>
      <c r="TU91" s="15"/>
      <c r="TV91" s="15"/>
      <c r="TW91" s="15"/>
      <c r="TX91" s="15"/>
      <c r="TY91" s="15"/>
      <c r="TZ91" s="15"/>
      <c r="UA91" s="15"/>
      <c r="UB91" s="15"/>
      <c r="UC91" s="15"/>
      <c r="UD91" s="15"/>
      <c r="UE91" s="15"/>
      <c r="UF91" s="15"/>
      <c r="UG91" s="15"/>
      <c r="UH91" s="15"/>
      <c r="UI91" s="15"/>
      <c r="UJ91" s="15"/>
      <c r="UK91" s="15"/>
      <c r="UL91" s="15"/>
      <c r="UM91" s="15"/>
      <c r="UN91" s="15"/>
      <c r="UO91" s="15"/>
      <c r="UP91" s="15"/>
      <c r="UQ91" s="15"/>
      <c r="UR91" s="15"/>
      <c r="US91" s="15"/>
      <c r="UT91" s="15"/>
      <c r="UU91" s="15"/>
      <c r="UV91" s="15"/>
      <c r="UW91" s="15"/>
      <c r="UX91" s="15"/>
      <c r="UY91" s="15"/>
      <c r="UZ91" s="15"/>
      <c r="VA91" s="15"/>
      <c r="VB91" s="15"/>
      <c r="VC91" s="15"/>
      <c r="VD91" s="15"/>
      <c r="VE91" s="15"/>
      <c r="VF91" s="15"/>
      <c r="VG91" s="15"/>
      <c r="VH91" s="15"/>
      <c r="VI91" s="15"/>
      <c r="VJ91" s="15"/>
      <c r="VK91" s="15"/>
      <c r="VL91" s="15"/>
      <c r="VM91" s="15"/>
      <c r="VN91" s="15"/>
      <c r="VO91" s="15"/>
      <c r="VP91" s="15"/>
      <c r="VQ91" s="15"/>
      <c r="VR91" s="15"/>
      <c r="VS91" s="15"/>
      <c r="VT91" s="15"/>
      <c r="VU91" s="15"/>
      <c r="VV91" s="15"/>
      <c r="VW91" s="15"/>
      <c r="VX91" s="15"/>
      <c r="VY91" s="15"/>
      <c r="VZ91" s="15"/>
      <c r="WA91" s="15"/>
      <c r="WB91" s="15"/>
      <c r="WC91" s="15"/>
      <c r="WD91" s="15"/>
      <c r="WE91" s="15"/>
      <c r="WF91" s="15"/>
      <c r="WG91" s="15"/>
      <c r="WH91" s="15"/>
      <c r="WI91" s="15"/>
      <c r="WJ91" s="15"/>
      <c r="WK91" s="15"/>
      <c r="WL91" s="15"/>
      <c r="WM91" s="15"/>
      <c r="WN91" s="15"/>
      <c r="WO91" s="15"/>
      <c r="WP91" s="15"/>
      <c r="WQ91" s="15"/>
      <c r="WR91" s="15"/>
      <c r="WS91" s="15"/>
      <c r="WT91" s="15"/>
      <c r="WU91" s="15"/>
      <c r="WV91" s="15"/>
      <c r="WW91" s="15"/>
      <c r="WX91" s="15"/>
      <c r="WY91" s="15"/>
      <c r="WZ91" s="15"/>
      <c r="XA91" s="15"/>
      <c r="XB91" s="15"/>
      <c r="XC91" s="15"/>
      <c r="XD91" s="15"/>
      <c r="XE91" s="15"/>
      <c r="XF91" s="15"/>
      <c r="XG91" s="15"/>
      <c r="XH91" s="15"/>
      <c r="XI91" s="15"/>
      <c r="XJ91" s="15"/>
      <c r="XK91" s="15"/>
      <c r="XL91" s="15"/>
      <c r="XM91" s="15"/>
      <c r="XN91" s="15"/>
      <c r="XO91" s="15"/>
      <c r="XP91" s="15"/>
      <c r="XQ91" s="15"/>
      <c r="XR91" s="15"/>
      <c r="XS91" s="15"/>
      <c r="XT91" s="15"/>
      <c r="XU91" s="15"/>
      <c r="XV91" s="15"/>
      <c r="XW91" s="15"/>
      <c r="XX91" s="15"/>
      <c r="XY91" s="15"/>
      <c r="XZ91" s="15"/>
      <c r="YA91" s="15"/>
      <c r="YB91" s="15"/>
      <c r="YC91" s="15"/>
      <c r="YD91" s="15"/>
      <c r="YE91" s="15"/>
      <c r="YF91" s="15"/>
      <c r="YG91" s="15"/>
      <c r="YH91" s="15"/>
      <c r="YI91" s="15"/>
      <c r="YJ91" s="15"/>
      <c r="YK91" s="15"/>
      <c r="YL91" s="15"/>
      <c r="YM91" s="15"/>
      <c r="YN91" s="15"/>
      <c r="YO91" s="15"/>
      <c r="YP91" s="15"/>
      <c r="YQ91" s="15"/>
      <c r="YR91" s="15"/>
      <c r="YS91" s="15"/>
      <c r="YT91" s="15"/>
      <c r="YU91" s="15"/>
      <c r="YV91" s="15"/>
      <c r="YW91" s="15"/>
      <c r="YX91" s="15"/>
      <c r="YY91" s="15"/>
      <c r="YZ91" s="15"/>
      <c r="ZA91" s="15"/>
      <c r="ZB91" s="15"/>
      <c r="ZC91" s="15"/>
      <c r="ZD91" s="15"/>
      <c r="ZE91" s="15"/>
      <c r="ZF91" s="15"/>
      <c r="ZG91" s="15"/>
      <c r="ZH91" s="15"/>
      <c r="ZI91" s="15"/>
      <c r="ZJ91" s="15"/>
      <c r="ZK91" s="15"/>
      <c r="ZL91" s="15"/>
      <c r="ZM91" s="15"/>
      <c r="ZN91" s="15"/>
      <c r="ZO91" s="15"/>
      <c r="ZP91" s="15"/>
      <c r="ZQ91" s="15"/>
      <c r="ZR91" s="15"/>
      <c r="ZS91" s="15"/>
      <c r="ZT91" s="15"/>
      <c r="ZU91" s="15"/>
      <c r="ZV91" s="15"/>
      <c r="ZW91" s="15"/>
      <c r="ZX91" s="15"/>
      <c r="ZY91" s="15"/>
      <c r="ZZ91" s="15"/>
      <c r="AAA91" s="15"/>
      <c r="AAB91" s="15"/>
      <c r="AAC91" s="15"/>
      <c r="AAD91" s="15"/>
      <c r="AAE91" s="15"/>
      <c r="AAF91" s="15"/>
      <c r="AAG91" s="15"/>
      <c r="AAH91" s="15"/>
      <c r="AAI91" s="15"/>
      <c r="AAJ91" s="15"/>
      <c r="AAK91" s="15"/>
      <c r="AAL91" s="15"/>
      <c r="AAM91" s="15"/>
      <c r="AAN91" s="15"/>
      <c r="AAO91" s="15"/>
      <c r="AAP91" s="15"/>
      <c r="AAQ91" s="15"/>
      <c r="AAR91" s="15"/>
      <c r="AAS91" s="15"/>
      <c r="AAT91" s="15"/>
      <c r="AAU91" s="15"/>
      <c r="AAV91" s="15"/>
      <c r="AAW91" s="15"/>
      <c r="AAX91" s="15"/>
      <c r="AAY91" s="15"/>
      <c r="AAZ91" s="15"/>
      <c r="ABA91" s="15"/>
      <c r="ABB91" s="15"/>
      <c r="ABC91" s="15"/>
      <c r="ABD91" s="15"/>
      <c r="ABE91" s="15"/>
      <c r="ABF91" s="15"/>
      <c r="ABG91" s="15"/>
      <c r="ABH91" s="15"/>
      <c r="ABI91" s="15"/>
      <c r="ABJ91" s="15"/>
      <c r="ABK91" s="15"/>
      <c r="ABL91" s="15"/>
      <c r="ABM91" s="15"/>
      <c r="ABN91" s="15"/>
      <c r="ABO91" s="15"/>
      <c r="ABP91" s="15"/>
      <c r="ABQ91" s="15"/>
      <c r="ABR91" s="15"/>
      <c r="ABS91" s="15"/>
      <c r="ABT91" s="15"/>
      <c r="ABU91" s="15"/>
      <c r="ABV91" s="15"/>
      <c r="ABW91" s="15"/>
      <c r="ABX91" s="15"/>
      <c r="ABY91" s="15"/>
      <c r="ABZ91" s="15"/>
      <c r="ACA91" s="15"/>
      <c r="ACB91" s="15"/>
      <c r="ACC91" s="15"/>
      <c r="ACD91" s="15"/>
      <c r="ACE91" s="15"/>
      <c r="ACF91" s="15"/>
      <c r="ACG91" s="15"/>
      <c r="ACH91" s="15"/>
      <c r="ACI91" s="15"/>
      <c r="ACJ91" s="15"/>
      <c r="ACK91" s="15"/>
      <c r="ACL91" s="15"/>
      <c r="ACM91" s="15"/>
      <c r="ACN91" s="15"/>
      <c r="ACO91" s="15"/>
      <c r="ACP91" s="15"/>
      <c r="ACQ91" s="15"/>
      <c r="ACR91" s="15"/>
      <c r="ACS91" s="15"/>
      <c r="ACT91" s="15"/>
      <c r="ACU91" s="15"/>
      <c r="ACV91" s="15"/>
      <c r="ACW91" s="15"/>
      <c r="ACX91" s="15"/>
      <c r="ACY91" s="15"/>
      <c r="ACZ91" s="15"/>
      <c r="ADA91" s="15"/>
      <c r="ADB91" s="15"/>
      <c r="ADC91" s="15"/>
      <c r="ADD91" s="15"/>
      <c r="ADE91" s="15"/>
      <c r="ADF91" s="15"/>
      <c r="ADG91" s="15"/>
      <c r="ADH91" s="15"/>
      <c r="ADI91" s="15"/>
      <c r="ADJ91" s="15"/>
      <c r="ADK91" s="15"/>
      <c r="ADL91" s="15"/>
      <c r="ADM91" s="15"/>
      <c r="ADN91" s="15"/>
      <c r="ADO91" s="15"/>
      <c r="ADP91" s="15"/>
      <c r="ADQ91" s="15"/>
      <c r="ADR91" s="15"/>
      <c r="ADS91" s="15"/>
      <c r="ADT91" s="15"/>
      <c r="ADU91" s="15"/>
      <c r="ADV91" s="15"/>
      <c r="ADW91" s="15"/>
      <c r="ADX91" s="15"/>
      <c r="ADY91" s="15"/>
      <c r="ADZ91" s="15"/>
      <c r="AEA91" s="15"/>
      <c r="AEB91" s="15"/>
      <c r="AEC91" s="15"/>
      <c r="AED91" s="15"/>
      <c r="AEE91" s="15"/>
      <c r="AEF91" s="15"/>
      <c r="AEG91" s="15"/>
      <c r="AEH91" s="15"/>
      <c r="AEI91" s="15"/>
      <c r="AEJ91" s="15"/>
      <c r="AEK91" s="15"/>
      <c r="AEL91" s="15"/>
      <c r="AEM91" s="15"/>
      <c r="AEN91" s="15"/>
      <c r="AEO91" s="15"/>
      <c r="AEP91" s="15"/>
      <c r="AEQ91" s="15"/>
      <c r="AER91" s="15"/>
      <c r="AES91" s="15"/>
      <c r="AET91" s="15"/>
      <c r="AEU91" s="15"/>
      <c r="AEV91" s="15"/>
      <c r="AEW91" s="15"/>
      <c r="AEX91" s="15"/>
      <c r="AEY91" s="15"/>
      <c r="AEZ91" s="15"/>
      <c r="AFA91" s="15"/>
      <c r="AFB91" s="15"/>
      <c r="AFC91" s="15"/>
      <c r="AFD91" s="15"/>
      <c r="AFE91" s="15"/>
      <c r="AFF91" s="15"/>
      <c r="AFG91" s="15"/>
      <c r="AFH91" s="15"/>
      <c r="AFI91" s="15"/>
      <c r="AFJ91" s="15"/>
      <c r="AFK91" s="15"/>
      <c r="AFL91" s="15"/>
      <c r="AFM91" s="15"/>
      <c r="AFN91" s="15"/>
      <c r="AFO91" s="15"/>
      <c r="AFP91" s="15"/>
      <c r="AFQ91" s="15"/>
      <c r="AFR91" s="15"/>
      <c r="AFS91" s="15"/>
      <c r="AFT91" s="15"/>
      <c r="AFU91" s="15"/>
      <c r="AFV91" s="15"/>
      <c r="AFW91" s="15"/>
      <c r="AFX91" s="15"/>
      <c r="AFY91" s="15"/>
      <c r="AFZ91" s="15"/>
      <c r="AGA91" s="15"/>
      <c r="AGB91" s="15"/>
      <c r="AGC91" s="15"/>
      <c r="AGD91" s="15"/>
      <c r="AGE91" s="15"/>
      <c r="AGF91" s="15"/>
      <c r="AGG91" s="15"/>
      <c r="AGH91" s="15"/>
      <c r="AGI91" s="15"/>
      <c r="AGJ91" s="15"/>
      <c r="AGK91" s="15"/>
      <c r="AGL91" s="15"/>
      <c r="AGM91" s="15"/>
      <c r="AGN91" s="15"/>
      <c r="AGO91" s="15"/>
      <c r="AGP91" s="15"/>
      <c r="AGQ91" s="15"/>
      <c r="AGR91" s="15"/>
      <c r="AGS91" s="15"/>
      <c r="AGT91" s="15"/>
      <c r="AGU91" s="15"/>
      <c r="AGV91" s="15"/>
      <c r="AGW91" s="15"/>
      <c r="AGX91" s="15"/>
      <c r="AGY91" s="15"/>
      <c r="AGZ91" s="15"/>
      <c r="AHA91" s="15"/>
      <c r="AHB91" s="15"/>
      <c r="AHC91" s="15"/>
      <c r="AHD91" s="15"/>
      <c r="AHE91" s="15"/>
      <c r="AHF91" s="15"/>
      <c r="AHG91" s="15"/>
      <c r="AHH91" s="15"/>
      <c r="AHI91" s="15"/>
      <c r="AHJ91" s="15"/>
      <c r="AHK91" s="15"/>
      <c r="AHL91" s="15"/>
      <c r="AHM91" s="15"/>
      <c r="AHN91" s="15"/>
      <c r="AHO91" s="15"/>
      <c r="AHP91" s="15"/>
      <c r="AHQ91" s="15"/>
      <c r="AHR91" s="15"/>
      <c r="AHS91" s="15"/>
      <c r="AHT91" s="15"/>
      <c r="AHU91" s="15"/>
      <c r="AHV91" s="15"/>
      <c r="AHW91" s="15"/>
      <c r="AHX91" s="15"/>
      <c r="AHY91" s="15"/>
      <c r="AHZ91" s="15"/>
      <c r="AIA91" s="15"/>
      <c r="AIB91" s="15"/>
      <c r="AIC91" s="15"/>
      <c r="AID91" s="15"/>
      <c r="AIE91" s="15"/>
      <c r="AIF91" s="15"/>
      <c r="AIG91" s="15"/>
      <c r="AIH91" s="15"/>
      <c r="AII91" s="15"/>
      <c r="AIJ91" s="15"/>
      <c r="AIK91" s="15"/>
      <c r="AIL91" s="15"/>
      <c r="AIM91" s="15"/>
      <c r="AIN91" s="15"/>
      <c r="AIO91" s="15"/>
      <c r="AIP91" s="15"/>
      <c r="AIQ91" s="15"/>
      <c r="AIR91" s="15"/>
      <c r="AIS91" s="15"/>
      <c r="AIT91" s="15"/>
      <c r="AIU91" s="15"/>
      <c r="AIV91" s="15"/>
      <c r="AIW91" s="15"/>
      <c r="AIX91" s="15"/>
      <c r="AIY91" s="15"/>
      <c r="AIZ91" s="15"/>
      <c r="AJA91" s="15"/>
      <c r="AJB91" s="15"/>
      <c r="AJC91" s="15"/>
      <c r="AJD91" s="15"/>
      <c r="AJE91" s="15"/>
      <c r="AJF91" s="15"/>
      <c r="AJG91" s="15"/>
      <c r="AJH91" s="15"/>
      <c r="AJI91" s="15"/>
      <c r="AJJ91" s="15"/>
      <c r="AJK91" s="15"/>
      <c r="AJL91" s="15"/>
      <c r="AJM91" s="15"/>
      <c r="AJN91" s="15"/>
      <c r="AJO91" s="15"/>
      <c r="AJP91" s="15"/>
      <c r="AJQ91" s="15"/>
      <c r="AJR91" s="15"/>
      <c r="AJS91" s="15"/>
      <c r="AJT91" s="15"/>
      <c r="AJU91" s="15"/>
      <c r="AJV91" s="15"/>
      <c r="AJW91" s="15"/>
      <c r="AJX91" s="15"/>
      <c r="AJY91" s="15"/>
      <c r="AJZ91" s="15"/>
      <c r="AKA91" s="15"/>
      <c r="AKB91" s="15"/>
      <c r="AKC91" s="15"/>
      <c r="AKD91" s="15"/>
      <c r="AKE91" s="15"/>
      <c r="AKF91" s="15"/>
      <c r="AKG91" s="15"/>
      <c r="AKH91" s="15"/>
      <c r="AKI91" s="15"/>
      <c r="AKJ91" s="15"/>
      <c r="AKK91" s="15"/>
      <c r="AKL91" s="15"/>
      <c r="AKM91" s="15"/>
      <c r="AKN91" s="15"/>
      <c r="AKO91" s="15"/>
      <c r="AKP91" s="15"/>
      <c r="AKQ91" s="15"/>
      <c r="AKR91" s="15"/>
      <c r="AKS91" s="15"/>
      <c r="AKT91" s="15"/>
      <c r="AKU91" s="15"/>
      <c r="AKV91" s="15"/>
      <c r="AKW91" s="15"/>
      <c r="AKX91" s="15"/>
      <c r="AKY91" s="15"/>
      <c r="AKZ91" s="15"/>
      <c r="ALA91" s="15"/>
      <c r="ALB91" s="15"/>
      <c r="ALC91" s="15"/>
      <c r="ALD91" s="15"/>
      <c r="ALE91" s="15"/>
      <c r="ALF91" s="15"/>
      <c r="ALG91" s="15"/>
      <c r="ALH91" s="15"/>
      <c r="ALI91" s="15"/>
      <c r="ALJ91" s="15"/>
      <c r="ALK91" s="15"/>
      <c r="ALL91" s="15"/>
      <c r="ALM91" s="15"/>
      <c r="ALN91" s="15"/>
      <c r="ALO91" s="15"/>
      <c r="ALP91" s="15"/>
      <c r="ALQ91" s="15"/>
      <c r="ALR91" s="15"/>
      <c r="ALS91" s="15"/>
      <c r="ALT91" s="15"/>
      <c r="ALU91" s="15"/>
      <c r="ALV91" s="15"/>
      <c r="ALW91" s="15"/>
      <c r="ALX91" s="15"/>
      <c r="ALY91" s="15"/>
      <c r="ALZ91" s="15"/>
      <c r="AMA91" s="15"/>
      <c r="AMB91" s="15"/>
      <c r="AMC91" s="15"/>
      <c r="AMD91" s="15"/>
      <c r="AME91" s="15"/>
      <c r="AMF91" s="15"/>
      <c r="AMG91" s="14"/>
      <c r="AMH91" s="14"/>
      <c r="AMI91" s="14"/>
      <c r="AMJ91" s="14"/>
    </row>
    <row r="92" spans="1:1024" s="13" customFormat="1" ht="58" hidden="1" x14ac:dyDescent="0.35">
      <c r="A92" s="19">
        <v>43660</v>
      </c>
      <c r="B92" s="17" t="s">
        <v>280</v>
      </c>
      <c r="C92" s="17" t="s">
        <v>279</v>
      </c>
      <c r="D92" s="18">
        <v>43666</v>
      </c>
      <c r="E92" s="17" t="s">
        <v>278</v>
      </c>
      <c r="F92" s="26">
        <v>0.4375</v>
      </c>
      <c r="G92" s="26">
        <v>0.45833333333333298</v>
      </c>
      <c r="H92" s="26">
        <v>0.47916666666666702</v>
      </c>
      <c r="I92" s="99">
        <v>144</v>
      </c>
      <c r="J92" s="17" t="s">
        <v>186</v>
      </c>
      <c r="K92" s="17" t="s">
        <v>119</v>
      </c>
      <c r="L92" s="16" t="s">
        <v>17</v>
      </c>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15"/>
      <c r="CB92" s="15"/>
      <c r="CC92" s="15"/>
      <c r="CD92" s="15"/>
      <c r="CE92" s="15"/>
      <c r="CF92" s="15"/>
      <c r="CG92" s="15"/>
      <c r="CH92" s="15"/>
      <c r="CI92" s="15"/>
      <c r="CJ92" s="15"/>
      <c r="CK92" s="15"/>
      <c r="CL92" s="15"/>
      <c r="CM92" s="15"/>
      <c r="CN92" s="15"/>
      <c r="CO92" s="15"/>
      <c r="CP92" s="15"/>
      <c r="CQ92" s="15"/>
      <c r="CR92" s="15"/>
      <c r="CS92" s="15"/>
      <c r="CT92" s="15"/>
      <c r="CU92" s="15"/>
      <c r="CV92" s="15"/>
      <c r="CW92" s="15"/>
      <c r="CX92" s="15"/>
      <c r="CY92" s="15"/>
      <c r="CZ92" s="15"/>
      <c r="DA92" s="15"/>
      <c r="DB92" s="15"/>
      <c r="DC92" s="15"/>
      <c r="DD92" s="15"/>
      <c r="DE92" s="15"/>
      <c r="DF92" s="15"/>
      <c r="DG92" s="15"/>
      <c r="DH92" s="15"/>
      <c r="DI92" s="15"/>
      <c r="DJ92" s="15"/>
      <c r="DK92" s="15"/>
      <c r="DL92" s="15"/>
      <c r="DM92" s="15"/>
      <c r="DN92" s="15"/>
      <c r="DO92" s="15"/>
      <c r="DP92" s="15"/>
      <c r="DQ92" s="15"/>
      <c r="DR92" s="15"/>
      <c r="DS92" s="15"/>
      <c r="DT92" s="15"/>
      <c r="DU92" s="15"/>
      <c r="DV92" s="15"/>
      <c r="DW92" s="15"/>
      <c r="DX92" s="15"/>
      <c r="DY92" s="15"/>
      <c r="DZ92" s="15"/>
      <c r="EA92" s="15"/>
      <c r="EB92" s="15"/>
      <c r="EC92" s="15"/>
      <c r="ED92" s="15"/>
      <c r="EE92" s="15"/>
      <c r="EF92" s="15"/>
      <c r="EG92" s="15"/>
      <c r="EH92" s="15"/>
      <c r="EI92" s="15"/>
      <c r="EJ92" s="15"/>
      <c r="EK92" s="15"/>
      <c r="EL92" s="15"/>
      <c r="EM92" s="15"/>
      <c r="EN92" s="15"/>
      <c r="EO92" s="15"/>
      <c r="EP92" s="15"/>
      <c r="EQ92" s="15"/>
      <c r="ER92" s="15"/>
      <c r="ES92" s="15"/>
      <c r="ET92" s="15"/>
      <c r="EU92" s="15"/>
      <c r="EV92" s="15"/>
      <c r="EW92" s="15"/>
      <c r="EX92" s="15"/>
      <c r="EY92" s="15"/>
      <c r="EZ92" s="15"/>
      <c r="FA92" s="15"/>
      <c r="FB92" s="15"/>
      <c r="FC92" s="15"/>
      <c r="FD92" s="15"/>
      <c r="FE92" s="15"/>
      <c r="FF92" s="15"/>
      <c r="FG92" s="15"/>
      <c r="FH92" s="15"/>
      <c r="FI92" s="15"/>
      <c r="FJ92" s="15"/>
      <c r="FK92" s="15"/>
      <c r="FL92" s="15"/>
      <c r="FM92" s="15"/>
      <c r="FN92" s="15"/>
      <c r="FO92" s="15"/>
      <c r="FP92" s="15"/>
      <c r="FQ92" s="15"/>
      <c r="FR92" s="15"/>
      <c r="FS92" s="15"/>
      <c r="FT92" s="15"/>
      <c r="FU92" s="15"/>
      <c r="FV92" s="15"/>
      <c r="FW92" s="15"/>
      <c r="FX92" s="15"/>
      <c r="FY92" s="15"/>
      <c r="FZ92" s="15"/>
      <c r="GA92" s="15"/>
      <c r="GB92" s="15"/>
      <c r="GC92" s="15"/>
      <c r="GD92" s="15"/>
      <c r="GE92" s="15"/>
      <c r="GF92" s="15"/>
      <c r="GG92" s="15"/>
      <c r="GH92" s="15"/>
      <c r="GI92" s="15"/>
      <c r="GJ92" s="15"/>
      <c r="GK92" s="15"/>
      <c r="GL92" s="15"/>
      <c r="GM92" s="15"/>
      <c r="GN92" s="15"/>
      <c r="GO92" s="15"/>
      <c r="GP92" s="15"/>
      <c r="GQ92" s="15"/>
      <c r="GR92" s="15"/>
      <c r="GS92" s="15"/>
      <c r="GT92" s="15"/>
      <c r="GU92" s="15"/>
      <c r="GV92" s="15"/>
      <c r="GW92" s="15"/>
      <c r="GX92" s="15"/>
      <c r="GY92" s="15"/>
      <c r="GZ92" s="15"/>
      <c r="HA92" s="15"/>
      <c r="HB92" s="15"/>
      <c r="HC92" s="15"/>
      <c r="HD92" s="15"/>
      <c r="HE92" s="15"/>
      <c r="HF92" s="15"/>
      <c r="HG92" s="15"/>
      <c r="HH92" s="15"/>
      <c r="HI92" s="15"/>
      <c r="HJ92" s="15"/>
      <c r="HK92" s="15"/>
      <c r="HL92" s="15"/>
      <c r="HM92" s="15"/>
      <c r="HN92" s="15"/>
      <c r="HO92" s="15"/>
      <c r="HP92" s="15"/>
      <c r="HQ92" s="15"/>
      <c r="HR92" s="15"/>
      <c r="HS92" s="15"/>
      <c r="HT92" s="15"/>
      <c r="HU92" s="15"/>
      <c r="HV92" s="15"/>
      <c r="HW92" s="15"/>
      <c r="HX92" s="15"/>
      <c r="HY92" s="15"/>
      <c r="HZ92" s="15"/>
      <c r="IA92" s="15"/>
      <c r="IB92" s="15"/>
      <c r="IC92" s="15"/>
      <c r="ID92" s="15"/>
      <c r="IE92" s="15"/>
      <c r="IF92" s="15"/>
      <c r="IG92" s="15"/>
      <c r="IH92" s="15"/>
      <c r="II92" s="15"/>
      <c r="IJ92" s="15"/>
      <c r="IK92" s="15"/>
      <c r="IL92" s="15"/>
      <c r="IM92" s="15"/>
      <c r="IN92" s="15"/>
      <c r="IO92" s="15"/>
      <c r="IP92" s="15"/>
      <c r="IQ92" s="15"/>
      <c r="IR92" s="15"/>
      <c r="IS92" s="15"/>
      <c r="IT92" s="15"/>
      <c r="IU92" s="15"/>
      <c r="IV92" s="15"/>
      <c r="IW92" s="15"/>
      <c r="IX92" s="15"/>
      <c r="IY92" s="15"/>
      <c r="IZ92" s="15"/>
      <c r="JA92" s="15"/>
      <c r="JB92" s="15"/>
      <c r="JC92" s="15"/>
      <c r="JD92" s="15"/>
      <c r="JE92" s="15"/>
      <c r="JF92" s="15"/>
      <c r="JG92" s="15"/>
      <c r="JH92" s="15"/>
      <c r="JI92" s="15"/>
      <c r="JJ92" s="15"/>
      <c r="JK92" s="15"/>
      <c r="JL92" s="15"/>
      <c r="JM92" s="15"/>
      <c r="JN92" s="15"/>
      <c r="JO92" s="15"/>
      <c r="JP92" s="15"/>
      <c r="JQ92" s="15"/>
      <c r="JR92" s="15"/>
      <c r="JS92" s="15"/>
      <c r="JT92" s="15"/>
      <c r="JU92" s="15"/>
      <c r="JV92" s="15"/>
      <c r="JW92" s="15"/>
      <c r="JX92" s="15"/>
      <c r="JY92" s="15"/>
      <c r="JZ92" s="15"/>
      <c r="KA92" s="15"/>
      <c r="KB92" s="15"/>
      <c r="KC92" s="15"/>
      <c r="KD92" s="15"/>
      <c r="KE92" s="15"/>
      <c r="KF92" s="15"/>
      <c r="KG92" s="15"/>
      <c r="KH92" s="15"/>
      <c r="KI92" s="15"/>
      <c r="KJ92" s="15"/>
      <c r="KK92" s="15"/>
      <c r="KL92" s="15"/>
      <c r="KM92" s="15"/>
      <c r="KN92" s="15"/>
      <c r="KO92" s="15"/>
      <c r="KP92" s="15"/>
      <c r="KQ92" s="15"/>
      <c r="KR92" s="15"/>
      <c r="KS92" s="15"/>
      <c r="KT92" s="15"/>
      <c r="KU92" s="15"/>
      <c r="KV92" s="15"/>
      <c r="KW92" s="15"/>
      <c r="KX92" s="15"/>
      <c r="KY92" s="15"/>
      <c r="KZ92" s="15"/>
      <c r="LA92" s="15"/>
      <c r="LB92" s="15"/>
      <c r="LC92" s="15"/>
      <c r="LD92" s="15"/>
      <c r="LE92" s="15"/>
      <c r="LF92" s="15"/>
      <c r="LG92" s="15"/>
      <c r="LH92" s="15"/>
      <c r="LI92" s="15"/>
      <c r="LJ92" s="15"/>
      <c r="LK92" s="15"/>
      <c r="LL92" s="15"/>
      <c r="LM92" s="15"/>
      <c r="LN92" s="15"/>
      <c r="LO92" s="15"/>
      <c r="LP92" s="15"/>
      <c r="LQ92" s="15"/>
      <c r="LR92" s="15"/>
      <c r="LS92" s="15"/>
      <c r="LT92" s="15"/>
      <c r="LU92" s="15"/>
      <c r="LV92" s="15"/>
      <c r="LW92" s="15"/>
      <c r="LX92" s="15"/>
      <c r="LY92" s="15"/>
      <c r="LZ92" s="15"/>
      <c r="MA92" s="15"/>
      <c r="MB92" s="15"/>
      <c r="MC92" s="15"/>
      <c r="MD92" s="15"/>
      <c r="ME92" s="15"/>
      <c r="MF92" s="15"/>
      <c r="MG92" s="15"/>
      <c r="MH92" s="15"/>
      <c r="MI92" s="15"/>
      <c r="MJ92" s="15"/>
      <c r="MK92" s="15"/>
      <c r="ML92" s="15"/>
      <c r="MM92" s="15"/>
      <c r="MN92" s="15"/>
      <c r="MO92" s="15"/>
      <c r="MP92" s="15"/>
      <c r="MQ92" s="15"/>
      <c r="MR92" s="15"/>
      <c r="MS92" s="15"/>
      <c r="MT92" s="15"/>
      <c r="MU92" s="15"/>
      <c r="MV92" s="15"/>
      <c r="MW92" s="15"/>
      <c r="MX92" s="15"/>
      <c r="MY92" s="15"/>
      <c r="MZ92" s="15"/>
      <c r="NA92" s="15"/>
      <c r="NB92" s="15"/>
      <c r="NC92" s="15"/>
      <c r="ND92" s="15"/>
      <c r="NE92" s="15"/>
      <c r="NF92" s="15"/>
      <c r="NG92" s="15"/>
      <c r="NH92" s="15"/>
      <c r="NI92" s="15"/>
      <c r="NJ92" s="15"/>
      <c r="NK92" s="15"/>
      <c r="NL92" s="15"/>
      <c r="NM92" s="15"/>
      <c r="NN92" s="15"/>
      <c r="NO92" s="15"/>
      <c r="NP92" s="15"/>
      <c r="NQ92" s="15"/>
      <c r="NR92" s="15"/>
      <c r="NS92" s="15"/>
      <c r="NT92" s="15"/>
      <c r="NU92" s="15"/>
      <c r="NV92" s="15"/>
      <c r="NW92" s="15"/>
      <c r="NX92" s="15"/>
      <c r="NY92" s="15"/>
      <c r="NZ92" s="15"/>
      <c r="OA92" s="15"/>
      <c r="OB92" s="15"/>
      <c r="OC92" s="15"/>
      <c r="OD92" s="15"/>
      <c r="OE92" s="15"/>
      <c r="OF92" s="15"/>
      <c r="OG92" s="15"/>
      <c r="OH92" s="15"/>
      <c r="OI92" s="15"/>
      <c r="OJ92" s="15"/>
      <c r="OK92" s="15"/>
      <c r="OL92" s="15"/>
      <c r="OM92" s="15"/>
      <c r="ON92" s="15"/>
      <c r="OO92" s="15"/>
      <c r="OP92" s="15"/>
      <c r="OQ92" s="15"/>
      <c r="OR92" s="15"/>
      <c r="OS92" s="15"/>
      <c r="OT92" s="15"/>
      <c r="OU92" s="15"/>
      <c r="OV92" s="15"/>
      <c r="OW92" s="15"/>
      <c r="OX92" s="15"/>
      <c r="OY92" s="15"/>
      <c r="OZ92" s="15"/>
      <c r="PA92" s="15"/>
      <c r="PB92" s="15"/>
      <c r="PC92" s="15"/>
      <c r="PD92" s="15"/>
      <c r="PE92" s="15"/>
      <c r="PF92" s="15"/>
      <c r="PG92" s="15"/>
      <c r="PH92" s="15"/>
      <c r="PI92" s="15"/>
      <c r="PJ92" s="15"/>
      <c r="PK92" s="15"/>
      <c r="PL92" s="15"/>
      <c r="PM92" s="15"/>
      <c r="PN92" s="15"/>
      <c r="PO92" s="15"/>
      <c r="PP92" s="15"/>
      <c r="PQ92" s="15"/>
      <c r="PR92" s="15"/>
      <c r="PS92" s="15"/>
      <c r="PT92" s="15"/>
      <c r="PU92" s="15"/>
      <c r="PV92" s="15"/>
      <c r="PW92" s="15"/>
      <c r="PX92" s="15"/>
      <c r="PY92" s="15"/>
      <c r="PZ92" s="15"/>
      <c r="QA92" s="15"/>
      <c r="QB92" s="15"/>
      <c r="QC92" s="15"/>
      <c r="QD92" s="15"/>
      <c r="QE92" s="15"/>
      <c r="QF92" s="15"/>
      <c r="QG92" s="15"/>
      <c r="QH92" s="15"/>
      <c r="QI92" s="15"/>
      <c r="QJ92" s="15"/>
      <c r="QK92" s="15"/>
      <c r="QL92" s="15"/>
      <c r="QM92" s="15"/>
      <c r="QN92" s="15"/>
      <c r="QO92" s="15"/>
      <c r="QP92" s="15"/>
      <c r="QQ92" s="15"/>
      <c r="QR92" s="15"/>
      <c r="QS92" s="15"/>
      <c r="QT92" s="15"/>
      <c r="QU92" s="15"/>
      <c r="QV92" s="15"/>
      <c r="QW92" s="15"/>
      <c r="QX92" s="15"/>
      <c r="QY92" s="15"/>
      <c r="QZ92" s="15"/>
      <c r="RA92" s="15"/>
      <c r="RB92" s="15"/>
      <c r="RC92" s="15"/>
      <c r="RD92" s="15"/>
      <c r="RE92" s="15"/>
      <c r="RF92" s="15"/>
      <c r="RG92" s="15"/>
      <c r="RH92" s="15"/>
      <c r="RI92" s="15"/>
      <c r="RJ92" s="15"/>
      <c r="RK92" s="15"/>
      <c r="RL92" s="15"/>
      <c r="RM92" s="15"/>
      <c r="RN92" s="15"/>
      <c r="RO92" s="15"/>
      <c r="RP92" s="15"/>
      <c r="RQ92" s="15"/>
      <c r="RR92" s="15"/>
      <c r="RS92" s="15"/>
      <c r="RT92" s="15"/>
      <c r="RU92" s="15"/>
      <c r="RV92" s="15"/>
      <c r="RW92" s="15"/>
      <c r="RX92" s="15"/>
      <c r="RY92" s="15"/>
      <c r="RZ92" s="15"/>
      <c r="SA92" s="15"/>
      <c r="SB92" s="15"/>
      <c r="SC92" s="15"/>
      <c r="SD92" s="15"/>
      <c r="SE92" s="15"/>
      <c r="SF92" s="15"/>
      <c r="SG92" s="15"/>
      <c r="SH92" s="15"/>
      <c r="SI92" s="15"/>
      <c r="SJ92" s="15"/>
      <c r="SK92" s="15"/>
      <c r="SL92" s="15"/>
      <c r="SM92" s="15"/>
      <c r="SN92" s="15"/>
      <c r="SO92" s="15"/>
      <c r="SP92" s="15"/>
      <c r="SQ92" s="15"/>
      <c r="SR92" s="15"/>
      <c r="SS92" s="15"/>
      <c r="ST92" s="15"/>
      <c r="SU92" s="15"/>
      <c r="SV92" s="15"/>
      <c r="SW92" s="15"/>
      <c r="SX92" s="15"/>
      <c r="SY92" s="15"/>
      <c r="SZ92" s="15"/>
      <c r="TA92" s="15"/>
      <c r="TB92" s="15"/>
      <c r="TC92" s="15"/>
      <c r="TD92" s="15"/>
      <c r="TE92" s="15"/>
      <c r="TF92" s="15"/>
      <c r="TG92" s="15"/>
      <c r="TH92" s="15"/>
      <c r="TI92" s="15"/>
      <c r="TJ92" s="15"/>
      <c r="TK92" s="15"/>
      <c r="TL92" s="15"/>
      <c r="TM92" s="15"/>
      <c r="TN92" s="15"/>
      <c r="TO92" s="15"/>
      <c r="TP92" s="15"/>
      <c r="TQ92" s="15"/>
      <c r="TR92" s="15"/>
      <c r="TS92" s="15"/>
      <c r="TT92" s="15"/>
      <c r="TU92" s="15"/>
      <c r="TV92" s="15"/>
      <c r="TW92" s="15"/>
      <c r="TX92" s="15"/>
      <c r="TY92" s="15"/>
      <c r="TZ92" s="15"/>
      <c r="UA92" s="15"/>
      <c r="UB92" s="15"/>
      <c r="UC92" s="15"/>
      <c r="UD92" s="15"/>
      <c r="UE92" s="15"/>
      <c r="UF92" s="15"/>
      <c r="UG92" s="15"/>
      <c r="UH92" s="15"/>
      <c r="UI92" s="15"/>
      <c r="UJ92" s="15"/>
      <c r="UK92" s="15"/>
      <c r="UL92" s="15"/>
      <c r="UM92" s="15"/>
      <c r="UN92" s="15"/>
      <c r="UO92" s="15"/>
      <c r="UP92" s="15"/>
      <c r="UQ92" s="15"/>
      <c r="UR92" s="15"/>
      <c r="US92" s="15"/>
      <c r="UT92" s="15"/>
      <c r="UU92" s="15"/>
      <c r="UV92" s="15"/>
      <c r="UW92" s="15"/>
      <c r="UX92" s="15"/>
      <c r="UY92" s="15"/>
      <c r="UZ92" s="15"/>
      <c r="VA92" s="15"/>
      <c r="VB92" s="15"/>
      <c r="VC92" s="15"/>
      <c r="VD92" s="15"/>
      <c r="VE92" s="15"/>
      <c r="VF92" s="15"/>
      <c r="VG92" s="15"/>
      <c r="VH92" s="15"/>
      <c r="VI92" s="15"/>
      <c r="VJ92" s="15"/>
      <c r="VK92" s="15"/>
      <c r="VL92" s="15"/>
      <c r="VM92" s="15"/>
      <c r="VN92" s="15"/>
      <c r="VO92" s="15"/>
      <c r="VP92" s="15"/>
      <c r="VQ92" s="15"/>
      <c r="VR92" s="15"/>
      <c r="VS92" s="15"/>
      <c r="VT92" s="15"/>
      <c r="VU92" s="15"/>
      <c r="VV92" s="15"/>
      <c r="VW92" s="15"/>
      <c r="VX92" s="15"/>
      <c r="VY92" s="15"/>
      <c r="VZ92" s="15"/>
      <c r="WA92" s="15"/>
      <c r="WB92" s="15"/>
      <c r="WC92" s="15"/>
      <c r="WD92" s="15"/>
      <c r="WE92" s="15"/>
      <c r="WF92" s="15"/>
      <c r="WG92" s="15"/>
      <c r="WH92" s="15"/>
      <c r="WI92" s="15"/>
      <c r="WJ92" s="15"/>
      <c r="WK92" s="15"/>
      <c r="WL92" s="15"/>
      <c r="WM92" s="15"/>
      <c r="WN92" s="15"/>
      <c r="WO92" s="15"/>
      <c r="WP92" s="15"/>
      <c r="WQ92" s="15"/>
      <c r="WR92" s="15"/>
      <c r="WS92" s="15"/>
      <c r="WT92" s="15"/>
      <c r="WU92" s="15"/>
      <c r="WV92" s="15"/>
      <c r="WW92" s="15"/>
      <c r="WX92" s="15"/>
      <c r="WY92" s="15"/>
      <c r="WZ92" s="15"/>
      <c r="XA92" s="15"/>
      <c r="XB92" s="15"/>
      <c r="XC92" s="15"/>
      <c r="XD92" s="15"/>
      <c r="XE92" s="15"/>
      <c r="XF92" s="15"/>
      <c r="XG92" s="15"/>
      <c r="XH92" s="15"/>
      <c r="XI92" s="15"/>
      <c r="XJ92" s="15"/>
      <c r="XK92" s="15"/>
      <c r="XL92" s="15"/>
      <c r="XM92" s="15"/>
      <c r="XN92" s="15"/>
      <c r="XO92" s="15"/>
      <c r="XP92" s="15"/>
      <c r="XQ92" s="15"/>
      <c r="XR92" s="15"/>
      <c r="XS92" s="15"/>
      <c r="XT92" s="15"/>
      <c r="XU92" s="15"/>
      <c r="XV92" s="15"/>
      <c r="XW92" s="15"/>
      <c r="XX92" s="15"/>
      <c r="XY92" s="15"/>
      <c r="XZ92" s="15"/>
      <c r="YA92" s="15"/>
      <c r="YB92" s="15"/>
      <c r="YC92" s="15"/>
      <c r="YD92" s="15"/>
      <c r="YE92" s="15"/>
      <c r="YF92" s="15"/>
      <c r="YG92" s="15"/>
      <c r="YH92" s="15"/>
      <c r="YI92" s="15"/>
      <c r="YJ92" s="15"/>
      <c r="YK92" s="15"/>
      <c r="YL92" s="15"/>
      <c r="YM92" s="15"/>
      <c r="YN92" s="15"/>
      <c r="YO92" s="15"/>
      <c r="YP92" s="15"/>
      <c r="YQ92" s="15"/>
      <c r="YR92" s="15"/>
      <c r="YS92" s="15"/>
      <c r="YT92" s="15"/>
      <c r="YU92" s="15"/>
      <c r="YV92" s="15"/>
      <c r="YW92" s="15"/>
      <c r="YX92" s="15"/>
      <c r="YY92" s="15"/>
      <c r="YZ92" s="15"/>
      <c r="ZA92" s="15"/>
      <c r="ZB92" s="15"/>
      <c r="ZC92" s="15"/>
      <c r="ZD92" s="15"/>
      <c r="ZE92" s="15"/>
      <c r="ZF92" s="15"/>
      <c r="ZG92" s="15"/>
      <c r="ZH92" s="15"/>
      <c r="ZI92" s="15"/>
      <c r="ZJ92" s="15"/>
      <c r="ZK92" s="15"/>
      <c r="ZL92" s="15"/>
      <c r="ZM92" s="15"/>
      <c r="ZN92" s="15"/>
      <c r="ZO92" s="15"/>
      <c r="ZP92" s="15"/>
      <c r="ZQ92" s="15"/>
      <c r="ZR92" s="15"/>
      <c r="ZS92" s="15"/>
      <c r="ZT92" s="15"/>
      <c r="ZU92" s="15"/>
      <c r="ZV92" s="15"/>
      <c r="ZW92" s="15"/>
      <c r="ZX92" s="15"/>
      <c r="ZY92" s="15"/>
      <c r="ZZ92" s="15"/>
      <c r="AAA92" s="15"/>
      <c r="AAB92" s="15"/>
      <c r="AAC92" s="15"/>
      <c r="AAD92" s="15"/>
      <c r="AAE92" s="15"/>
      <c r="AAF92" s="15"/>
      <c r="AAG92" s="15"/>
      <c r="AAH92" s="15"/>
      <c r="AAI92" s="15"/>
      <c r="AAJ92" s="15"/>
      <c r="AAK92" s="15"/>
      <c r="AAL92" s="15"/>
      <c r="AAM92" s="15"/>
      <c r="AAN92" s="15"/>
      <c r="AAO92" s="15"/>
      <c r="AAP92" s="15"/>
      <c r="AAQ92" s="15"/>
      <c r="AAR92" s="15"/>
      <c r="AAS92" s="15"/>
      <c r="AAT92" s="15"/>
      <c r="AAU92" s="15"/>
      <c r="AAV92" s="15"/>
      <c r="AAW92" s="15"/>
      <c r="AAX92" s="15"/>
      <c r="AAY92" s="15"/>
      <c r="AAZ92" s="15"/>
      <c r="ABA92" s="15"/>
      <c r="ABB92" s="15"/>
      <c r="ABC92" s="15"/>
      <c r="ABD92" s="15"/>
      <c r="ABE92" s="15"/>
      <c r="ABF92" s="15"/>
      <c r="ABG92" s="15"/>
      <c r="ABH92" s="15"/>
      <c r="ABI92" s="15"/>
      <c r="ABJ92" s="15"/>
      <c r="ABK92" s="15"/>
      <c r="ABL92" s="15"/>
      <c r="ABM92" s="15"/>
      <c r="ABN92" s="15"/>
      <c r="ABO92" s="15"/>
      <c r="ABP92" s="15"/>
      <c r="ABQ92" s="15"/>
      <c r="ABR92" s="15"/>
      <c r="ABS92" s="15"/>
      <c r="ABT92" s="15"/>
      <c r="ABU92" s="15"/>
      <c r="ABV92" s="15"/>
      <c r="ABW92" s="15"/>
      <c r="ABX92" s="15"/>
      <c r="ABY92" s="15"/>
      <c r="ABZ92" s="15"/>
      <c r="ACA92" s="15"/>
      <c r="ACB92" s="15"/>
      <c r="ACC92" s="15"/>
      <c r="ACD92" s="15"/>
      <c r="ACE92" s="15"/>
      <c r="ACF92" s="15"/>
      <c r="ACG92" s="15"/>
      <c r="ACH92" s="15"/>
      <c r="ACI92" s="15"/>
      <c r="ACJ92" s="15"/>
      <c r="ACK92" s="15"/>
      <c r="ACL92" s="15"/>
      <c r="ACM92" s="15"/>
      <c r="ACN92" s="15"/>
      <c r="ACO92" s="15"/>
      <c r="ACP92" s="15"/>
      <c r="ACQ92" s="15"/>
      <c r="ACR92" s="15"/>
      <c r="ACS92" s="15"/>
      <c r="ACT92" s="15"/>
      <c r="ACU92" s="15"/>
      <c r="ACV92" s="15"/>
      <c r="ACW92" s="15"/>
      <c r="ACX92" s="15"/>
      <c r="ACY92" s="15"/>
      <c r="ACZ92" s="15"/>
      <c r="ADA92" s="15"/>
      <c r="ADB92" s="15"/>
      <c r="ADC92" s="15"/>
      <c r="ADD92" s="15"/>
      <c r="ADE92" s="15"/>
      <c r="ADF92" s="15"/>
      <c r="ADG92" s="15"/>
      <c r="ADH92" s="15"/>
      <c r="ADI92" s="15"/>
      <c r="ADJ92" s="15"/>
      <c r="ADK92" s="15"/>
      <c r="ADL92" s="15"/>
      <c r="ADM92" s="15"/>
      <c r="ADN92" s="15"/>
      <c r="ADO92" s="15"/>
      <c r="ADP92" s="15"/>
      <c r="ADQ92" s="15"/>
      <c r="ADR92" s="15"/>
      <c r="ADS92" s="15"/>
      <c r="ADT92" s="15"/>
      <c r="ADU92" s="15"/>
      <c r="ADV92" s="15"/>
      <c r="ADW92" s="15"/>
      <c r="ADX92" s="15"/>
      <c r="ADY92" s="15"/>
      <c r="ADZ92" s="15"/>
      <c r="AEA92" s="15"/>
      <c r="AEB92" s="15"/>
      <c r="AEC92" s="15"/>
      <c r="AED92" s="15"/>
      <c r="AEE92" s="15"/>
      <c r="AEF92" s="15"/>
      <c r="AEG92" s="15"/>
      <c r="AEH92" s="15"/>
      <c r="AEI92" s="15"/>
      <c r="AEJ92" s="15"/>
      <c r="AEK92" s="15"/>
      <c r="AEL92" s="15"/>
      <c r="AEM92" s="15"/>
      <c r="AEN92" s="15"/>
      <c r="AEO92" s="15"/>
      <c r="AEP92" s="15"/>
      <c r="AEQ92" s="15"/>
      <c r="AER92" s="15"/>
      <c r="AES92" s="15"/>
      <c r="AET92" s="15"/>
      <c r="AEU92" s="15"/>
      <c r="AEV92" s="15"/>
      <c r="AEW92" s="15"/>
      <c r="AEX92" s="15"/>
      <c r="AEY92" s="15"/>
      <c r="AEZ92" s="15"/>
      <c r="AFA92" s="15"/>
      <c r="AFB92" s="15"/>
      <c r="AFC92" s="15"/>
      <c r="AFD92" s="15"/>
      <c r="AFE92" s="15"/>
      <c r="AFF92" s="15"/>
      <c r="AFG92" s="15"/>
      <c r="AFH92" s="15"/>
      <c r="AFI92" s="15"/>
      <c r="AFJ92" s="15"/>
      <c r="AFK92" s="15"/>
      <c r="AFL92" s="15"/>
      <c r="AFM92" s="15"/>
      <c r="AFN92" s="15"/>
      <c r="AFO92" s="15"/>
      <c r="AFP92" s="15"/>
      <c r="AFQ92" s="15"/>
      <c r="AFR92" s="15"/>
      <c r="AFS92" s="15"/>
      <c r="AFT92" s="15"/>
      <c r="AFU92" s="15"/>
      <c r="AFV92" s="15"/>
      <c r="AFW92" s="15"/>
      <c r="AFX92" s="15"/>
      <c r="AFY92" s="15"/>
      <c r="AFZ92" s="15"/>
      <c r="AGA92" s="15"/>
      <c r="AGB92" s="15"/>
      <c r="AGC92" s="15"/>
      <c r="AGD92" s="15"/>
      <c r="AGE92" s="15"/>
      <c r="AGF92" s="15"/>
      <c r="AGG92" s="15"/>
      <c r="AGH92" s="15"/>
      <c r="AGI92" s="15"/>
      <c r="AGJ92" s="15"/>
      <c r="AGK92" s="15"/>
      <c r="AGL92" s="15"/>
      <c r="AGM92" s="15"/>
      <c r="AGN92" s="15"/>
      <c r="AGO92" s="15"/>
      <c r="AGP92" s="15"/>
      <c r="AGQ92" s="15"/>
      <c r="AGR92" s="15"/>
      <c r="AGS92" s="15"/>
      <c r="AGT92" s="15"/>
      <c r="AGU92" s="15"/>
      <c r="AGV92" s="15"/>
      <c r="AGW92" s="15"/>
      <c r="AGX92" s="15"/>
      <c r="AGY92" s="15"/>
      <c r="AGZ92" s="15"/>
      <c r="AHA92" s="15"/>
      <c r="AHB92" s="15"/>
      <c r="AHC92" s="15"/>
      <c r="AHD92" s="15"/>
      <c r="AHE92" s="15"/>
      <c r="AHF92" s="15"/>
      <c r="AHG92" s="15"/>
      <c r="AHH92" s="15"/>
      <c r="AHI92" s="15"/>
      <c r="AHJ92" s="15"/>
      <c r="AHK92" s="15"/>
      <c r="AHL92" s="15"/>
      <c r="AHM92" s="15"/>
      <c r="AHN92" s="15"/>
      <c r="AHO92" s="15"/>
      <c r="AHP92" s="15"/>
      <c r="AHQ92" s="15"/>
      <c r="AHR92" s="15"/>
      <c r="AHS92" s="15"/>
      <c r="AHT92" s="15"/>
      <c r="AHU92" s="15"/>
      <c r="AHV92" s="15"/>
      <c r="AHW92" s="15"/>
      <c r="AHX92" s="15"/>
      <c r="AHY92" s="15"/>
      <c r="AHZ92" s="15"/>
      <c r="AIA92" s="15"/>
      <c r="AIB92" s="15"/>
      <c r="AIC92" s="15"/>
      <c r="AID92" s="15"/>
      <c r="AIE92" s="15"/>
      <c r="AIF92" s="15"/>
      <c r="AIG92" s="15"/>
      <c r="AIH92" s="15"/>
      <c r="AII92" s="15"/>
      <c r="AIJ92" s="15"/>
      <c r="AIK92" s="15"/>
      <c r="AIL92" s="15"/>
      <c r="AIM92" s="15"/>
      <c r="AIN92" s="15"/>
      <c r="AIO92" s="15"/>
      <c r="AIP92" s="15"/>
      <c r="AIQ92" s="15"/>
      <c r="AIR92" s="15"/>
      <c r="AIS92" s="15"/>
      <c r="AIT92" s="15"/>
      <c r="AIU92" s="15"/>
      <c r="AIV92" s="15"/>
      <c r="AIW92" s="15"/>
      <c r="AIX92" s="15"/>
      <c r="AIY92" s="15"/>
      <c r="AIZ92" s="15"/>
      <c r="AJA92" s="15"/>
      <c r="AJB92" s="15"/>
      <c r="AJC92" s="15"/>
      <c r="AJD92" s="15"/>
      <c r="AJE92" s="15"/>
      <c r="AJF92" s="15"/>
      <c r="AJG92" s="15"/>
      <c r="AJH92" s="15"/>
      <c r="AJI92" s="15"/>
      <c r="AJJ92" s="15"/>
      <c r="AJK92" s="15"/>
      <c r="AJL92" s="15"/>
      <c r="AJM92" s="15"/>
      <c r="AJN92" s="15"/>
      <c r="AJO92" s="15"/>
      <c r="AJP92" s="15"/>
      <c r="AJQ92" s="15"/>
      <c r="AJR92" s="15"/>
      <c r="AJS92" s="15"/>
      <c r="AJT92" s="15"/>
      <c r="AJU92" s="15"/>
      <c r="AJV92" s="15"/>
      <c r="AJW92" s="15"/>
      <c r="AJX92" s="15"/>
      <c r="AJY92" s="15"/>
      <c r="AJZ92" s="15"/>
      <c r="AKA92" s="15"/>
      <c r="AKB92" s="15"/>
      <c r="AKC92" s="15"/>
      <c r="AKD92" s="15"/>
      <c r="AKE92" s="15"/>
      <c r="AKF92" s="15"/>
      <c r="AKG92" s="15"/>
      <c r="AKH92" s="15"/>
      <c r="AKI92" s="15"/>
      <c r="AKJ92" s="15"/>
      <c r="AKK92" s="15"/>
      <c r="AKL92" s="15"/>
      <c r="AKM92" s="15"/>
      <c r="AKN92" s="15"/>
      <c r="AKO92" s="15"/>
      <c r="AKP92" s="15"/>
      <c r="AKQ92" s="15"/>
      <c r="AKR92" s="15"/>
      <c r="AKS92" s="15"/>
      <c r="AKT92" s="15"/>
      <c r="AKU92" s="15"/>
      <c r="AKV92" s="15"/>
      <c r="AKW92" s="15"/>
      <c r="AKX92" s="15"/>
      <c r="AKY92" s="15"/>
      <c r="AKZ92" s="15"/>
      <c r="ALA92" s="15"/>
      <c r="ALB92" s="15"/>
      <c r="ALC92" s="15"/>
      <c r="ALD92" s="15"/>
      <c r="ALE92" s="15"/>
      <c r="ALF92" s="15"/>
      <c r="ALG92" s="15"/>
      <c r="ALH92" s="15"/>
      <c r="ALI92" s="15"/>
      <c r="ALJ92" s="15"/>
      <c r="ALK92" s="15"/>
      <c r="ALL92" s="15"/>
      <c r="ALM92" s="15"/>
      <c r="ALN92" s="15"/>
      <c r="ALO92" s="15"/>
      <c r="ALP92" s="15"/>
      <c r="ALQ92" s="15"/>
      <c r="ALR92" s="15"/>
      <c r="ALS92" s="15"/>
      <c r="ALT92" s="15"/>
      <c r="ALU92" s="15"/>
      <c r="ALV92" s="15"/>
      <c r="ALW92" s="15"/>
      <c r="ALX92" s="15"/>
      <c r="ALY92" s="15"/>
      <c r="ALZ92" s="15"/>
      <c r="AMA92" s="15"/>
      <c r="AMB92" s="15"/>
      <c r="AMC92" s="15"/>
      <c r="AMD92" s="15"/>
      <c r="AME92" s="15"/>
      <c r="AMF92" s="15"/>
      <c r="AMG92" s="14"/>
      <c r="AMH92" s="14"/>
      <c r="AMI92" s="14"/>
      <c r="AMJ92" s="14"/>
    </row>
    <row r="93" spans="1:1024" s="13" customFormat="1" ht="58" hidden="1" x14ac:dyDescent="0.35">
      <c r="A93" s="19">
        <v>43648</v>
      </c>
      <c r="B93" s="17" t="s">
        <v>277</v>
      </c>
      <c r="C93" s="17" t="s">
        <v>276</v>
      </c>
      <c r="D93" s="18">
        <v>43666</v>
      </c>
      <c r="E93" s="17" t="s">
        <v>275</v>
      </c>
      <c r="F93" s="26">
        <v>0.4375</v>
      </c>
      <c r="G93" s="26">
        <v>0.47916666666666702</v>
      </c>
      <c r="H93" s="26">
        <v>0.5</v>
      </c>
      <c r="I93" s="99">
        <v>240</v>
      </c>
      <c r="J93" s="17" t="s">
        <v>274</v>
      </c>
      <c r="K93" s="17" t="s">
        <v>119</v>
      </c>
      <c r="L93" s="16" t="s">
        <v>17</v>
      </c>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c r="CL93" s="15"/>
      <c r="CM93" s="15"/>
      <c r="CN93" s="15"/>
      <c r="CO93" s="15"/>
      <c r="CP93" s="15"/>
      <c r="CQ93" s="15"/>
      <c r="CR93" s="15"/>
      <c r="CS93" s="15"/>
      <c r="CT93" s="15"/>
      <c r="CU93" s="15"/>
      <c r="CV93" s="15"/>
      <c r="CW93" s="15"/>
      <c r="CX93" s="15"/>
      <c r="CY93" s="15"/>
      <c r="CZ93" s="15"/>
      <c r="DA93" s="15"/>
      <c r="DB93" s="15"/>
      <c r="DC93" s="15"/>
      <c r="DD93" s="15"/>
      <c r="DE93" s="15"/>
      <c r="DF93" s="15"/>
      <c r="DG93" s="15"/>
      <c r="DH93" s="15"/>
      <c r="DI93" s="15"/>
      <c r="DJ93" s="15"/>
      <c r="DK93" s="15"/>
      <c r="DL93" s="15"/>
      <c r="DM93" s="15"/>
      <c r="DN93" s="15"/>
      <c r="DO93" s="15"/>
      <c r="DP93" s="15"/>
      <c r="DQ93" s="15"/>
      <c r="DR93" s="15"/>
      <c r="DS93" s="15"/>
      <c r="DT93" s="15"/>
      <c r="DU93" s="15"/>
      <c r="DV93" s="15"/>
      <c r="DW93" s="15"/>
      <c r="DX93" s="15"/>
      <c r="DY93" s="15"/>
      <c r="DZ93" s="15"/>
      <c r="EA93" s="15"/>
      <c r="EB93" s="15"/>
      <c r="EC93" s="15"/>
      <c r="ED93" s="15"/>
      <c r="EE93" s="15"/>
      <c r="EF93" s="15"/>
      <c r="EG93" s="15"/>
      <c r="EH93" s="15"/>
      <c r="EI93" s="15"/>
      <c r="EJ93" s="15"/>
      <c r="EK93" s="15"/>
      <c r="EL93" s="15"/>
      <c r="EM93" s="15"/>
      <c r="EN93" s="15"/>
      <c r="EO93" s="15"/>
      <c r="EP93" s="15"/>
      <c r="EQ93" s="15"/>
      <c r="ER93" s="15"/>
      <c r="ES93" s="15"/>
      <c r="ET93" s="15"/>
      <c r="EU93" s="15"/>
      <c r="EV93" s="15"/>
      <c r="EW93" s="15"/>
      <c r="EX93" s="15"/>
      <c r="EY93" s="15"/>
      <c r="EZ93" s="15"/>
      <c r="FA93" s="15"/>
      <c r="FB93" s="15"/>
      <c r="FC93" s="15"/>
      <c r="FD93" s="15"/>
      <c r="FE93" s="15"/>
      <c r="FF93" s="15"/>
      <c r="FG93" s="15"/>
      <c r="FH93" s="15"/>
      <c r="FI93" s="15"/>
      <c r="FJ93" s="15"/>
      <c r="FK93" s="15"/>
      <c r="FL93" s="15"/>
      <c r="FM93" s="15"/>
      <c r="FN93" s="15"/>
      <c r="FO93" s="15"/>
      <c r="FP93" s="15"/>
      <c r="FQ93" s="15"/>
      <c r="FR93" s="15"/>
      <c r="FS93" s="15"/>
      <c r="FT93" s="15"/>
      <c r="FU93" s="15"/>
      <c r="FV93" s="15"/>
      <c r="FW93" s="15"/>
      <c r="FX93" s="15"/>
      <c r="FY93" s="15"/>
      <c r="FZ93" s="15"/>
      <c r="GA93" s="15"/>
      <c r="GB93" s="15"/>
      <c r="GC93" s="15"/>
      <c r="GD93" s="15"/>
      <c r="GE93" s="15"/>
      <c r="GF93" s="15"/>
      <c r="GG93" s="15"/>
      <c r="GH93" s="15"/>
      <c r="GI93" s="15"/>
      <c r="GJ93" s="15"/>
      <c r="GK93" s="15"/>
      <c r="GL93" s="15"/>
      <c r="GM93" s="15"/>
      <c r="GN93" s="15"/>
      <c r="GO93" s="15"/>
      <c r="GP93" s="15"/>
      <c r="GQ93" s="15"/>
      <c r="GR93" s="15"/>
      <c r="GS93" s="15"/>
      <c r="GT93" s="15"/>
      <c r="GU93" s="15"/>
      <c r="GV93" s="15"/>
      <c r="GW93" s="15"/>
      <c r="GX93" s="15"/>
      <c r="GY93" s="15"/>
      <c r="GZ93" s="15"/>
      <c r="HA93" s="15"/>
      <c r="HB93" s="15"/>
      <c r="HC93" s="15"/>
      <c r="HD93" s="15"/>
      <c r="HE93" s="15"/>
      <c r="HF93" s="15"/>
      <c r="HG93" s="15"/>
      <c r="HH93" s="15"/>
      <c r="HI93" s="15"/>
      <c r="HJ93" s="15"/>
      <c r="HK93" s="15"/>
      <c r="HL93" s="15"/>
      <c r="HM93" s="15"/>
      <c r="HN93" s="15"/>
      <c r="HO93" s="15"/>
      <c r="HP93" s="15"/>
      <c r="HQ93" s="15"/>
      <c r="HR93" s="15"/>
      <c r="HS93" s="15"/>
      <c r="HT93" s="15"/>
      <c r="HU93" s="15"/>
      <c r="HV93" s="15"/>
      <c r="HW93" s="15"/>
      <c r="HX93" s="15"/>
      <c r="HY93" s="15"/>
      <c r="HZ93" s="15"/>
      <c r="IA93" s="15"/>
      <c r="IB93" s="15"/>
      <c r="IC93" s="15"/>
      <c r="ID93" s="15"/>
      <c r="IE93" s="15"/>
      <c r="IF93" s="15"/>
      <c r="IG93" s="15"/>
      <c r="IH93" s="15"/>
      <c r="II93" s="15"/>
      <c r="IJ93" s="15"/>
      <c r="IK93" s="15"/>
      <c r="IL93" s="15"/>
      <c r="IM93" s="15"/>
      <c r="IN93" s="15"/>
      <c r="IO93" s="15"/>
      <c r="IP93" s="15"/>
      <c r="IQ93" s="15"/>
      <c r="IR93" s="15"/>
      <c r="IS93" s="15"/>
      <c r="IT93" s="15"/>
      <c r="IU93" s="15"/>
      <c r="IV93" s="15"/>
      <c r="IW93" s="15"/>
      <c r="IX93" s="15"/>
      <c r="IY93" s="15"/>
      <c r="IZ93" s="15"/>
      <c r="JA93" s="15"/>
      <c r="JB93" s="15"/>
      <c r="JC93" s="15"/>
      <c r="JD93" s="15"/>
      <c r="JE93" s="15"/>
      <c r="JF93" s="15"/>
      <c r="JG93" s="15"/>
      <c r="JH93" s="15"/>
      <c r="JI93" s="15"/>
      <c r="JJ93" s="15"/>
      <c r="JK93" s="15"/>
      <c r="JL93" s="15"/>
      <c r="JM93" s="15"/>
      <c r="JN93" s="15"/>
      <c r="JO93" s="15"/>
      <c r="JP93" s="15"/>
      <c r="JQ93" s="15"/>
      <c r="JR93" s="15"/>
      <c r="JS93" s="15"/>
      <c r="JT93" s="15"/>
      <c r="JU93" s="15"/>
      <c r="JV93" s="15"/>
      <c r="JW93" s="15"/>
      <c r="JX93" s="15"/>
      <c r="JY93" s="15"/>
      <c r="JZ93" s="15"/>
      <c r="KA93" s="15"/>
      <c r="KB93" s="15"/>
      <c r="KC93" s="15"/>
      <c r="KD93" s="15"/>
      <c r="KE93" s="15"/>
      <c r="KF93" s="15"/>
      <c r="KG93" s="15"/>
      <c r="KH93" s="15"/>
      <c r="KI93" s="15"/>
      <c r="KJ93" s="15"/>
      <c r="KK93" s="15"/>
      <c r="KL93" s="15"/>
      <c r="KM93" s="15"/>
      <c r="KN93" s="15"/>
      <c r="KO93" s="15"/>
      <c r="KP93" s="15"/>
      <c r="KQ93" s="15"/>
      <c r="KR93" s="15"/>
      <c r="KS93" s="15"/>
      <c r="KT93" s="15"/>
      <c r="KU93" s="15"/>
      <c r="KV93" s="15"/>
      <c r="KW93" s="15"/>
      <c r="KX93" s="15"/>
      <c r="KY93" s="15"/>
      <c r="KZ93" s="15"/>
      <c r="LA93" s="15"/>
      <c r="LB93" s="15"/>
      <c r="LC93" s="15"/>
      <c r="LD93" s="15"/>
      <c r="LE93" s="15"/>
      <c r="LF93" s="15"/>
      <c r="LG93" s="15"/>
      <c r="LH93" s="15"/>
      <c r="LI93" s="15"/>
      <c r="LJ93" s="15"/>
      <c r="LK93" s="15"/>
      <c r="LL93" s="15"/>
      <c r="LM93" s="15"/>
      <c r="LN93" s="15"/>
      <c r="LO93" s="15"/>
      <c r="LP93" s="15"/>
      <c r="LQ93" s="15"/>
      <c r="LR93" s="15"/>
      <c r="LS93" s="15"/>
      <c r="LT93" s="15"/>
      <c r="LU93" s="15"/>
      <c r="LV93" s="15"/>
      <c r="LW93" s="15"/>
      <c r="LX93" s="15"/>
      <c r="LY93" s="15"/>
      <c r="LZ93" s="15"/>
      <c r="MA93" s="15"/>
      <c r="MB93" s="15"/>
      <c r="MC93" s="15"/>
      <c r="MD93" s="15"/>
      <c r="ME93" s="15"/>
      <c r="MF93" s="15"/>
      <c r="MG93" s="15"/>
      <c r="MH93" s="15"/>
      <c r="MI93" s="15"/>
      <c r="MJ93" s="15"/>
      <c r="MK93" s="15"/>
      <c r="ML93" s="15"/>
      <c r="MM93" s="15"/>
      <c r="MN93" s="15"/>
      <c r="MO93" s="15"/>
      <c r="MP93" s="15"/>
      <c r="MQ93" s="15"/>
      <c r="MR93" s="15"/>
      <c r="MS93" s="15"/>
      <c r="MT93" s="15"/>
      <c r="MU93" s="15"/>
      <c r="MV93" s="15"/>
      <c r="MW93" s="15"/>
      <c r="MX93" s="15"/>
      <c r="MY93" s="15"/>
      <c r="MZ93" s="15"/>
      <c r="NA93" s="15"/>
      <c r="NB93" s="15"/>
      <c r="NC93" s="15"/>
      <c r="ND93" s="15"/>
      <c r="NE93" s="15"/>
      <c r="NF93" s="15"/>
      <c r="NG93" s="15"/>
      <c r="NH93" s="15"/>
      <c r="NI93" s="15"/>
      <c r="NJ93" s="15"/>
      <c r="NK93" s="15"/>
      <c r="NL93" s="15"/>
      <c r="NM93" s="15"/>
      <c r="NN93" s="15"/>
      <c r="NO93" s="15"/>
      <c r="NP93" s="15"/>
      <c r="NQ93" s="15"/>
      <c r="NR93" s="15"/>
      <c r="NS93" s="15"/>
      <c r="NT93" s="15"/>
      <c r="NU93" s="15"/>
      <c r="NV93" s="15"/>
      <c r="NW93" s="15"/>
      <c r="NX93" s="15"/>
      <c r="NY93" s="15"/>
      <c r="NZ93" s="15"/>
      <c r="OA93" s="15"/>
      <c r="OB93" s="15"/>
      <c r="OC93" s="15"/>
      <c r="OD93" s="15"/>
      <c r="OE93" s="15"/>
      <c r="OF93" s="15"/>
      <c r="OG93" s="15"/>
      <c r="OH93" s="15"/>
      <c r="OI93" s="15"/>
      <c r="OJ93" s="15"/>
      <c r="OK93" s="15"/>
      <c r="OL93" s="15"/>
      <c r="OM93" s="15"/>
      <c r="ON93" s="15"/>
      <c r="OO93" s="15"/>
      <c r="OP93" s="15"/>
      <c r="OQ93" s="15"/>
      <c r="OR93" s="15"/>
      <c r="OS93" s="15"/>
      <c r="OT93" s="15"/>
      <c r="OU93" s="15"/>
      <c r="OV93" s="15"/>
      <c r="OW93" s="15"/>
      <c r="OX93" s="15"/>
      <c r="OY93" s="15"/>
      <c r="OZ93" s="15"/>
      <c r="PA93" s="15"/>
      <c r="PB93" s="15"/>
      <c r="PC93" s="15"/>
      <c r="PD93" s="15"/>
      <c r="PE93" s="15"/>
      <c r="PF93" s="15"/>
      <c r="PG93" s="15"/>
      <c r="PH93" s="15"/>
      <c r="PI93" s="15"/>
      <c r="PJ93" s="15"/>
      <c r="PK93" s="15"/>
      <c r="PL93" s="15"/>
      <c r="PM93" s="15"/>
      <c r="PN93" s="15"/>
      <c r="PO93" s="15"/>
      <c r="PP93" s="15"/>
      <c r="PQ93" s="15"/>
      <c r="PR93" s="15"/>
      <c r="PS93" s="15"/>
      <c r="PT93" s="15"/>
      <c r="PU93" s="15"/>
      <c r="PV93" s="15"/>
      <c r="PW93" s="15"/>
      <c r="PX93" s="15"/>
      <c r="PY93" s="15"/>
      <c r="PZ93" s="15"/>
      <c r="QA93" s="15"/>
      <c r="QB93" s="15"/>
      <c r="QC93" s="15"/>
      <c r="QD93" s="15"/>
      <c r="QE93" s="15"/>
      <c r="QF93" s="15"/>
      <c r="QG93" s="15"/>
      <c r="QH93" s="15"/>
      <c r="QI93" s="15"/>
      <c r="QJ93" s="15"/>
      <c r="QK93" s="15"/>
      <c r="QL93" s="15"/>
      <c r="QM93" s="15"/>
      <c r="QN93" s="15"/>
      <c r="QO93" s="15"/>
      <c r="QP93" s="15"/>
      <c r="QQ93" s="15"/>
      <c r="QR93" s="15"/>
      <c r="QS93" s="15"/>
      <c r="QT93" s="15"/>
      <c r="QU93" s="15"/>
      <c r="QV93" s="15"/>
      <c r="QW93" s="15"/>
      <c r="QX93" s="15"/>
      <c r="QY93" s="15"/>
      <c r="QZ93" s="15"/>
      <c r="RA93" s="15"/>
      <c r="RB93" s="15"/>
      <c r="RC93" s="15"/>
      <c r="RD93" s="15"/>
      <c r="RE93" s="15"/>
      <c r="RF93" s="15"/>
      <c r="RG93" s="15"/>
      <c r="RH93" s="15"/>
      <c r="RI93" s="15"/>
      <c r="RJ93" s="15"/>
      <c r="RK93" s="15"/>
      <c r="RL93" s="15"/>
      <c r="RM93" s="15"/>
      <c r="RN93" s="15"/>
      <c r="RO93" s="15"/>
      <c r="RP93" s="15"/>
      <c r="RQ93" s="15"/>
      <c r="RR93" s="15"/>
      <c r="RS93" s="15"/>
      <c r="RT93" s="15"/>
      <c r="RU93" s="15"/>
      <c r="RV93" s="15"/>
      <c r="RW93" s="15"/>
      <c r="RX93" s="15"/>
      <c r="RY93" s="15"/>
      <c r="RZ93" s="15"/>
      <c r="SA93" s="15"/>
      <c r="SB93" s="15"/>
      <c r="SC93" s="15"/>
      <c r="SD93" s="15"/>
      <c r="SE93" s="15"/>
      <c r="SF93" s="15"/>
      <c r="SG93" s="15"/>
      <c r="SH93" s="15"/>
      <c r="SI93" s="15"/>
      <c r="SJ93" s="15"/>
      <c r="SK93" s="15"/>
      <c r="SL93" s="15"/>
      <c r="SM93" s="15"/>
      <c r="SN93" s="15"/>
      <c r="SO93" s="15"/>
      <c r="SP93" s="15"/>
      <c r="SQ93" s="15"/>
      <c r="SR93" s="15"/>
      <c r="SS93" s="15"/>
      <c r="ST93" s="15"/>
      <c r="SU93" s="15"/>
      <c r="SV93" s="15"/>
      <c r="SW93" s="15"/>
      <c r="SX93" s="15"/>
      <c r="SY93" s="15"/>
      <c r="SZ93" s="15"/>
      <c r="TA93" s="15"/>
      <c r="TB93" s="15"/>
      <c r="TC93" s="15"/>
      <c r="TD93" s="15"/>
      <c r="TE93" s="15"/>
      <c r="TF93" s="15"/>
      <c r="TG93" s="15"/>
      <c r="TH93" s="15"/>
      <c r="TI93" s="15"/>
      <c r="TJ93" s="15"/>
      <c r="TK93" s="15"/>
      <c r="TL93" s="15"/>
      <c r="TM93" s="15"/>
      <c r="TN93" s="15"/>
      <c r="TO93" s="15"/>
      <c r="TP93" s="15"/>
      <c r="TQ93" s="15"/>
      <c r="TR93" s="15"/>
      <c r="TS93" s="15"/>
      <c r="TT93" s="15"/>
      <c r="TU93" s="15"/>
      <c r="TV93" s="15"/>
      <c r="TW93" s="15"/>
      <c r="TX93" s="15"/>
      <c r="TY93" s="15"/>
      <c r="TZ93" s="15"/>
      <c r="UA93" s="15"/>
      <c r="UB93" s="15"/>
      <c r="UC93" s="15"/>
      <c r="UD93" s="15"/>
      <c r="UE93" s="15"/>
      <c r="UF93" s="15"/>
      <c r="UG93" s="15"/>
      <c r="UH93" s="15"/>
      <c r="UI93" s="15"/>
      <c r="UJ93" s="15"/>
      <c r="UK93" s="15"/>
      <c r="UL93" s="15"/>
      <c r="UM93" s="15"/>
      <c r="UN93" s="15"/>
      <c r="UO93" s="15"/>
      <c r="UP93" s="15"/>
      <c r="UQ93" s="15"/>
      <c r="UR93" s="15"/>
      <c r="US93" s="15"/>
      <c r="UT93" s="15"/>
      <c r="UU93" s="15"/>
      <c r="UV93" s="15"/>
      <c r="UW93" s="15"/>
      <c r="UX93" s="15"/>
      <c r="UY93" s="15"/>
      <c r="UZ93" s="15"/>
      <c r="VA93" s="15"/>
      <c r="VB93" s="15"/>
      <c r="VC93" s="15"/>
      <c r="VD93" s="15"/>
      <c r="VE93" s="15"/>
      <c r="VF93" s="15"/>
      <c r="VG93" s="15"/>
      <c r="VH93" s="15"/>
      <c r="VI93" s="15"/>
      <c r="VJ93" s="15"/>
      <c r="VK93" s="15"/>
      <c r="VL93" s="15"/>
      <c r="VM93" s="15"/>
      <c r="VN93" s="15"/>
      <c r="VO93" s="15"/>
      <c r="VP93" s="15"/>
      <c r="VQ93" s="15"/>
      <c r="VR93" s="15"/>
      <c r="VS93" s="15"/>
      <c r="VT93" s="15"/>
      <c r="VU93" s="15"/>
      <c r="VV93" s="15"/>
      <c r="VW93" s="15"/>
      <c r="VX93" s="15"/>
      <c r="VY93" s="15"/>
      <c r="VZ93" s="15"/>
      <c r="WA93" s="15"/>
      <c r="WB93" s="15"/>
      <c r="WC93" s="15"/>
      <c r="WD93" s="15"/>
      <c r="WE93" s="15"/>
      <c r="WF93" s="15"/>
      <c r="WG93" s="15"/>
      <c r="WH93" s="15"/>
      <c r="WI93" s="15"/>
      <c r="WJ93" s="15"/>
      <c r="WK93" s="15"/>
      <c r="WL93" s="15"/>
      <c r="WM93" s="15"/>
      <c r="WN93" s="15"/>
      <c r="WO93" s="15"/>
      <c r="WP93" s="15"/>
      <c r="WQ93" s="15"/>
      <c r="WR93" s="15"/>
      <c r="WS93" s="15"/>
      <c r="WT93" s="15"/>
      <c r="WU93" s="15"/>
      <c r="WV93" s="15"/>
      <c r="WW93" s="15"/>
      <c r="WX93" s="15"/>
      <c r="WY93" s="15"/>
      <c r="WZ93" s="15"/>
      <c r="XA93" s="15"/>
      <c r="XB93" s="15"/>
      <c r="XC93" s="15"/>
      <c r="XD93" s="15"/>
      <c r="XE93" s="15"/>
      <c r="XF93" s="15"/>
      <c r="XG93" s="15"/>
      <c r="XH93" s="15"/>
      <c r="XI93" s="15"/>
      <c r="XJ93" s="15"/>
      <c r="XK93" s="15"/>
      <c r="XL93" s="15"/>
      <c r="XM93" s="15"/>
      <c r="XN93" s="15"/>
      <c r="XO93" s="15"/>
      <c r="XP93" s="15"/>
      <c r="XQ93" s="15"/>
      <c r="XR93" s="15"/>
      <c r="XS93" s="15"/>
      <c r="XT93" s="15"/>
      <c r="XU93" s="15"/>
      <c r="XV93" s="15"/>
      <c r="XW93" s="15"/>
      <c r="XX93" s="15"/>
      <c r="XY93" s="15"/>
      <c r="XZ93" s="15"/>
      <c r="YA93" s="15"/>
      <c r="YB93" s="15"/>
      <c r="YC93" s="15"/>
      <c r="YD93" s="15"/>
      <c r="YE93" s="15"/>
      <c r="YF93" s="15"/>
      <c r="YG93" s="15"/>
      <c r="YH93" s="15"/>
      <c r="YI93" s="15"/>
      <c r="YJ93" s="15"/>
      <c r="YK93" s="15"/>
      <c r="YL93" s="15"/>
      <c r="YM93" s="15"/>
      <c r="YN93" s="15"/>
      <c r="YO93" s="15"/>
      <c r="YP93" s="15"/>
      <c r="YQ93" s="15"/>
      <c r="YR93" s="15"/>
      <c r="YS93" s="15"/>
      <c r="YT93" s="15"/>
      <c r="YU93" s="15"/>
      <c r="YV93" s="15"/>
      <c r="YW93" s="15"/>
      <c r="YX93" s="15"/>
      <c r="YY93" s="15"/>
      <c r="YZ93" s="15"/>
      <c r="ZA93" s="15"/>
      <c r="ZB93" s="15"/>
      <c r="ZC93" s="15"/>
      <c r="ZD93" s="15"/>
      <c r="ZE93" s="15"/>
      <c r="ZF93" s="15"/>
      <c r="ZG93" s="15"/>
      <c r="ZH93" s="15"/>
      <c r="ZI93" s="15"/>
      <c r="ZJ93" s="15"/>
      <c r="ZK93" s="15"/>
      <c r="ZL93" s="15"/>
      <c r="ZM93" s="15"/>
      <c r="ZN93" s="15"/>
      <c r="ZO93" s="15"/>
      <c r="ZP93" s="15"/>
      <c r="ZQ93" s="15"/>
      <c r="ZR93" s="15"/>
      <c r="ZS93" s="15"/>
      <c r="ZT93" s="15"/>
      <c r="ZU93" s="15"/>
      <c r="ZV93" s="15"/>
      <c r="ZW93" s="15"/>
      <c r="ZX93" s="15"/>
      <c r="ZY93" s="15"/>
      <c r="ZZ93" s="15"/>
      <c r="AAA93" s="15"/>
      <c r="AAB93" s="15"/>
      <c r="AAC93" s="15"/>
      <c r="AAD93" s="15"/>
      <c r="AAE93" s="15"/>
      <c r="AAF93" s="15"/>
      <c r="AAG93" s="15"/>
      <c r="AAH93" s="15"/>
      <c r="AAI93" s="15"/>
      <c r="AAJ93" s="15"/>
      <c r="AAK93" s="15"/>
      <c r="AAL93" s="15"/>
      <c r="AAM93" s="15"/>
      <c r="AAN93" s="15"/>
      <c r="AAO93" s="15"/>
      <c r="AAP93" s="15"/>
      <c r="AAQ93" s="15"/>
      <c r="AAR93" s="15"/>
      <c r="AAS93" s="15"/>
      <c r="AAT93" s="15"/>
      <c r="AAU93" s="15"/>
      <c r="AAV93" s="15"/>
      <c r="AAW93" s="15"/>
      <c r="AAX93" s="15"/>
      <c r="AAY93" s="15"/>
      <c r="AAZ93" s="15"/>
      <c r="ABA93" s="15"/>
      <c r="ABB93" s="15"/>
      <c r="ABC93" s="15"/>
      <c r="ABD93" s="15"/>
      <c r="ABE93" s="15"/>
      <c r="ABF93" s="15"/>
      <c r="ABG93" s="15"/>
      <c r="ABH93" s="15"/>
      <c r="ABI93" s="15"/>
      <c r="ABJ93" s="15"/>
      <c r="ABK93" s="15"/>
      <c r="ABL93" s="15"/>
      <c r="ABM93" s="15"/>
      <c r="ABN93" s="15"/>
      <c r="ABO93" s="15"/>
      <c r="ABP93" s="15"/>
      <c r="ABQ93" s="15"/>
      <c r="ABR93" s="15"/>
      <c r="ABS93" s="15"/>
      <c r="ABT93" s="15"/>
      <c r="ABU93" s="15"/>
      <c r="ABV93" s="15"/>
      <c r="ABW93" s="15"/>
      <c r="ABX93" s="15"/>
      <c r="ABY93" s="15"/>
      <c r="ABZ93" s="15"/>
      <c r="ACA93" s="15"/>
      <c r="ACB93" s="15"/>
      <c r="ACC93" s="15"/>
      <c r="ACD93" s="15"/>
      <c r="ACE93" s="15"/>
      <c r="ACF93" s="15"/>
      <c r="ACG93" s="15"/>
      <c r="ACH93" s="15"/>
      <c r="ACI93" s="15"/>
      <c r="ACJ93" s="15"/>
      <c r="ACK93" s="15"/>
      <c r="ACL93" s="15"/>
      <c r="ACM93" s="15"/>
      <c r="ACN93" s="15"/>
      <c r="ACO93" s="15"/>
      <c r="ACP93" s="15"/>
      <c r="ACQ93" s="15"/>
      <c r="ACR93" s="15"/>
      <c r="ACS93" s="15"/>
      <c r="ACT93" s="15"/>
      <c r="ACU93" s="15"/>
      <c r="ACV93" s="15"/>
      <c r="ACW93" s="15"/>
      <c r="ACX93" s="15"/>
      <c r="ACY93" s="15"/>
      <c r="ACZ93" s="15"/>
      <c r="ADA93" s="15"/>
      <c r="ADB93" s="15"/>
      <c r="ADC93" s="15"/>
      <c r="ADD93" s="15"/>
      <c r="ADE93" s="15"/>
      <c r="ADF93" s="15"/>
      <c r="ADG93" s="15"/>
      <c r="ADH93" s="15"/>
      <c r="ADI93" s="15"/>
      <c r="ADJ93" s="15"/>
      <c r="ADK93" s="15"/>
      <c r="ADL93" s="15"/>
      <c r="ADM93" s="15"/>
      <c r="ADN93" s="15"/>
      <c r="ADO93" s="15"/>
      <c r="ADP93" s="15"/>
      <c r="ADQ93" s="15"/>
      <c r="ADR93" s="15"/>
      <c r="ADS93" s="15"/>
      <c r="ADT93" s="15"/>
      <c r="ADU93" s="15"/>
      <c r="ADV93" s="15"/>
      <c r="ADW93" s="15"/>
      <c r="ADX93" s="15"/>
      <c r="ADY93" s="15"/>
      <c r="ADZ93" s="15"/>
      <c r="AEA93" s="15"/>
      <c r="AEB93" s="15"/>
      <c r="AEC93" s="15"/>
      <c r="AED93" s="15"/>
      <c r="AEE93" s="15"/>
      <c r="AEF93" s="15"/>
      <c r="AEG93" s="15"/>
      <c r="AEH93" s="15"/>
      <c r="AEI93" s="15"/>
      <c r="AEJ93" s="15"/>
      <c r="AEK93" s="15"/>
      <c r="AEL93" s="15"/>
      <c r="AEM93" s="15"/>
      <c r="AEN93" s="15"/>
      <c r="AEO93" s="15"/>
      <c r="AEP93" s="15"/>
      <c r="AEQ93" s="15"/>
      <c r="AER93" s="15"/>
      <c r="AES93" s="15"/>
      <c r="AET93" s="15"/>
      <c r="AEU93" s="15"/>
      <c r="AEV93" s="15"/>
      <c r="AEW93" s="15"/>
      <c r="AEX93" s="15"/>
      <c r="AEY93" s="15"/>
      <c r="AEZ93" s="15"/>
      <c r="AFA93" s="15"/>
      <c r="AFB93" s="15"/>
      <c r="AFC93" s="15"/>
      <c r="AFD93" s="15"/>
      <c r="AFE93" s="15"/>
      <c r="AFF93" s="15"/>
      <c r="AFG93" s="15"/>
      <c r="AFH93" s="15"/>
      <c r="AFI93" s="15"/>
      <c r="AFJ93" s="15"/>
      <c r="AFK93" s="15"/>
      <c r="AFL93" s="15"/>
      <c r="AFM93" s="15"/>
      <c r="AFN93" s="15"/>
      <c r="AFO93" s="15"/>
      <c r="AFP93" s="15"/>
      <c r="AFQ93" s="15"/>
      <c r="AFR93" s="15"/>
      <c r="AFS93" s="15"/>
      <c r="AFT93" s="15"/>
      <c r="AFU93" s="15"/>
      <c r="AFV93" s="15"/>
      <c r="AFW93" s="15"/>
      <c r="AFX93" s="15"/>
      <c r="AFY93" s="15"/>
      <c r="AFZ93" s="15"/>
      <c r="AGA93" s="15"/>
      <c r="AGB93" s="15"/>
      <c r="AGC93" s="15"/>
      <c r="AGD93" s="15"/>
      <c r="AGE93" s="15"/>
      <c r="AGF93" s="15"/>
      <c r="AGG93" s="15"/>
      <c r="AGH93" s="15"/>
      <c r="AGI93" s="15"/>
      <c r="AGJ93" s="15"/>
      <c r="AGK93" s="15"/>
      <c r="AGL93" s="15"/>
      <c r="AGM93" s="15"/>
      <c r="AGN93" s="15"/>
      <c r="AGO93" s="15"/>
      <c r="AGP93" s="15"/>
      <c r="AGQ93" s="15"/>
      <c r="AGR93" s="15"/>
      <c r="AGS93" s="15"/>
      <c r="AGT93" s="15"/>
      <c r="AGU93" s="15"/>
      <c r="AGV93" s="15"/>
      <c r="AGW93" s="15"/>
      <c r="AGX93" s="15"/>
      <c r="AGY93" s="15"/>
      <c r="AGZ93" s="15"/>
      <c r="AHA93" s="15"/>
      <c r="AHB93" s="15"/>
      <c r="AHC93" s="15"/>
      <c r="AHD93" s="15"/>
      <c r="AHE93" s="15"/>
      <c r="AHF93" s="15"/>
      <c r="AHG93" s="15"/>
      <c r="AHH93" s="15"/>
      <c r="AHI93" s="15"/>
      <c r="AHJ93" s="15"/>
      <c r="AHK93" s="15"/>
      <c r="AHL93" s="15"/>
      <c r="AHM93" s="15"/>
      <c r="AHN93" s="15"/>
      <c r="AHO93" s="15"/>
      <c r="AHP93" s="15"/>
      <c r="AHQ93" s="15"/>
      <c r="AHR93" s="15"/>
      <c r="AHS93" s="15"/>
      <c r="AHT93" s="15"/>
      <c r="AHU93" s="15"/>
      <c r="AHV93" s="15"/>
      <c r="AHW93" s="15"/>
      <c r="AHX93" s="15"/>
      <c r="AHY93" s="15"/>
      <c r="AHZ93" s="15"/>
      <c r="AIA93" s="15"/>
      <c r="AIB93" s="15"/>
      <c r="AIC93" s="15"/>
      <c r="AID93" s="15"/>
      <c r="AIE93" s="15"/>
      <c r="AIF93" s="15"/>
      <c r="AIG93" s="15"/>
      <c r="AIH93" s="15"/>
      <c r="AII93" s="15"/>
      <c r="AIJ93" s="15"/>
      <c r="AIK93" s="15"/>
      <c r="AIL93" s="15"/>
      <c r="AIM93" s="15"/>
      <c r="AIN93" s="15"/>
      <c r="AIO93" s="15"/>
      <c r="AIP93" s="15"/>
      <c r="AIQ93" s="15"/>
      <c r="AIR93" s="15"/>
      <c r="AIS93" s="15"/>
      <c r="AIT93" s="15"/>
      <c r="AIU93" s="15"/>
      <c r="AIV93" s="15"/>
      <c r="AIW93" s="15"/>
      <c r="AIX93" s="15"/>
      <c r="AIY93" s="15"/>
      <c r="AIZ93" s="15"/>
      <c r="AJA93" s="15"/>
      <c r="AJB93" s="15"/>
      <c r="AJC93" s="15"/>
      <c r="AJD93" s="15"/>
      <c r="AJE93" s="15"/>
      <c r="AJF93" s="15"/>
      <c r="AJG93" s="15"/>
      <c r="AJH93" s="15"/>
      <c r="AJI93" s="15"/>
      <c r="AJJ93" s="15"/>
      <c r="AJK93" s="15"/>
      <c r="AJL93" s="15"/>
      <c r="AJM93" s="15"/>
      <c r="AJN93" s="15"/>
      <c r="AJO93" s="15"/>
      <c r="AJP93" s="15"/>
      <c r="AJQ93" s="15"/>
      <c r="AJR93" s="15"/>
      <c r="AJS93" s="15"/>
      <c r="AJT93" s="15"/>
      <c r="AJU93" s="15"/>
      <c r="AJV93" s="15"/>
      <c r="AJW93" s="15"/>
      <c r="AJX93" s="15"/>
      <c r="AJY93" s="15"/>
      <c r="AJZ93" s="15"/>
      <c r="AKA93" s="15"/>
      <c r="AKB93" s="15"/>
      <c r="AKC93" s="15"/>
      <c r="AKD93" s="15"/>
      <c r="AKE93" s="15"/>
      <c r="AKF93" s="15"/>
      <c r="AKG93" s="15"/>
      <c r="AKH93" s="15"/>
      <c r="AKI93" s="15"/>
      <c r="AKJ93" s="15"/>
      <c r="AKK93" s="15"/>
      <c r="AKL93" s="15"/>
      <c r="AKM93" s="15"/>
      <c r="AKN93" s="15"/>
      <c r="AKO93" s="15"/>
      <c r="AKP93" s="15"/>
      <c r="AKQ93" s="15"/>
      <c r="AKR93" s="15"/>
      <c r="AKS93" s="15"/>
      <c r="AKT93" s="15"/>
      <c r="AKU93" s="15"/>
      <c r="AKV93" s="15"/>
      <c r="AKW93" s="15"/>
      <c r="AKX93" s="15"/>
      <c r="AKY93" s="15"/>
      <c r="AKZ93" s="15"/>
      <c r="ALA93" s="15"/>
      <c r="ALB93" s="15"/>
      <c r="ALC93" s="15"/>
      <c r="ALD93" s="15"/>
      <c r="ALE93" s="15"/>
      <c r="ALF93" s="15"/>
      <c r="ALG93" s="15"/>
      <c r="ALH93" s="15"/>
      <c r="ALI93" s="15"/>
      <c r="ALJ93" s="15"/>
      <c r="ALK93" s="15"/>
      <c r="ALL93" s="15"/>
      <c r="ALM93" s="15"/>
      <c r="ALN93" s="15"/>
      <c r="ALO93" s="15"/>
      <c r="ALP93" s="15"/>
      <c r="ALQ93" s="15"/>
      <c r="ALR93" s="15"/>
      <c r="ALS93" s="15"/>
      <c r="ALT93" s="15"/>
      <c r="ALU93" s="15"/>
      <c r="ALV93" s="15"/>
      <c r="ALW93" s="15"/>
      <c r="ALX93" s="15"/>
      <c r="ALY93" s="15"/>
      <c r="ALZ93" s="15"/>
      <c r="AMA93" s="15"/>
      <c r="AMB93" s="15"/>
      <c r="AMC93" s="15"/>
      <c r="AMD93" s="15"/>
      <c r="AME93" s="15"/>
      <c r="AMF93" s="15"/>
      <c r="AMG93" s="14"/>
      <c r="AMH93" s="14"/>
      <c r="AMI93" s="14"/>
      <c r="AMJ93" s="14"/>
    </row>
    <row r="94" spans="1:1024" s="13" customFormat="1" ht="86.15" hidden="1" customHeight="1" x14ac:dyDescent="0.35">
      <c r="A94" s="19">
        <v>43663</v>
      </c>
      <c r="B94" s="17" t="s">
        <v>273</v>
      </c>
      <c r="C94" s="17" t="s">
        <v>272</v>
      </c>
      <c r="D94" s="18">
        <v>43666</v>
      </c>
      <c r="E94" s="17" t="s">
        <v>271</v>
      </c>
      <c r="F94" s="26">
        <v>0.4375</v>
      </c>
      <c r="G94" s="26">
        <v>0.52083333333333304</v>
      </c>
      <c r="H94" s="26">
        <v>0.54166666666666696</v>
      </c>
      <c r="I94" s="100">
        <v>109</v>
      </c>
      <c r="J94" s="101" t="s">
        <v>270</v>
      </c>
      <c r="K94" s="17" t="s">
        <v>119</v>
      </c>
      <c r="L94" s="16" t="s">
        <v>17</v>
      </c>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15"/>
      <c r="CB94" s="15"/>
      <c r="CC94" s="15"/>
      <c r="CD94" s="15"/>
      <c r="CE94" s="15"/>
      <c r="CF94" s="15"/>
      <c r="CG94" s="15"/>
      <c r="CH94" s="15"/>
      <c r="CI94" s="15"/>
      <c r="CJ94" s="15"/>
      <c r="CK94" s="15"/>
      <c r="CL94" s="15"/>
      <c r="CM94" s="15"/>
      <c r="CN94" s="15"/>
      <c r="CO94" s="15"/>
      <c r="CP94" s="15"/>
      <c r="CQ94" s="15"/>
      <c r="CR94" s="15"/>
      <c r="CS94" s="15"/>
      <c r="CT94" s="15"/>
      <c r="CU94" s="15"/>
      <c r="CV94" s="15"/>
      <c r="CW94" s="15"/>
      <c r="CX94" s="15"/>
      <c r="CY94" s="15"/>
      <c r="CZ94" s="15"/>
      <c r="DA94" s="15"/>
      <c r="DB94" s="15"/>
      <c r="DC94" s="15"/>
      <c r="DD94" s="15"/>
      <c r="DE94" s="15"/>
      <c r="DF94" s="15"/>
      <c r="DG94" s="15"/>
      <c r="DH94" s="15"/>
      <c r="DI94" s="15"/>
      <c r="DJ94" s="15"/>
      <c r="DK94" s="15"/>
      <c r="DL94" s="15"/>
      <c r="DM94" s="15"/>
      <c r="DN94" s="15"/>
      <c r="DO94" s="15"/>
      <c r="DP94" s="15"/>
      <c r="DQ94" s="15"/>
      <c r="DR94" s="15"/>
      <c r="DS94" s="15"/>
      <c r="DT94" s="15"/>
      <c r="DU94" s="15"/>
      <c r="DV94" s="15"/>
      <c r="DW94" s="15"/>
      <c r="DX94" s="15"/>
      <c r="DY94" s="15"/>
      <c r="DZ94" s="15"/>
      <c r="EA94" s="15"/>
      <c r="EB94" s="15"/>
      <c r="EC94" s="15"/>
      <c r="ED94" s="15"/>
      <c r="EE94" s="15"/>
      <c r="EF94" s="15"/>
      <c r="EG94" s="15"/>
      <c r="EH94" s="15"/>
      <c r="EI94" s="15"/>
      <c r="EJ94" s="15"/>
      <c r="EK94" s="15"/>
      <c r="EL94" s="15"/>
      <c r="EM94" s="15"/>
      <c r="EN94" s="15"/>
      <c r="EO94" s="15"/>
      <c r="EP94" s="15"/>
      <c r="EQ94" s="15"/>
      <c r="ER94" s="15"/>
      <c r="ES94" s="15"/>
      <c r="ET94" s="15"/>
      <c r="EU94" s="15"/>
      <c r="EV94" s="15"/>
      <c r="EW94" s="15"/>
      <c r="EX94" s="15"/>
      <c r="EY94" s="15"/>
      <c r="EZ94" s="15"/>
      <c r="FA94" s="15"/>
      <c r="FB94" s="15"/>
      <c r="FC94" s="15"/>
      <c r="FD94" s="15"/>
      <c r="FE94" s="15"/>
      <c r="FF94" s="15"/>
      <c r="FG94" s="15"/>
      <c r="FH94" s="15"/>
      <c r="FI94" s="15"/>
      <c r="FJ94" s="15"/>
      <c r="FK94" s="15"/>
      <c r="FL94" s="15"/>
      <c r="FM94" s="15"/>
      <c r="FN94" s="15"/>
      <c r="FO94" s="15"/>
      <c r="FP94" s="15"/>
      <c r="FQ94" s="15"/>
      <c r="FR94" s="15"/>
      <c r="FS94" s="15"/>
      <c r="FT94" s="15"/>
      <c r="FU94" s="15"/>
      <c r="FV94" s="15"/>
      <c r="FW94" s="15"/>
      <c r="FX94" s="15"/>
      <c r="FY94" s="15"/>
      <c r="FZ94" s="15"/>
      <c r="GA94" s="15"/>
      <c r="GB94" s="15"/>
      <c r="GC94" s="15"/>
      <c r="GD94" s="15"/>
      <c r="GE94" s="15"/>
      <c r="GF94" s="15"/>
      <c r="GG94" s="15"/>
      <c r="GH94" s="15"/>
      <c r="GI94" s="15"/>
      <c r="GJ94" s="15"/>
      <c r="GK94" s="15"/>
      <c r="GL94" s="15"/>
      <c r="GM94" s="15"/>
      <c r="GN94" s="15"/>
      <c r="GO94" s="15"/>
      <c r="GP94" s="15"/>
      <c r="GQ94" s="15"/>
      <c r="GR94" s="15"/>
      <c r="GS94" s="15"/>
      <c r="GT94" s="15"/>
      <c r="GU94" s="15"/>
      <c r="GV94" s="15"/>
      <c r="GW94" s="15"/>
      <c r="GX94" s="15"/>
      <c r="GY94" s="15"/>
      <c r="GZ94" s="15"/>
      <c r="HA94" s="15"/>
      <c r="HB94" s="15"/>
      <c r="HC94" s="15"/>
      <c r="HD94" s="15"/>
      <c r="HE94" s="15"/>
      <c r="HF94" s="15"/>
      <c r="HG94" s="15"/>
      <c r="HH94" s="15"/>
      <c r="HI94" s="15"/>
      <c r="HJ94" s="15"/>
      <c r="HK94" s="15"/>
      <c r="HL94" s="15"/>
      <c r="HM94" s="15"/>
      <c r="HN94" s="15"/>
      <c r="HO94" s="15"/>
      <c r="HP94" s="15"/>
      <c r="HQ94" s="15"/>
      <c r="HR94" s="15"/>
      <c r="HS94" s="15"/>
      <c r="HT94" s="15"/>
      <c r="HU94" s="15"/>
      <c r="HV94" s="15"/>
      <c r="HW94" s="15"/>
      <c r="HX94" s="15"/>
      <c r="HY94" s="15"/>
      <c r="HZ94" s="15"/>
      <c r="IA94" s="15"/>
      <c r="IB94" s="15"/>
      <c r="IC94" s="15"/>
      <c r="ID94" s="15"/>
      <c r="IE94" s="15"/>
      <c r="IF94" s="15"/>
      <c r="IG94" s="15"/>
      <c r="IH94" s="15"/>
      <c r="II94" s="15"/>
      <c r="IJ94" s="15"/>
      <c r="IK94" s="15"/>
      <c r="IL94" s="15"/>
      <c r="IM94" s="15"/>
      <c r="IN94" s="15"/>
      <c r="IO94" s="15"/>
      <c r="IP94" s="15"/>
      <c r="IQ94" s="15"/>
      <c r="IR94" s="15"/>
      <c r="IS94" s="15"/>
      <c r="IT94" s="15"/>
      <c r="IU94" s="15"/>
      <c r="IV94" s="15"/>
      <c r="IW94" s="15"/>
      <c r="IX94" s="15"/>
      <c r="IY94" s="15"/>
      <c r="IZ94" s="15"/>
      <c r="JA94" s="15"/>
      <c r="JB94" s="15"/>
      <c r="JC94" s="15"/>
      <c r="JD94" s="15"/>
      <c r="JE94" s="15"/>
      <c r="JF94" s="15"/>
      <c r="JG94" s="15"/>
      <c r="JH94" s="15"/>
      <c r="JI94" s="15"/>
      <c r="JJ94" s="15"/>
      <c r="JK94" s="15"/>
      <c r="JL94" s="15"/>
      <c r="JM94" s="15"/>
      <c r="JN94" s="15"/>
      <c r="JO94" s="15"/>
      <c r="JP94" s="15"/>
      <c r="JQ94" s="15"/>
      <c r="JR94" s="15"/>
      <c r="JS94" s="15"/>
      <c r="JT94" s="15"/>
      <c r="JU94" s="15"/>
      <c r="JV94" s="15"/>
      <c r="JW94" s="15"/>
      <c r="JX94" s="15"/>
      <c r="JY94" s="15"/>
      <c r="JZ94" s="15"/>
      <c r="KA94" s="15"/>
      <c r="KB94" s="15"/>
      <c r="KC94" s="15"/>
      <c r="KD94" s="15"/>
      <c r="KE94" s="15"/>
      <c r="KF94" s="15"/>
      <c r="KG94" s="15"/>
      <c r="KH94" s="15"/>
      <c r="KI94" s="15"/>
      <c r="KJ94" s="15"/>
      <c r="KK94" s="15"/>
      <c r="KL94" s="15"/>
      <c r="KM94" s="15"/>
      <c r="KN94" s="15"/>
      <c r="KO94" s="15"/>
      <c r="KP94" s="15"/>
      <c r="KQ94" s="15"/>
      <c r="KR94" s="15"/>
      <c r="KS94" s="15"/>
      <c r="KT94" s="15"/>
      <c r="KU94" s="15"/>
      <c r="KV94" s="15"/>
      <c r="KW94" s="15"/>
      <c r="KX94" s="15"/>
      <c r="KY94" s="15"/>
      <c r="KZ94" s="15"/>
      <c r="LA94" s="15"/>
      <c r="LB94" s="15"/>
      <c r="LC94" s="15"/>
      <c r="LD94" s="15"/>
      <c r="LE94" s="15"/>
      <c r="LF94" s="15"/>
      <c r="LG94" s="15"/>
      <c r="LH94" s="15"/>
      <c r="LI94" s="15"/>
      <c r="LJ94" s="15"/>
      <c r="LK94" s="15"/>
      <c r="LL94" s="15"/>
      <c r="LM94" s="15"/>
      <c r="LN94" s="15"/>
      <c r="LO94" s="15"/>
      <c r="LP94" s="15"/>
      <c r="LQ94" s="15"/>
      <c r="LR94" s="15"/>
      <c r="LS94" s="15"/>
      <c r="LT94" s="15"/>
      <c r="LU94" s="15"/>
      <c r="LV94" s="15"/>
      <c r="LW94" s="15"/>
      <c r="LX94" s="15"/>
      <c r="LY94" s="15"/>
      <c r="LZ94" s="15"/>
      <c r="MA94" s="15"/>
      <c r="MB94" s="15"/>
      <c r="MC94" s="15"/>
      <c r="MD94" s="15"/>
      <c r="ME94" s="15"/>
      <c r="MF94" s="15"/>
      <c r="MG94" s="15"/>
      <c r="MH94" s="15"/>
      <c r="MI94" s="15"/>
      <c r="MJ94" s="15"/>
      <c r="MK94" s="15"/>
      <c r="ML94" s="15"/>
      <c r="MM94" s="15"/>
      <c r="MN94" s="15"/>
      <c r="MO94" s="15"/>
      <c r="MP94" s="15"/>
      <c r="MQ94" s="15"/>
      <c r="MR94" s="15"/>
      <c r="MS94" s="15"/>
      <c r="MT94" s="15"/>
      <c r="MU94" s="15"/>
      <c r="MV94" s="15"/>
      <c r="MW94" s="15"/>
      <c r="MX94" s="15"/>
      <c r="MY94" s="15"/>
      <c r="MZ94" s="15"/>
      <c r="NA94" s="15"/>
      <c r="NB94" s="15"/>
      <c r="NC94" s="15"/>
      <c r="ND94" s="15"/>
      <c r="NE94" s="15"/>
      <c r="NF94" s="15"/>
      <c r="NG94" s="15"/>
      <c r="NH94" s="15"/>
      <c r="NI94" s="15"/>
      <c r="NJ94" s="15"/>
      <c r="NK94" s="15"/>
      <c r="NL94" s="15"/>
      <c r="NM94" s="15"/>
      <c r="NN94" s="15"/>
      <c r="NO94" s="15"/>
      <c r="NP94" s="15"/>
      <c r="NQ94" s="15"/>
      <c r="NR94" s="15"/>
      <c r="NS94" s="15"/>
      <c r="NT94" s="15"/>
      <c r="NU94" s="15"/>
      <c r="NV94" s="15"/>
      <c r="NW94" s="15"/>
      <c r="NX94" s="15"/>
      <c r="NY94" s="15"/>
      <c r="NZ94" s="15"/>
      <c r="OA94" s="15"/>
      <c r="OB94" s="15"/>
      <c r="OC94" s="15"/>
      <c r="OD94" s="15"/>
      <c r="OE94" s="15"/>
      <c r="OF94" s="15"/>
      <c r="OG94" s="15"/>
      <c r="OH94" s="15"/>
      <c r="OI94" s="15"/>
      <c r="OJ94" s="15"/>
      <c r="OK94" s="15"/>
      <c r="OL94" s="15"/>
      <c r="OM94" s="15"/>
      <c r="ON94" s="15"/>
      <c r="OO94" s="15"/>
      <c r="OP94" s="15"/>
      <c r="OQ94" s="15"/>
      <c r="OR94" s="15"/>
      <c r="OS94" s="15"/>
      <c r="OT94" s="15"/>
      <c r="OU94" s="15"/>
      <c r="OV94" s="15"/>
      <c r="OW94" s="15"/>
      <c r="OX94" s="15"/>
      <c r="OY94" s="15"/>
      <c r="OZ94" s="15"/>
      <c r="PA94" s="15"/>
      <c r="PB94" s="15"/>
      <c r="PC94" s="15"/>
      <c r="PD94" s="15"/>
      <c r="PE94" s="15"/>
      <c r="PF94" s="15"/>
      <c r="PG94" s="15"/>
      <c r="PH94" s="15"/>
      <c r="PI94" s="15"/>
      <c r="PJ94" s="15"/>
      <c r="PK94" s="15"/>
      <c r="PL94" s="15"/>
      <c r="PM94" s="15"/>
      <c r="PN94" s="15"/>
      <c r="PO94" s="15"/>
      <c r="PP94" s="15"/>
      <c r="PQ94" s="15"/>
      <c r="PR94" s="15"/>
      <c r="PS94" s="15"/>
      <c r="PT94" s="15"/>
      <c r="PU94" s="15"/>
      <c r="PV94" s="15"/>
      <c r="PW94" s="15"/>
      <c r="PX94" s="15"/>
      <c r="PY94" s="15"/>
      <c r="PZ94" s="15"/>
      <c r="QA94" s="15"/>
      <c r="QB94" s="15"/>
      <c r="QC94" s="15"/>
      <c r="QD94" s="15"/>
      <c r="QE94" s="15"/>
      <c r="QF94" s="15"/>
      <c r="QG94" s="15"/>
      <c r="QH94" s="15"/>
      <c r="QI94" s="15"/>
      <c r="QJ94" s="15"/>
      <c r="QK94" s="15"/>
      <c r="QL94" s="15"/>
      <c r="QM94" s="15"/>
      <c r="QN94" s="15"/>
      <c r="QO94" s="15"/>
      <c r="QP94" s="15"/>
      <c r="QQ94" s="15"/>
      <c r="QR94" s="15"/>
      <c r="QS94" s="15"/>
      <c r="QT94" s="15"/>
      <c r="QU94" s="15"/>
      <c r="QV94" s="15"/>
      <c r="QW94" s="15"/>
      <c r="QX94" s="15"/>
      <c r="QY94" s="15"/>
      <c r="QZ94" s="15"/>
      <c r="RA94" s="15"/>
      <c r="RB94" s="15"/>
      <c r="RC94" s="15"/>
      <c r="RD94" s="15"/>
      <c r="RE94" s="15"/>
      <c r="RF94" s="15"/>
      <c r="RG94" s="15"/>
      <c r="RH94" s="15"/>
      <c r="RI94" s="15"/>
      <c r="RJ94" s="15"/>
      <c r="RK94" s="15"/>
      <c r="RL94" s="15"/>
      <c r="RM94" s="15"/>
      <c r="RN94" s="15"/>
      <c r="RO94" s="15"/>
      <c r="RP94" s="15"/>
      <c r="RQ94" s="15"/>
      <c r="RR94" s="15"/>
      <c r="RS94" s="15"/>
      <c r="RT94" s="15"/>
      <c r="RU94" s="15"/>
      <c r="RV94" s="15"/>
      <c r="RW94" s="15"/>
      <c r="RX94" s="15"/>
      <c r="RY94" s="15"/>
      <c r="RZ94" s="15"/>
      <c r="SA94" s="15"/>
      <c r="SB94" s="15"/>
      <c r="SC94" s="15"/>
      <c r="SD94" s="15"/>
      <c r="SE94" s="15"/>
      <c r="SF94" s="15"/>
      <c r="SG94" s="15"/>
      <c r="SH94" s="15"/>
      <c r="SI94" s="15"/>
      <c r="SJ94" s="15"/>
      <c r="SK94" s="15"/>
      <c r="SL94" s="15"/>
      <c r="SM94" s="15"/>
      <c r="SN94" s="15"/>
      <c r="SO94" s="15"/>
      <c r="SP94" s="15"/>
      <c r="SQ94" s="15"/>
      <c r="SR94" s="15"/>
      <c r="SS94" s="15"/>
      <c r="ST94" s="15"/>
      <c r="SU94" s="15"/>
      <c r="SV94" s="15"/>
      <c r="SW94" s="15"/>
      <c r="SX94" s="15"/>
      <c r="SY94" s="15"/>
      <c r="SZ94" s="15"/>
      <c r="TA94" s="15"/>
      <c r="TB94" s="15"/>
      <c r="TC94" s="15"/>
      <c r="TD94" s="15"/>
      <c r="TE94" s="15"/>
      <c r="TF94" s="15"/>
      <c r="TG94" s="15"/>
      <c r="TH94" s="15"/>
      <c r="TI94" s="15"/>
      <c r="TJ94" s="15"/>
      <c r="TK94" s="15"/>
      <c r="TL94" s="15"/>
      <c r="TM94" s="15"/>
      <c r="TN94" s="15"/>
      <c r="TO94" s="15"/>
      <c r="TP94" s="15"/>
      <c r="TQ94" s="15"/>
      <c r="TR94" s="15"/>
      <c r="TS94" s="15"/>
      <c r="TT94" s="15"/>
      <c r="TU94" s="15"/>
      <c r="TV94" s="15"/>
      <c r="TW94" s="15"/>
      <c r="TX94" s="15"/>
      <c r="TY94" s="15"/>
      <c r="TZ94" s="15"/>
      <c r="UA94" s="15"/>
      <c r="UB94" s="15"/>
      <c r="UC94" s="15"/>
      <c r="UD94" s="15"/>
      <c r="UE94" s="15"/>
      <c r="UF94" s="15"/>
      <c r="UG94" s="15"/>
      <c r="UH94" s="15"/>
      <c r="UI94" s="15"/>
      <c r="UJ94" s="15"/>
      <c r="UK94" s="15"/>
      <c r="UL94" s="15"/>
      <c r="UM94" s="15"/>
      <c r="UN94" s="15"/>
      <c r="UO94" s="15"/>
      <c r="UP94" s="15"/>
      <c r="UQ94" s="15"/>
      <c r="UR94" s="15"/>
      <c r="US94" s="15"/>
      <c r="UT94" s="15"/>
      <c r="UU94" s="15"/>
      <c r="UV94" s="15"/>
      <c r="UW94" s="15"/>
      <c r="UX94" s="15"/>
      <c r="UY94" s="15"/>
      <c r="UZ94" s="15"/>
      <c r="VA94" s="15"/>
      <c r="VB94" s="15"/>
      <c r="VC94" s="15"/>
      <c r="VD94" s="15"/>
      <c r="VE94" s="15"/>
      <c r="VF94" s="15"/>
      <c r="VG94" s="15"/>
      <c r="VH94" s="15"/>
      <c r="VI94" s="15"/>
      <c r="VJ94" s="15"/>
      <c r="VK94" s="15"/>
      <c r="VL94" s="15"/>
      <c r="VM94" s="15"/>
      <c r="VN94" s="15"/>
      <c r="VO94" s="15"/>
      <c r="VP94" s="15"/>
      <c r="VQ94" s="15"/>
      <c r="VR94" s="15"/>
      <c r="VS94" s="15"/>
      <c r="VT94" s="15"/>
      <c r="VU94" s="15"/>
      <c r="VV94" s="15"/>
      <c r="VW94" s="15"/>
      <c r="VX94" s="15"/>
      <c r="VY94" s="15"/>
      <c r="VZ94" s="15"/>
      <c r="WA94" s="15"/>
      <c r="WB94" s="15"/>
      <c r="WC94" s="15"/>
      <c r="WD94" s="15"/>
      <c r="WE94" s="15"/>
      <c r="WF94" s="15"/>
      <c r="WG94" s="15"/>
      <c r="WH94" s="15"/>
      <c r="WI94" s="15"/>
      <c r="WJ94" s="15"/>
      <c r="WK94" s="15"/>
      <c r="WL94" s="15"/>
      <c r="WM94" s="15"/>
      <c r="WN94" s="15"/>
      <c r="WO94" s="15"/>
      <c r="WP94" s="15"/>
      <c r="WQ94" s="15"/>
      <c r="WR94" s="15"/>
      <c r="WS94" s="15"/>
      <c r="WT94" s="15"/>
      <c r="WU94" s="15"/>
      <c r="WV94" s="15"/>
      <c r="WW94" s="15"/>
      <c r="WX94" s="15"/>
      <c r="WY94" s="15"/>
      <c r="WZ94" s="15"/>
      <c r="XA94" s="15"/>
      <c r="XB94" s="15"/>
      <c r="XC94" s="15"/>
      <c r="XD94" s="15"/>
      <c r="XE94" s="15"/>
      <c r="XF94" s="15"/>
      <c r="XG94" s="15"/>
      <c r="XH94" s="15"/>
      <c r="XI94" s="15"/>
      <c r="XJ94" s="15"/>
      <c r="XK94" s="15"/>
      <c r="XL94" s="15"/>
      <c r="XM94" s="15"/>
      <c r="XN94" s="15"/>
      <c r="XO94" s="15"/>
      <c r="XP94" s="15"/>
      <c r="XQ94" s="15"/>
      <c r="XR94" s="15"/>
      <c r="XS94" s="15"/>
      <c r="XT94" s="15"/>
      <c r="XU94" s="15"/>
      <c r="XV94" s="15"/>
      <c r="XW94" s="15"/>
      <c r="XX94" s="15"/>
      <c r="XY94" s="15"/>
      <c r="XZ94" s="15"/>
      <c r="YA94" s="15"/>
      <c r="YB94" s="15"/>
      <c r="YC94" s="15"/>
      <c r="YD94" s="15"/>
      <c r="YE94" s="15"/>
      <c r="YF94" s="15"/>
      <c r="YG94" s="15"/>
      <c r="YH94" s="15"/>
      <c r="YI94" s="15"/>
      <c r="YJ94" s="15"/>
      <c r="YK94" s="15"/>
      <c r="YL94" s="15"/>
      <c r="YM94" s="15"/>
      <c r="YN94" s="15"/>
      <c r="YO94" s="15"/>
      <c r="YP94" s="15"/>
      <c r="YQ94" s="15"/>
      <c r="YR94" s="15"/>
      <c r="YS94" s="15"/>
      <c r="YT94" s="15"/>
      <c r="YU94" s="15"/>
      <c r="YV94" s="15"/>
      <c r="YW94" s="15"/>
      <c r="YX94" s="15"/>
      <c r="YY94" s="15"/>
      <c r="YZ94" s="15"/>
      <c r="ZA94" s="15"/>
      <c r="ZB94" s="15"/>
      <c r="ZC94" s="15"/>
      <c r="ZD94" s="15"/>
      <c r="ZE94" s="15"/>
      <c r="ZF94" s="15"/>
      <c r="ZG94" s="15"/>
      <c r="ZH94" s="15"/>
      <c r="ZI94" s="15"/>
      <c r="ZJ94" s="15"/>
      <c r="ZK94" s="15"/>
      <c r="ZL94" s="15"/>
      <c r="ZM94" s="15"/>
      <c r="ZN94" s="15"/>
      <c r="ZO94" s="15"/>
      <c r="ZP94" s="15"/>
      <c r="ZQ94" s="15"/>
      <c r="ZR94" s="15"/>
      <c r="ZS94" s="15"/>
      <c r="ZT94" s="15"/>
      <c r="ZU94" s="15"/>
      <c r="ZV94" s="15"/>
      <c r="ZW94" s="15"/>
      <c r="ZX94" s="15"/>
      <c r="ZY94" s="15"/>
      <c r="ZZ94" s="15"/>
      <c r="AAA94" s="15"/>
      <c r="AAB94" s="15"/>
      <c r="AAC94" s="15"/>
      <c r="AAD94" s="15"/>
      <c r="AAE94" s="15"/>
      <c r="AAF94" s="15"/>
      <c r="AAG94" s="15"/>
      <c r="AAH94" s="15"/>
      <c r="AAI94" s="15"/>
      <c r="AAJ94" s="15"/>
      <c r="AAK94" s="15"/>
      <c r="AAL94" s="15"/>
      <c r="AAM94" s="15"/>
      <c r="AAN94" s="15"/>
      <c r="AAO94" s="15"/>
      <c r="AAP94" s="15"/>
      <c r="AAQ94" s="15"/>
      <c r="AAR94" s="15"/>
      <c r="AAS94" s="15"/>
      <c r="AAT94" s="15"/>
      <c r="AAU94" s="15"/>
      <c r="AAV94" s="15"/>
      <c r="AAW94" s="15"/>
      <c r="AAX94" s="15"/>
      <c r="AAY94" s="15"/>
      <c r="AAZ94" s="15"/>
      <c r="ABA94" s="15"/>
      <c r="ABB94" s="15"/>
      <c r="ABC94" s="15"/>
      <c r="ABD94" s="15"/>
      <c r="ABE94" s="15"/>
      <c r="ABF94" s="15"/>
      <c r="ABG94" s="15"/>
      <c r="ABH94" s="15"/>
      <c r="ABI94" s="15"/>
      <c r="ABJ94" s="15"/>
      <c r="ABK94" s="15"/>
      <c r="ABL94" s="15"/>
      <c r="ABM94" s="15"/>
      <c r="ABN94" s="15"/>
      <c r="ABO94" s="15"/>
      <c r="ABP94" s="15"/>
      <c r="ABQ94" s="15"/>
      <c r="ABR94" s="15"/>
      <c r="ABS94" s="15"/>
      <c r="ABT94" s="15"/>
      <c r="ABU94" s="15"/>
      <c r="ABV94" s="15"/>
      <c r="ABW94" s="15"/>
      <c r="ABX94" s="15"/>
      <c r="ABY94" s="15"/>
      <c r="ABZ94" s="15"/>
      <c r="ACA94" s="15"/>
      <c r="ACB94" s="15"/>
      <c r="ACC94" s="15"/>
      <c r="ACD94" s="15"/>
      <c r="ACE94" s="15"/>
      <c r="ACF94" s="15"/>
      <c r="ACG94" s="15"/>
      <c r="ACH94" s="15"/>
      <c r="ACI94" s="15"/>
      <c r="ACJ94" s="15"/>
      <c r="ACK94" s="15"/>
      <c r="ACL94" s="15"/>
      <c r="ACM94" s="15"/>
      <c r="ACN94" s="15"/>
      <c r="ACO94" s="15"/>
      <c r="ACP94" s="15"/>
      <c r="ACQ94" s="15"/>
      <c r="ACR94" s="15"/>
      <c r="ACS94" s="15"/>
      <c r="ACT94" s="15"/>
      <c r="ACU94" s="15"/>
      <c r="ACV94" s="15"/>
      <c r="ACW94" s="15"/>
      <c r="ACX94" s="15"/>
      <c r="ACY94" s="15"/>
      <c r="ACZ94" s="15"/>
      <c r="ADA94" s="15"/>
      <c r="ADB94" s="15"/>
      <c r="ADC94" s="15"/>
      <c r="ADD94" s="15"/>
      <c r="ADE94" s="15"/>
      <c r="ADF94" s="15"/>
      <c r="ADG94" s="15"/>
      <c r="ADH94" s="15"/>
      <c r="ADI94" s="15"/>
      <c r="ADJ94" s="15"/>
      <c r="ADK94" s="15"/>
      <c r="ADL94" s="15"/>
      <c r="ADM94" s="15"/>
      <c r="ADN94" s="15"/>
      <c r="ADO94" s="15"/>
      <c r="ADP94" s="15"/>
      <c r="ADQ94" s="15"/>
      <c r="ADR94" s="15"/>
      <c r="ADS94" s="15"/>
      <c r="ADT94" s="15"/>
      <c r="ADU94" s="15"/>
      <c r="ADV94" s="15"/>
      <c r="ADW94" s="15"/>
      <c r="ADX94" s="15"/>
      <c r="ADY94" s="15"/>
      <c r="ADZ94" s="15"/>
      <c r="AEA94" s="15"/>
      <c r="AEB94" s="15"/>
      <c r="AEC94" s="15"/>
      <c r="AED94" s="15"/>
      <c r="AEE94" s="15"/>
      <c r="AEF94" s="15"/>
      <c r="AEG94" s="15"/>
      <c r="AEH94" s="15"/>
      <c r="AEI94" s="15"/>
      <c r="AEJ94" s="15"/>
      <c r="AEK94" s="15"/>
      <c r="AEL94" s="15"/>
      <c r="AEM94" s="15"/>
      <c r="AEN94" s="15"/>
      <c r="AEO94" s="15"/>
      <c r="AEP94" s="15"/>
      <c r="AEQ94" s="15"/>
      <c r="AER94" s="15"/>
      <c r="AES94" s="15"/>
      <c r="AET94" s="15"/>
      <c r="AEU94" s="15"/>
      <c r="AEV94" s="15"/>
      <c r="AEW94" s="15"/>
      <c r="AEX94" s="15"/>
      <c r="AEY94" s="15"/>
      <c r="AEZ94" s="15"/>
      <c r="AFA94" s="15"/>
      <c r="AFB94" s="15"/>
      <c r="AFC94" s="15"/>
      <c r="AFD94" s="15"/>
      <c r="AFE94" s="15"/>
      <c r="AFF94" s="15"/>
      <c r="AFG94" s="15"/>
      <c r="AFH94" s="15"/>
      <c r="AFI94" s="15"/>
      <c r="AFJ94" s="15"/>
      <c r="AFK94" s="15"/>
      <c r="AFL94" s="15"/>
      <c r="AFM94" s="15"/>
      <c r="AFN94" s="15"/>
      <c r="AFO94" s="15"/>
      <c r="AFP94" s="15"/>
      <c r="AFQ94" s="15"/>
      <c r="AFR94" s="15"/>
      <c r="AFS94" s="15"/>
      <c r="AFT94" s="15"/>
      <c r="AFU94" s="15"/>
      <c r="AFV94" s="15"/>
      <c r="AFW94" s="15"/>
      <c r="AFX94" s="15"/>
      <c r="AFY94" s="15"/>
      <c r="AFZ94" s="15"/>
      <c r="AGA94" s="15"/>
      <c r="AGB94" s="15"/>
      <c r="AGC94" s="15"/>
      <c r="AGD94" s="15"/>
      <c r="AGE94" s="15"/>
      <c r="AGF94" s="15"/>
      <c r="AGG94" s="15"/>
      <c r="AGH94" s="15"/>
      <c r="AGI94" s="15"/>
      <c r="AGJ94" s="15"/>
      <c r="AGK94" s="15"/>
      <c r="AGL94" s="15"/>
      <c r="AGM94" s="15"/>
      <c r="AGN94" s="15"/>
      <c r="AGO94" s="15"/>
      <c r="AGP94" s="15"/>
      <c r="AGQ94" s="15"/>
      <c r="AGR94" s="15"/>
      <c r="AGS94" s="15"/>
      <c r="AGT94" s="15"/>
      <c r="AGU94" s="15"/>
      <c r="AGV94" s="15"/>
      <c r="AGW94" s="15"/>
      <c r="AGX94" s="15"/>
      <c r="AGY94" s="15"/>
      <c r="AGZ94" s="15"/>
      <c r="AHA94" s="15"/>
      <c r="AHB94" s="15"/>
      <c r="AHC94" s="15"/>
      <c r="AHD94" s="15"/>
      <c r="AHE94" s="15"/>
      <c r="AHF94" s="15"/>
      <c r="AHG94" s="15"/>
      <c r="AHH94" s="15"/>
      <c r="AHI94" s="15"/>
      <c r="AHJ94" s="15"/>
      <c r="AHK94" s="15"/>
      <c r="AHL94" s="15"/>
      <c r="AHM94" s="15"/>
      <c r="AHN94" s="15"/>
      <c r="AHO94" s="15"/>
      <c r="AHP94" s="15"/>
      <c r="AHQ94" s="15"/>
      <c r="AHR94" s="15"/>
      <c r="AHS94" s="15"/>
      <c r="AHT94" s="15"/>
      <c r="AHU94" s="15"/>
      <c r="AHV94" s="15"/>
      <c r="AHW94" s="15"/>
      <c r="AHX94" s="15"/>
      <c r="AHY94" s="15"/>
      <c r="AHZ94" s="15"/>
      <c r="AIA94" s="15"/>
      <c r="AIB94" s="15"/>
      <c r="AIC94" s="15"/>
      <c r="AID94" s="15"/>
      <c r="AIE94" s="15"/>
      <c r="AIF94" s="15"/>
      <c r="AIG94" s="15"/>
      <c r="AIH94" s="15"/>
      <c r="AII94" s="15"/>
      <c r="AIJ94" s="15"/>
      <c r="AIK94" s="15"/>
      <c r="AIL94" s="15"/>
      <c r="AIM94" s="15"/>
      <c r="AIN94" s="15"/>
      <c r="AIO94" s="15"/>
      <c r="AIP94" s="15"/>
      <c r="AIQ94" s="15"/>
      <c r="AIR94" s="15"/>
      <c r="AIS94" s="15"/>
      <c r="AIT94" s="15"/>
      <c r="AIU94" s="15"/>
      <c r="AIV94" s="15"/>
      <c r="AIW94" s="15"/>
      <c r="AIX94" s="15"/>
      <c r="AIY94" s="15"/>
      <c r="AIZ94" s="15"/>
      <c r="AJA94" s="15"/>
      <c r="AJB94" s="15"/>
      <c r="AJC94" s="15"/>
      <c r="AJD94" s="15"/>
      <c r="AJE94" s="15"/>
      <c r="AJF94" s="15"/>
      <c r="AJG94" s="15"/>
      <c r="AJH94" s="15"/>
      <c r="AJI94" s="15"/>
      <c r="AJJ94" s="15"/>
      <c r="AJK94" s="15"/>
      <c r="AJL94" s="15"/>
      <c r="AJM94" s="15"/>
      <c r="AJN94" s="15"/>
      <c r="AJO94" s="15"/>
      <c r="AJP94" s="15"/>
      <c r="AJQ94" s="15"/>
      <c r="AJR94" s="15"/>
      <c r="AJS94" s="15"/>
      <c r="AJT94" s="15"/>
      <c r="AJU94" s="15"/>
      <c r="AJV94" s="15"/>
      <c r="AJW94" s="15"/>
      <c r="AJX94" s="15"/>
      <c r="AJY94" s="15"/>
      <c r="AJZ94" s="15"/>
      <c r="AKA94" s="15"/>
      <c r="AKB94" s="15"/>
      <c r="AKC94" s="15"/>
      <c r="AKD94" s="15"/>
      <c r="AKE94" s="15"/>
      <c r="AKF94" s="15"/>
      <c r="AKG94" s="15"/>
      <c r="AKH94" s="15"/>
      <c r="AKI94" s="15"/>
      <c r="AKJ94" s="15"/>
      <c r="AKK94" s="15"/>
      <c r="AKL94" s="15"/>
      <c r="AKM94" s="15"/>
      <c r="AKN94" s="15"/>
      <c r="AKO94" s="15"/>
      <c r="AKP94" s="15"/>
      <c r="AKQ94" s="15"/>
      <c r="AKR94" s="15"/>
      <c r="AKS94" s="15"/>
      <c r="AKT94" s="15"/>
      <c r="AKU94" s="15"/>
      <c r="AKV94" s="15"/>
      <c r="AKW94" s="15"/>
      <c r="AKX94" s="15"/>
      <c r="AKY94" s="15"/>
      <c r="AKZ94" s="15"/>
      <c r="ALA94" s="15"/>
      <c r="ALB94" s="15"/>
      <c r="ALC94" s="15"/>
      <c r="ALD94" s="15"/>
      <c r="ALE94" s="15"/>
      <c r="ALF94" s="15"/>
      <c r="ALG94" s="15"/>
      <c r="ALH94" s="15"/>
      <c r="ALI94" s="15"/>
      <c r="ALJ94" s="15"/>
      <c r="ALK94" s="15"/>
      <c r="ALL94" s="15"/>
      <c r="ALM94" s="15"/>
      <c r="ALN94" s="15"/>
      <c r="ALO94" s="15"/>
      <c r="ALP94" s="15"/>
      <c r="ALQ94" s="15"/>
      <c r="ALR94" s="15"/>
      <c r="ALS94" s="15"/>
      <c r="ALT94" s="15"/>
      <c r="ALU94" s="15"/>
      <c r="ALV94" s="15"/>
      <c r="ALW94" s="15"/>
      <c r="ALX94" s="15"/>
      <c r="ALY94" s="15"/>
      <c r="ALZ94" s="15"/>
      <c r="AMA94" s="15"/>
      <c r="AMB94" s="15"/>
      <c r="AMC94" s="15"/>
      <c r="AMD94" s="15"/>
      <c r="AME94" s="15"/>
      <c r="AMF94" s="15"/>
      <c r="AMG94" s="14"/>
      <c r="AMH94" s="14"/>
      <c r="AMI94" s="14"/>
      <c r="AMJ94" s="14"/>
    </row>
    <row r="95" spans="1:1024" s="13" customFormat="1" ht="72.5" hidden="1" x14ac:dyDescent="0.35">
      <c r="A95" s="83">
        <v>43660</v>
      </c>
      <c r="B95" s="29" t="s">
        <v>269</v>
      </c>
      <c r="C95" s="29" t="s">
        <v>268</v>
      </c>
      <c r="D95" s="30">
        <v>43666</v>
      </c>
      <c r="E95" s="29" t="s">
        <v>267</v>
      </c>
      <c r="F95" s="31">
        <v>0.61458333333333304</v>
      </c>
      <c r="G95" s="31">
        <v>0.625</v>
      </c>
      <c r="H95" s="31">
        <v>0.63541666666666696</v>
      </c>
      <c r="I95" s="100">
        <v>644</v>
      </c>
      <c r="J95" s="42" t="s">
        <v>266</v>
      </c>
      <c r="K95" s="17" t="s">
        <v>119</v>
      </c>
      <c r="L95" s="16" t="s">
        <v>22</v>
      </c>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15"/>
      <c r="CB95" s="15"/>
      <c r="CC95" s="15"/>
      <c r="CD95" s="15"/>
      <c r="CE95" s="15"/>
      <c r="CF95" s="15"/>
      <c r="CG95" s="15"/>
      <c r="CH95" s="15"/>
      <c r="CI95" s="15"/>
      <c r="CJ95" s="15"/>
      <c r="CK95" s="15"/>
      <c r="CL95" s="15"/>
      <c r="CM95" s="15"/>
      <c r="CN95" s="15"/>
      <c r="CO95" s="15"/>
      <c r="CP95" s="15"/>
      <c r="CQ95" s="15"/>
      <c r="CR95" s="15"/>
      <c r="CS95" s="15"/>
      <c r="CT95" s="15"/>
      <c r="CU95" s="15"/>
      <c r="CV95" s="15"/>
      <c r="CW95" s="15"/>
      <c r="CX95" s="15"/>
      <c r="CY95" s="15"/>
      <c r="CZ95" s="15"/>
      <c r="DA95" s="15"/>
      <c r="DB95" s="15"/>
      <c r="DC95" s="15"/>
      <c r="DD95" s="15"/>
      <c r="DE95" s="15"/>
      <c r="DF95" s="15"/>
      <c r="DG95" s="15"/>
      <c r="DH95" s="15"/>
      <c r="DI95" s="15"/>
      <c r="DJ95" s="15"/>
      <c r="DK95" s="15"/>
      <c r="DL95" s="15"/>
      <c r="DM95" s="15"/>
      <c r="DN95" s="15"/>
      <c r="DO95" s="15"/>
      <c r="DP95" s="15"/>
      <c r="DQ95" s="15"/>
      <c r="DR95" s="15"/>
      <c r="DS95" s="15"/>
      <c r="DT95" s="15"/>
      <c r="DU95" s="15"/>
      <c r="DV95" s="15"/>
      <c r="DW95" s="15"/>
      <c r="DX95" s="15"/>
      <c r="DY95" s="15"/>
      <c r="DZ95" s="15"/>
      <c r="EA95" s="15"/>
      <c r="EB95" s="15"/>
      <c r="EC95" s="15"/>
      <c r="ED95" s="15"/>
      <c r="EE95" s="15"/>
      <c r="EF95" s="15"/>
      <c r="EG95" s="15"/>
      <c r="EH95" s="15"/>
      <c r="EI95" s="15"/>
      <c r="EJ95" s="15"/>
      <c r="EK95" s="15"/>
      <c r="EL95" s="15"/>
      <c r="EM95" s="15"/>
      <c r="EN95" s="15"/>
      <c r="EO95" s="15"/>
      <c r="EP95" s="15"/>
      <c r="EQ95" s="15"/>
      <c r="ER95" s="15"/>
      <c r="ES95" s="15"/>
      <c r="ET95" s="15"/>
      <c r="EU95" s="15"/>
      <c r="EV95" s="15"/>
      <c r="EW95" s="15"/>
      <c r="EX95" s="15"/>
      <c r="EY95" s="15"/>
      <c r="EZ95" s="15"/>
      <c r="FA95" s="15"/>
      <c r="FB95" s="15"/>
      <c r="FC95" s="15"/>
      <c r="FD95" s="15"/>
      <c r="FE95" s="15"/>
      <c r="FF95" s="15"/>
      <c r="FG95" s="15"/>
      <c r="FH95" s="15"/>
      <c r="FI95" s="15"/>
      <c r="FJ95" s="15"/>
      <c r="FK95" s="15"/>
      <c r="FL95" s="15"/>
      <c r="FM95" s="15"/>
      <c r="FN95" s="15"/>
      <c r="FO95" s="15"/>
      <c r="FP95" s="15"/>
      <c r="FQ95" s="15"/>
      <c r="FR95" s="15"/>
      <c r="FS95" s="15"/>
      <c r="FT95" s="15"/>
      <c r="FU95" s="15"/>
      <c r="FV95" s="15"/>
      <c r="FW95" s="15"/>
      <c r="FX95" s="15"/>
      <c r="FY95" s="15"/>
      <c r="FZ95" s="15"/>
      <c r="GA95" s="15"/>
      <c r="GB95" s="15"/>
      <c r="GC95" s="15"/>
      <c r="GD95" s="15"/>
      <c r="GE95" s="15"/>
      <c r="GF95" s="15"/>
      <c r="GG95" s="15"/>
      <c r="GH95" s="15"/>
      <c r="GI95" s="15"/>
      <c r="GJ95" s="15"/>
      <c r="GK95" s="15"/>
      <c r="GL95" s="15"/>
      <c r="GM95" s="15"/>
      <c r="GN95" s="15"/>
      <c r="GO95" s="15"/>
      <c r="GP95" s="15"/>
      <c r="GQ95" s="15"/>
      <c r="GR95" s="15"/>
      <c r="GS95" s="15"/>
      <c r="GT95" s="15"/>
      <c r="GU95" s="15"/>
      <c r="GV95" s="15"/>
      <c r="GW95" s="15"/>
      <c r="GX95" s="15"/>
      <c r="GY95" s="15"/>
      <c r="GZ95" s="15"/>
      <c r="HA95" s="15"/>
      <c r="HB95" s="15"/>
      <c r="HC95" s="15"/>
      <c r="HD95" s="15"/>
      <c r="HE95" s="15"/>
      <c r="HF95" s="15"/>
      <c r="HG95" s="15"/>
      <c r="HH95" s="15"/>
      <c r="HI95" s="15"/>
      <c r="HJ95" s="15"/>
      <c r="HK95" s="15"/>
      <c r="HL95" s="15"/>
      <c r="HM95" s="15"/>
      <c r="HN95" s="15"/>
      <c r="HO95" s="15"/>
      <c r="HP95" s="15"/>
      <c r="HQ95" s="15"/>
      <c r="HR95" s="15"/>
      <c r="HS95" s="15"/>
      <c r="HT95" s="15"/>
      <c r="HU95" s="15"/>
      <c r="HV95" s="15"/>
      <c r="HW95" s="15"/>
      <c r="HX95" s="15"/>
      <c r="HY95" s="15"/>
      <c r="HZ95" s="15"/>
      <c r="IA95" s="15"/>
      <c r="IB95" s="15"/>
      <c r="IC95" s="15"/>
      <c r="ID95" s="15"/>
      <c r="IE95" s="15"/>
      <c r="IF95" s="15"/>
      <c r="IG95" s="15"/>
      <c r="IH95" s="15"/>
      <c r="II95" s="15"/>
      <c r="IJ95" s="15"/>
      <c r="IK95" s="15"/>
      <c r="IL95" s="15"/>
      <c r="IM95" s="15"/>
      <c r="IN95" s="15"/>
      <c r="IO95" s="15"/>
      <c r="IP95" s="15"/>
      <c r="IQ95" s="15"/>
      <c r="IR95" s="15"/>
      <c r="IS95" s="15"/>
      <c r="IT95" s="15"/>
      <c r="IU95" s="15"/>
      <c r="IV95" s="15"/>
      <c r="IW95" s="15"/>
      <c r="IX95" s="15"/>
      <c r="IY95" s="15"/>
      <c r="IZ95" s="15"/>
      <c r="JA95" s="15"/>
      <c r="JB95" s="15"/>
      <c r="JC95" s="15"/>
      <c r="JD95" s="15"/>
      <c r="JE95" s="15"/>
      <c r="JF95" s="15"/>
      <c r="JG95" s="15"/>
      <c r="JH95" s="15"/>
      <c r="JI95" s="15"/>
      <c r="JJ95" s="15"/>
      <c r="JK95" s="15"/>
      <c r="JL95" s="15"/>
      <c r="JM95" s="15"/>
      <c r="JN95" s="15"/>
      <c r="JO95" s="15"/>
      <c r="JP95" s="15"/>
      <c r="JQ95" s="15"/>
      <c r="JR95" s="15"/>
      <c r="JS95" s="15"/>
      <c r="JT95" s="15"/>
      <c r="JU95" s="15"/>
      <c r="JV95" s="15"/>
      <c r="JW95" s="15"/>
      <c r="JX95" s="15"/>
      <c r="JY95" s="15"/>
      <c r="JZ95" s="15"/>
      <c r="KA95" s="15"/>
      <c r="KB95" s="15"/>
      <c r="KC95" s="15"/>
      <c r="KD95" s="15"/>
      <c r="KE95" s="15"/>
      <c r="KF95" s="15"/>
      <c r="KG95" s="15"/>
      <c r="KH95" s="15"/>
      <c r="KI95" s="15"/>
      <c r="KJ95" s="15"/>
      <c r="KK95" s="15"/>
      <c r="KL95" s="15"/>
      <c r="KM95" s="15"/>
      <c r="KN95" s="15"/>
      <c r="KO95" s="15"/>
      <c r="KP95" s="15"/>
      <c r="KQ95" s="15"/>
      <c r="KR95" s="15"/>
      <c r="KS95" s="15"/>
      <c r="KT95" s="15"/>
      <c r="KU95" s="15"/>
      <c r="KV95" s="15"/>
      <c r="KW95" s="15"/>
      <c r="KX95" s="15"/>
      <c r="KY95" s="15"/>
      <c r="KZ95" s="15"/>
      <c r="LA95" s="15"/>
      <c r="LB95" s="15"/>
      <c r="LC95" s="15"/>
      <c r="LD95" s="15"/>
      <c r="LE95" s="15"/>
      <c r="LF95" s="15"/>
      <c r="LG95" s="15"/>
      <c r="LH95" s="15"/>
      <c r="LI95" s="15"/>
      <c r="LJ95" s="15"/>
      <c r="LK95" s="15"/>
      <c r="LL95" s="15"/>
      <c r="LM95" s="15"/>
      <c r="LN95" s="15"/>
      <c r="LO95" s="15"/>
      <c r="LP95" s="15"/>
      <c r="LQ95" s="15"/>
      <c r="LR95" s="15"/>
      <c r="LS95" s="15"/>
      <c r="LT95" s="15"/>
      <c r="LU95" s="15"/>
      <c r="LV95" s="15"/>
      <c r="LW95" s="15"/>
      <c r="LX95" s="15"/>
      <c r="LY95" s="15"/>
      <c r="LZ95" s="15"/>
      <c r="MA95" s="15"/>
      <c r="MB95" s="15"/>
      <c r="MC95" s="15"/>
      <c r="MD95" s="15"/>
      <c r="ME95" s="15"/>
      <c r="MF95" s="15"/>
      <c r="MG95" s="15"/>
      <c r="MH95" s="15"/>
      <c r="MI95" s="15"/>
      <c r="MJ95" s="15"/>
      <c r="MK95" s="15"/>
      <c r="ML95" s="15"/>
      <c r="MM95" s="15"/>
      <c r="MN95" s="15"/>
      <c r="MO95" s="15"/>
      <c r="MP95" s="15"/>
      <c r="MQ95" s="15"/>
      <c r="MR95" s="15"/>
      <c r="MS95" s="15"/>
      <c r="MT95" s="15"/>
      <c r="MU95" s="15"/>
      <c r="MV95" s="15"/>
      <c r="MW95" s="15"/>
      <c r="MX95" s="15"/>
      <c r="MY95" s="15"/>
      <c r="MZ95" s="15"/>
      <c r="NA95" s="15"/>
      <c r="NB95" s="15"/>
      <c r="NC95" s="15"/>
      <c r="ND95" s="15"/>
      <c r="NE95" s="15"/>
      <c r="NF95" s="15"/>
      <c r="NG95" s="15"/>
      <c r="NH95" s="15"/>
      <c r="NI95" s="15"/>
      <c r="NJ95" s="15"/>
      <c r="NK95" s="15"/>
      <c r="NL95" s="15"/>
      <c r="NM95" s="15"/>
      <c r="NN95" s="15"/>
      <c r="NO95" s="15"/>
      <c r="NP95" s="15"/>
      <c r="NQ95" s="15"/>
      <c r="NR95" s="15"/>
      <c r="NS95" s="15"/>
      <c r="NT95" s="15"/>
      <c r="NU95" s="15"/>
      <c r="NV95" s="15"/>
      <c r="NW95" s="15"/>
      <c r="NX95" s="15"/>
      <c r="NY95" s="15"/>
      <c r="NZ95" s="15"/>
      <c r="OA95" s="15"/>
      <c r="OB95" s="15"/>
      <c r="OC95" s="15"/>
      <c r="OD95" s="15"/>
      <c r="OE95" s="15"/>
      <c r="OF95" s="15"/>
      <c r="OG95" s="15"/>
      <c r="OH95" s="15"/>
      <c r="OI95" s="15"/>
      <c r="OJ95" s="15"/>
      <c r="OK95" s="15"/>
      <c r="OL95" s="15"/>
      <c r="OM95" s="15"/>
      <c r="ON95" s="15"/>
      <c r="OO95" s="15"/>
      <c r="OP95" s="15"/>
      <c r="OQ95" s="15"/>
      <c r="OR95" s="15"/>
      <c r="OS95" s="15"/>
      <c r="OT95" s="15"/>
      <c r="OU95" s="15"/>
      <c r="OV95" s="15"/>
      <c r="OW95" s="15"/>
      <c r="OX95" s="15"/>
      <c r="OY95" s="15"/>
      <c r="OZ95" s="15"/>
      <c r="PA95" s="15"/>
      <c r="PB95" s="15"/>
      <c r="PC95" s="15"/>
      <c r="PD95" s="15"/>
      <c r="PE95" s="15"/>
      <c r="PF95" s="15"/>
      <c r="PG95" s="15"/>
      <c r="PH95" s="15"/>
      <c r="PI95" s="15"/>
      <c r="PJ95" s="15"/>
      <c r="PK95" s="15"/>
      <c r="PL95" s="15"/>
      <c r="PM95" s="15"/>
      <c r="PN95" s="15"/>
      <c r="PO95" s="15"/>
      <c r="PP95" s="15"/>
      <c r="PQ95" s="15"/>
      <c r="PR95" s="15"/>
      <c r="PS95" s="15"/>
      <c r="PT95" s="15"/>
      <c r="PU95" s="15"/>
      <c r="PV95" s="15"/>
      <c r="PW95" s="15"/>
      <c r="PX95" s="15"/>
      <c r="PY95" s="15"/>
      <c r="PZ95" s="15"/>
      <c r="QA95" s="15"/>
      <c r="QB95" s="15"/>
      <c r="QC95" s="15"/>
      <c r="QD95" s="15"/>
      <c r="QE95" s="15"/>
      <c r="QF95" s="15"/>
      <c r="QG95" s="15"/>
      <c r="QH95" s="15"/>
      <c r="QI95" s="15"/>
      <c r="QJ95" s="15"/>
      <c r="QK95" s="15"/>
      <c r="QL95" s="15"/>
      <c r="QM95" s="15"/>
      <c r="QN95" s="15"/>
      <c r="QO95" s="15"/>
      <c r="QP95" s="15"/>
      <c r="QQ95" s="15"/>
      <c r="QR95" s="15"/>
      <c r="QS95" s="15"/>
      <c r="QT95" s="15"/>
      <c r="QU95" s="15"/>
      <c r="QV95" s="15"/>
      <c r="QW95" s="15"/>
      <c r="QX95" s="15"/>
      <c r="QY95" s="15"/>
      <c r="QZ95" s="15"/>
      <c r="RA95" s="15"/>
      <c r="RB95" s="15"/>
      <c r="RC95" s="15"/>
      <c r="RD95" s="15"/>
      <c r="RE95" s="15"/>
      <c r="RF95" s="15"/>
      <c r="RG95" s="15"/>
      <c r="RH95" s="15"/>
      <c r="RI95" s="15"/>
      <c r="RJ95" s="15"/>
      <c r="RK95" s="15"/>
      <c r="RL95" s="15"/>
      <c r="RM95" s="15"/>
      <c r="RN95" s="15"/>
      <c r="RO95" s="15"/>
      <c r="RP95" s="15"/>
      <c r="RQ95" s="15"/>
      <c r="RR95" s="15"/>
      <c r="RS95" s="15"/>
      <c r="RT95" s="15"/>
      <c r="RU95" s="15"/>
      <c r="RV95" s="15"/>
      <c r="RW95" s="15"/>
      <c r="RX95" s="15"/>
      <c r="RY95" s="15"/>
      <c r="RZ95" s="15"/>
      <c r="SA95" s="15"/>
      <c r="SB95" s="15"/>
      <c r="SC95" s="15"/>
      <c r="SD95" s="15"/>
      <c r="SE95" s="15"/>
      <c r="SF95" s="15"/>
      <c r="SG95" s="15"/>
      <c r="SH95" s="15"/>
      <c r="SI95" s="15"/>
      <c r="SJ95" s="15"/>
      <c r="SK95" s="15"/>
      <c r="SL95" s="15"/>
      <c r="SM95" s="15"/>
      <c r="SN95" s="15"/>
      <c r="SO95" s="15"/>
      <c r="SP95" s="15"/>
      <c r="SQ95" s="15"/>
      <c r="SR95" s="15"/>
      <c r="SS95" s="15"/>
      <c r="ST95" s="15"/>
      <c r="SU95" s="15"/>
      <c r="SV95" s="15"/>
      <c r="SW95" s="15"/>
      <c r="SX95" s="15"/>
      <c r="SY95" s="15"/>
      <c r="SZ95" s="15"/>
      <c r="TA95" s="15"/>
      <c r="TB95" s="15"/>
      <c r="TC95" s="15"/>
      <c r="TD95" s="15"/>
      <c r="TE95" s="15"/>
      <c r="TF95" s="15"/>
      <c r="TG95" s="15"/>
      <c r="TH95" s="15"/>
      <c r="TI95" s="15"/>
      <c r="TJ95" s="15"/>
      <c r="TK95" s="15"/>
      <c r="TL95" s="15"/>
      <c r="TM95" s="15"/>
      <c r="TN95" s="15"/>
      <c r="TO95" s="15"/>
      <c r="TP95" s="15"/>
      <c r="TQ95" s="15"/>
      <c r="TR95" s="15"/>
      <c r="TS95" s="15"/>
      <c r="TT95" s="15"/>
      <c r="TU95" s="15"/>
      <c r="TV95" s="15"/>
      <c r="TW95" s="15"/>
      <c r="TX95" s="15"/>
      <c r="TY95" s="15"/>
      <c r="TZ95" s="15"/>
      <c r="UA95" s="15"/>
      <c r="UB95" s="15"/>
      <c r="UC95" s="15"/>
      <c r="UD95" s="15"/>
      <c r="UE95" s="15"/>
      <c r="UF95" s="15"/>
      <c r="UG95" s="15"/>
      <c r="UH95" s="15"/>
      <c r="UI95" s="15"/>
      <c r="UJ95" s="15"/>
      <c r="UK95" s="15"/>
      <c r="UL95" s="15"/>
      <c r="UM95" s="15"/>
      <c r="UN95" s="15"/>
      <c r="UO95" s="15"/>
      <c r="UP95" s="15"/>
      <c r="UQ95" s="15"/>
      <c r="UR95" s="15"/>
      <c r="US95" s="15"/>
      <c r="UT95" s="15"/>
      <c r="UU95" s="15"/>
      <c r="UV95" s="15"/>
      <c r="UW95" s="15"/>
      <c r="UX95" s="15"/>
      <c r="UY95" s="15"/>
      <c r="UZ95" s="15"/>
      <c r="VA95" s="15"/>
      <c r="VB95" s="15"/>
      <c r="VC95" s="15"/>
      <c r="VD95" s="15"/>
      <c r="VE95" s="15"/>
      <c r="VF95" s="15"/>
      <c r="VG95" s="15"/>
      <c r="VH95" s="15"/>
      <c r="VI95" s="15"/>
      <c r="VJ95" s="15"/>
      <c r="VK95" s="15"/>
      <c r="VL95" s="15"/>
      <c r="VM95" s="15"/>
      <c r="VN95" s="15"/>
      <c r="VO95" s="15"/>
      <c r="VP95" s="15"/>
      <c r="VQ95" s="15"/>
      <c r="VR95" s="15"/>
      <c r="VS95" s="15"/>
      <c r="VT95" s="15"/>
      <c r="VU95" s="15"/>
      <c r="VV95" s="15"/>
      <c r="VW95" s="15"/>
      <c r="VX95" s="15"/>
      <c r="VY95" s="15"/>
      <c r="VZ95" s="15"/>
      <c r="WA95" s="15"/>
      <c r="WB95" s="15"/>
      <c r="WC95" s="15"/>
      <c r="WD95" s="15"/>
      <c r="WE95" s="15"/>
      <c r="WF95" s="15"/>
      <c r="WG95" s="15"/>
      <c r="WH95" s="15"/>
      <c r="WI95" s="15"/>
      <c r="WJ95" s="15"/>
      <c r="WK95" s="15"/>
      <c r="WL95" s="15"/>
      <c r="WM95" s="15"/>
      <c r="WN95" s="15"/>
      <c r="WO95" s="15"/>
      <c r="WP95" s="15"/>
      <c r="WQ95" s="15"/>
      <c r="WR95" s="15"/>
      <c r="WS95" s="15"/>
      <c r="WT95" s="15"/>
      <c r="WU95" s="15"/>
      <c r="WV95" s="15"/>
      <c r="WW95" s="15"/>
      <c r="WX95" s="15"/>
      <c r="WY95" s="15"/>
      <c r="WZ95" s="15"/>
      <c r="XA95" s="15"/>
      <c r="XB95" s="15"/>
      <c r="XC95" s="15"/>
      <c r="XD95" s="15"/>
      <c r="XE95" s="15"/>
      <c r="XF95" s="15"/>
      <c r="XG95" s="15"/>
      <c r="XH95" s="15"/>
      <c r="XI95" s="15"/>
      <c r="XJ95" s="15"/>
      <c r="XK95" s="15"/>
      <c r="XL95" s="15"/>
      <c r="XM95" s="15"/>
      <c r="XN95" s="15"/>
      <c r="XO95" s="15"/>
      <c r="XP95" s="15"/>
      <c r="XQ95" s="15"/>
      <c r="XR95" s="15"/>
      <c r="XS95" s="15"/>
      <c r="XT95" s="15"/>
      <c r="XU95" s="15"/>
      <c r="XV95" s="15"/>
      <c r="XW95" s="15"/>
      <c r="XX95" s="15"/>
      <c r="XY95" s="15"/>
      <c r="XZ95" s="15"/>
      <c r="YA95" s="15"/>
      <c r="YB95" s="15"/>
      <c r="YC95" s="15"/>
      <c r="YD95" s="15"/>
      <c r="YE95" s="15"/>
      <c r="YF95" s="15"/>
      <c r="YG95" s="15"/>
      <c r="YH95" s="15"/>
      <c r="YI95" s="15"/>
      <c r="YJ95" s="15"/>
      <c r="YK95" s="15"/>
      <c r="YL95" s="15"/>
      <c r="YM95" s="15"/>
      <c r="YN95" s="15"/>
      <c r="YO95" s="15"/>
      <c r="YP95" s="15"/>
      <c r="YQ95" s="15"/>
      <c r="YR95" s="15"/>
      <c r="YS95" s="15"/>
      <c r="YT95" s="15"/>
      <c r="YU95" s="15"/>
      <c r="YV95" s="15"/>
      <c r="YW95" s="15"/>
      <c r="YX95" s="15"/>
      <c r="YY95" s="15"/>
      <c r="YZ95" s="15"/>
      <c r="ZA95" s="15"/>
      <c r="ZB95" s="15"/>
      <c r="ZC95" s="15"/>
      <c r="ZD95" s="15"/>
      <c r="ZE95" s="15"/>
      <c r="ZF95" s="15"/>
      <c r="ZG95" s="15"/>
      <c r="ZH95" s="15"/>
      <c r="ZI95" s="15"/>
      <c r="ZJ95" s="15"/>
      <c r="ZK95" s="15"/>
      <c r="ZL95" s="15"/>
      <c r="ZM95" s="15"/>
      <c r="ZN95" s="15"/>
      <c r="ZO95" s="15"/>
      <c r="ZP95" s="15"/>
      <c r="ZQ95" s="15"/>
      <c r="ZR95" s="15"/>
      <c r="ZS95" s="15"/>
      <c r="ZT95" s="15"/>
      <c r="ZU95" s="15"/>
      <c r="ZV95" s="15"/>
      <c r="ZW95" s="15"/>
      <c r="ZX95" s="15"/>
      <c r="ZY95" s="15"/>
      <c r="ZZ95" s="15"/>
      <c r="AAA95" s="15"/>
      <c r="AAB95" s="15"/>
      <c r="AAC95" s="15"/>
      <c r="AAD95" s="15"/>
      <c r="AAE95" s="15"/>
      <c r="AAF95" s="15"/>
      <c r="AAG95" s="15"/>
      <c r="AAH95" s="15"/>
      <c r="AAI95" s="15"/>
      <c r="AAJ95" s="15"/>
      <c r="AAK95" s="15"/>
      <c r="AAL95" s="15"/>
      <c r="AAM95" s="15"/>
      <c r="AAN95" s="15"/>
      <c r="AAO95" s="15"/>
      <c r="AAP95" s="15"/>
      <c r="AAQ95" s="15"/>
      <c r="AAR95" s="15"/>
      <c r="AAS95" s="15"/>
      <c r="AAT95" s="15"/>
      <c r="AAU95" s="15"/>
      <c r="AAV95" s="15"/>
      <c r="AAW95" s="15"/>
      <c r="AAX95" s="15"/>
      <c r="AAY95" s="15"/>
      <c r="AAZ95" s="15"/>
      <c r="ABA95" s="15"/>
      <c r="ABB95" s="15"/>
      <c r="ABC95" s="15"/>
      <c r="ABD95" s="15"/>
      <c r="ABE95" s="15"/>
      <c r="ABF95" s="15"/>
      <c r="ABG95" s="15"/>
      <c r="ABH95" s="15"/>
      <c r="ABI95" s="15"/>
      <c r="ABJ95" s="15"/>
      <c r="ABK95" s="15"/>
      <c r="ABL95" s="15"/>
      <c r="ABM95" s="15"/>
      <c r="ABN95" s="15"/>
      <c r="ABO95" s="15"/>
      <c r="ABP95" s="15"/>
      <c r="ABQ95" s="15"/>
      <c r="ABR95" s="15"/>
      <c r="ABS95" s="15"/>
      <c r="ABT95" s="15"/>
      <c r="ABU95" s="15"/>
      <c r="ABV95" s="15"/>
      <c r="ABW95" s="15"/>
      <c r="ABX95" s="15"/>
      <c r="ABY95" s="15"/>
      <c r="ABZ95" s="15"/>
      <c r="ACA95" s="15"/>
      <c r="ACB95" s="15"/>
      <c r="ACC95" s="15"/>
      <c r="ACD95" s="15"/>
      <c r="ACE95" s="15"/>
      <c r="ACF95" s="15"/>
      <c r="ACG95" s="15"/>
      <c r="ACH95" s="15"/>
      <c r="ACI95" s="15"/>
      <c r="ACJ95" s="15"/>
      <c r="ACK95" s="15"/>
      <c r="ACL95" s="15"/>
      <c r="ACM95" s="15"/>
      <c r="ACN95" s="15"/>
      <c r="ACO95" s="15"/>
      <c r="ACP95" s="15"/>
      <c r="ACQ95" s="15"/>
      <c r="ACR95" s="15"/>
      <c r="ACS95" s="15"/>
      <c r="ACT95" s="15"/>
      <c r="ACU95" s="15"/>
      <c r="ACV95" s="15"/>
      <c r="ACW95" s="15"/>
      <c r="ACX95" s="15"/>
      <c r="ACY95" s="15"/>
      <c r="ACZ95" s="15"/>
      <c r="ADA95" s="15"/>
      <c r="ADB95" s="15"/>
      <c r="ADC95" s="15"/>
      <c r="ADD95" s="15"/>
      <c r="ADE95" s="15"/>
      <c r="ADF95" s="15"/>
      <c r="ADG95" s="15"/>
      <c r="ADH95" s="15"/>
      <c r="ADI95" s="15"/>
      <c r="ADJ95" s="15"/>
      <c r="ADK95" s="15"/>
      <c r="ADL95" s="15"/>
      <c r="ADM95" s="15"/>
      <c r="ADN95" s="15"/>
      <c r="ADO95" s="15"/>
      <c r="ADP95" s="15"/>
      <c r="ADQ95" s="15"/>
      <c r="ADR95" s="15"/>
      <c r="ADS95" s="15"/>
      <c r="ADT95" s="15"/>
      <c r="ADU95" s="15"/>
      <c r="ADV95" s="15"/>
      <c r="ADW95" s="15"/>
      <c r="ADX95" s="15"/>
      <c r="ADY95" s="15"/>
      <c r="ADZ95" s="15"/>
      <c r="AEA95" s="15"/>
      <c r="AEB95" s="15"/>
      <c r="AEC95" s="15"/>
      <c r="AED95" s="15"/>
      <c r="AEE95" s="15"/>
      <c r="AEF95" s="15"/>
      <c r="AEG95" s="15"/>
      <c r="AEH95" s="15"/>
      <c r="AEI95" s="15"/>
      <c r="AEJ95" s="15"/>
      <c r="AEK95" s="15"/>
      <c r="AEL95" s="15"/>
      <c r="AEM95" s="15"/>
      <c r="AEN95" s="15"/>
      <c r="AEO95" s="15"/>
      <c r="AEP95" s="15"/>
      <c r="AEQ95" s="15"/>
      <c r="AER95" s="15"/>
      <c r="AES95" s="15"/>
      <c r="AET95" s="15"/>
      <c r="AEU95" s="15"/>
      <c r="AEV95" s="15"/>
      <c r="AEW95" s="15"/>
      <c r="AEX95" s="15"/>
      <c r="AEY95" s="15"/>
      <c r="AEZ95" s="15"/>
      <c r="AFA95" s="15"/>
      <c r="AFB95" s="15"/>
      <c r="AFC95" s="15"/>
      <c r="AFD95" s="15"/>
      <c r="AFE95" s="15"/>
      <c r="AFF95" s="15"/>
      <c r="AFG95" s="15"/>
      <c r="AFH95" s="15"/>
      <c r="AFI95" s="15"/>
      <c r="AFJ95" s="15"/>
      <c r="AFK95" s="15"/>
      <c r="AFL95" s="15"/>
      <c r="AFM95" s="15"/>
      <c r="AFN95" s="15"/>
      <c r="AFO95" s="15"/>
      <c r="AFP95" s="15"/>
      <c r="AFQ95" s="15"/>
      <c r="AFR95" s="15"/>
      <c r="AFS95" s="15"/>
      <c r="AFT95" s="15"/>
      <c r="AFU95" s="15"/>
      <c r="AFV95" s="15"/>
      <c r="AFW95" s="15"/>
      <c r="AFX95" s="15"/>
      <c r="AFY95" s="15"/>
      <c r="AFZ95" s="15"/>
      <c r="AGA95" s="15"/>
      <c r="AGB95" s="15"/>
      <c r="AGC95" s="15"/>
      <c r="AGD95" s="15"/>
      <c r="AGE95" s="15"/>
      <c r="AGF95" s="15"/>
      <c r="AGG95" s="15"/>
      <c r="AGH95" s="15"/>
      <c r="AGI95" s="15"/>
      <c r="AGJ95" s="15"/>
      <c r="AGK95" s="15"/>
      <c r="AGL95" s="15"/>
      <c r="AGM95" s="15"/>
      <c r="AGN95" s="15"/>
      <c r="AGO95" s="15"/>
      <c r="AGP95" s="15"/>
      <c r="AGQ95" s="15"/>
      <c r="AGR95" s="15"/>
      <c r="AGS95" s="15"/>
      <c r="AGT95" s="15"/>
      <c r="AGU95" s="15"/>
      <c r="AGV95" s="15"/>
      <c r="AGW95" s="15"/>
      <c r="AGX95" s="15"/>
      <c r="AGY95" s="15"/>
      <c r="AGZ95" s="15"/>
      <c r="AHA95" s="15"/>
      <c r="AHB95" s="15"/>
      <c r="AHC95" s="15"/>
      <c r="AHD95" s="15"/>
      <c r="AHE95" s="15"/>
      <c r="AHF95" s="15"/>
      <c r="AHG95" s="15"/>
      <c r="AHH95" s="15"/>
      <c r="AHI95" s="15"/>
      <c r="AHJ95" s="15"/>
      <c r="AHK95" s="15"/>
      <c r="AHL95" s="15"/>
      <c r="AHM95" s="15"/>
      <c r="AHN95" s="15"/>
      <c r="AHO95" s="15"/>
      <c r="AHP95" s="15"/>
      <c r="AHQ95" s="15"/>
      <c r="AHR95" s="15"/>
      <c r="AHS95" s="15"/>
      <c r="AHT95" s="15"/>
      <c r="AHU95" s="15"/>
      <c r="AHV95" s="15"/>
      <c r="AHW95" s="15"/>
      <c r="AHX95" s="15"/>
      <c r="AHY95" s="15"/>
      <c r="AHZ95" s="15"/>
      <c r="AIA95" s="15"/>
      <c r="AIB95" s="15"/>
      <c r="AIC95" s="15"/>
      <c r="AID95" s="15"/>
      <c r="AIE95" s="15"/>
      <c r="AIF95" s="15"/>
      <c r="AIG95" s="15"/>
      <c r="AIH95" s="15"/>
      <c r="AII95" s="15"/>
      <c r="AIJ95" s="15"/>
      <c r="AIK95" s="15"/>
      <c r="AIL95" s="15"/>
      <c r="AIM95" s="15"/>
      <c r="AIN95" s="15"/>
      <c r="AIO95" s="15"/>
      <c r="AIP95" s="15"/>
      <c r="AIQ95" s="15"/>
      <c r="AIR95" s="15"/>
      <c r="AIS95" s="15"/>
      <c r="AIT95" s="15"/>
      <c r="AIU95" s="15"/>
      <c r="AIV95" s="15"/>
      <c r="AIW95" s="15"/>
      <c r="AIX95" s="15"/>
      <c r="AIY95" s="15"/>
      <c r="AIZ95" s="15"/>
      <c r="AJA95" s="15"/>
      <c r="AJB95" s="15"/>
      <c r="AJC95" s="15"/>
      <c r="AJD95" s="15"/>
      <c r="AJE95" s="15"/>
      <c r="AJF95" s="15"/>
      <c r="AJG95" s="15"/>
      <c r="AJH95" s="15"/>
      <c r="AJI95" s="15"/>
      <c r="AJJ95" s="15"/>
      <c r="AJK95" s="15"/>
      <c r="AJL95" s="15"/>
      <c r="AJM95" s="15"/>
      <c r="AJN95" s="15"/>
      <c r="AJO95" s="15"/>
      <c r="AJP95" s="15"/>
      <c r="AJQ95" s="15"/>
      <c r="AJR95" s="15"/>
      <c r="AJS95" s="15"/>
      <c r="AJT95" s="15"/>
      <c r="AJU95" s="15"/>
      <c r="AJV95" s="15"/>
      <c r="AJW95" s="15"/>
      <c r="AJX95" s="15"/>
      <c r="AJY95" s="15"/>
      <c r="AJZ95" s="15"/>
      <c r="AKA95" s="15"/>
      <c r="AKB95" s="15"/>
      <c r="AKC95" s="15"/>
      <c r="AKD95" s="15"/>
      <c r="AKE95" s="15"/>
      <c r="AKF95" s="15"/>
      <c r="AKG95" s="15"/>
      <c r="AKH95" s="15"/>
      <c r="AKI95" s="15"/>
      <c r="AKJ95" s="15"/>
      <c r="AKK95" s="15"/>
      <c r="AKL95" s="15"/>
      <c r="AKM95" s="15"/>
      <c r="AKN95" s="15"/>
      <c r="AKO95" s="15"/>
      <c r="AKP95" s="15"/>
      <c r="AKQ95" s="15"/>
      <c r="AKR95" s="15"/>
      <c r="AKS95" s="15"/>
      <c r="AKT95" s="15"/>
      <c r="AKU95" s="15"/>
      <c r="AKV95" s="15"/>
      <c r="AKW95" s="15"/>
      <c r="AKX95" s="15"/>
      <c r="AKY95" s="15"/>
      <c r="AKZ95" s="15"/>
      <c r="ALA95" s="15"/>
      <c r="ALB95" s="15"/>
      <c r="ALC95" s="15"/>
      <c r="ALD95" s="15"/>
      <c r="ALE95" s="15"/>
      <c r="ALF95" s="15"/>
      <c r="ALG95" s="15"/>
      <c r="ALH95" s="15"/>
      <c r="ALI95" s="15"/>
      <c r="ALJ95" s="15"/>
      <c r="ALK95" s="15"/>
      <c r="ALL95" s="15"/>
      <c r="ALM95" s="15"/>
      <c r="ALN95" s="15"/>
      <c r="ALO95" s="15"/>
      <c r="ALP95" s="15"/>
      <c r="ALQ95" s="15"/>
      <c r="ALR95" s="15"/>
      <c r="ALS95" s="15"/>
      <c r="ALT95" s="15"/>
      <c r="ALU95" s="15"/>
      <c r="ALV95" s="15"/>
      <c r="ALW95" s="15"/>
      <c r="ALX95" s="15"/>
      <c r="ALY95" s="15"/>
      <c r="ALZ95" s="15"/>
      <c r="AMA95" s="15"/>
      <c r="AMB95" s="15"/>
      <c r="AMC95" s="15"/>
      <c r="AMD95" s="15"/>
      <c r="AME95" s="15"/>
      <c r="AMF95" s="15"/>
      <c r="AMG95" s="14"/>
      <c r="AMH95" s="14"/>
      <c r="AMI95" s="14"/>
      <c r="AMJ95" s="14"/>
    </row>
    <row r="96" spans="1:1024" s="13" customFormat="1" ht="364.4" hidden="1" customHeight="1" x14ac:dyDescent="0.35">
      <c r="A96" s="83">
        <v>43660</v>
      </c>
      <c r="B96" s="29" t="s">
        <v>131</v>
      </c>
      <c r="C96" s="29" t="s">
        <v>265</v>
      </c>
      <c r="D96" s="30">
        <v>43666</v>
      </c>
      <c r="E96" s="29" t="s">
        <v>129</v>
      </c>
      <c r="F96" s="31">
        <v>0.61458333333333304</v>
      </c>
      <c r="G96" s="31">
        <v>0.65625</v>
      </c>
      <c r="H96" s="31">
        <v>0.66666666666666696</v>
      </c>
      <c r="I96" s="29">
        <v>3323.25</v>
      </c>
      <c r="J96" s="42" t="s">
        <v>264</v>
      </c>
      <c r="K96" s="17" t="s">
        <v>119</v>
      </c>
      <c r="L96" s="16" t="s">
        <v>15</v>
      </c>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15"/>
      <c r="CB96" s="15"/>
      <c r="CC96" s="15"/>
      <c r="CD96" s="15"/>
      <c r="CE96" s="15"/>
      <c r="CF96" s="15"/>
      <c r="CG96" s="15"/>
      <c r="CH96" s="15"/>
      <c r="CI96" s="15"/>
      <c r="CJ96" s="15"/>
      <c r="CK96" s="15"/>
      <c r="CL96" s="15"/>
      <c r="CM96" s="15"/>
      <c r="CN96" s="15"/>
      <c r="CO96" s="15"/>
      <c r="CP96" s="15"/>
      <c r="CQ96" s="15"/>
      <c r="CR96" s="15"/>
      <c r="CS96" s="15"/>
      <c r="CT96" s="15"/>
      <c r="CU96" s="15"/>
      <c r="CV96" s="15"/>
      <c r="CW96" s="15"/>
      <c r="CX96" s="15"/>
      <c r="CY96" s="15"/>
      <c r="CZ96" s="15"/>
      <c r="DA96" s="15"/>
      <c r="DB96" s="15"/>
      <c r="DC96" s="15"/>
      <c r="DD96" s="15"/>
      <c r="DE96" s="15"/>
      <c r="DF96" s="15"/>
      <c r="DG96" s="15"/>
      <c r="DH96" s="15"/>
      <c r="DI96" s="15"/>
      <c r="DJ96" s="15"/>
      <c r="DK96" s="15"/>
      <c r="DL96" s="15"/>
      <c r="DM96" s="15"/>
      <c r="DN96" s="15"/>
      <c r="DO96" s="15"/>
      <c r="DP96" s="15"/>
      <c r="DQ96" s="15"/>
      <c r="DR96" s="15"/>
      <c r="DS96" s="15"/>
      <c r="DT96" s="15"/>
      <c r="DU96" s="15"/>
      <c r="DV96" s="15"/>
      <c r="DW96" s="15"/>
      <c r="DX96" s="15"/>
      <c r="DY96" s="15"/>
      <c r="DZ96" s="15"/>
      <c r="EA96" s="15"/>
      <c r="EB96" s="15"/>
      <c r="EC96" s="15"/>
      <c r="ED96" s="15"/>
      <c r="EE96" s="15"/>
      <c r="EF96" s="15"/>
      <c r="EG96" s="15"/>
      <c r="EH96" s="15"/>
      <c r="EI96" s="15"/>
      <c r="EJ96" s="15"/>
      <c r="EK96" s="15"/>
      <c r="EL96" s="15"/>
      <c r="EM96" s="15"/>
      <c r="EN96" s="15"/>
      <c r="EO96" s="15"/>
      <c r="EP96" s="15"/>
      <c r="EQ96" s="15"/>
      <c r="ER96" s="15"/>
      <c r="ES96" s="15"/>
      <c r="ET96" s="15"/>
      <c r="EU96" s="15"/>
      <c r="EV96" s="15"/>
      <c r="EW96" s="15"/>
      <c r="EX96" s="15"/>
      <c r="EY96" s="15"/>
      <c r="EZ96" s="15"/>
      <c r="FA96" s="15"/>
      <c r="FB96" s="15"/>
      <c r="FC96" s="15"/>
      <c r="FD96" s="15"/>
      <c r="FE96" s="15"/>
      <c r="FF96" s="15"/>
      <c r="FG96" s="15"/>
      <c r="FH96" s="15"/>
      <c r="FI96" s="15"/>
      <c r="FJ96" s="15"/>
      <c r="FK96" s="15"/>
      <c r="FL96" s="15"/>
      <c r="FM96" s="15"/>
      <c r="FN96" s="15"/>
      <c r="FO96" s="15"/>
      <c r="FP96" s="15"/>
      <c r="FQ96" s="15"/>
      <c r="FR96" s="15"/>
      <c r="FS96" s="15"/>
      <c r="FT96" s="15"/>
      <c r="FU96" s="15"/>
      <c r="FV96" s="15"/>
      <c r="FW96" s="15"/>
      <c r="FX96" s="15"/>
      <c r="FY96" s="15"/>
      <c r="FZ96" s="15"/>
      <c r="GA96" s="15"/>
      <c r="GB96" s="15"/>
      <c r="GC96" s="15"/>
      <c r="GD96" s="15"/>
      <c r="GE96" s="15"/>
      <c r="GF96" s="15"/>
      <c r="GG96" s="15"/>
      <c r="GH96" s="15"/>
      <c r="GI96" s="15"/>
      <c r="GJ96" s="15"/>
      <c r="GK96" s="15"/>
      <c r="GL96" s="15"/>
      <c r="GM96" s="15"/>
      <c r="GN96" s="15"/>
      <c r="GO96" s="15"/>
      <c r="GP96" s="15"/>
      <c r="GQ96" s="15"/>
      <c r="GR96" s="15"/>
      <c r="GS96" s="15"/>
      <c r="GT96" s="15"/>
      <c r="GU96" s="15"/>
      <c r="GV96" s="15"/>
      <c r="GW96" s="15"/>
      <c r="GX96" s="15"/>
      <c r="GY96" s="15"/>
      <c r="GZ96" s="15"/>
      <c r="HA96" s="15"/>
      <c r="HB96" s="15"/>
      <c r="HC96" s="15"/>
      <c r="HD96" s="15"/>
      <c r="HE96" s="15"/>
      <c r="HF96" s="15"/>
      <c r="HG96" s="15"/>
      <c r="HH96" s="15"/>
      <c r="HI96" s="15"/>
      <c r="HJ96" s="15"/>
      <c r="HK96" s="15"/>
      <c r="HL96" s="15"/>
      <c r="HM96" s="15"/>
      <c r="HN96" s="15"/>
      <c r="HO96" s="15"/>
      <c r="HP96" s="15"/>
      <c r="HQ96" s="15"/>
      <c r="HR96" s="15"/>
      <c r="HS96" s="15"/>
      <c r="HT96" s="15"/>
      <c r="HU96" s="15"/>
      <c r="HV96" s="15"/>
      <c r="HW96" s="15"/>
      <c r="HX96" s="15"/>
      <c r="HY96" s="15"/>
      <c r="HZ96" s="15"/>
      <c r="IA96" s="15"/>
      <c r="IB96" s="15"/>
      <c r="IC96" s="15"/>
      <c r="ID96" s="15"/>
      <c r="IE96" s="15"/>
      <c r="IF96" s="15"/>
      <c r="IG96" s="15"/>
      <c r="IH96" s="15"/>
      <c r="II96" s="15"/>
      <c r="IJ96" s="15"/>
      <c r="IK96" s="15"/>
      <c r="IL96" s="15"/>
      <c r="IM96" s="15"/>
      <c r="IN96" s="15"/>
      <c r="IO96" s="15"/>
      <c r="IP96" s="15"/>
      <c r="IQ96" s="15"/>
      <c r="IR96" s="15"/>
      <c r="IS96" s="15"/>
      <c r="IT96" s="15"/>
      <c r="IU96" s="15"/>
      <c r="IV96" s="15"/>
      <c r="IW96" s="15"/>
      <c r="IX96" s="15"/>
      <c r="IY96" s="15"/>
      <c r="IZ96" s="15"/>
      <c r="JA96" s="15"/>
      <c r="JB96" s="15"/>
      <c r="JC96" s="15"/>
      <c r="JD96" s="15"/>
      <c r="JE96" s="15"/>
      <c r="JF96" s="15"/>
      <c r="JG96" s="15"/>
      <c r="JH96" s="15"/>
      <c r="JI96" s="15"/>
      <c r="JJ96" s="15"/>
      <c r="JK96" s="15"/>
      <c r="JL96" s="15"/>
      <c r="JM96" s="15"/>
      <c r="JN96" s="15"/>
      <c r="JO96" s="15"/>
      <c r="JP96" s="15"/>
      <c r="JQ96" s="15"/>
      <c r="JR96" s="15"/>
      <c r="JS96" s="15"/>
      <c r="JT96" s="15"/>
      <c r="JU96" s="15"/>
      <c r="JV96" s="15"/>
      <c r="JW96" s="15"/>
      <c r="JX96" s="15"/>
      <c r="JY96" s="15"/>
      <c r="JZ96" s="15"/>
      <c r="KA96" s="15"/>
      <c r="KB96" s="15"/>
      <c r="KC96" s="15"/>
      <c r="KD96" s="15"/>
      <c r="KE96" s="15"/>
      <c r="KF96" s="15"/>
      <c r="KG96" s="15"/>
      <c r="KH96" s="15"/>
      <c r="KI96" s="15"/>
      <c r="KJ96" s="15"/>
      <c r="KK96" s="15"/>
      <c r="KL96" s="15"/>
      <c r="KM96" s="15"/>
      <c r="KN96" s="15"/>
      <c r="KO96" s="15"/>
      <c r="KP96" s="15"/>
      <c r="KQ96" s="15"/>
      <c r="KR96" s="15"/>
      <c r="KS96" s="15"/>
      <c r="KT96" s="15"/>
      <c r="KU96" s="15"/>
      <c r="KV96" s="15"/>
      <c r="KW96" s="15"/>
      <c r="KX96" s="15"/>
      <c r="KY96" s="15"/>
      <c r="KZ96" s="15"/>
      <c r="LA96" s="15"/>
      <c r="LB96" s="15"/>
      <c r="LC96" s="15"/>
      <c r="LD96" s="15"/>
      <c r="LE96" s="15"/>
      <c r="LF96" s="15"/>
      <c r="LG96" s="15"/>
      <c r="LH96" s="15"/>
      <c r="LI96" s="15"/>
      <c r="LJ96" s="15"/>
      <c r="LK96" s="15"/>
      <c r="LL96" s="15"/>
      <c r="LM96" s="15"/>
      <c r="LN96" s="15"/>
      <c r="LO96" s="15"/>
      <c r="LP96" s="15"/>
      <c r="LQ96" s="15"/>
      <c r="LR96" s="15"/>
      <c r="LS96" s="15"/>
      <c r="LT96" s="15"/>
      <c r="LU96" s="15"/>
      <c r="LV96" s="15"/>
      <c r="LW96" s="15"/>
      <c r="LX96" s="15"/>
      <c r="LY96" s="15"/>
      <c r="LZ96" s="15"/>
      <c r="MA96" s="15"/>
      <c r="MB96" s="15"/>
      <c r="MC96" s="15"/>
      <c r="MD96" s="15"/>
      <c r="ME96" s="15"/>
      <c r="MF96" s="15"/>
      <c r="MG96" s="15"/>
      <c r="MH96" s="15"/>
      <c r="MI96" s="15"/>
      <c r="MJ96" s="15"/>
      <c r="MK96" s="15"/>
      <c r="ML96" s="15"/>
      <c r="MM96" s="15"/>
      <c r="MN96" s="15"/>
      <c r="MO96" s="15"/>
      <c r="MP96" s="15"/>
      <c r="MQ96" s="15"/>
      <c r="MR96" s="15"/>
      <c r="MS96" s="15"/>
      <c r="MT96" s="15"/>
      <c r="MU96" s="15"/>
      <c r="MV96" s="15"/>
      <c r="MW96" s="15"/>
      <c r="MX96" s="15"/>
      <c r="MY96" s="15"/>
      <c r="MZ96" s="15"/>
      <c r="NA96" s="15"/>
      <c r="NB96" s="15"/>
      <c r="NC96" s="15"/>
      <c r="ND96" s="15"/>
      <c r="NE96" s="15"/>
      <c r="NF96" s="15"/>
      <c r="NG96" s="15"/>
      <c r="NH96" s="15"/>
      <c r="NI96" s="15"/>
      <c r="NJ96" s="15"/>
      <c r="NK96" s="15"/>
      <c r="NL96" s="15"/>
      <c r="NM96" s="15"/>
      <c r="NN96" s="15"/>
      <c r="NO96" s="15"/>
      <c r="NP96" s="15"/>
      <c r="NQ96" s="15"/>
      <c r="NR96" s="15"/>
      <c r="NS96" s="15"/>
      <c r="NT96" s="15"/>
      <c r="NU96" s="15"/>
      <c r="NV96" s="15"/>
      <c r="NW96" s="15"/>
      <c r="NX96" s="15"/>
      <c r="NY96" s="15"/>
      <c r="NZ96" s="15"/>
      <c r="OA96" s="15"/>
      <c r="OB96" s="15"/>
      <c r="OC96" s="15"/>
      <c r="OD96" s="15"/>
      <c r="OE96" s="15"/>
      <c r="OF96" s="15"/>
      <c r="OG96" s="15"/>
      <c r="OH96" s="15"/>
      <c r="OI96" s="15"/>
      <c r="OJ96" s="15"/>
      <c r="OK96" s="15"/>
      <c r="OL96" s="15"/>
      <c r="OM96" s="15"/>
      <c r="ON96" s="15"/>
      <c r="OO96" s="15"/>
      <c r="OP96" s="15"/>
      <c r="OQ96" s="15"/>
      <c r="OR96" s="15"/>
      <c r="OS96" s="15"/>
      <c r="OT96" s="15"/>
      <c r="OU96" s="15"/>
      <c r="OV96" s="15"/>
      <c r="OW96" s="15"/>
      <c r="OX96" s="15"/>
      <c r="OY96" s="15"/>
      <c r="OZ96" s="15"/>
      <c r="PA96" s="15"/>
      <c r="PB96" s="15"/>
      <c r="PC96" s="15"/>
      <c r="PD96" s="15"/>
      <c r="PE96" s="15"/>
      <c r="PF96" s="15"/>
      <c r="PG96" s="15"/>
      <c r="PH96" s="15"/>
      <c r="PI96" s="15"/>
      <c r="PJ96" s="15"/>
      <c r="PK96" s="15"/>
      <c r="PL96" s="15"/>
      <c r="PM96" s="15"/>
      <c r="PN96" s="15"/>
      <c r="PO96" s="15"/>
      <c r="PP96" s="15"/>
      <c r="PQ96" s="15"/>
      <c r="PR96" s="15"/>
      <c r="PS96" s="15"/>
      <c r="PT96" s="15"/>
      <c r="PU96" s="15"/>
      <c r="PV96" s="15"/>
      <c r="PW96" s="15"/>
      <c r="PX96" s="15"/>
      <c r="PY96" s="15"/>
      <c r="PZ96" s="15"/>
      <c r="QA96" s="15"/>
      <c r="QB96" s="15"/>
      <c r="QC96" s="15"/>
      <c r="QD96" s="15"/>
      <c r="QE96" s="15"/>
      <c r="QF96" s="15"/>
      <c r="QG96" s="15"/>
      <c r="QH96" s="15"/>
      <c r="QI96" s="15"/>
      <c r="QJ96" s="15"/>
      <c r="QK96" s="15"/>
      <c r="QL96" s="15"/>
      <c r="QM96" s="15"/>
      <c r="QN96" s="15"/>
      <c r="QO96" s="15"/>
      <c r="QP96" s="15"/>
      <c r="QQ96" s="15"/>
      <c r="QR96" s="15"/>
      <c r="QS96" s="15"/>
      <c r="QT96" s="15"/>
      <c r="QU96" s="15"/>
      <c r="QV96" s="15"/>
      <c r="QW96" s="15"/>
      <c r="QX96" s="15"/>
      <c r="QY96" s="15"/>
      <c r="QZ96" s="15"/>
      <c r="RA96" s="15"/>
      <c r="RB96" s="15"/>
      <c r="RC96" s="15"/>
      <c r="RD96" s="15"/>
      <c r="RE96" s="15"/>
      <c r="RF96" s="15"/>
      <c r="RG96" s="15"/>
      <c r="RH96" s="15"/>
      <c r="RI96" s="15"/>
      <c r="RJ96" s="15"/>
      <c r="RK96" s="15"/>
      <c r="RL96" s="15"/>
      <c r="RM96" s="15"/>
      <c r="RN96" s="15"/>
      <c r="RO96" s="15"/>
      <c r="RP96" s="15"/>
      <c r="RQ96" s="15"/>
      <c r="RR96" s="15"/>
      <c r="RS96" s="15"/>
      <c r="RT96" s="15"/>
      <c r="RU96" s="15"/>
      <c r="RV96" s="15"/>
      <c r="RW96" s="15"/>
      <c r="RX96" s="15"/>
      <c r="RY96" s="15"/>
      <c r="RZ96" s="15"/>
      <c r="SA96" s="15"/>
      <c r="SB96" s="15"/>
      <c r="SC96" s="15"/>
      <c r="SD96" s="15"/>
      <c r="SE96" s="15"/>
      <c r="SF96" s="15"/>
      <c r="SG96" s="15"/>
      <c r="SH96" s="15"/>
      <c r="SI96" s="15"/>
      <c r="SJ96" s="15"/>
      <c r="SK96" s="15"/>
      <c r="SL96" s="15"/>
      <c r="SM96" s="15"/>
      <c r="SN96" s="15"/>
      <c r="SO96" s="15"/>
      <c r="SP96" s="15"/>
      <c r="SQ96" s="15"/>
      <c r="SR96" s="15"/>
      <c r="SS96" s="15"/>
      <c r="ST96" s="15"/>
      <c r="SU96" s="15"/>
      <c r="SV96" s="15"/>
      <c r="SW96" s="15"/>
      <c r="SX96" s="15"/>
      <c r="SY96" s="15"/>
      <c r="SZ96" s="15"/>
      <c r="TA96" s="15"/>
      <c r="TB96" s="15"/>
      <c r="TC96" s="15"/>
      <c r="TD96" s="15"/>
      <c r="TE96" s="15"/>
      <c r="TF96" s="15"/>
      <c r="TG96" s="15"/>
      <c r="TH96" s="15"/>
      <c r="TI96" s="15"/>
      <c r="TJ96" s="15"/>
      <c r="TK96" s="15"/>
      <c r="TL96" s="15"/>
      <c r="TM96" s="15"/>
      <c r="TN96" s="15"/>
      <c r="TO96" s="15"/>
      <c r="TP96" s="15"/>
      <c r="TQ96" s="15"/>
      <c r="TR96" s="15"/>
      <c r="TS96" s="15"/>
      <c r="TT96" s="15"/>
      <c r="TU96" s="15"/>
      <c r="TV96" s="15"/>
      <c r="TW96" s="15"/>
      <c r="TX96" s="15"/>
      <c r="TY96" s="15"/>
      <c r="TZ96" s="15"/>
      <c r="UA96" s="15"/>
      <c r="UB96" s="15"/>
      <c r="UC96" s="15"/>
      <c r="UD96" s="15"/>
      <c r="UE96" s="15"/>
      <c r="UF96" s="15"/>
      <c r="UG96" s="15"/>
      <c r="UH96" s="15"/>
      <c r="UI96" s="15"/>
      <c r="UJ96" s="15"/>
      <c r="UK96" s="15"/>
      <c r="UL96" s="15"/>
      <c r="UM96" s="15"/>
      <c r="UN96" s="15"/>
      <c r="UO96" s="15"/>
      <c r="UP96" s="15"/>
      <c r="UQ96" s="15"/>
      <c r="UR96" s="15"/>
      <c r="US96" s="15"/>
      <c r="UT96" s="15"/>
      <c r="UU96" s="15"/>
      <c r="UV96" s="15"/>
      <c r="UW96" s="15"/>
      <c r="UX96" s="15"/>
      <c r="UY96" s="15"/>
      <c r="UZ96" s="15"/>
      <c r="VA96" s="15"/>
      <c r="VB96" s="15"/>
      <c r="VC96" s="15"/>
      <c r="VD96" s="15"/>
      <c r="VE96" s="15"/>
      <c r="VF96" s="15"/>
      <c r="VG96" s="15"/>
      <c r="VH96" s="15"/>
      <c r="VI96" s="15"/>
      <c r="VJ96" s="15"/>
      <c r="VK96" s="15"/>
      <c r="VL96" s="15"/>
      <c r="VM96" s="15"/>
      <c r="VN96" s="15"/>
      <c r="VO96" s="15"/>
      <c r="VP96" s="15"/>
      <c r="VQ96" s="15"/>
      <c r="VR96" s="15"/>
      <c r="VS96" s="15"/>
      <c r="VT96" s="15"/>
      <c r="VU96" s="15"/>
      <c r="VV96" s="15"/>
      <c r="VW96" s="15"/>
      <c r="VX96" s="15"/>
      <c r="VY96" s="15"/>
      <c r="VZ96" s="15"/>
      <c r="WA96" s="15"/>
      <c r="WB96" s="15"/>
      <c r="WC96" s="15"/>
      <c r="WD96" s="15"/>
      <c r="WE96" s="15"/>
      <c r="WF96" s="15"/>
      <c r="WG96" s="15"/>
      <c r="WH96" s="15"/>
      <c r="WI96" s="15"/>
      <c r="WJ96" s="15"/>
      <c r="WK96" s="15"/>
      <c r="WL96" s="15"/>
      <c r="WM96" s="15"/>
      <c r="WN96" s="15"/>
      <c r="WO96" s="15"/>
      <c r="WP96" s="15"/>
      <c r="WQ96" s="15"/>
      <c r="WR96" s="15"/>
      <c r="WS96" s="15"/>
      <c r="WT96" s="15"/>
      <c r="WU96" s="15"/>
      <c r="WV96" s="15"/>
      <c r="WW96" s="15"/>
      <c r="WX96" s="15"/>
      <c r="WY96" s="15"/>
      <c r="WZ96" s="15"/>
      <c r="XA96" s="15"/>
      <c r="XB96" s="15"/>
      <c r="XC96" s="15"/>
      <c r="XD96" s="15"/>
      <c r="XE96" s="15"/>
      <c r="XF96" s="15"/>
      <c r="XG96" s="15"/>
      <c r="XH96" s="15"/>
      <c r="XI96" s="15"/>
      <c r="XJ96" s="15"/>
      <c r="XK96" s="15"/>
      <c r="XL96" s="15"/>
      <c r="XM96" s="15"/>
      <c r="XN96" s="15"/>
      <c r="XO96" s="15"/>
      <c r="XP96" s="15"/>
      <c r="XQ96" s="15"/>
      <c r="XR96" s="15"/>
      <c r="XS96" s="15"/>
      <c r="XT96" s="15"/>
      <c r="XU96" s="15"/>
      <c r="XV96" s="15"/>
      <c r="XW96" s="15"/>
      <c r="XX96" s="15"/>
      <c r="XY96" s="15"/>
      <c r="XZ96" s="15"/>
      <c r="YA96" s="15"/>
      <c r="YB96" s="15"/>
      <c r="YC96" s="15"/>
      <c r="YD96" s="15"/>
      <c r="YE96" s="15"/>
      <c r="YF96" s="15"/>
      <c r="YG96" s="15"/>
      <c r="YH96" s="15"/>
      <c r="YI96" s="15"/>
      <c r="YJ96" s="15"/>
      <c r="YK96" s="15"/>
      <c r="YL96" s="15"/>
      <c r="YM96" s="15"/>
      <c r="YN96" s="15"/>
      <c r="YO96" s="15"/>
      <c r="YP96" s="15"/>
      <c r="YQ96" s="15"/>
      <c r="YR96" s="15"/>
      <c r="YS96" s="15"/>
      <c r="YT96" s="15"/>
      <c r="YU96" s="15"/>
      <c r="YV96" s="15"/>
      <c r="YW96" s="15"/>
      <c r="YX96" s="15"/>
      <c r="YY96" s="15"/>
      <c r="YZ96" s="15"/>
      <c r="ZA96" s="15"/>
      <c r="ZB96" s="15"/>
      <c r="ZC96" s="15"/>
      <c r="ZD96" s="15"/>
      <c r="ZE96" s="15"/>
      <c r="ZF96" s="15"/>
      <c r="ZG96" s="15"/>
      <c r="ZH96" s="15"/>
      <c r="ZI96" s="15"/>
      <c r="ZJ96" s="15"/>
      <c r="ZK96" s="15"/>
      <c r="ZL96" s="15"/>
      <c r="ZM96" s="15"/>
      <c r="ZN96" s="15"/>
      <c r="ZO96" s="15"/>
      <c r="ZP96" s="15"/>
      <c r="ZQ96" s="15"/>
      <c r="ZR96" s="15"/>
      <c r="ZS96" s="15"/>
      <c r="ZT96" s="15"/>
      <c r="ZU96" s="15"/>
      <c r="ZV96" s="15"/>
      <c r="ZW96" s="15"/>
      <c r="ZX96" s="15"/>
      <c r="ZY96" s="15"/>
      <c r="ZZ96" s="15"/>
      <c r="AAA96" s="15"/>
      <c r="AAB96" s="15"/>
      <c r="AAC96" s="15"/>
      <c r="AAD96" s="15"/>
      <c r="AAE96" s="15"/>
      <c r="AAF96" s="15"/>
      <c r="AAG96" s="15"/>
      <c r="AAH96" s="15"/>
      <c r="AAI96" s="15"/>
      <c r="AAJ96" s="15"/>
      <c r="AAK96" s="15"/>
      <c r="AAL96" s="15"/>
      <c r="AAM96" s="15"/>
      <c r="AAN96" s="15"/>
      <c r="AAO96" s="15"/>
      <c r="AAP96" s="15"/>
      <c r="AAQ96" s="15"/>
      <c r="AAR96" s="15"/>
      <c r="AAS96" s="15"/>
      <c r="AAT96" s="15"/>
      <c r="AAU96" s="15"/>
      <c r="AAV96" s="15"/>
      <c r="AAW96" s="15"/>
      <c r="AAX96" s="15"/>
      <c r="AAY96" s="15"/>
      <c r="AAZ96" s="15"/>
      <c r="ABA96" s="15"/>
      <c r="ABB96" s="15"/>
      <c r="ABC96" s="15"/>
      <c r="ABD96" s="15"/>
      <c r="ABE96" s="15"/>
      <c r="ABF96" s="15"/>
      <c r="ABG96" s="15"/>
      <c r="ABH96" s="15"/>
      <c r="ABI96" s="15"/>
      <c r="ABJ96" s="15"/>
      <c r="ABK96" s="15"/>
      <c r="ABL96" s="15"/>
      <c r="ABM96" s="15"/>
      <c r="ABN96" s="15"/>
      <c r="ABO96" s="15"/>
      <c r="ABP96" s="15"/>
      <c r="ABQ96" s="15"/>
      <c r="ABR96" s="15"/>
      <c r="ABS96" s="15"/>
      <c r="ABT96" s="15"/>
      <c r="ABU96" s="15"/>
      <c r="ABV96" s="15"/>
      <c r="ABW96" s="15"/>
      <c r="ABX96" s="15"/>
      <c r="ABY96" s="15"/>
      <c r="ABZ96" s="15"/>
      <c r="ACA96" s="15"/>
      <c r="ACB96" s="15"/>
      <c r="ACC96" s="15"/>
      <c r="ACD96" s="15"/>
      <c r="ACE96" s="15"/>
      <c r="ACF96" s="15"/>
      <c r="ACG96" s="15"/>
      <c r="ACH96" s="15"/>
      <c r="ACI96" s="15"/>
      <c r="ACJ96" s="15"/>
      <c r="ACK96" s="15"/>
      <c r="ACL96" s="15"/>
      <c r="ACM96" s="15"/>
      <c r="ACN96" s="15"/>
      <c r="ACO96" s="15"/>
      <c r="ACP96" s="15"/>
      <c r="ACQ96" s="15"/>
      <c r="ACR96" s="15"/>
      <c r="ACS96" s="15"/>
      <c r="ACT96" s="15"/>
      <c r="ACU96" s="15"/>
      <c r="ACV96" s="15"/>
      <c r="ACW96" s="15"/>
      <c r="ACX96" s="15"/>
      <c r="ACY96" s="15"/>
      <c r="ACZ96" s="15"/>
      <c r="ADA96" s="15"/>
      <c r="ADB96" s="15"/>
      <c r="ADC96" s="15"/>
      <c r="ADD96" s="15"/>
      <c r="ADE96" s="15"/>
      <c r="ADF96" s="15"/>
      <c r="ADG96" s="15"/>
      <c r="ADH96" s="15"/>
      <c r="ADI96" s="15"/>
      <c r="ADJ96" s="15"/>
      <c r="ADK96" s="15"/>
      <c r="ADL96" s="15"/>
      <c r="ADM96" s="15"/>
      <c r="ADN96" s="15"/>
      <c r="ADO96" s="15"/>
      <c r="ADP96" s="15"/>
      <c r="ADQ96" s="15"/>
      <c r="ADR96" s="15"/>
      <c r="ADS96" s="15"/>
      <c r="ADT96" s="15"/>
      <c r="ADU96" s="15"/>
      <c r="ADV96" s="15"/>
      <c r="ADW96" s="15"/>
      <c r="ADX96" s="15"/>
      <c r="ADY96" s="15"/>
      <c r="ADZ96" s="15"/>
      <c r="AEA96" s="15"/>
      <c r="AEB96" s="15"/>
      <c r="AEC96" s="15"/>
      <c r="AED96" s="15"/>
      <c r="AEE96" s="15"/>
      <c r="AEF96" s="15"/>
      <c r="AEG96" s="15"/>
      <c r="AEH96" s="15"/>
      <c r="AEI96" s="15"/>
      <c r="AEJ96" s="15"/>
      <c r="AEK96" s="15"/>
      <c r="AEL96" s="15"/>
      <c r="AEM96" s="15"/>
      <c r="AEN96" s="15"/>
      <c r="AEO96" s="15"/>
      <c r="AEP96" s="15"/>
      <c r="AEQ96" s="15"/>
      <c r="AER96" s="15"/>
      <c r="AES96" s="15"/>
      <c r="AET96" s="15"/>
      <c r="AEU96" s="15"/>
      <c r="AEV96" s="15"/>
      <c r="AEW96" s="15"/>
      <c r="AEX96" s="15"/>
      <c r="AEY96" s="15"/>
      <c r="AEZ96" s="15"/>
      <c r="AFA96" s="15"/>
      <c r="AFB96" s="15"/>
      <c r="AFC96" s="15"/>
      <c r="AFD96" s="15"/>
      <c r="AFE96" s="15"/>
      <c r="AFF96" s="15"/>
      <c r="AFG96" s="15"/>
      <c r="AFH96" s="15"/>
      <c r="AFI96" s="15"/>
      <c r="AFJ96" s="15"/>
      <c r="AFK96" s="15"/>
      <c r="AFL96" s="15"/>
      <c r="AFM96" s="15"/>
      <c r="AFN96" s="15"/>
      <c r="AFO96" s="15"/>
      <c r="AFP96" s="15"/>
      <c r="AFQ96" s="15"/>
      <c r="AFR96" s="15"/>
      <c r="AFS96" s="15"/>
      <c r="AFT96" s="15"/>
      <c r="AFU96" s="15"/>
      <c r="AFV96" s="15"/>
      <c r="AFW96" s="15"/>
      <c r="AFX96" s="15"/>
      <c r="AFY96" s="15"/>
      <c r="AFZ96" s="15"/>
      <c r="AGA96" s="15"/>
      <c r="AGB96" s="15"/>
      <c r="AGC96" s="15"/>
      <c r="AGD96" s="15"/>
      <c r="AGE96" s="15"/>
      <c r="AGF96" s="15"/>
      <c r="AGG96" s="15"/>
      <c r="AGH96" s="15"/>
      <c r="AGI96" s="15"/>
      <c r="AGJ96" s="15"/>
      <c r="AGK96" s="15"/>
      <c r="AGL96" s="15"/>
      <c r="AGM96" s="15"/>
      <c r="AGN96" s="15"/>
      <c r="AGO96" s="15"/>
      <c r="AGP96" s="15"/>
      <c r="AGQ96" s="15"/>
      <c r="AGR96" s="15"/>
      <c r="AGS96" s="15"/>
      <c r="AGT96" s="15"/>
      <c r="AGU96" s="15"/>
      <c r="AGV96" s="15"/>
      <c r="AGW96" s="15"/>
      <c r="AGX96" s="15"/>
      <c r="AGY96" s="15"/>
      <c r="AGZ96" s="15"/>
      <c r="AHA96" s="15"/>
      <c r="AHB96" s="15"/>
      <c r="AHC96" s="15"/>
      <c r="AHD96" s="15"/>
      <c r="AHE96" s="15"/>
      <c r="AHF96" s="15"/>
      <c r="AHG96" s="15"/>
      <c r="AHH96" s="15"/>
      <c r="AHI96" s="15"/>
      <c r="AHJ96" s="15"/>
      <c r="AHK96" s="15"/>
      <c r="AHL96" s="15"/>
      <c r="AHM96" s="15"/>
      <c r="AHN96" s="15"/>
      <c r="AHO96" s="15"/>
      <c r="AHP96" s="15"/>
      <c r="AHQ96" s="15"/>
      <c r="AHR96" s="15"/>
      <c r="AHS96" s="15"/>
      <c r="AHT96" s="15"/>
      <c r="AHU96" s="15"/>
      <c r="AHV96" s="15"/>
      <c r="AHW96" s="15"/>
      <c r="AHX96" s="15"/>
      <c r="AHY96" s="15"/>
      <c r="AHZ96" s="15"/>
      <c r="AIA96" s="15"/>
      <c r="AIB96" s="15"/>
      <c r="AIC96" s="15"/>
      <c r="AID96" s="15"/>
      <c r="AIE96" s="15"/>
      <c r="AIF96" s="15"/>
      <c r="AIG96" s="15"/>
      <c r="AIH96" s="15"/>
      <c r="AII96" s="15"/>
      <c r="AIJ96" s="15"/>
      <c r="AIK96" s="15"/>
      <c r="AIL96" s="15"/>
      <c r="AIM96" s="15"/>
      <c r="AIN96" s="15"/>
      <c r="AIO96" s="15"/>
      <c r="AIP96" s="15"/>
      <c r="AIQ96" s="15"/>
      <c r="AIR96" s="15"/>
      <c r="AIS96" s="15"/>
      <c r="AIT96" s="15"/>
      <c r="AIU96" s="15"/>
      <c r="AIV96" s="15"/>
      <c r="AIW96" s="15"/>
      <c r="AIX96" s="15"/>
      <c r="AIY96" s="15"/>
      <c r="AIZ96" s="15"/>
      <c r="AJA96" s="15"/>
      <c r="AJB96" s="15"/>
      <c r="AJC96" s="15"/>
      <c r="AJD96" s="15"/>
      <c r="AJE96" s="15"/>
      <c r="AJF96" s="15"/>
      <c r="AJG96" s="15"/>
      <c r="AJH96" s="15"/>
      <c r="AJI96" s="15"/>
      <c r="AJJ96" s="15"/>
      <c r="AJK96" s="15"/>
      <c r="AJL96" s="15"/>
      <c r="AJM96" s="15"/>
      <c r="AJN96" s="15"/>
      <c r="AJO96" s="15"/>
      <c r="AJP96" s="15"/>
      <c r="AJQ96" s="15"/>
      <c r="AJR96" s="15"/>
      <c r="AJS96" s="15"/>
      <c r="AJT96" s="15"/>
      <c r="AJU96" s="15"/>
      <c r="AJV96" s="15"/>
      <c r="AJW96" s="15"/>
      <c r="AJX96" s="15"/>
      <c r="AJY96" s="15"/>
      <c r="AJZ96" s="15"/>
      <c r="AKA96" s="15"/>
      <c r="AKB96" s="15"/>
      <c r="AKC96" s="15"/>
      <c r="AKD96" s="15"/>
      <c r="AKE96" s="15"/>
      <c r="AKF96" s="15"/>
      <c r="AKG96" s="15"/>
      <c r="AKH96" s="15"/>
      <c r="AKI96" s="15"/>
      <c r="AKJ96" s="15"/>
      <c r="AKK96" s="15"/>
      <c r="AKL96" s="15"/>
      <c r="AKM96" s="15"/>
      <c r="AKN96" s="15"/>
      <c r="AKO96" s="15"/>
      <c r="AKP96" s="15"/>
      <c r="AKQ96" s="15"/>
      <c r="AKR96" s="15"/>
      <c r="AKS96" s="15"/>
      <c r="AKT96" s="15"/>
      <c r="AKU96" s="15"/>
      <c r="AKV96" s="15"/>
      <c r="AKW96" s="15"/>
      <c r="AKX96" s="15"/>
      <c r="AKY96" s="15"/>
      <c r="AKZ96" s="15"/>
      <c r="ALA96" s="15"/>
      <c r="ALB96" s="15"/>
      <c r="ALC96" s="15"/>
      <c r="ALD96" s="15"/>
      <c r="ALE96" s="15"/>
      <c r="ALF96" s="15"/>
      <c r="ALG96" s="15"/>
      <c r="ALH96" s="15"/>
      <c r="ALI96" s="15"/>
      <c r="ALJ96" s="15"/>
      <c r="ALK96" s="15"/>
      <c r="ALL96" s="15"/>
      <c r="ALM96" s="15"/>
      <c r="ALN96" s="15"/>
      <c r="ALO96" s="15"/>
      <c r="ALP96" s="15"/>
      <c r="ALQ96" s="15"/>
      <c r="ALR96" s="15"/>
      <c r="ALS96" s="15"/>
      <c r="ALT96" s="15"/>
      <c r="ALU96" s="15"/>
      <c r="ALV96" s="15"/>
      <c r="ALW96" s="15"/>
      <c r="ALX96" s="15"/>
      <c r="ALY96" s="15"/>
      <c r="ALZ96" s="15"/>
      <c r="AMA96" s="15"/>
      <c r="AMB96" s="15"/>
      <c r="AMC96" s="15"/>
      <c r="AMD96" s="15"/>
      <c r="AME96" s="15"/>
      <c r="AMF96" s="15"/>
      <c r="AMG96" s="14"/>
      <c r="AMH96" s="14"/>
      <c r="AMI96" s="14"/>
      <c r="AMJ96" s="14"/>
    </row>
    <row r="97" spans="1:12" s="13" customFormat="1" ht="291" hidden="1" customHeight="1" x14ac:dyDescent="0.35">
      <c r="A97" s="19">
        <v>43663</v>
      </c>
      <c r="B97" s="17" t="s">
        <v>25</v>
      </c>
      <c r="C97" s="17" t="s">
        <v>263</v>
      </c>
      <c r="D97" s="18">
        <v>43666</v>
      </c>
      <c r="E97" s="17" t="s">
        <v>27</v>
      </c>
      <c r="F97" s="26">
        <v>0.61458333333333304</v>
      </c>
      <c r="G97" s="26">
        <v>0.6875</v>
      </c>
      <c r="H97" s="26">
        <v>0.70833333333333304</v>
      </c>
      <c r="I97" s="17">
        <v>800</v>
      </c>
      <c r="J97" s="42" t="s">
        <v>252</v>
      </c>
      <c r="K97" s="17" t="s">
        <v>119</v>
      </c>
      <c r="L97" s="16" t="s">
        <v>17</v>
      </c>
    </row>
    <row r="98" spans="1:12" s="13" customFormat="1" ht="304.5" x14ac:dyDescent="0.35">
      <c r="A98" s="83">
        <v>43659</v>
      </c>
      <c r="B98" s="29" t="s">
        <v>262</v>
      </c>
      <c r="C98" s="29" t="s">
        <v>3648</v>
      </c>
      <c r="D98" s="30">
        <v>43666</v>
      </c>
      <c r="E98" s="29" t="s">
        <v>73</v>
      </c>
      <c r="F98" s="31">
        <v>0.61458333333333304</v>
      </c>
      <c r="G98" s="31">
        <v>0.75</v>
      </c>
      <c r="H98" s="31">
        <v>0.8125</v>
      </c>
      <c r="I98" s="29">
        <v>3692</v>
      </c>
      <c r="J98" s="42" t="s">
        <v>261</v>
      </c>
      <c r="K98" s="17" t="s">
        <v>119</v>
      </c>
      <c r="L98" s="81" t="s">
        <v>17</v>
      </c>
    </row>
    <row r="99" spans="1:12" s="13" customFormat="1" ht="58" hidden="1" x14ac:dyDescent="0.35">
      <c r="A99" s="19">
        <v>43662</v>
      </c>
      <c r="B99" s="17" t="s">
        <v>260</v>
      </c>
      <c r="C99" s="17" t="s">
        <v>259</v>
      </c>
      <c r="D99" s="18">
        <v>43666</v>
      </c>
      <c r="E99" s="17" t="s">
        <v>258</v>
      </c>
      <c r="F99" s="26">
        <v>0.72916666666666696</v>
      </c>
      <c r="G99" s="26">
        <v>0.72916666666666696</v>
      </c>
      <c r="H99" s="26">
        <v>0.75</v>
      </c>
      <c r="I99" s="99">
        <v>600</v>
      </c>
      <c r="J99" s="17" t="s">
        <v>257</v>
      </c>
      <c r="K99" s="17" t="s">
        <v>17</v>
      </c>
      <c r="L99" s="16" t="s">
        <v>22</v>
      </c>
    </row>
    <row r="100" spans="1:12" s="13" customFormat="1" ht="232" hidden="1" x14ac:dyDescent="0.35">
      <c r="A100" s="19">
        <v>43662</v>
      </c>
      <c r="B100" s="17" t="s">
        <v>256</v>
      </c>
      <c r="C100" s="17" t="s">
        <v>255</v>
      </c>
      <c r="D100" s="18">
        <v>43666</v>
      </c>
      <c r="E100" s="17" t="s">
        <v>254</v>
      </c>
      <c r="F100" s="17" t="s">
        <v>15</v>
      </c>
      <c r="G100" s="26">
        <v>0.5625</v>
      </c>
      <c r="H100" s="26">
        <v>0.5625</v>
      </c>
      <c r="I100" s="17">
        <v>0</v>
      </c>
      <c r="J100" s="17" t="s">
        <v>16</v>
      </c>
      <c r="K100" s="17" t="s">
        <v>15</v>
      </c>
      <c r="L100" s="16" t="s">
        <v>17</v>
      </c>
    </row>
    <row r="101" spans="1:12" s="13" customFormat="1" ht="288" hidden="1" customHeight="1" x14ac:dyDescent="0.35">
      <c r="A101" s="19">
        <v>43663</v>
      </c>
      <c r="B101" s="17" t="s">
        <v>25</v>
      </c>
      <c r="C101" s="17" t="s">
        <v>253</v>
      </c>
      <c r="D101" s="18">
        <v>43667</v>
      </c>
      <c r="E101" s="17" t="s">
        <v>27</v>
      </c>
      <c r="F101" s="26">
        <v>0.55208333333333304</v>
      </c>
      <c r="G101" s="26">
        <v>0.5625</v>
      </c>
      <c r="H101" s="26">
        <v>0.58333333333333304</v>
      </c>
      <c r="I101" s="17">
        <v>238</v>
      </c>
      <c r="J101" s="42" t="s">
        <v>252</v>
      </c>
      <c r="K101" s="17" t="s">
        <v>119</v>
      </c>
      <c r="L101" s="16" t="s">
        <v>17</v>
      </c>
    </row>
    <row r="102" spans="1:12" s="13" customFormat="1" ht="232" x14ac:dyDescent="0.35">
      <c r="A102" s="83">
        <v>43659</v>
      </c>
      <c r="B102" s="29" t="s">
        <v>251</v>
      </c>
      <c r="C102" s="29" t="s">
        <v>250</v>
      </c>
      <c r="D102" s="30">
        <v>43667</v>
      </c>
      <c r="E102" s="29" t="s">
        <v>73</v>
      </c>
      <c r="F102" s="31">
        <v>0.64583333333333304</v>
      </c>
      <c r="G102" s="31">
        <v>0.72916666666666696</v>
      </c>
      <c r="H102" s="31">
        <v>0.77083333333333304</v>
      </c>
      <c r="I102" s="29">
        <v>4860</v>
      </c>
      <c r="J102" s="42" t="s">
        <v>249</v>
      </c>
      <c r="K102" s="17" t="s">
        <v>140</v>
      </c>
      <c r="L102" s="81" t="s">
        <v>17</v>
      </c>
    </row>
    <row r="103" spans="1:12" s="13" customFormat="1" ht="72.5" hidden="1" x14ac:dyDescent="0.35">
      <c r="A103" s="80">
        <v>43663</v>
      </c>
      <c r="B103" s="22" t="s">
        <v>131</v>
      </c>
      <c r="C103" s="22" t="s">
        <v>248</v>
      </c>
      <c r="D103" s="23">
        <v>43667</v>
      </c>
      <c r="E103" s="22" t="s">
        <v>129</v>
      </c>
      <c r="F103" s="79">
        <v>0.68055555555555503</v>
      </c>
      <c r="G103" s="79">
        <v>0.70138888888888895</v>
      </c>
      <c r="H103" s="79">
        <v>0.70833333333333304</v>
      </c>
      <c r="I103" s="22">
        <v>609.35</v>
      </c>
      <c r="J103" s="98" t="s">
        <v>247</v>
      </c>
      <c r="K103" s="22" t="s">
        <v>119</v>
      </c>
      <c r="L103" s="78" t="s">
        <v>17</v>
      </c>
    </row>
    <row r="104" spans="1:12" s="13" customFormat="1" ht="87" hidden="1" x14ac:dyDescent="0.35">
      <c r="A104" s="19">
        <v>43666</v>
      </c>
      <c r="B104" s="17" t="s">
        <v>152</v>
      </c>
      <c r="C104" s="17" t="s">
        <v>246</v>
      </c>
      <c r="D104" s="18">
        <v>43668</v>
      </c>
      <c r="E104" s="17" t="s">
        <v>150</v>
      </c>
      <c r="F104" s="26">
        <v>0.54166666666666696</v>
      </c>
      <c r="G104" s="26">
        <v>0.5625</v>
      </c>
      <c r="H104" s="26">
        <v>0.57291666666666696</v>
      </c>
      <c r="I104" s="17">
        <v>270</v>
      </c>
      <c r="J104" s="42" t="s">
        <v>245</v>
      </c>
      <c r="K104" s="17" t="s">
        <v>140</v>
      </c>
      <c r="L104" s="16" t="s">
        <v>17</v>
      </c>
    </row>
    <row r="105" spans="1:12" s="13" customFormat="1" ht="43.5" hidden="1" x14ac:dyDescent="0.35">
      <c r="A105" s="97">
        <v>43668</v>
      </c>
      <c r="B105" s="21" t="s">
        <v>244</v>
      </c>
      <c r="C105" s="21" t="s">
        <v>243</v>
      </c>
      <c r="D105" s="97">
        <v>43669</v>
      </c>
      <c r="E105" s="21" t="s">
        <v>242</v>
      </c>
      <c r="F105" s="96">
        <v>0.5</v>
      </c>
      <c r="G105" s="96">
        <v>0.52083333333333304</v>
      </c>
      <c r="H105" s="96">
        <v>0.54166666666666696</v>
      </c>
      <c r="I105" s="21">
        <v>0</v>
      </c>
      <c r="J105" s="21">
        <v>0</v>
      </c>
      <c r="K105" s="21" t="s">
        <v>119</v>
      </c>
      <c r="L105" s="21" t="s">
        <v>17</v>
      </c>
    </row>
    <row r="106" spans="1:12" s="13" customFormat="1" ht="43.5" hidden="1" x14ac:dyDescent="0.35">
      <c r="A106" s="97">
        <v>43662</v>
      </c>
      <c r="B106" s="21" t="s">
        <v>241</v>
      </c>
      <c r="C106" s="21" t="s">
        <v>240</v>
      </c>
      <c r="D106" s="97">
        <v>43669</v>
      </c>
      <c r="E106" s="21" t="s">
        <v>239</v>
      </c>
      <c r="F106" s="96">
        <v>0.5</v>
      </c>
      <c r="G106" s="96">
        <v>0.54166666666666696</v>
      </c>
      <c r="H106" s="96">
        <v>0.5625</v>
      </c>
      <c r="I106" s="95">
        <v>330</v>
      </c>
      <c r="J106" s="21" t="s">
        <v>238</v>
      </c>
      <c r="K106" s="21" t="s">
        <v>119</v>
      </c>
      <c r="L106" s="21" t="s">
        <v>17</v>
      </c>
    </row>
    <row r="107" spans="1:12" s="13" customFormat="1" ht="29" hidden="1" x14ac:dyDescent="0.35">
      <c r="A107" s="19">
        <v>43668</v>
      </c>
      <c r="B107" s="17" t="s">
        <v>237</v>
      </c>
      <c r="C107" s="17" t="s">
        <v>236</v>
      </c>
      <c r="D107" s="18">
        <v>43669</v>
      </c>
      <c r="E107" s="18" t="s">
        <v>235</v>
      </c>
      <c r="F107" s="26">
        <v>0.5</v>
      </c>
      <c r="G107" s="26">
        <v>0.58333333333333304</v>
      </c>
      <c r="H107" s="26">
        <v>0.625</v>
      </c>
      <c r="I107" s="17">
        <v>0</v>
      </c>
      <c r="J107" s="17">
        <v>0</v>
      </c>
      <c r="K107" s="17" t="s">
        <v>119</v>
      </c>
      <c r="L107" s="16" t="s">
        <v>17</v>
      </c>
    </row>
    <row r="108" spans="1:12" s="13" customFormat="1" ht="58" hidden="1" x14ac:dyDescent="0.35">
      <c r="A108" s="19">
        <v>43669</v>
      </c>
      <c r="B108" s="17" t="s">
        <v>234</v>
      </c>
      <c r="C108" s="17" t="s">
        <v>233</v>
      </c>
      <c r="D108" s="18">
        <v>43670</v>
      </c>
      <c r="E108" s="17" t="s">
        <v>232</v>
      </c>
      <c r="F108" s="17" t="s">
        <v>49</v>
      </c>
      <c r="G108" s="26">
        <v>0.79166666666666663</v>
      </c>
      <c r="H108" s="26">
        <v>0.83333333333333337</v>
      </c>
      <c r="I108" s="17">
        <v>320</v>
      </c>
      <c r="J108" s="17" t="s">
        <v>231</v>
      </c>
      <c r="K108" s="17"/>
      <c r="L108" s="16" t="s">
        <v>22</v>
      </c>
    </row>
    <row r="109" spans="1:12" s="13" customFormat="1" ht="29" hidden="1" x14ac:dyDescent="0.35">
      <c r="A109" s="19">
        <v>43663</v>
      </c>
      <c r="B109" s="17" t="s">
        <v>41</v>
      </c>
      <c r="C109" s="17" t="s">
        <v>230</v>
      </c>
      <c r="D109" s="18">
        <v>43670</v>
      </c>
      <c r="E109" s="17" t="s">
        <v>229</v>
      </c>
      <c r="F109" s="17" t="s">
        <v>15</v>
      </c>
      <c r="G109" s="26">
        <v>0.77083333333333304</v>
      </c>
      <c r="H109" s="26">
        <v>0.77083333333333304</v>
      </c>
      <c r="I109" s="17" t="s">
        <v>15</v>
      </c>
      <c r="J109" s="17" t="s">
        <v>16</v>
      </c>
      <c r="K109" s="17" t="s">
        <v>15</v>
      </c>
      <c r="L109" s="16" t="s">
        <v>22</v>
      </c>
    </row>
    <row r="110" spans="1:12" s="13" customFormat="1" hidden="1" x14ac:dyDescent="0.35">
      <c r="A110" s="19">
        <v>43659</v>
      </c>
      <c r="B110" s="17" t="s">
        <v>20</v>
      </c>
      <c r="C110" s="17" t="s">
        <v>228</v>
      </c>
      <c r="D110" s="18">
        <v>43670</v>
      </c>
      <c r="E110" s="17" t="s">
        <v>20</v>
      </c>
      <c r="F110" s="17" t="s">
        <v>15</v>
      </c>
      <c r="G110" s="17" t="s">
        <v>15</v>
      </c>
      <c r="H110" s="17" t="s">
        <v>15</v>
      </c>
      <c r="I110" s="17" t="s">
        <v>15</v>
      </c>
      <c r="J110" s="17" t="s">
        <v>20</v>
      </c>
      <c r="K110" s="17" t="s">
        <v>15</v>
      </c>
      <c r="L110" s="16" t="s">
        <v>17</v>
      </c>
    </row>
    <row r="111" spans="1:12" s="13" customFormat="1" ht="72" hidden="1" customHeight="1" x14ac:dyDescent="0.35">
      <c r="A111" s="19" t="s">
        <v>227</v>
      </c>
      <c r="B111" s="17" t="s">
        <v>226</v>
      </c>
      <c r="C111" s="17" t="s">
        <v>225</v>
      </c>
      <c r="D111" s="18">
        <v>43670</v>
      </c>
      <c r="E111" s="17" t="s">
        <v>159</v>
      </c>
      <c r="F111" s="17" t="s">
        <v>15</v>
      </c>
      <c r="G111" s="26" t="s">
        <v>15</v>
      </c>
      <c r="H111" s="26" t="s">
        <v>15</v>
      </c>
      <c r="I111" s="17">
        <v>0</v>
      </c>
      <c r="J111" s="17" t="s">
        <v>224</v>
      </c>
      <c r="K111" s="17" t="s">
        <v>15</v>
      </c>
      <c r="L111" s="16" t="s">
        <v>223</v>
      </c>
    </row>
    <row r="112" spans="1:12" s="13" customFormat="1" ht="43.5" hidden="1" x14ac:dyDescent="0.35">
      <c r="A112" s="94" t="s">
        <v>118</v>
      </c>
      <c r="B112" s="62" t="s">
        <v>222</v>
      </c>
      <c r="C112" s="62" t="s">
        <v>221</v>
      </c>
      <c r="D112" s="63">
        <v>43671</v>
      </c>
      <c r="E112" s="62" t="s">
        <v>220</v>
      </c>
      <c r="F112" s="76">
        <v>0.5</v>
      </c>
      <c r="G112" s="93">
        <v>0.52777777777777779</v>
      </c>
      <c r="H112" s="93">
        <v>0.54166666666666663</v>
      </c>
      <c r="I112" s="62">
        <v>150</v>
      </c>
      <c r="J112" s="92" t="s">
        <v>219</v>
      </c>
      <c r="K112" s="62" t="s">
        <v>15</v>
      </c>
      <c r="L112" s="88" t="s">
        <v>158</v>
      </c>
    </row>
    <row r="113" spans="1:24" s="13" customFormat="1" hidden="1" x14ac:dyDescent="0.35">
      <c r="A113" s="94">
        <v>43669</v>
      </c>
      <c r="B113" s="62" t="s">
        <v>126</v>
      </c>
      <c r="C113" s="62" t="s">
        <v>218</v>
      </c>
      <c r="D113" s="63">
        <v>43671</v>
      </c>
      <c r="E113" s="62" t="s">
        <v>126</v>
      </c>
      <c r="F113" s="76">
        <v>0.58333333333333337</v>
      </c>
      <c r="G113" s="93">
        <v>0.60416666666666663</v>
      </c>
      <c r="H113" s="93">
        <v>0.64583333333333337</v>
      </c>
      <c r="I113" s="62">
        <v>0</v>
      </c>
      <c r="J113" s="62" t="s">
        <v>217</v>
      </c>
      <c r="K113" s="62" t="s">
        <v>15</v>
      </c>
      <c r="L113" s="88" t="s">
        <v>216</v>
      </c>
      <c r="M113" s="15"/>
      <c r="N113" s="15"/>
      <c r="O113" s="15"/>
      <c r="P113" s="15"/>
      <c r="Q113" s="15"/>
      <c r="R113" s="15"/>
      <c r="S113" s="15"/>
      <c r="T113" s="15"/>
      <c r="U113" s="15"/>
      <c r="V113" s="15"/>
      <c r="W113" s="15"/>
      <c r="X113" s="15"/>
    </row>
    <row r="114" spans="1:24" s="13" customFormat="1" ht="58" hidden="1" x14ac:dyDescent="0.35">
      <c r="A114" s="94">
        <v>43669</v>
      </c>
      <c r="B114" s="62" t="s">
        <v>152</v>
      </c>
      <c r="C114" s="62" t="s">
        <v>215</v>
      </c>
      <c r="D114" s="63">
        <v>43671</v>
      </c>
      <c r="E114" s="62" t="s">
        <v>150</v>
      </c>
      <c r="F114" s="76">
        <v>0.58333333333333337</v>
      </c>
      <c r="G114" s="93">
        <v>0.64583333333333337</v>
      </c>
      <c r="H114" s="93">
        <v>0.66666666666666663</v>
      </c>
      <c r="I114" s="62">
        <v>189</v>
      </c>
      <c r="J114" s="92" t="s">
        <v>214</v>
      </c>
      <c r="K114" s="62" t="s">
        <v>15</v>
      </c>
      <c r="L114" s="88" t="s">
        <v>17</v>
      </c>
      <c r="M114" s="15"/>
      <c r="N114" s="15"/>
      <c r="O114" s="15"/>
      <c r="P114" s="15"/>
      <c r="Q114" s="15"/>
      <c r="R114" s="15"/>
      <c r="S114" s="15"/>
      <c r="T114" s="15"/>
      <c r="U114" s="15"/>
      <c r="V114" s="15"/>
      <c r="W114" s="15"/>
      <c r="X114" s="15"/>
    </row>
    <row r="115" spans="1:24" s="13" customFormat="1" ht="72.5" hidden="1" x14ac:dyDescent="0.35">
      <c r="A115" s="91" t="s">
        <v>213</v>
      </c>
      <c r="B115" s="67" t="s">
        <v>212</v>
      </c>
      <c r="C115" s="67" t="s">
        <v>211</v>
      </c>
      <c r="D115" s="30">
        <v>43671</v>
      </c>
      <c r="E115" s="29" t="s">
        <v>210</v>
      </c>
      <c r="F115" s="29" t="s">
        <v>15</v>
      </c>
      <c r="G115" s="90" t="s">
        <v>15</v>
      </c>
      <c r="H115" s="90" t="s">
        <v>15</v>
      </c>
      <c r="I115" s="62">
        <v>440</v>
      </c>
      <c r="J115" s="89" t="s">
        <v>209</v>
      </c>
      <c r="K115" s="62" t="s">
        <v>15</v>
      </c>
      <c r="L115" s="88" t="s">
        <v>158</v>
      </c>
      <c r="M115" s="15"/>
      <c r="N115" s="15"/>
      <c r="O115" s="15"/>
      <c r="P115" s="15"/>
      <c r="Q115" s="15"/>
      <c r="R115" s="15"/>
      <c r="S115" s="15"/>
      <c r="T115" s="15"/>
      <c r="U115" s="15"/>
      <c r="V115" s="15"/>
      <c r="W115" s="15"/>
      <c r="X115" s="15"/>
    </row>
    <row r="116" spans="1:24" s="13" customFormat="1" ht="29" hidden="1" x14ac:dyDescent="0.35">
      <c r="A116" s="87" t="s">
        <v>118</v>
      </c>
      <c r="B116" s="85" t="s">
        <v>117</v>
      </c>
      <c r="C116" s="85" t="s">
        <v>208</v>
      </c>
      <c r="D116" s="86">
        <v>43671</v>
      </c>
      <c r="E116" s="85" t="s">
        <v>207</v>
      </c>
      <c r="F116" s="85" t="s">
        <v>15</v>
      </c>
      <c r="G116" s="85" t="s">
        <v>15</v>
      </c>
      <c r="H116" s="85" t="s">
        <v>15</v>
      </c>
      <c r="I116" s="85" t="s">
        <v>15</v>
      </c>
      <c r="J116" s="85" t="s">
        <v>206</v>
      </c>
      <c r="K116" s="85" t="s">
        <v>15</v>
      </c>
      <c r="L116" s="84" t="s">
        <v>158</v>
      </c>
      <c r="M116" s="15"/>
      <c r="N116" s="15"/>
      <c r="O116" s="15"/>
      <c r="P116" s="15"/>
      <c r="Q116" s="15"/>
      <c r="R116" s="15"/>
      <c r="S116" s="15"/>
      <c r="T116" s="15"/>
      <c r="U116" s="15"/>
      <c r="V116" s="15"/>
      <c r="W116" s="15"/>
      <c r="X116" s="15"/>
    </row>
    <row r="117" spans="1:24" s="13" customFormat="1" hidden="1" x14ac:dyDescent="0.35">
      <c r="A117" s="19">
        <v>43654</v>
      </c>
      <c r="B117" s="17" t="s">
        <v>20</v>
      </c>
      <c r="C117" s="17" t="s">
        <v>205</v>
      </c>
      <c r="D117" s="18">
        <v>43671</v>
      </c>
      <c r="E117" s="17" t="s">
        <v>20</v>
      </c>
      <c r="F117" s="17" t="s">
        <v>15</v>
      </c>
      <c r="G117" s="17" t="s">
        <v>15</v>
      </c>
      <c r="H117" s="17" t="s">
        <v>15</v>
      </c>
      <c r="I117" s="17" t="s">
        <v>15</v>
      </c>
      <c r="J117" s="17" t="s">
        <v>20</v>
      </c>
      <c r="K117" s="17" t="s">
        <v>15</v>
      </c>
      <c r="L117" s="16" t="s">
        <v>17</v>
      </c>
      <c r="M117" s="15"/>
      <c r="N117" s="15"/>
      <c r="O117" s="15"/>
      <c r="P117" s="15"/>
      <c r="Q117" s="15"/>
      <c r="R117" s="15"/>
      <c r="S117" s="15"/>
      <c r="T117" s="15"/>
      <c r="U117" s="15"/>
      <c r="V117" s="15"/>
      <c r="W117" s="15"/>
      <c r="X117" s="15"/>
    </row>
    <row r="118" spans="1:24" s="13" customFormat="1" hidden="1" x14ac:dyDescent="0.35">
      <c r="A118" s="19">
        <v>43669</v>
      </c>
      <c r="B118" s="17" t="s">
        <v>20</v>
      </c>
      <c r="C118" s="17" t="s">
        <v>204</v>
      </c>
      <c r="D118" s="18">
        <v>43671</v>
      </c>
      <c r="E118" s="17" t="s">
        <v>20</v>
      </c>
      <c r="F118" s="17" t="s">
        <v>15</v>
      </c>
      <c r="G118" s="17" t="s">
        <v>15</v>
      </c>
      <c r="H118" s="17" t="s">
        <v>15</v>
      </c>
      <c r="I118" s="17" t="s">
        <v>15</v>
      </c>
      <c r="J118" s="17" t="s">
        <v>20</v>
      </c>
      <c r="K118" s="17" t="s">
        <v>15</v>
      </c>
      <c r="L118" s="16" t="s">
        <v>22</v>
      </c>
      <c r="M118" s="15"/>
      <c r="N118" s="15"/>
      <c r="O118" s="15"/>
      <c r="P118" s="15"/>
      <c r="Q118" s="15"/>
      <c r="R118" s="15"/>
      <c r="S118" s="15"/>
      <c r="T118" s="15"/>
      <c r="U118" s="15"/>
      <c r="V118" s="15"/>
      <c r="W118" s="15"/>
      <c r="X118" s="15"/>
    </row>
    <row r="119" spans="1:24" s="13" customFormat="1" ht="291" hidden="1" customHeight="1" x14ac:dyDescent="0.35">
      <c r="A119" s="83">
        <v>43659</v>
      </c>
      <c r="B119" s="29" t="s">
        <v>203</v>
      </c>
      <c r="C119" s="29" t="s">
        <v>202</v>
      </c>
      <c r="D119" s="30">
        <v>43672</v>
      </c>
      <c r="E119" s="29" t="s">
        <v>201</v>
      </c>
      <c r="F119" s="29" t="s">
        <v>15</v>
      </c>
      <c r="G119" s="31">
        <v>0.4375</v>
      </c>
      <c r="H119" s="31">
        <v>0.4375</v>
      </c>
      <c r="I119" s="29">
        <v>647.1</v>
      </c>
      <c r="J119" s="82" t="s">
        <v>200</v>
      </c>
      <c r="K119" s="29" t="s">
        <v>15</v>
      </c>
      <c r="L119" s="81" t="s">
        <v>17</v>
      </c>
      <c r="M119" s="15"/>
      <c r="N119" s="15"/>
      <c r="O119" s="15"/>
      <c r="P119" s="15"/>
      <c r="Q119" s="15"/>
      <c r="R119" s="15"/>
      <c r="S119" s="15"/>
      <c r="T119" s="15"/>
      <c r="U119" s="15"/>
      <c r="V119" s="15"/>
      <c r="W119" s="15"/>
      <c r="X119" s="15"/>
    </row>
    <row r="120" spans="1:24" s="13" customFormat="1" hidden="1" x14ac:dyDescent="0.35">
      <c r="A120" s="19">
        <v>43657</v>
      </c>
      <c r="B120" s="17" t="s">
        <v>20</v>
      </c>
      <c r="C120" s="17" t="s">
        <v>199</v>
      </c>
      <c r="D120" s="18">
        <v>43672</v>
      </c>
      <c r="E120" s="17" t="s">
        <v>20</v>
      </c>
      <c r="F120" s="17" t="s">
        <v>15</v>
      </c>
      <c r="G120" s="26">
        <v>0.5</v>
      </c>
      <c r="H120" s="26">
        <v>0.5</v>
      </c>
      <c r="I120" s="17">
        <v>0</v>
      </c>
      <c r="J120" s="17" t="s">
        <v>20</v>
      </c>
      <c r="K120" s="17" t="s">
        <v>15</v>
      </c>
      <c r="L120" s="16" t="s">
        <v>17</v>
      </c>
      <c r="M120" s="15"/>
      <c r="N120" s="15"/>
      <c r="O120" s="15"/>
      <c r="P120" s="15"/>
      <c r="Q120" s="15"/>
      <c r="R120" s="15"/>
      <c r="S120" s="15"/>
      <c r="T120" s="15"/>
      <c r="U120" s="15"/>
      <c r="V120" s="15"/>
      <c r="W120" s="15"/>
      <c r="X120" s="15"/>
    </row>
    <row r="121" spans="1:24" s="13" customFormat="1" ht="130.5" hidden="1" x14ac:dyDescent="0.35">
      <c r="A121" s="80">
        <v>43668</v>
      </c>
      <c r="B121" s="22" t="s">
        <v>198</v>
      </c>
      <c r="C121" s="22" t="s">
        <v>197</v>
      </c>
      <c r="D121" s="23">
        <v>43672</v>
      </c>
      <c r="E121" s="22" t="s">
        <v>196</v>
      </c>
      <c r="F121" s="22" t="s">
        <v>15</v>
      </c>
      <c r="G121" s="79">
        <v>0.52083333333333304</v>
      </c>
      <c r="H121" s="79">
        <v>0.54166666666666696</v>
      </c>
      <c r="I121" s="22">
        <v>0</v>
      </c>
      <c r="J121" s="22" t="s">
        <v>16</v>
      </c>
      <c r="K121" s="22" t="s">
        <v>15</v>
      </c>
      <c r="L121" s="78" t="s">
        <v>17</v>
      </c>
      <c r="M121" s="15"/>
      <c r="N121" s="15"/>
      <c r="O121" s="15"/>
      <c r="P121" s="15"/>
      <c r="Q121" s="15"/>
      <c r="R121" s="15"/>
      <c r="S121" s="15"/>
      <c r="T121" s="15"/>
      <c r="U121" s="15"/>
      <c r="V121" s="15"/>
      <c r="W121" s="15"/>
      <c r="X121" s="15"/>
    </row>
    <row r="122" spans="1:24" s="13" customFormat="1" ht="249.65" hidden="1" customHeight="1" x14ac:dyDescent="0.35">
      <c r="A122" s="41">
        <v>43638</v>
      </c>
      <c r="B122" s="67" t="s">
        <v>195</v>
      </c>
      <c r="C122" s="67" t="s">
        <v>194</v>
      </c>
      <c r="D122" s="71">
        <v>43673</v>
      </c>
      <c r="E122" s="67" t="s">
        <v>193</v>
      </c>
      <c r="F122" s="66">
        <v>0.375</v>
      </c>
      <c r="G122" s="66">
        <v>0.39583333333333331</v>
      </c>
      <c r="H122" s="66">
        <v>0.40625</v>
      </c>
      <c r="I122" s="17">
        <v>1712</v>
      </c>
      <c r="J122" s="70" t="s">
        <v>192</v>
      </c>
      <c r="K122" s="17" t="s">
        <v>140</v>
      </c>
      <c r="L122" s="17" t="s">
        <v>17</v>
      </c>
      <c r="M122" s="15"/>
      <c r="N122" s="15"/>
      <c r="O122" s="15"/>
      <c r="P122" s="15"/>
      <c r="Q122" s="15"/>
      <c r="R122" s="15"/>
      <c r="S122" s="15"/>
      <c r="T122" s="15"/>
      <c r="U122" s="15"/>
      <c r="V122" s="15"/>
      <c r="W122" s="15"/>
      <c r="X122" s="21"/>
    </row>
    <row r="123" spans="1:24" s="13" customFormat="1" ht="186" hidden="1" customHeight="1" x14ac:dyDescent="0.35">
      <c r="A123" s="18">
        <v>43668</v>
      </c>
      <c r="B123" s="17" t="s">
        <v>131</v>
      </c>
      <c r="C123" s="17" t="s">
        <v>191</v>
      </c>
      <c r="D123" s="18">
        <v>43673</v>
      </c>
      <c r="E123" s="17" t="s">
        <v>129</v>
      </c>
      <c r="F123" s="26">
        <v>0.43055555555555558</v>
      </c>
      <c r="G123" s="26">
        <v>0.44444444444444442</v>
      </c>
      <c r="H123" s="26">
        <v>0.4548611111111111</v>
      </c>
      <c r="I123" s="17">
        <v>1483.75</v>
      </c>
      <c r="J123" s="70" t="s">
        <v>190</v>
      </c>
      <c r="K123" s="17" t="s">
        <v>140</v>
      </c>
      <c r="L123" s="17" t="s">
        <v>17</v>
      </c>
      <c r="M123" s="15"/>
      <c r="N123" s="15"/>
      <c r="O123" s="15"/>
      <c r="P123" s="15"/>
      <c r="Q123" s="15"/>
      <c r="R123" s="15"/>
      <c r="S123" s="15"/>
      <c r="T123" s="15"/>
      <c r="U123" s="15"/>
      <c r="V123" s="15"/>
      <c r="W123" s="15"/>
      <c r="X123" s="21"/>
    </row>
    <row r="124" spans="1:24" s="13" customFormat="1" ht="58" hidden="1" x14ac:dyDescent="0.35">
      <c r="A124" s="63">
        <v>43662</v>
      </c>
      <c r="B124" s="62" t="s">
        <v>189</v>
      </c>
      <c r="C124" s="62" t="s">
        <v>188</v>
      </c>
      <c r="D124" s="63">
        <v>43673</v>
      </c>
      <c r="E124" s="62" t="s">
        <v>187</v>
      </c>
      <c r="F124" s="76">
        <v>0.43055555555555558</v>
      </c>
      <c r="G124" s="76">
        <v>0.47916666666666669</v>
      </c>
      <c r="H124" s="76">
        <v>0.48958333333333331</v>
      </c>
      <c r="I124" s="62">
        <v>240</v>
      </c>
      <c r="J124" s="62" t="s">
        <v>186</v>
      </c>
      <c r="K124" s="17" t="s">
        <v>140</v>
      </c>
      <c r="L124" s="62" t="s">
        <v>158</v>
      </c>
      <c r="M124" s="15"/>
      <c r="N124" s="15"/>
      <c r="O124" s="15"/>
      <c r="P124" s="15"/>
      <c r="Q124" s="15"/>
      <c r="R124" s="15"/>
      <c r="S124" s="15"/>
      <c r="T124" s="15"/>
      <c r="U124" s="15"/>
      <c r="V124" s="15"/>
      <c r="W124" s="15"/>
      <c r="X124" s="77"/>
    </row>
    <row r="125" spans="1:24" s="13" customFormat="1" ht="144" hidden="1" customHeight="1" x14ac:dyDescent="0.35">
      <c r="A125" s="18">
        <v>43670</v>
      </c>
      <c r="B125" s="17" t="s">
        <v>185</v>
      </c>
      <c r="C125" s="17" t="s">
        <v>184</v>
      </c>
      <c r="D125" s="18">
        <v>43673</v>
      </c>
      <c r="E125" s="17" t="s">
        <v>183</v>
      </c>
      <c r="F125" s="26">
        <v>0.43055555555555558</v>
      </c>
      <c r="G125" s="76">
        <v>0.52083333333333337</v>
      </c>
      <c r="H125" s="76">
        <v>0.53125</v>
      </c>
      <c r="I125" s="17">
        <v>755</v>
      </c>
      <c r="J125" s="70" t="s">
        <v>182</v>
      </c>
      <c r="K125" s="17" t="s">
        <v>140</v>
      </c>
      <c r="L125" s="17" t="s">
        <v>17</v>
      </c>
      <c r="M125" s="15"/>
      <c r="N125" s="15"/>
      <c r="O125" s="15"/>
      <c r="P125" s="15"/>
      <c r="Q125" s="15"/>
      <c r="R125" s="15"/>
      <c r="S125" s="15"/>
      <c r="T125" s="15"/>
      <c r="U125" s="15"/>
      <c r="V125" s="15"/>
      <c r="W125" s="15"/>
      <c r="X125" s="21"/>
    </row>
    <row r="126" spans="1:24" s="13" customFormat="1" ht="72.5" hidden="1" x14ac:dyDescent="0.35">
      <c r="A126" s="41">
        <v>43669</v>
      </c>
      <c r="B126" s="40" t="s">
        <v>181</v>
      </c>
      <c r="C126" s="40" t="s">
        <v>180</v>
      </c>
      <c r="D126" s="41">
        <v>43673</v>
      </c>
      <c r="E126" s="75" t="s">
        <v>179</v>
      </c>
      <c r="F126" s="39">
        <v>0.43055555555555558</v>
      </c>
      <c r="G126" s="39">
        <v>0.55555555555555558</v>
      </c>
      <c r="H126" s="39">
        <v>0.56944444444444442</v>
      </c>
      <c r="I126" s="17">
        <v>440</v>
      </c>
      <c r="J126" s="17" t="s">
        <v>178</v>
      </c>
      <c r="K126" s="17" t="s">
        <v>140</v>
      </c>
      <c r="L126" s="17" t="s">
        <v>22</v>
      </c>
      <c r="M126" s="15"/>
      <c r="N126" s="15"/>
      <c r="O126" s="15"/>
      <c r="P126" s="15"/>
      <c r="Q126" s="15"/>
      <c r="R126" s="15"/>
      <c r="S126" s="15"/>
      <c r="T126" s="15"/>
      <c r="U126" s="15"/>
      <c r="V126" s="15"/>
      <c r="W126" s="15"/>
      <c r="X126" s="21"/>
    </row>
    <row r="127" spans="1:24" s="13" customFormat="1" ht="72.5" hidden="1" x14ac:dyDescent="0.35">
      <c r="A127" s="74">
        <v>43666</v>
      </c>
      <c r="B127" s="72" t="s">
        <v>177</v>
      </c>
      <c r="C127" s="72" t="s">
        <v>176</v>
      </c>
      <c r="D127" s="74">
        <v>43673</v>
      </c>
      <c r="E127" s="72" t="s">
        <v>175</v>
      </c>
      <c r="F127" s="73">
        <v>0.60416666666666663</v>
      </c>
      <c r="G127" s="73">
        <v>0.65625</v>
      </c>
      <c r="H127" s="73">
        <v>0.66666666666666663</v>
      </c>
      <c r="I127" s="72">
        <v>541</v>
      </c>
      <c r="J127" s="72" t="s">
        <v>174</v>
      </c>
      <c r="K127" s="72" t="s">
        <v>140</v>
      </c>
      <c r="L127" s="72" t="s">
        <v>17</v>
      </c>
      <c r="M127" s="15"/>
      <c r="N127" s="15"/>
      <c r="O127" s="15"/>
      <c r="P127" s="15"/>
      <c r="Q127" s="15"/>
      <c r="R127" s="15"/>
      <c r="S127" s="15"/>
      <c r="T127" s="15"/>
      <c r="U127" s="15"/>
      <c r="V127" s="15"/>
      <c r="W127" s="15"/>
      <c r="X127" s="53"/>
    </row>
    <row r="128" spans="1:24" s="13" customFormat="1" ht="203" x14ac:dyDescent="0.35">
      <c r="A128" s="41">
        <v>43668</v>
      </c>
      <c r="B128" s="67" t="s">
        <v>173</v>
      </c>
      <c r="C128" s="67" t="s">
        <v>172</v>
      </c>
      <c r="D128" s="71">
        <v>43673</v>
      </c>
      <c r="E128" s="67" t="s">
        <v>171</v>
      </c>
      <c r="F128" s="66">
        <v>0.60416666666666663</v>
      </c>
      <c r="G128" s="66">
        <v>0.68055555555555547</v>
      </c>
      <c r="H128" s="66">
        <v>0.69791666666666663</v>
      </c>
      <c r="I128" s="17">
        <v>3704</v>
      </c>
      <c r="J128" s="70" t="s">
        <v>170</v>
      </c>
      <c r="K128" s="17" t="s">
        <v>140</v>
      </c>
      <c r="L128" s="17" t="s">
        <v>158</v>
      </c>
      <c r="M128" s="15"/>
      <c r="N128" s="15"/>
      <c r="O128" s="15"/>
      <c r="P128" s="15"/>
      <c r="Q128" s="15"/>
      <c r="R128" s="15"/>
      <c r="S128" s="15"/>
      <c r="T128" s="15"/>
      <c r="U128" s="15"/>
      <c r="V128" s="15"/>
      <c r="W128" s="15"/>
      <c r="X128" s="21"/>
    </row>
    <row r="129" spans="1:1025" ht="43.5" hidden="1" x14ac:dyDescent="0.35">
      <c r="A129" s="69">
        <v>43668</v>
      </c>
      <c r="B129" s="67" t="s">
        <v>169</v>
      </c>
      <c r="C129" s="67" t="s">
        <v>168</v>
      </c>
      <c r="D129" s="68">
        <v>43673</v>
      </c>
      <c r="E129" s="67" t="s">
        <v>167</v>
      </c>
      <c r="F129" s="66">
        <v>0.60416666666666663</v>
      </c>
      <c r="G129" s="66">
        <v>0.71875</v>
      </c>
      <c r="H129" s="66">
        <v>0.72916666666666696</v>
      </c>
      <c r="I129" s="65">
        <v>675</v>
      </c>
      <c r="J129" s="17" t="s">
        <v>166</v>
      </c>
      <c r="K129" s="17" t="s">
        <v>140</v>
      </c>
      <c r="L129" s="65" t="s">
        <v>17</v>
      </c>
      <c r="X129" s="64"/>
    </row>
    <row r="130" spans="1:1025" ht="101.5" hidden="1" x14ac:dyDescent="0.35">
      <c r="A130" s="18">
        <v>43662</v>
      </c>
      <c r="B130" s="17" t="s">
        <v>165</v>
      </c>
      <c r="C130" s="17" t="s">
        <v>164</v>
      </c>
      <c r="D130" s="18">
        <v>43673</v>
      </c>
      <c r="E130" s="17" t="s">
        <v>163</v>
      </c>
      <c r="F130" s="26">
        <v>0.60416666666666663</v>
      </c>
      <c r="G130" s="26">
        <v>0.79166666666666663</v>
      </c>
      <c r="H130" s="26">
        <v>0.8125</v>
      </c>
      <c r="I130" s="17">
        <v>796</v>
      </c>
      <c r="J130" s="17" t="s">
        <v>35</v>
      </c>
      <c r="K130" s="17" t="s">
        <v>140</v>
      </c>
      <c r="L130" s="17" t="s">
        <v>22</v>
      </c>
      <c r="X130" s="21"/>
    </row>
    <row r="131" spans="1:1025" hidden="1" x14ac:dyDescent="0.35">
      <c r="A131" s="18">
        <v>43657</v>
      </c>
      <c r="B131" s="17" t="s">
        <v>20</v>
      </c>
      <c r="C131" s="17" t="s">
        <v>162</v>
      </c>
      <c r="D131" s="18">
        <v>43673</v>
      </c>
      <c r="E131" s="17" t="s">
        <v>20</v>
      </c>
      <c r="F131" s="17" t="s">
        <v>15</v>
      </c>
      <c r="G131" s="17" t="s">
        <v>15</v>
      </c>
      <c r="H131" s="17" t="s">
        <v>15</v>
      </c>
      <c r="I131" s="17">
        <v>0</v>
      </c>
      <c r="J131" s="17" t="s">
        <v>20</v>
      </c>
      <c r="K131" s="17" t="s">
        <v>15</v>
      </c>
      <c r="L131" s="17" t="s">
        <v>17</v>
      </c>
      <c r="X131" s="21"/>
    </row>
    <row r="132" spans="1:1025" ht="29" hidden="1" x14ac:dyDescent="0.35">
      <c r="A132" s="63">
        <v>43661</v>
      </c>
      <c r="B132" s="62" t="s">
        <v>161</v>
      </c>
      <c r="C132" s="62" t="s">
        <v>160</v>
      </c>
      <c r="D132" s="63">
        <v>43673</v>
      </c>
      <c r="E132" s="62" t="s">
        <v>159</v>
      </c>
      <c r="F132" s="17" t="s">
        <v>15</v>
      </c>
      <c r="G132" s="17" t="s">
        <v>15</v>
      </c>
      <c r="H132" s="17" t="s">
        <v>15</v>
      </c>
      <c r="I132" s="17" t="s">
        <v>15</v>
      </c>
      <c r="J132" s="17" t="s">
        <v>15</v>
      </c>
      <c r="K132" s="17" t="s">
        <v>15</v>
      </c>
      <c r="L132" s="62" t="s">
        <v>158</v>
      </c>
      <c r="X132" s="21"/>
    </row>
    <row r="133" spans="1:1025" ht="306.64999999999998" hidden="1" customHeight="1" x14ac:dyDescent="0.35">
      <c r="A133" s="18">
        <v>43657</v>
      </c>
      <c r="B133" s="29" t="s">
        <v>139</v>
      </c>
      <c r="C133" s="29" t="s">
        <v>157</v>
      </c>
      <c r="D133" s="30">
        <v>43674</v>
      </c>
      <c r="E133" s="29" t="s">
        <v>156</v>
      </c>
      <c r="F133" s="31">
        <v>0.36458333333333331</v>
      </c>
      <c r="G133" s="31">
        <v>0.375</v>
      </c>
      <c r="H133" s="31">
        <v>0.39583333333333331</v>
      </c>
      <c r="I133" s="17">
        <v>495</v>
      </c>
      <c r="J133" s="17" t="s">
        <v>155</v>
      </c>
      <c r="K133" s="17" t="s">
        <v>140</v>
      </c>
      <c r="L133" s="17" t="s">
        <v>17</v>
      </c>
      <c r="X133" s="21"/>
    </row>
    <row r="134" spans="1:1025" ht="159.5" hidden="1" x14ac:dyDescent="0.35">
      <c r="A134" s="41">
        <v>43670</v>
      </c>
      <c r="B134" s="40" t="s">
        <v>25</v>
      </c>
      <c r="C134" s="40" t="s">
        <v>154</v>
      </c>
      <c r="D134" s="41">
        <v>43674</v>
      </c>
      <c r="E134" s="40" t="s">
        <v>27</v>
      </c>
      <c r="F134" s="39">
        <v>0.36458333333333331</v>
      </c>
      <c r="G134" s="39">
        <v>0.40972222222222227</v>
      </c>
      <c r="H134" s="39">
        <v>0.43055555555555558</v>
      </c>
      <c r="I134" s="40">
        <v>238</v>
      </c>
      <c r="J134" s="43" t="s">
        <v>153</v>
      </c>
      <c r="K134" s="17" t="s">
        <v>140</v>
      </c>
      <c r="L134" s="17" t="s">
        <v>17</v>
      </c>
      <c r="X134" s="21"/>
    </row>
    <row r="135" spans="1:1025" ht="111.65" hidden="1" customHeight="1" x14ac:dyDescent="0.35">
      <c r="A135" s="18">
        <v>43672</v>
      </c>
      <c r="B135" s="17" t="s">
        <v>152</v>
      </c>
      <c r="C135" s="17" t="s">
        <v>151</v>
      </c>
      <c r="D135" s="18">
        <v>43674</v>
      </c>
      <c r="E135" s="17" t="s">
        <v>150</v>
      </c>
      <c r="F135" s="26">
        <v>0.4513888888888889</v>
      </c>
      <c r="G135" s="26">
        <v>0.47222222222222227</v>
      </c>
      <c r="H135" s="26">
        <v>0.47916666666666669</v>
      </c>
      <c r="I135" s="17">
        <v>117</v>
      </c>
      <c r="J135" s="17" t="s">
        <v>149</v>
      </c>
      <c r="K135" s="17" t="s">
        <v>140</v>
      </c>
      <c r="L135" s="17" t="s">
        <v>17</v>
      </c>
      <c r="X135" s="21"/>
    </row>
    <row r="136" spans="1:1025" ht="302.89999999999998" hidden="1" customHeight="1" x14ac:dyDescent="0.35">
      <c r="A136" s="18">
        <v>43674</v>
      </c>
      <c r="B136" s="17" t="s">
        <v>128</v>
      </c>
      <c r="C136" s="17" t="s">
        <v>148</v>
      </c>
      <c r="D136" s="18">
        <v>43674</v>
      </c>
      <c r="E136" s="17" t="s">
        <v>115</v>
      </c>
      <c r="F136" s="26">
        <v>0.45833333333333331</v>
      </c>
      <c r="G136" s="26">
        <v>0.45833333333333331</v>
      </c>
      <c r="H136" s="26">
        <v>0.45833333333333331</v>
      </c>
      <c r="I136" s="17">
        <v>168</v>
      </c>
      <c r="J136" s="17" t="s">
        <v>125</v>
      </c>
      <c r="K136" s="17" t="s">
        <v>15</v>
      </c>
      <c r="L136" s="17" t="s">
        <v>124</v>
      </c>
      <c r="X136" s="21"/>
    </row>
    <row r="137" spans="1:1025" ht="203" hidden="1" x14ac:dyDescent="0.35">
      <c r="A137" s="61">
        <v>43638</v>
      </c>
      <c r="B137" s="57" t="s">
        <v>147</v>
      </c>
      <c r="C137" s="57" t="s">
        <v>146</v>
      </c>
      <c r="D137" s="60">
        <v>43674</v>
      </c>
      <c r="E137" s="57" t="s">
        <v>145</v>
      </c>
      <c r="F137" s="59">
        <v>0.51388888888888895</v>
      </c>
      <c r="G137" s="59">
        <v>0.54166666666666696</v>
      </c>
      <c r="H137" s="59">
        <v>0.5625</v>
      </c>
      <c r="I137" s="57">
        <v>793</v>
      </c>
      <c r="J137" s="58" t="s">
        <v>144</v>
      </c>
      <c r="K137" s="57" t="s">
        <v>140</v>
      </c>
      <c r="L137" s="56" t="s">
        <v>17</v>
      </c>
      <c r="X137" s="21"/>
    </row>
    <row r="138" spans="1:1025" s="50" customFormat="1" ht="290" x14ac:dyDescent="0.35">
      <c r="A138" s="19">
        <v>43571</v>
      </c>
      <c r="B138" s="29" t="s">
        <v>143</v>
      </c>
      <c r="C138" s="29" t="s">
        <v>142</v>
      </c>
      <c r="D138" s="38">
        <v>43674</v>
      </c>
      <c r="E138" s="24" t="s">
        <v>73</v>
      </c>
      <c r="F138" s="31">
        <v>0.51388888888888895</v>
      </c>
      <c r="G138" s="31">
        <v>0.61458333333333337</v>
      </c>
      <c r="H138" s="31">
        <v>0.66666666666666696</v>
      </c>
      <c r="I138" s="17">
        <v>3310.5</v>
      </c>
      <c r="J138" s="55" t="s">
        <v>141</v>
      </c>
      <c r="K138" s="17" t="s">
        <v>140</v>
      </c>
      <c r="L138" s="54" t="s">
        <v>17</v>
      </c>
      <c r="M138" s="52"/>
      <c r="N138" s="52"/>
      <c r="O138" s="52"/>
      <c r="P138" s="52"/>
      <c r="Q138" s="52"/>
      <c r="R138" s="52"/>
      <c r="S138" s="52"/>
      <c r="T138" s="52"/>
      <c r="U138" s="52"/>
      <c r="V138" s="52"/>
      <c r="W138" s="52"/>
      <c r="X138" s="53"/>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c r="BT138" s="52"/>
      <c r="BU138" s="52"/>
      <c r="BV138" s="52"/>
      <c r="BW138" s="52"/>
      <c r="BX138" s="52"/>
      <c r="BY138" s="52"/>
      <c r="BZ138" s="52"/>
      <c r="CA138" s="52"/>
      <c r="CB138" s="52"/>
      <c r="CC138" s="52"/>
      <c r="CD138" s="52"/>
      <c r="CE138" s="52"/>
      <c r="CF138" s="52"/>
      <c r="CG138" s="52"/>
      <c r="CH138" s="52"/>
      <c r="CI138" s="52"/>
      <c r="CJ138" s="52"/>
      <c r="CK138" s="52"/>
      <c r="CL138" s="52"/>
      <c r="CM138" s="52"/>
      <c r="CN138" s="52"/>
      <c r="CO138" s="52"/>
      <c r="CP138" s="52"/>
      <c r="CQ138" s="52"/>
      <c r="CR138" s="52"/>
      <c r="CS138" s="52"/>
      <c r="CT138" s="52"/>
      <c r="CU138" s="52"/>
      <c r="CV138" s="52"/>
      <c r="CW138" s="52"/>
      <c r="CX138" s="52"/>
      <c r="CY138" s="52"/>
      <c r="CZ138" s="52"/>
      <c r="DA138" s="52"/>
      <c r="DB138" s="52"/>
      <c r="DC138" s="52"/>
      <c r="DD138" s="52"/>
      <c r="DE138" s="52"/>
      <c r="DF138" s="52"/>
      <c r="DG138" s="52"/>
      <c r="DH138" s="52"/>
      <c r="DI138" s="52"/>
      <c r="DJ138" s="52"/>
      <c r="DK138" s="52"/>
      <c r="DL138" s="52"/>
      <c r="DM138" s="52"/>
      <c r="DN138" s="52"/>
      <c r="DO138" s="52"/>
      <c r="DP138" s="52"/>
      <c r="DQ138" s="52"/>
      <c r="DR138" s="52"/>
      <c r="DS138" s="52"/>
      <c r="DT138" s="52"/>
      <c r="DU138" s="52"/>
      <c r="DV138" s="52"/>
      <c r="DW138" s="52"/>
      <c r="DX138" s="52"/>
      <c r="DY138" s="52"/>
      <c r="DZ138" s="52"/>
      <c r="EA138" s="52"/>
      <c r="EB138" s="52"/>
      <c r="EC138" s="52"/>
      <c r="ED138" s="52"/>
      <c r="EE138" s="52"/>
      <c r="EF138" s="52"/>
      <c r="EG138" s="52"/>
      <c r="EH138" s="52"/>
      <c r="EI138" s="52"/>
      <c r="EJ138" s="52"/>
      <c r="EK138" s="52"/>
      <c r="EL138" s="52"/>
      <c r="EM138" s="52"/>
      <c r="EN138" s="52"/>
      <c r="EO138" s="52"/>
      <c r="EP138" s="52"/>
      <c r="EQ138" s="52"/>
      <c r="ER138" s="52"/>
      <c r="ES138" s="52"/>
      <c r="ET138" s="52"/>
      <c r="EU138" s="52"/>
      <c r="EV138" s="52"/>
      <c r="EW138" s="52"/>
      <c r="EX138" s="52"/>
      <c r="EY138" s="52"/>
      <c r="EZ138" s="52"/>
      <c r="FA138" s="52"/>
      <c r="FB138" s="52"/>
      <c r="FC138" s="52"/>
      <c r="FD138" s="52"/>
      <c r="FE138" s="52"/>
      <c r="FF138" s="52"/>
      <c r="FG138" s="52"/>
      <c r="FH138" s="52"/>
      <c r="FI138" s="52"/>
      <c r="FJ138" s="52"/>
      <c r="FK138" s="52"/>
      <c r="FL138" s="52"/>
      <c r="FM138" s="52"/>
      <c r="FN138" s="52"/>
      <c r="FO138" s="52"/>
      <c r="FP138" s="52"/>
      <c r="FQ138" s="52"/>
      <c r="FR138" s="52"/>
      <c r="FS138" s="52"/>
      <c r="FT138" s="52"/>
      <c r="FU138" s="52"/>
      <c r="FV138" s="52"/>
      <c r="FW138" s="52"/>
      <c r="FX138" s="52"/>
      <c r="FY138" s="52"/>
      <c r="FZ138" s="52"/>
      <c r="GA138" s="52"/>
      <c r="GB138" s="52"/>
      <c r="GC138" s="52"/>
      <c r="GD138" s="52"/>
      <c r="GE138" s="52"/>
      <c r="GF138" s="52"/>
      <c r="GG138" s="52"/>
      <c r="GH138" s="52"/>
      <c r="GI138" s="52"/>
      <c r="GJ138" s="52"/>
      <c r="GK138" s="52"/>
      <c r="GL138" s="52"/>
      <c r="GM138" s="52"/>
      <c r="GN138" s="52"/>
      <c r="GO138" s="52"/>
      <c r="GP138" s="52"/>
      <c r="GQ138" s="52"/>
      <c r="GR138" s="52"/>
      <c r="GS138" s="52"/>
      <c r="GT138" s="52"/>
      <c r="GU138" s="52"/>
      <c r="GV138" s="52"/>
      <c r="GW138" s="52"/>
      <c r="GX138" s="52"/>
      <c r="GY138" s="52"/>
      <c r="GZ138" s="52"/>
      <c r="HA138" s="52"/>
      <c r="HB138" s="52"/>
      <c r="HC138" s="52"/>
      <c r="HD138" s="52"/>
      <c r="HE138" s="52"/>
      <c r="HF138" s="52"/>
      <c r="HG138" s="52"/>
      <c r="HH138" s="52"/>
      <c r="HI138" s="52"/>
      <c r="HJ138" s="52"/>
      <c r="HK138" s="52"/>
      <c r="HL138" s="52"/>
      <c r="HM138" s="52"/>
      <c r="HN138" s="52"/>
      <c r="HO138" s="52"/>
      <c r="HP138" s="52"/>
      <c r="HQ138" s="52"/>
      <c r="HR138" s="52"/>
      <c r="HS138" s="52"/>
      <c r="HT138" s="52"/>
      <c r="HU138" s="52"/>
      <c r="HV138" s="52"/>
      <c r="HW138" s="52"/>
      <c r="HX138" s="52"/>
      <c r="HY138" s="52"/>
      <c r="HZ138" s="52"/>
      <c r="IA138" s="52"/>
      <c r="IB138" s="52"/>
      <c r="IC138" s="52"/>
      <c r="ID138" s="52"/>
      <c r="IE138" s="52"/>
      <c r="IF138" s="52"/>
      <c r="IG138" s="52"/>
      <c r="IH138" s="52"/>
      <c r="II138" s="52"/>
      <c r="IJ138" s="52"/>
      <c r="IK138" s="52"/>
      <c r="IL138" s="52"/>
      <c r="IM138" s="52"/>
      <c r="IN138" s="52"/>
      <c r="IO138" s="52"/>
      <c r="IP138" s="52"/>
      <c r="IQ138" s="52"/>
      <c r="IR138" s="52"/>
      <c r="IS138" s="52"/>
      <c r="IT138" s="52"/>
      <c r="IU138" s="52"/>
      <c r="IV138" s="52"/>
      <c r="IW138" s="52"/>
      <c r="IX138" s="52"/>
      <c r="IY138" s="52"/>
      <c r="IZ138" s="52"/>
      <c r="JA138" s="52"/>
      <c r="JB138" s="52"/>
      <c r="JC138" s="52"/>
      <c r="JD138" s="52"/>
      <c r="JE138" s="52"/>
      <c r="JF138" s="52"/>
      <c r="JG138" s="52"/>
      <c r="JH138" s="52"/>
      <c r="JI138" s="52"/>
      <c r="JJ138" s="52"/>
      <c r="JK138" s="52"/>
      <c r="JL138" s="52"/>
      <c r="JM138" s="52"/>
      <c r="JN138" s="52"/>
      <c r="JO138" s="52"/>
      <c r="JP138" s="52"/>
      <c r="JQ138" s="52"/>
      <c r="JR138" s="52"/>
      <c r="JS138" s="52"/>
      <c r="JT138" s="52"/>
      <c r="JU138" s="52"/>
      <c r="JV138" s="52"/>
      <c r="JW138" s="52"/>
      <c r="JX138" s="52"/>
      <c r="JY138" s="52"/>
      <c r="JZ138" s="52"/>
      <c r="KA138" s="52"/>
      <c r="KB138" s="52"/>
      <c r="KC138" s="52"/>
      <c r="KD138" s="52"/>
      <c r="KE138" s="52"/>
      <c r="KF138" s="52"/>
      <c r="KG138" s="52"/>
      <c r="KH138" s="52"/>
      <c r="KI138" s="52"/>
      <c r="KJ138" s="52"/>
      <c r="KK138" s="52"/>
      <c r="KL138" s="52"/>
      <c r="KM138" s="52"/>
      <c r="KN138" s="52"/>
      <c r="KO138" s="52"/>
      <c r="KP138" s="52"/>
      <c r="KQ138" s="52"/>
      <c r="KR138" s="52"/>
      <c r="KS138" s="52"/>
      <c r="KT138" s="52"/>
      <c r="KU138" s="52"/>
      <c r="KV138" s="52"/>
      <c r="KW138" s="52"/>
      <c r="KX138" s="52"/>
      <c r="KY138" s="52"/>
      <c r="KZ138" s="52"/>
      <c r="LA138" s="52"/>
      <c r="LB138" s="52"/>
      <c r="LC138" s="52"/>
      <c r="LD138" s="52"/>
      <c r="LE138" s="52"/>
      <c r="LF138" s="52"/>
      <c r="LG138" s="52"/>
      <c r="LH138" s="52"/>
      <c r="LI138" s="52"/>
      <c r="LJ138" s="52"/>
      <c r="LK138" s="52"/>
      <c r="LL138" s="52"/>
      <c r="LM138" s="52"/>
      <c r="LN138" s="52"/>
      <c r="LO138" s="52"/>
      <c r="LP138" s="52"/>
      <c r="LQ138" s="52"/>
      <c r="LR138" s="52"/>
      <c r="LS138" s="52"/>
      <c r="LT138" s="52"/>
      <c r="LU138" s="52"/>
      <c r="LV138" s="52"/>
      <c r="LW138" s="52"/>
      <c r="LX138" s="52"/>
      <c r="LY138" s="52"/>
      <c r="LZ138" s="52"/>
      <c r="MA138" s="52"/>
      <c r="MB138" s="52"/>
      <c r="MC138" s="52"/>
      <c r="MD138" s="52"/>
      <c r="ME138" s="52"/>
      <c r="MF138" s="52"/>
      <c r="MG138" s="52"/>
      <c r="MH138" s="52"/>
      <c r="MI138" s="52"/>
      <c r="MJ138" s="52"/>
      <c r="MK138" s="52"/>
      <c r="ML138" s="52"/>
      <c r="MM138" s="52"/>
      <c r="MN138" s="52"/>
      <c r="MO138" s="52"/>
      <c r="MP138" s="52"/>
      <c r="MQ138" s="52"/>
      <c r="MR138" s="52"/>
      <c r="MS138" s="52"/>
      <c r="MT138" s="52"/>
      <c r="MU138" s="52"/>
      <c r="MV138" s="52"/>
      <c r="MW138" s="52"/>
      <c r="MX138" s="52"/>
      <c r="MY138" s="52"/>
      <c r="MZ138" s="52"/>
      <c r="NA138" s="52"/>
      <c r="NB138" s="52"/>
      <c r="NC138" s="52"/>
      <c r="ND138" s="52"/>
      <c r="NE138" s="52"/>
      <c r="NF138" s="52"/>
      <c r="NG138" s="52"/>
      <c r="NH138" s="52"/>
      <c r="NI138" s="52"/>
      <c r="NJ138" s="52"/>
      <c r="NK138" s="52"/>
      <c r="NL138" s="52"/>
      <c r="NM138" s="52"/>
      <c r="NN138" s="52"/>
      <c r="NO138" s="52"/>
      <c r="NP138" s="52"/>
      <c r="NQ138" s="52"/>
      <c r="NR138" s="52"/>
      <c r="NS138" s="52"/>
      <c r="NT138" s="52"/>
      <c r="NU138" s="52"/>
      <c r="NV138" s="52"/>
      <c r="NW138" s="52"/>
      <c r="NX138" s="52"/>
      <c r="NY138" s="52"/>
      <c r="NZ138" s="52"/>
      <c r="OA138" s="52"/>
      <c r="OB138" s="52"/>
      <c r="OC138" s="52"/>
      <c r="OD138" s="52"/>
      <c r="OE138" s="52"/>
      <c r="OF138" s="52"/>
      <c r="OG138" s="52"/>
      <c r="OH138" s="52"/>
      <c r="OI138" s="52"/>
      <c r="OJ138" s="52"/>
      <c r="OK138" s="52"/>
      <c r="OL138" s="52"/>
      <c r="OM138" s="52"/>
      <c r="ON138" s="52"/>
      <c r="OO138" s="52"/>
      <c r="OP138" s="52"/>
      <c r="OQ138" s="52"/>
      <c r="OR138" s="52"/>
      <c r="OS138" s="52"/>
      <c r="OT138" s="52"/>
      <c r="OU138" s="52"/>
      <c r="OV138" s="52"/>
      <c r="OW138" s="52"/>
      <c r="OX138" s="52"/>
      <c r="OY138" s="52"/>
      <c r="OZ138" s="52"/>
      <c r="PA138" s="52"/>
      <c r="PB138" s="52"/>
      <c r="PC138" s="52"/>
      <c r="PD138" s="52"/>
      <c r="PE138" s="52"/>
      <c r="PF138" s="52"/>
      <c r="PG138" s="52"/>
      <c r="PH138" s="52"/>
      <c r="PI138" s="52"/>
      <c r="PJ138" s="52"/>
      <c r="PK138" s="52"/>
      <c r="PL138" s="52"/>
      <c r="PM138" s="52"/>
      <c r="PN138" s="52"/>
      <c r="PO138" s="52"/>
      <c r="PP138" s="52"/>
      <c r="PQ138" s="52"/>
      <c r="PR138" s="52"/>
      <c r="PS138" s="52"/>
      <c r="PT138" s="52"/>
      <c r="PU138" s="52"/>
      <c r="PV138" s="52"/>
      <c r="PW138" s="52"/>
      <c r="PX138" s="52"/>
      <c r="PY138" s="52"/>
      <c r="PZ138" s="52"/>
      <c r="QA138" s="52"/>
      <c r="QB138" s="52"/>
      <c r="QC138" s="52"/>
      <c r="QD138" s="52"/>
      <c r="QE138" s="52"/>
      <c r="QF138" s="52"/>
      <c r="QG138" s="52"/>
      <c r="QH138" s="52"/>
      <c r="QI138" s="52"/>
      <c r="QJ138" s="52"/>
      <c r="QK138" s="52"/>
      <c r="QL138" s="52"/>
      <c r="QM138" s="52"/>
      <c r="QN138" s="52"/>
      <c r="QO138" s="52"/>
      <c r="QP138" s="52"/>
      <c r="QQ138" s="52"/>
      <c r="QR138" s="52"/>
      <c r="QS138" s="52"/>
      <c r="QT138" s="52"/>
      <c r="QU138" s="52"/>
      <c r="QV138" s="52"/>
      <c r="QW138" s="52"/>
      <c r="QX138" s="52"/>
      <c r="QY138" s="52"/>
      <c r="QZ138" s="52"/>
      <c r="RA138" s="52"/>
      <c r="RB138" s="52"/>
      <c r="RC138" s="52"/>
      <c r="RD138" s="52"/>
      <c r="RE138" s="52"/>
      <c r="RF138" s="52"/>
      <c r="RG138" s="52"/>
      <c r="RH138" s="52"/>
      <c r="RI138" s="52"/>
      <c r="RJ138" s="52"/>
      <c r="RK138" s="52"/>
      <c r="RL138" s="52"/>
      <c r="RM138" s="52"/>
      <c r="RN138" s="52"/>
      <c r="RO138" s="52"/>
      <c r="RP138" s="52"/>
      <c r="RQ138" s="52"/>
      <c r="RR138" s="52"/>
      <c r="RS138" s="52"/>
      <c r="RT138" s="52"/>
      <c r="RU138" s="52"/>
      <c r="RV138" s="52"/>
      <c r="RW138" s="52"/>
      <c r="RX138" s="52"/>
      <c r="RY138" s="52"/>
      <c r="RZ138" s="52"/>
      <c r="SA138" s="52"/>
      <c r="SB138" s="52"/>
      <c r="SC138" s="52"/>
      <c r="SD138" s="52"/>
      <c r="SE138" s="52"/>
      <c r="SF138" s="52"/>
      <c r="SG138" s="52"/>
      <c r="SH138" s="52"/>
      <c r="SI138" s="52"/>
      <c r="SJ138" s="52"/>
      <c r="SK138" s="52"/>
      <c r="SL138" s="52"/>
      <c r="SM138" s="52"/>
      <c r="SN138" s="52"/>
      <c r="SO138" s="52"/>
      <c r="SP138" s="52"/>
      <c r="SQ138" s="52"/>
      <c r="SR138" s="52"/>
      <c r="SS138" s="52"/>
      <c r="ST138" s="52"/>
      <c r="SU138" s="52"/>
      <c r="SV138" s="52"/>
      <c r="SW138" s="52"/>
      <c r="SX138" s="52"/>
      <c r="SY138" s="52"/>
      <c r="SZ138" s="52"/>
      <c r="TA138" s="52"/>
      <c r="TB138" s="52"/>
      <c r="TC138" s="52"/>
      <c r="TD138" s="52"/>
      <c r="TE138" s="52"/>
      <c r="TF138" s="52"/>
      <c r="TG138" s="52"/>
      <c r="TH138" s="52"/>
      <c r="TI138" s="52"/>
      <c r="TJ138" s="52"/>
      <c r="TK138" s="52"/>
      <c r="TL138" s="52"/>
      <c r="TM138" s="52"/>
      <c r="TN138" s="52"/>
      <c r="TO138" s="52"/>
      <c r="TP138" s="52"/>
      <c r="TQ138" s="52"/>
      <c r="TR138" s="52"/>
      <c r="TS138" s="52"/>
      <c r="TT138" s="52"/>
      <c r="TU138" s="52"/>
      <c r="TV138" s="52"/>
      <c r="TW138" s="52"/>
      <c r="TX138" s="52"/>
      <c r="TY138" s="52"/>
      <c r="TZ138" s="52"/>
      <c r="UA138" s="52"/>
      <c r="UB138" s="52"/>
      <c r="UC138" s="52"/>
      <c r="UD138" s="52"/>
      <c r="UE138" s="52"/>
      <c r="UF138" s="52"/>
      <c r="UG138" s="52"/>
      <c r="UH138" s="52"/>
      <c r="UI138" s="52"/>
      <c r="UJ138" s="52"/>
      <c r="UK138" s="52"/>
      <c r="UL138" s="52"/>
      <c r="UM138" s="52"/>
      <c r="UN138" s="52"/>
      <c r="UO138" s="52"/>
      <c r="UP138" s="52"/>
      <c r="UQ138" s="52"/>
      <c r="UR138" s="52"/>
      <c r="US138" s="52"/>
      <c r="UT138" s="52"/>
      <c r="UU138" s="52"/>
      <c r="UV138" s="52"/>
      <c r="UW138" s="52"/>
      <c r="UX138" s="52"/>
      <c r="UY138" s="52"/>
      <c r="UZ138" s="52"/>
      <c r="VA138" s="52"/>
      <c r="VB138" s="52"/>
      <c r="VC138" s="52"/>
      <c r="VD138" s="52"/>
      <c r="VE138" s="52"/>
      <c r="VF138" s="52"/>
      <c r="VG138" s="52"/>
      <c r="VH138" s="52"/>
      <c r="VI138" s="52"/>
      <c r="VJ138" s="52"/>
      <c r="VK138" s="52"/>
      <c r="VL138" s="52"/>
      <c r="VM138" s="52"/>
      <c r="VN138" s="52"/>
      <c r="VO138" s="52"/>
      <c r="VP138" s="52"/>
      <c r="VQ138" s="52"/>
      <c r="VR138" s="52"/>
      <c r="VS138" s="52"/>
      <c r="VT138" s="52"/>
      <c r="VU138" s="52"/>
      <c r="VV138" s="52"/>
      <c r="VW138" s="52"/>
      <c r="VX138" s="52"/>
      <c r="VY138" s="52"/>
      <c r="VZ138" s="52"/>
      <c r="WA138" s="52"/>
      <c r="WB138" s="52"/>
      <c r="WC138" s="52"/>
      <c r="WD138" s="52"/>
      <c r="WE138" s="52"/>
      <c r="WF138" s="52"/>
      <c r="WG138" s="52"/>
      <c r="WH138" s="52"/>
      <c r="WI138" s="52"/>
      <c r="WJ138" s="52"/>
      <c r="WK138" s="52"/>
      <c r="WL138" s="52"/>
      <c r="WM138" s="52"/>
      <c r="WN138" s="52"/>
      <c r="WO138" s="52"/>
      <c r="WP138" s="52"/>
      <c r="WQ138" s="52"/>
      <c r="WR138" s="52"/>
      <c r="WS138" s="52"/>
      <c r="WT138" s="52"/>
      <c r="WU138" s="52"/>
      <c r="WV138" s="52"/>
      <c r="WW138" s="52"/>
      <c r="WX138" s="52"/>
      <c r="WY138" s="52"/>
      <c r="WZ138" s="52"/>
      <c r="XA138" s="52"/>
      <c r="XB138" s="52"/>
      <c r="XC138" s="52"/>
      <c r="XD138" s="52"/>
      <c r="XE138" s="52"/>
      <c r="XF138" s="52"/>
      <c r="XG138" s="52"/>
      <c r="XH138" s="52"/>
      <c r="XI138" s="52"/>
      <c r="XJ138" s="52"/>
      <c r="XK138" s="52"/>
      <c r="XL138" s="52"/>
      <c r="XM138" s="52"/>
      <c r="XN138" s="52"/>
      <c r="XO138" s="52"/>
      <c r="XP138" s="52"/>
      <c r="XQ138" s="52"/>
      <c r="XR138" s="52"/>
      <c r="XS138" s="52"/>
      <c r="XT138" s="52"/>
      <c r="XU138" s="52"/>
      <c r="XV138" s="52"/>
      <c r="XW138" s="52"/>
      <c r="XX138" s="52"/>
      <c r="XY138" s="52"/>
      <c r="XZ138" s="52"/>
      <c r="YA138" s="52"/>
      <c r="YB138" s="52"/>
      <c r="YC138" s="52"/>
      <c r="YD138" s="52"/>
      <c r="YE138" s="52"/>
      <c r="YF138" s="52"/>
      <c r="YG138" s="52"/>
      <c r="YH138" s="52"/>
      <c r="YI138" s="52"/>
      <c r="YJ138" s="52"/>
      <c r="YK138" s="52"/>
      <c r="YL138" s="52"/>
      <c r="YM138" s="52"/>
      <c r="YN138" s="52"/>
      <c r="YO138" s="52"/>
      <c r="YP138" s="52"/>
      <c r="YQ138" s="52"/>
      <c r="YR138" s="52"/>
      <c r="YS138" s="52"/>
      <c r="YT138" s="52"/>
      <c r="YU138" s="52"/>
      <c r="YV138" s="52"/>
      <c r="YW138" s="52"/>
      <c r="YX138" s="52"/>
      <c r="YY138" s="52"/>
      <c r="YZ138" s="52"/>
      <c r="ZA138" s="52"/>
      <c r="ZB138" s="52"/>
      <c r="ZC138" s="52"/>
      <c r="ZD138" s="52"/>
      <c r="ZE138" s="52"/>
      <c r="ZF138" s="52"/>
      <c r="ZG138" s="52"/>
      <c r="ZH138" s="52"/>
      <c r="ZI138" s="52"/>
      <c r="ZJ138" s="52"/>
      <c r="ZK138" s="52"/>
      <c r="ZL138" s="52"/>
      <c r="ZM138" s="52"/>
      <c r="ZN138" s="52"/>
      <c r="ZO138" s="52"/>
      <c r="ZP138" s="52"/>
      <c r="ZQ138" s="52"/>
      <c r="ZR138" s="52"/>
      <c r="ZS138" s="52"/>
      <c r="ZT138" s="52"/>
      <c r="ZU138" s="52"/>
      <c r="ZV138" s="52"/>
      <c r="ZW138" s="52"/>
      <c r="ZX138" s="52"/>
      <c r="ZY138" s="52"/>
      <c r="ZZ138" s="52"/>
      <c r="AAA138" s="52"/>
      <c r="AAB138" s="52"/>
      <c r="AAC138" s="52"/>
      <c r="AAD138" s="52"/>
      <c r="AAE138" s="52"/>
      <c r="AAF138" s="52"/>
      <c r="AAG138" s="52"/>
      <c r="AAH138" s="52"/>
      <c r="AAI138" s="52"/>
      <c r="AAJ138" s="52"/>
      <c r="AAK138" s="52"/>
      <c r="AAL138" s="52"/>
      <c r="AAM138" s="52"/>
      <c r="AAN138" s="52"/>
      <c r="AAO138" s="52"/>
      <c r="AAP138" s="52"/>
      <c r="AAQ138" s="52"/>
      <c r="AAR138" s="52"/>
      <c r="AAS138" s="52"/>
      <c r="AAT138" s="52"/>
      <c r="AAU138" s="52"/>
      <c r="AAV138" s="52"/>
      <c r="AAW138" s="52"/>
      <c r="AAX138" s="52"/>
      <c r="AAY138" s="52"/>
      <c r="AAZ138" s="52"/>
      <c r="ABA138" s="52"/>
      <c r="ABB138" s="52"/>
      <c r="ABC138" s="52"/>
      <c r="ABD138" s="52"/>
      <c r="ABE138" s="52"/>
      <c r="ABF138" s="52"/>
      <c r="ABG138" s="52"/>
      <c r="ABH138" s="52"/>
      <c r="ABI138" s="52"/>
      <c r="ABJ138" s="52"/>
      <c r="ABK138" s="52"/>
      <c r="ABL138" s="52"/>
      <c r="ABM138" s="52"/>
      <c r="ABN138" s="52"/>
      <c r="ABO138" s="52"/>
      <c r="ABP138" s="52"/>
      <c r="ABQ138" s="52"/>
      <c r="ABR138" s="52"/>
      <c r="ABS138" s="52"/>
      <c r="ABT138" s="52"/>
      <c r="ABU138" s="52"/>
      <c r="ABV138" s="52"/>
      <c r="ABW138" s="52"/>
      <c r="ABX138" s="52"/>
      <c r="ABY138" s="52"/>
      <c r="ABZ138" s="52"/>
      <c r="ACA138" s="52"/>
      <c r="ACB138" s="52"/>
      <c r="ACC138" s="52"/>
      <c r="ACD138" s="52"/>
      <c r="ACE138" s="52"/>
      <c r="ACF138" s="52"/>
      <c r="ACG138" s="52"/>
      <c r="ACH138" s="52"/>
      <c r="ACI138" s="52"/>
      <c r="ACJ138" s="52"/>
      <c r="ACK138" s="52"/>
      <c r="ACL138" s="52"/>
      <c r="ACM138" s="52"/>
      <c r="ACN138" s="52"/>
      <c r="ACO138" s="52"/>
      <c r="ACP138" s="52"/>
      <c r="ACQ138" s="52"/>
      <c r="ACR138" s="52"/>
      <c r="ACS138" s="52"/>
      <c r="ACT138" s="52"/>
      <c r="ACU138" s="52"/>
      <c r="ACV138" s="52"/>
      <c r="ACW138" s="52"/>
      <c r="ACX138" s="52"/>
      <c r="ACY138" s="52"/>
      <c r="ACZ138" s="52"/>
      <c r="ADA138" s="52"/>
      <c r="ADB138" s="52"/>
      <c r="ADC138" s="52"/>
      <c r="ADD138" s="52"/>
      <c r="ADE138" s="52"/>
      <c r="ADF138" s="52"/>
      <c r="ADG138" s="52"/>
      <c r="ADH138" s="52"/>
      <c r="ADI138" s="52"/>
      <c r="ADJ138" s="52"/>
      <c r="ADK138" s="52"/>
      <c r="ADL138" s="52"/>
      <c r="ADM138" s="52"/>
      <c r="ADN138" s="52"/>
      <c r="ADO138" s="52"/>
      <c r="ADP138" s="52"/>
      <c r="ADQ138" s="52"/>
      <c r="ADR138" s="52"/>
      <c r="ADS138" s="52"/>
      <c r="ADT138" s="52"/>
      <c r="ADU138" s="52"/>
      <c r="ADV138" s="52"/>
      <c r="ADW138" s="52"/>
      <c r="ADX138" s="52"/>
      <c r="ADY138" s="52"/>
      <c r="ADZ138" s="52"/>
      <c r="AEA138" s="52"/>
      <c r="AEB138" s="52"/>
      <c r="AEC138" s="52"/>
      <c r="AED138" s="52"/>
      <c r="AEE138" s="52"/>
      <c r="AEF138" s="52"/>
      <c r="AEG138" s="52"/>
      <c r="AEH138" s="52"/>
      <c r="AEI138" s="52"/>
      <c r="AEJ138" s="52"/>
      <c r="AEK138" s="52"/>
      <c r="AEL138" s="52"/>
      <c r="AEM138" s="52"/>
      <c r="AEN138" s="52"/>
      <c r="AEO138" s="52"/>
      <c r="AEP138" s="52"/>
      <c r="AEQ138" s="52"/>
      <c r="AER138" s="52"/>
      <c r="AES138" s="52"/>
      <c r="AET138" s="52"/>
      <c r="AEU138" s="52"/>
      <c r="AEV138" s="52"/>
      <c r="AEW138" s="52"/>
      <c r="AEX138" s="52"/>
      <c r="AEY138" s="52"/>
      <c r="AEZ138" s="52"/>
      <c r="AFA138" s="52"/>
      <c r="AFB138" s="52"/>
      <c r="AFC138" s="52"/>
      <c r="AFD138" s="52"/>
      <c r="AFE138" s="52"/>
      <c r="AFF138" s="52"/>
      <c r="AFG138" s="52"/>
      <c r="AFH138" s="52"/>
      <c r="AFI138" s="52"/>
      <c r="AFJ138" s="52"/>
      <c r="AFK138" s="52"/>
      <c r="AFL138" s="52"/>
      <c r="AFM138" s="52"/>
      <c r="AFN138" s="52"/>
      <c r="AFO138" s="52"/>
      <c r="AFP138" s="52"/>
      <c r="AFQ138" s="52"/>
      <c r="AFR138" s="52"/>
      <c r="AFS138" s="52"/>
      <c r="AFT138" s="52"/>
      <c r="AFU138" s="52"/>
      <c r="AFV138" s="52"/>
      <c r="AFW138" s="52"/>
      <c r="AFX138" s="52"/>
      <c r="AFY138" s="52"/>
      <c r="AFZ138" s="52"/>
      <c r="AGA138" s="52"/>
      <c r="AGB138" s="52"/>
      <c r="AGC138" s="52"/>
      <c r="AGD138" s="52"/>
      <c r="AGE138" s="52"/>
      <c r="AGF138" s="52"/>
      <c r="AGG138" s="52"/>
      <c r="AGH138" s="52"/>
      <c r="AGI138" s="52"/>
      <c r="AGJ138" s="52"/>
      <c r="AGK138" s="52"/>
      <c r="AGL138" s="52"/>
      <c r="AGM138" s="52"/>
      <c r="AGN138" s="52"/>
      <c r="AGO138" s="52"/>
      <c r="AGP138" s="52"/>
      <c r="AGQ138" s="52"/>
      <c r="AGR138" s="52"/>
      <c r="AGS138" s="52"/>
      <c r="AGT138" s="52"/>
      <c r="AGU138" s="52"/>
      <c r="AGV138" s="52"/>
      <c r="AGW138" s="52"/>
      <c r="AGX138" s="52"/>
      <c r="AGY138" s="52"/>
      <c r="AGZ138" s="52"/>
      <c r="AHA138" s="52"/>
      <c r="AHB138" s="52"/>
      <c r="AHC138" s="52"/>
      <c r="AHD138" s="52"/>
      <c r="AHE138" s="52"/>
      <c r="AHF138" s="52"/>
      <c r="AHG138" s="52"/>
      <c r="AHH138" s="52"/>
      <c r="AHI138" s="52"/>
      <c r="AHJ138" s="52"/>
      <c r="AHK138" s="52"/>
      <c r="AHL138" s="52"/>
      <c r="AHM138" s="52"/>
      <c r="AHN138" s="52"/>
      <c r="AHO138" s="52"/>
      <c r="AHP138" s="52"/>
      <c r="AHQ138" s="52"/>
      <c r="AHR138" s="52"/>
      <c r="AHS138" s="52"/>
      <c r="AHT138" s="52"/>
      <c r="AHU138" s="52"/>
      <c r="AHV138" s="52"/>
      <c r="AHW138" s="52"/>
      <c r="AHX138" s="52"/>
      <c r="AHY138" s="52"/>
      <c r="AHZ138" s="52"/>
      <c r="AIA138" s="52"/>
      <c r="AIB138" s="52"/>
      <c r="AIC138" s="52"/>
      <c r="AID138" s="52"/>
      <c r="AIE138" s="52"/>
      <c r="AIF138" s="52"/>
      <c r="AIG138" s="52"/>
      <c r="AIH138" s="52"/>
      <c r="AII138" s="52"/>
      <c r="AIJ138" s="52"/>
      <c r="AIK138" s="52"/>
      <c r="AIL138" s="52"/>
      <c r="AIM138" s="52"/>
      <c r="AIN138" s="52"/>
      <c r="AIO138" s="52"/>
      <c r="AIP138" s="52"/>
      <c r="AIQ138" s="52"/>
      <c r="AIR138" s="52"/>
      <c r="AIS138" s="52"/>
      <c r="AIT138" s="52"/>
      <c r="AIU138" s="52"/>
      <c r="AIV138" s="52"/>
      <c r="AIW138" s="52"/>
      <c r="AIX138" s="52"/>
      <c r="AIY138" s="52"/>
      <c r="AIZ138" s="52"/>
      <c r="AJA138" s="52"/>
      <c r="AJB138" s="52"/>
      <c r="AJC138" s="52"/>
      <c r="AJD138" s="52"/>
      <c r="AJE138" s="52"/>
      <c r="AJF138" s="52"/>
      <c r="AJG138" s="52"/>
      <c r="AJH138" s="52"/>
      <c r="AJI138" s="52"/>
      <c r="AJJ138" s="52"/>
      <c r="AJK138" s="52"/>
      <c r="AJL138" s="52"/>
      <c r="AJM138" s="52"/>
      <c r="AJN138" s="52"/>
      <c r="AJO138" s="52"/>
      <c r="AJP138" s="52"/>
      <c r="AJQ138" s="52"/>
      <c r="AJR138" s="52"/>
      <c r="AJS138" s="52"/>
      <c r="AJT138" s="52"/>
      <c r="AJU138" s="52"/>
      <c r="AJV138" s="52"/>
      <c r="AJW138" s="52"/>
      <c r="AJX138" s="52"/>
      <c r="AJY138" s="52"/>
      <c r="AJZ138" s="52"/>
      <c r="AKA138" s="52"/>
      <c r="AKB138" s="52"/>
      <c r="AKC138" s="52"/>
      <c r="AKD138" s="52"/>
      <c r="AKE138" s="52"/>
      <c r="AKF138" s="52"/>
      <c r="AKG138" s="52"/>
      <c r="AKH138" s="52"/>
      <c r="AKI138" s="52"/>
      <c r="AKJ138" s="52"/>
      <c r="AKK138" s="52"/>
      <c r="AKL138" s="52"/>
      <c r="AKM138" s="52"/>
      <c r="AKN138" s="52"/>
      <c r="AKO138" s="52"/>
      <c r="AKP138" s="52"/>
      <c r="AKQ138" s="52"/>
      <c r="AKR138" s="52"/>
      <c r="AKS138" s="52"/>
      <c r="AKT138" s="52"/>
      <c r="AKU138" s="52"/>
      <c r="AKV138" s="52"/>
      <c r="AKW138" s="52"/>
      <c r="AKX138" s="52"/>
      <c r="AKY138" s="52"/>
      <c r="AKZ138" s="52"/>
      <c r="ALA138" s="52"/>
      <c r="ALB138" s="52"/>
      <c r="ALC138" s="52"/>
      <c r="ALD138" s="52"/>
      <c r="ALE138" s="52"/>
      <c r="ALF138" s="52"/>
      <c r="ALG138" s="52"/>
      <c r="ALH138" s="52"/>
      <c r="ALI138" s="52"/>
      <c r="ALJ138" s="52"/>
      <c r="ALK138" s="52"/>
      <c r="ALL138" s="52"/>
      <c r="ALM138" s="52"/>
      <c r="ALN138" s="52"/>
      <c r="ALO138" s="52"/>
      <c r="ALP138" s="52"/>
      <c r="ALQ138" s="52"/>
      <c r="ALR138" s="52"/>
      <c r="ALS138" s="52"/>
      <c r="ALT138" s="52"/>
      <c r="ALU138" s="52"/>
      <c r="ALV138" s="52"/>
      <c r="ALW138" s="52"/>
      <c r="ALX138" s="52"/>
      <c r="ALY138" s="52"/>
      <c r="ALZ138" s="52"/>
      <c r="AMA138" s="52"/>
      <c r="AMB138" s="52"/>
      <c r="AMC138" s="52"/>
      <c r="AMD138" s="52"/>
      <c r="AME138" s="52"/>
      <c r="AMF138" s="52"/>
      <c r="AMG138" s="51"/>
      <c r="AMH138" s="51"/>
      <c r="AMI138" s="51"/>
      <c r="AMJ138" s="51"/>
      <c r="AMK138" s="51"/>
    </row>
    <row r="139" spans="1:1025" ht="43.5" hidden="1" x14ac:dyDescent="0.35">
      <c r="A139" s="30">
        <v>43657</v>
      </c>
      <c r="B139" s="29" t="s">
        <v>139</v>
      </c>
      <c r="C139" s="29" t="s">
        <v>138</v>
      </c>
      <c r="D139" s="30">
        <v>43675</v>
      </c>
      <c r="E139" s="29" t="s">
        <v>137</v>
      </c>
      <c r="F139" s="31">
        <v>0.44791666666666669</v>
      </c>
      <c r="G139" s="31">
        <v>0.48958333333333331</v>
      </c>
      <c r="H139" s="31">
        <v>0.5</v>
      </c>
      <c r="I139" s="29">
        <v>455</v>
      </c>
      <c r="J139" s="49" t="s">
        <v>108</v>
      </c>
      <c r="K139" s="29" t="s">
        <v>136</v>
      </c>
      <c r="L139" s="29" t="s">
        <v>17</v>
      </c>
      <c r="X139" s="21"/>
    </row>
    <row r="140" spans="1:1025" ht="43.5" hidden="1" x14ac:dyDescent="0.35">
      <c r="A140" s="18">
        <v>43666</v>
      </c>
      <c r="B140" s="17" t="s">
        <v>135</v>
      </c>
      <c r="C140" s="17" t="s">
        <v>134</v>
      </c>
      <c r="D140" s="18">
        <v>43676</v>
      </c>
      <c r="E140" s="17" t="s">
        <v>133</v>
      </c>
      <c r="F140" s="26">
        <v>0.33333333333333331</v>
      </c>
      <c r="G140" s="26">
        <v>0.375</v>
      </c>
      <c r="H140" s="26">
        <v>0.375</v>
      </c>
      <c r="I140" s="48">
        <v>120</v>
      </c>
      <c r="J140" s="17" t="s">
        <v>132</v>
      </c>
      <c r="K140" s="17" t="s">
        <v>119</v>
      </c>
      <c r="L140" s="17" t="s">
        <v>17</v>
      </c>
      <c r="X140" s="21"/>
    </row>
    <row r="141" spans="1:1025" ht="159.5" hidden="1" x14ac:dyDescent="0.35">
      <c r="A141" s="18">
        <v>43674</v>
      </c>
      <c r="B141" s="17" t="s">
        <v>131</v>
      </c>
      <c r="C141" s="17" t="s">
        <v>130</v>
      </c>
      <c r="D141" s="18">
        <v>43676</v>
      </c>
      <c r="E141" s="17" t="s">
        <v>129</v>
      </c>
      <c r="F141" s="26">
        <v>0.5625</v>
      </c>
      <c r="G141" s="26">
        <v>0.58333333333333337</v>
      </c>
      <c r="H141" s="26">
        <v>0.59027777777777779</v>
      </c>
      <c r="I141" s="17">
        <v>0</v>
      </c>
      <c r="J141" s="17" t="s">
        <v>16</v>
      </c>
      <c r="K141" s="17" t="s">
        <v>119</v>
      </c>
      <c r="L141" s="17" t="s">
        <v>17</v>
      </c>
      <c r="X141" s="21"/>
    </row>
    <row r="142" spans="1:1025" ht="29" hidden="1" x14ac:dyDescent="0.35">
      <c r="A142" s="18">
        <v>43674</v>
      </c>
      <c r="B142" s="17" t="s">
        <v>128</v>
      </c>
      <c r="C142" s="17" t="s">
        <v>127</v>
      </c>
      <c r="D142" s="18">
        <v>43676</v>
      </c>
      <c r="E142" s="17" t="s">
        <v>126</v>
      </c>
      <c r="F142" s="26">
        <v>0.5625</v>
      </c>
      <c r="G142" s="26">
        <v>0.60416666666666663</v>
      </c>
      <c r="H142" s="26">
        <v>0.61458333333333337</v>
      </c>
      <c r="I142" s="17">
        <v>134.4</v>
      </c>
      <c r="J142" s="17" t="s">
        <v>125</v>
      </c>
      <c r="K142" s="17" t="s">
        <v>119</v>
      </c>
      <c r="L142" s="17" t="s">
        <v>124</v>
      </c>
      <c r="X142" s="21"/>
    </row>
    <row r="143" spans="1:1025" ht="116" hidden="1" x14ac:dyDescent="0.35">
      <c r="A143" s="47">
        <v>43670</v>
      </c>
      <c r="B143" s="33" t="s">
        <v>123</v>
      </c>
      <c r="C143" s="33" t="s">
        <v>122</v>
      </c>
      <c r="D143" s="46">
        <v>43676</v>
      </c>
      <c r="E143" s="45" t="s">
        <v>121</v>
      </c>
      <c r="F143" s="44">
        <v>0.5625</v>
      </c>
      <c r="G143" s="44">
        <v>0.63541666666666663</v>
      </c>
      <c r="H143" s="44">
        <v>0.64236111111111105</v>
      </c>
      <c r="I143" s="33">
        <f>468+80*3.2</f>
        <v>724</v>
      </c>
      <c r="J143" s="43" t="s">
        <v>120</v>
      </c>
      <c r="K143" s="17" t="s">
        <v>119</v>
      </c>
      <c r="L143" s="33"/>
      <c r="X143" s="21"/>
    </row>
    <row r="144" spans="1:1025" ht="58" hidden="1" x14ac:dyDescent="0.35">
      <c r="A144" s="19" t="s">
        <v>118</v>
      </c>
      <c r="B144" s="29" t="s">
        <v>117</v>
      </c>
      <c r="C144" s="29" t="s">
        <v>116</v>
      </c>
      <c r="D144" s="30">
        <v>43676</v>
      </c>
      <c r="E144" s="29" t="s">
        <v>115</v>
      </c>
      <c r="F144" s="29" t="s">
        <v>15</v>
      </c>
      <c r="G144" s="31">
        <v>0.54166666666666663</v>
      </c>
      <c r="H144" s="31">
        <v>0.54166666666666663</v>
      </c>
      <c r="I144" s="17">
        <v>520</v>
      </c>
      <c r="J144" s="42" t="s">
        <v>114</v>
      </c>
      <c r="K144" s="17" t="s">
        <v>15</v>
      </c>
      <c r="L144" s="17" t="s">
        <v>113</v>
      </c>
      <c r="X144" s="21"/>
    </row>
    <row r="145" spans="1:24" s="13" customFormat="1" ht="145" hidden="1" x14ac:dyDescent="0.35">
      <c r="A145" s="18">
        <v>43668</v>
      </c>
      <c r="B145" s="17" t="s">
        <v>12</v>
      </c>
      <c r="C145" s="17" t="s">
        <v>13</v>
      </c>
      <c r="D145" s="18">
        <v>43677</v>
      </c>
      <c r="E145" s="17" t="s">
        <v>14</v>
      </c>
      <c r="F145" s="17" t="s">
        <v>15</v>
      </c>
      <c r="G145" s="26">
        <v>0.39583333333333331</v>
      </c>
      <c r="H145" s="26">
        <v>0.41666666666666669</v>
      </c>
      <c r="I145" s="17">
        <v>0</v>
      </c>
      <c r="J145" s="17" t="s">
        <v>16</v>
      </c>
      <c r="K145" s="17" t="s">
        <v>15</v>
      </c>
      <c r="L145" s="17" t="s">
        <v>17</v>
      </c>
      <c r="M145" s="15"/>
      <c r="N145" s="15"/>
      <c r="O145" s="15"/>
      <c r="P145" s="15"/>
      <c r="Q145" s="15"/>
      <c r="R145" s="15"/>
      <c r="S145" s="15"/>
      <c r="T145" s="15"/>
      <c r="U145" s="15"/>
      <c r="V145" s="15"/>
      <c r="W145" s="15"/>
      <c r="X145" s="21"/>
    </row>
    <row r="146" spans="1:24" s="13" customFormat="1" ht="145" hidden="1" x14ac:dyDescent="0.35">
      <c r="A146" s="18">
        <v>43669</v>
      </c>
      <c r="B146" s="17" t="s">
        <v>18</v>
      </c>
      <c r="C146" s="17" t="s">
        <v>13</v>
      </c>
      <c r="D146" s="18">
        <v>43677</v>
      </c>
      <c r="E146" s="17" t="s">
        <v>19</v>
      </c>
      <c r="F146" s="17" t="s">
        <v>15</v>
      </c>
      <c r="G146" s="26">
        <v>0.52083333333333337</v>
      </c>
      <c r="H146" s="26">
        <v>0.54166666666666663</v>
      </c>
      <c r="I146" s="17">
        <v>0</v>
      </c>
      <c r="J146" s="17" t="s">
        <v>16</v>
      </c>
      <c r="K146" s="17" t="s">
        <v>15</v>
      </c>
      <c r="L146" s="17" t="s">
        <v>17</v>
      </c>
      <c r="M146" s="15"/>
      <c r="N146" s="15"/>
      <c r="O146" s="15"/>
      <c r="P146" s="15"/>
      <c r="Q146" s="15"/>
      <c r="R146" s="15"/>
      <c r="S146" s="15"/>
      <c r="T146" s="15"/>
      <c r="U146" s="15"/>
      <c r="V146" s="15"/>
      <c r="W146" s="15"/>
      <c r="X146" s="21"/>
    </row>
    <row r="147" spans="1:24" s="13" customFormat="1" hidden="1" x14ac:dyDescent="0.35">
      <c r="A147" s="18">
        <v>43663</v>
      </c>
      <c r="B147" s="17" t="s">
        <v>20</v>
      </c>
      <c r="C147" s="17" t="s">
        <v>21</v>
      </c>
      <c r="D147" s="18">
        <v>43678</v>
      </c>
      <c r="E147" s="17" t="s">
        <v>20</v>
      </c>
      <c r="F147" s="17" t="s">
        <v>15</v>
      </c>
      <c r="G147" s="17" t="s">
        <v>15</v>
      </c>
      <c r="H147" s="17" t="s">
        <v>15</v>
      </c>
      <c r="I147" s="17" t="s">
        <v>15</v>
      </c>
      <c r="J147" s="17" t="s">
        <v>20</v>
      </c>
      <c r="K147" s="17" t="s">
        <v>15</v>
      </c>
      <c r="L147" s="17" t="s">
        <v>22</v>
      </c>
      <c r="M147" s="15"/>
      <c r="N147" s="15"/>
      <c r="O147" s="15"/>
      <c r="P147" s="15"/>
      <c r="Q147" s="15"/>
      <c r="R147" s="15"/>
      <c r="S147" s="15"/>
      <c r="T147" s="15"/>
      <c r="U147" s="15"/>
      <c r="V147" s="15"/>
      <c r="W147" s="15"/>
      <c r="X147" s="21"/>
    </row>
    <row r="148" spans="1:24" s="13" customFormat="1" ht="29" hidden="1" x14ac:dyDescent="0.35">
      <c r="A148" s="18">
        <v>43674</v>
      </c>
      <c r="B148" s="17" t="s">
        <v>20</v>
      </c>
      <c r="C148" s="17" t="s">
        <v>23</v>
      </c>
      <c r="D148" s="18">
        <v>43678</v>
      </c>
      <c r="E148" s="17" t="s">
        <v>20</v>
      </c>
      <c r="F148" s="17" t="s">
        <v>15</v>
      </c>
      <c r="G148" s="17" t="s">
        <v>15</v>
      </c>
      <c r="H148" s="17" t="s">
        <v>15</v>
      </c>
      <c r="I148" s="17" t="s">
        <v>15</v>
      </c>
      <c r="J148" s="17" t="s">
        <v>20</v>
      </c>
      <c r="K148" s="17" t="s">
        <v>15</v>
      </c>
      <c r="L148" s="17" t="s">
        <v>22</v>
      </c>
      <c r="M148" s="15"/>
      <c r="N148" s="15"/>
      <c r="O148" s="15"/>
      <c r="P148" s="15"/>
      <c r="Q148" s="15"/>
      <c r="R148" s="15"/>
      <c r="S148" s="15"/>
      <c r="T148" s="15"/>
      <c r="U148" s="15"/>
      <c r="V148" s="15"/>
      <c r="W148" s="15"/>
      <c r="X148" s="21"/>
    </row>
    <row r="149" spans="1:24" s="13" customFormat="1" ht="29" hidden="1" x14ac:dyDescent="0.35">
      <c r="A149" s="18">
        <v>43663</v>
      </c>
      <c r="B149" s="17" t="s">
        <v>20</v>
      </c>
      <c r="C149" s="17" t="s">
        <v>24</v>
      </c>
      <c r="D149" s="18">
        <v>43678</v>
      </c>
      <c r="E149" s="17" t="s">
        <v>20</v>
      </c>
      <c r="F149" s="17" t="s">
        <v>15</v>
      </c>
      <c r="G149" s="17" t="s">
        <v>15</v>
      </c>
      <c r="H149" s="17" t="s">
        <v>15</v>
      </c>
      <c r="I149" s="17" t="s">
        <v>15</v>
      </c>
      <c r="J149" s="17" t="s">
        <v>20</v>
      </c>
      <c r="K149" s="17" t="s">
        <v>15</v>
      </c>
      <c r="L149" s="17" t="s">
        <v>22</v>
      </c>
      <c r="M149" s="15"/>
      <c r="N149" s="15"/>
      <c r="O149" s="15"/>
      <c r="P149" s="15"/>
      <c r="Q149" s="15"/>
      <c r="R149" s="15"/>
      <c r="S149" s="15"/>
      <c r="T149" s="15"/>
      <c r="U149" s="15"/>
      <c r="V149" s="15"/>
      <c r="W149" s="15"/>
      <c r="X149" s="21"/>
    </row>
    <row r="150" spans="1:24" s="13" customFormat="1" ht="72.5" hidden="1" x14ac:dyDescent="0.35">
      <c r="A150" s="18">
        <v>43674</v>
      </c>
      <c r="B150" s="17" t="s">
        <v>25</v>
      </c>
      <c r="C150" s="17" t="s">
        <v>26</v>
      </c>
      <c r="D150" s="18">
        <v>43679</v>
      </c>
      <c r="E150" s="17" t="s">
        <v>27</v>
      </c>
      <c r="F150" s="17" t="s">
        <v>15</v>
      </c>
      <c r="G150" s="26">
        <v>0.6875</v>
      </c>
      <c r="H150" s="26">
        <v>0.6875</v>
      </c>
      <c r="I150" s="17" t="s">
        <v>28</v>
      </c>
      <c r="J150" s="17" t="s">
        <v>29</v>
      </c>
      <c r="K150" s="17" t="s">
        <v>15</v>
      </c>
      <c r="L150" s="17" t="s">
        <v>17</v>
      </c>
      <c r="M150" s="15"/>
      <c r="N150" s="15"/>
      <c r="O150" s="15"/>
      <c r="P150" s="15"/>
      <c r="Q150" s="15"/>
      <c r="R150" s="15"/>
      <c r="S150" s="15"/>
      <c r="T150" s="15"/>
      <c r="U150" s="15"/>
      <c r="V150" s="15"/>
      <c r="W150" s="15"/>
      <c r="X150" s="21"/>
    </row>
    <row r="151" spans="1:24" s="13" customFormat="1" ht="145" hidden="1" x14ac:dyDescent="0.35">
      <c r="A151" s="18">
        <v>43674</v>
      </c>
      <c r="B151" s="17" t="s">
        <v>30</v>
      </c>
      <c r="C151" s="17" t="s">
        <v>13</v>
      </c>
      <c r="D151" s="18">
        <v>43680</v>
      </c>
      <c r="E151" s="17" t="s">
        <v>31</v>
      </c>
      <c r="F151" s="17" t="s">
        <v>15</v>
      </c>
      <c r="G151" s="26">
        <v>0.54166666666666663</v>
      </c>
      <c r="H151" s="26">
        <v>0.5625</v>
      </c>
      <c r="I151" s="17">
        <v>0</v>
      </c>
      <c r="J151" s="17" t="s">
        <v>16</v>
      </c>
      <c r="K151" s="17" t="s">
        <v>15</v>
      </c>
      <c r="L151" s="17" t="s">
        <v>17</v>
      </c>
      <c r="M151" s="15"/>
      <c r="N151" s="15"/>
      <c r="O151" s="15"/>
      <c r="P151" s="15"/>
      <c r="Q151" s="15"/>
      <c r="R151" s="15"/>
      <c r="S151" s="15"/>
      <c r="T151" s="15"/>
      <c r="U151" s="15"/>
      <c r="V151" s="15"/>
      <c r="W151" s="15"/>
      <c r="X151" s="21"/>
    </row>
    <row r="152" spans="1:24" s="13" customFormat="1" ht="87" hidden="1" x14ac:dyDescent="0.35">
      <c r="A152" s="41">
        <v>43674</v>
      </c>
      <c r="B152" s="40" t="s">
        <v>32</v>
      </c>
      <c r="C152" s="40" t="s">
        <v>33</v>
      </c>
      <c r="D152" s="41">
        <v>43680</v>
      </c>
      <c r="E152" s="40" t="s">
        <v>34</v>
      </c>
      <c r="F152" s="40"/>
      <c r="G152" s="39">
        <v>0.625</v>
      </c>
      <c r="H152" s="39">
        <v>0.66666666666666663</v>
      </c>
      <c r="I152" s="17">
        <v>390</v>
      </c>
      <c r="J152" s="17" t="s">
        <v>35</v>
      </c>
      <c r="K152" s="17"/>
      <c r="L152" s="17" t="s">
        <v>22</v>
      </c>
      <c r="M152" s="15"/>
      <c r="N152" s="15"/>
      <c r="O152" s="15"/>
      <c r="P152" s="15"/>
      <c r="Q152" s="15"/>
      <c r="R152" s="15"/>
      <c r="S152" s="15"/>
      <c r="T152" s="15"/>
      <c r="U152" s="15"/>
      <c r="V152" s="15"/>
      <c r="W152" s="15"/>
      <c r="X152" s="21"/>
    </row>
    <row r="153" spans="1:24" s="13" customFormat="1" ht="188.5" hidden="1" x14ac:dyDescent="0.35">
      <c r="A153" s="18">
        <v>43628</v>
      </c>
      <c r="B153" s="29" t="s">
        <v>36</v>
      </c>
      <c r="C153" s="29" t="s">
        <v>37</v>
      </c>
      <c r="D153" s="38">
        <v>43680</v>
      </c>
      <c r="E153" s="29" t="s">
        <v>38</v>
      </c>
      <c r="F153" s="29"/>
      <c r="G153" s="31">
        <v>0.69791666666666696</v>
      </c>
      <c r="H153" s="31">
        <v>0.69791666666666696</v>
      </c>
      <c r="I153" s="17" t="s">
        <v>39</v>
      </c>
      <c r="J153" s="17" t="s">
        <v>40</v>
      </c>
      <c r="K153" s="17"/>
      <c r="L153" s="37" t="s">
        <v>22</v>
      </c>
      <c r="M153" s="15"/>
      <c r="N153" s="15"/>
      <c r="O153" s="15"/>
      <c r="P153" s="15"/>
      <c r="Q153" s="15"/>
      <c r="R153" s="15"/>
      <c r="S153" s="15"/>
      <c r="T153" s="15"/>
      <c r="U153" s="15"/>
      <c r="V153" s="15"/>
      <c r="W153" s="15"/>
      <c r="X153" s="21"/>
    </row>
    <row r="154" spans="1:24" s="13" customFormat="1" ht="72.5" hidden="1" x14ac:dyDescent="0.35">
      <c r="A154" s="36">
        <v>43663</v>
      </c>
      <c r="B154" s="35" t="s">
        <v>41</v>
      </c>
      <c r="C154" s="35" t="s">
        <v>42</v>
      </c>
      <c r="D154" s="36">
        <v>43680</v>
      </c>
      <c r="E154" s="35" t="s">
        <v>43</v>
      </c>
      <c r="F154" s="35"/>
      <c r="G154" s="34">
        <v>0.70833333333333337</v>
      </c>
      <c r="H154" s="34">
        <v>0.75</v>
      </c>
      <c r="I154" s="33" t="s">
        <v>44</v>
      </c>
      <c r="J154" s="33" t="s">
        <v>45</v>
      </c>
      <c r="K154" s="33"/>
      <c r="L154" s="33" t="s">
        <v>22</v>
      </c>
      <c r="M154" s="15"/>
      <c r="N154" s="15"/>
      <c r="O154" s="15"/>
      <c r="P154" s="15"/>
      <c r="Q154" s="15"/>
      <c r="R154" s="15"/>
      <c r="S154" s="15"/>
      <c r="T154" s="15"/>
      <c r="U154" s="15"/>
      <c r="V154" s="15"/>
      <c r="W154" s="15"/>
      <c r="X154" s="21"/>
    </row>
    <row r="155" spans="1:24" s="13" customFormat="1" ht="275.5" hidden="1" x14ac:dyDescent="0.35">
      <c r="A155" s="18">
        <v>43665</v>
      </c>
      <c r="B155" s="17" t="s">
        <v>46</v>
      </c>
      <c r="C155" s="32" t="s">
        <v>47</v>
      </c>
      <c r="D155" s="18">
        <v>43687</v>
      </c>
      <c r="E155" s="17" t="s">
        <v>48</v>
      </c>
      <c r="F155" s="17" t="s">
        <v>15</v>
      </c>
      <c r="G155" s="17" t="s">
        <v>49</v>
      </c>
      <c r="H155" s="17" t="s">
        <v>49</v>
      </c>
      <c r="I155" s="17" t="s">
        <v>50</v>
      </c>
      <c r="J155" s="17" t="s">
        <v>51</v>
      </c>
      <c r="K155" s="17" t="s">
        <v>15</v>
      </c>
      <c r="L155" s="17" t="s">
        <v>17</v>
      </c>
      <c r="M155" s="15"/>
      <c r="N155" s="15"/>
      <c r="O155" s="15"/>
      <c r="P155" s="15"/>
      <c r="Q155" s="15"/>
      <c r="R155" s="15"/>
      <c r="S155" s="15"/>
      <c r="T155" s="15"/>
      <c r="U155" s="15"/>
      <c r="V155" s="15"/>
      <c r="W155" s="15"/>
      <c r="X155" s="21"/>
    </row>
    <row r="156" spans="1:24" s="13" customFormat="1" ht="145" hidden="1" x14ac:dyDescent="0.35">
      <c r="A156" s="18">
        <v>43669</v>
      </c>
      <c r="B156" s="17" t="s">
        <v>52</v>
      </c>
      <c r="C156" s="17" t="s">
        <v>13</v>
      </c>
      <c r="D156" s="18">
        <v>43694</v>
      </c>
      <c r="E156" s="17" t="s">
        <v>19</v>
      </c>
      <c r="F156" s="17" t="s">
        <v>15</v>
      </c>
      <c r="G156" s="17" t="s">
        <v>49</v>
      </c>
      <c r="H156" s="17" t="s">
        <v>49</v>
      </c>
      <c r="I156" s="17">
        <v>0</v>
      </c>
      <c r="J156" s="17" t="s">
        <v>16</v>
      </c>
      <c r="K156" s="17" t="s">
        <v>15</v>
      </c>
      <c r="L156" s="17" t="s">
        <v>17</v>
      </c>
      <c r="M156" s="15"/>
      <c r="N156" s="15"/>
      <c r="O156" s="15"/>
      <c r="P156" s="15"/>
      <c r="Q156" s="15"/>
      <c r="R156" s="15"/>
      <c r="S156" s="15"/>
      <c r="T156" s="15"/>
      <c r="U156" s="15"/>
      <c r="V156" s="15"/>
      <c r="W156" s="15"/>
      <c r="X156" s="21"/>
    </row>
    <row r="157" spans="1:24" s="13" customFormat="1" ht="58" hidden="1" x14ac:dyDescent="0.35">
      <c r="A157" s="18">
        <v>43664</v>
      </c>
      <c r="B157" s="17" t="s">
        <v>20</v>
      </c>
      <c r="C157" s="17" t="s">
        <v>53</v>
      </c>
      <c r="D157" s="18">
        <v>43699</v>
      </c>
      <c r="E157" s="17" t="s">
        <v>20</v>
      </c>
      <c r="F157" s="17" t="s">
        <v>15</v>
      </c>
      <c r="G157" s="17" t="s">
        <v>15</v>
      </c>
      <c r="H157" s="17" t="s">
        <v>15</v>
      </c>
      <c r="I157" s="17" t="s">
        <v>15</v>
      </c>
      <c r="J157" s="17" t="s">
        <v>20</v>
      </c>
      <c r="K157" s="17" t="s">
        <v>15</v>
      </c>
      <c r="L157" s="17" t="s">
        <v>17</v>
      </c>
      <c r="M157" s="15"/>
      <c r="N157" s="15"/>
      <c r="O157" s="15"/>
      <c r="P157" s="15"/>
      <c r="Q157" s="15"/>
      <c r="R157" s="15"/>
      <c r="S157" s="15"/>
      <c r="T157" s="15"/>
      <c r="U157" s="15"/>
      <c r="V157" s="15"/>
      <c r="W157" s="15"/>
      <c r="X157" s="21"/>
    </row>
    <row r="158" spans="1:24" s="13" customFormat="1" ht="130.5" hidden="1" x14ac:dyDescent="0.35">
      <c r="A158" s="30">
        <v>43660</v>
      </c>
      <c r="B158" s="29" t="s">
        <v>54</v>
      </c>
      <c r="C158" s="29" t="s">
        <v>109</v>
      </c>
      <c r="D158" s="30">
        <v>43701</v>
      </c>
      <c r="E158" s="29" t="s">
        <v>55</v>
      </c>
      <c r="F158" s="29" t="s">
        <v>15</v>
      </c>
      <c r="G158" s="31">
        <v>0.70833333333333304</v>
      </c>
      <c r="H158" s="31">
        <v>0.70833333333333304</v>
      </c>
      <c r="I158" s="29" t="s">
        <v>56</v>
      </c>
      <c r="J158" s="17" t="s">
        <v>57</v>
      </c>
      <c r="K158" s="17" t="s">
        <v>15</v>
      </c>
      <c r="L158" s="17" t="s">
        <v>17</v>
      </c>
      <c r="M158" s="15"/>
      <c r="N158" s="15"/>
      <c r="O158" s="15"/>
      <c r="P158" s="15"/>
      <c r="Q158" s="15"/>
      <c r="R158" s="15"/>
      <c r="S158" s="15"/>
      <c r="T158" s="15"/>
      <c r="U158" s="15"/>
      <c r="V158" s="15"/>
      <c r="W158" s="15"/>
      <c r="X158" s="21"/>
    </row>
    <row r="159" spans="1:24" s="13" customFormat="1" ht="304.5" hidden="1" x14ac:dyDescent="0.35">
      <c r="A159" s="18">
        <v>43664</v>
      </c>
      <c r="B159" s="17" t="s">
        <v>58</v>
      </c>
      <c r="C159" s="17" t="s">
        <v>59</v>
      </c>
      <c r="D159" s="18">
        <v>43701</v>
      </c>
      <c r="E159" s="17" t="s">
        <v>60</v>
      </c>
      <c r="F159" s="17" t="s">
        <v>15</v>
      </c>
      <c r="G159" s="17" t="s">
        <v>49</v>
      </c>
      <c r="H159" s="17" t="s">
        <v>49</v>
      </c>
      <c r="I159" s="17" t="s">
        <v>61</v>
      </c>
      <c r="J159" s="17" t="s">
        <v>62</v>
      </c>
      <c r="K159" s="17" t="s">
        <v>15</v>
      </c>
      <c r="L159" s="17" t="s">
        <v>17</v>
      </c>
      <c r="M159" s="15"/>
      <c r="N159" s="15"/>
      <c r="O159" s="15"/>
      <c r="P159" s="15"/>
      <c r="Q159" s="15"/>
      <c r="R159" s="15"/>
      <c r="S159" s="15"/>
      <c r="T159" s="15"/>
      <c r="U159" s="15"/>
      <c r="V159" s="15"/>
      <c r="W159" s="15"/>
      <c r="X159" s="21"/>
    </row>
    <row r="160" spans="1:24" s="13" customFormat="1" ht="116" hidden="1" x14ac:dyDescent="0.35">
      <c r="A160" s="18">
        <v>43622</v>
      </c>
      <c r="B160" s="17" t="s">
        <v>63</v>
      </c>
      <c r="C160" s="17" t="s">
        <v>64</v>
      </c>
      <c r="D160" s="18">
        <v>43702</v>
      </c>
      <c r="E160" s="17" t="s">
        <v>65</v>
      </c>
      <c r="F160" s="17" t="s">
        <v>15</v>
      </c>
      <c r="G160" s="17" t="s">
        <v>49</v>
      </c>
      <c r="H160" s="17" t="s">
        <v>49</v>
      </c>
      <c r="I160" s="17" t="s">
        <v>66</v>
      </c>
      <c r="J160" s="17" t="s">
        <v>67</v>
      </c>
      <c r="K160" s="17" t="s">
        <v>15</v>
      </c>
      <c r="L160" s="17" t="s">
        <v>17</v>
      </c>
      <c r="M160" s="15"/>
      <c r="N160" s="15"/>
      <c r="O160" s="15"/>
      <c r="P160" s="15"/>
      <c r="Q160" s="15"/>
      <c r="R160" s="15"/>
      <c r="S160" s="15"/>
      <c r="T160" s="15"/>
      <c r="U160" s="15"/>
      <c r="V160" s="15"/>
      <c r="W160" s="15"/>
      <c r="X160" s="21"/>
    </row>
    <row r="161" spans="1:24" s="13" customFormat="1" ht="43.5" hidden="1" x14ac:dyDescent="0.35">
      <c r="A161" s="18">
        <v>43653</v>
      </c>
      <c r="B161" s="17" t="s">
        <v>68</v>
      </c>
      <c r="C161" s="17" t="s">
        <v>69</v>
      </c>
      <c r="D161" s="18">
        <v>43707</v>
      </c>
      <c r="E161" s="17" t="s">
        <v>48</v>
      </c>
      <c r="F161" s="17" t="s">
        <v>15</v>
      </c>
      <c r="G161" s="17" t="s">
        <v>49</v>
      </c>
      <c r="H161" s="17" t="s">
        <v>49</v>
      </c>
      <c r="I161" s="17">
        <v>450</v>
      </c>
      <c r="J161" s="17" t="s">
        <v>70</v>
      </c>
      <c r="K161" s="17" t="s">
        <v>15</v>
      </c>
      <c r="L161" s="17" t="s">
        <v>17</v>
      </c>
      <c r="M161" s="15"/>
      <c r="N161" s="15"/>
      <c r="O161" s="15"/>
      <c r="P161" s="15"/>
      <c r="Q161" s="15"/>
      <c r="R161" s="15"/>
      <c r="S161" s="15"/>
      <c r="T161" s="15"/>
      <c r="U161" s="15"/>
      <c r="V161" s="15"/>
      <c r="W161" s="15"/>
      <c r="X161" s="21"/>
    </row>
    <row r="162" spans="1:24" s="13" customFormat="1" ht="72.5" x14ac:dyDescent="0.35">
      <c r="A162" s="30">
        <v>43570</v>
      </c>
      <c r="B162" s="29" t="s">
        <v>71</v>
      </c>
      <c r="C162" s="29" t="s">
        <v>72</v>
      </c>
      <c r="D162" s="30">
        <v>43708</v>
      </c>
      <c r="E162" s="29" t="s">
        <v>73</v>
      </c>
      <c r="F162" s="29" t="s">
        <v>15</v>
      </c>
      <c r="G162" s="29" t="s">
        <v>49</v>
      </c>
      <c r="H162" s="29" t="s">
        <v>49</v>
      </c>
      <c r="I162" s="28" t="s">
        <v>74</v>
      </c>
      <c r="J162" s="17" t="s">
        <v>75</v>
      </c>
      <c r="K162" s="17" t="s">
        <v>15</v>
      </c>
      <c r="L162" s="17" t="s">
        <v>17</v>
      </c>
      <c r="M162" s="15"/>
      <c r="N162" s="15"/>
      <c r="O162" s="15"/>
      <c r="P162" s="15"/>
      <c r="Q162" s="15"/>
      <c r="R162" s="15"/>
      <c r="S162" s="15"/>
      <c r="T162" s="15"/>
      <c r="U162" s="15"/>
      <c r="V162" s="15"/>
      <c r="W162" s="15"/>
      <c r="X162" s="21"/>
    </row>
    <row r="163" spans="1:24" s="13" customFormat="1" ht="275.5" hidden="1" x14ac:dyDescent="0.35">
      <c r="A163" s="23">
        <v>43665</v>
      </c>
      <c r="B163" s="22" t="s">
        <v>76</v>
      </c>
      <c r="C163" s="27" t="s">
        <v>77</v>
      </c>
      <c r="D163" s="23">
        <v>43708</v>
      </c>
      <c r="E163" s="22" t="s">
        <v>48</v>
      </c>
      <c r="F163" s="22" t="s">
        <v>15</v>
      </c>
      <c r="G163" s="22" t="s">
        <v>49</v>
      </c>
      <c r="H163" s="22" t="s">
        <v>49</v>
      </c>
      <c r="I163" s="22" t="s">
        <v>78</v>
      </c>
      <c r="J163" s="22" t="s">
        <v>79</v>
      </c>
      <c r="K163" s="22" t="s">
        <v>15</v>
      </c>
      <c r="L163" s="22" t="s">
        <v>17</v>
      </c>
      <c r="M163" s="15"/>
      <c r="N163" s="15"/>
      <c r="O163" s="15"/>
      <c r="P163" s="15"/>
      <c r="Q163" s="15"/>
      <c r="R163" s="15"/>
      <c r="S163" s="15"/>
      <c r="T163" s="15"/>
      <c r="U163" s="15"/>
      <c r="V163" s="15"/>
      <c r="W163" s="15"/>
      <c r="X163" s="21"/>
    </row>
    <row r="164" spans="1:24" s="13" customFormat="1" ht="29" hidden="1" x14ac:dyDescent="0.35">
      <c r="A164" s="18">
        <v>43633</v>
      </c>
      <c r="B164" s="17" t="s">
        <v>80</v>
      </c>
      <c r="C164" s="17" t="s">
        <v>81</v>
      </c>
      <c r="D164" s="18">
        <v>43709</v>
      </c>
      <c r="E164" s="17" t="s">
        <v>82</v>
      </c>
      <c r="F164" s="17" t="s">
        <v>15</v>
      </c>
      <c r="G164" s="26">
        <v>0.41666666666666702</v>
      </c>
      <c r="H164" s="26">
        <v>0.5</v>
      </c>
      <c r="I164" s="17" t="s">
        <v>83</v>
      </c>
      <c r="J164" s="17" t="s">
        <v>84</v>
      </c>
      <c r="K164" s="17" t="s">
        <v>15</v>
      </c>
      <c r="L164" s="17" t="s">
        <v>17</v>
      </c>
      <c r="M164" s="15"/>
      <c r="N164" s="15"/>
      <c r="O164" s="15"/>
      <c r="P164" s="15"/>
      <c r="Q164" s="15"/>
      <c r="R164" s="15"/>
      <c r="S164" s="15"/>
      <c r="T164" s="15"/>
      <c r="U164" s="15"/>
      <c r="V164" s="15"/>
      <c r="W164" s="15"/>
      <c r="X164" s="21"/>
    </row>
    <row r="165" spans="1:24" s="13" customFormat="1" ht="188.5" hidden="1" x14ac:dyDescent="0.35">
      <c r="A165" s="18">
        <v>43639</v>
      </c>
      <c r="B165" s="17" t="s">
        <v>85</v>
      </c>
      <c r="C165" s="17" t="s">
        <v>86</v>
      </c>
      <c r="D165" s="18">
        <v>43715</v>
      </c>
      <c r="E165" s="17" t="s">
        <v>87</v>
      </c>
      <c r="F165" s="17" t="s">
        <v>15</v>
      </c>
      <c r="G165" s="17" t="s">
        <v>49</v>
      </c>
      <c r="H165" s="17" t="s">
        <v>49</v>
      </c>
      <c r="I165" s="17" t="s">
        <v>88</v>
      </c>
      <c r="J165" s="17" t="s">
        <v>89</v>
      </c>
      <c r="K165" s="17" t="s">
        <v>15</v>
      </c>
      <c r="L165" s="17" t="s">
        <v>17</v>
      </c>
      <c r="M165" s="15"/>
      <c r="N165" s="15"/>
      <c r="O165" s="15"/>
      <c r="P165" s="15"/>
      <c r="Q165" s="15"/>
      <c r="R165" s="15"/>
      <c r="S165" s="15"/>
      <c r="T165" s="15"/>
      <c r="U165" s="15"/>
      <c r="V165" s="15"/>
      <c r="W165" s="15"/>
      <c r="X165" s="21"/>
    </row>
    <row r="166" spans="1:24" s="13" customFormat="1" ht="130.5" hidden="1" x14ac:dyDescent="0.35">
      <c r="A166" s="23">
        <v>43654</v>
      </c>
      <c r="B166" s="22" t="s">
        <v>90</v>
      </c>
      <c r="C166" s="22" t="s">
        <v>91</v>
      </c>
      <c r="D166" s="23">
        <v>43715</v>
      </c>
      <c r="E166" s="22" t="s">
        <v>92</v>
      </c>
      <c r="F166" s="22" t="s">
        <v>15</v>
      </c>
      <c r="G166" s="22" t="s">
        <v>49</v>
      </c>
      <c r="H166" s="22" t="s">
        <v>49</v>
      </c>
      <c r="I166" s="22" t="s">
        <v>93</v>
      </c>
      <c r="J166" s="22" t="s">
        <v>94</v>
      </c>
      <c r="K166" s="22" t="s">
        <v>15</v>
      </c>
      <c r="L166" s="22" t="s">
        <v>17</v>
      </c>
      <c r="M166" s="15"/>
      <c r="N166" s="15"/>
      <c r="O166" s="15"/>
      <c r="P166" s="15"/>
      <c r="Q166" s="15"/>
      <c r="R166" s="15"/>
      <c r="S166" s="15"/>
      <c r="T166" s="15"/>
      <c r="U166" s="15"/>
      <c r="V166" s="15"/>
      <c r="W166" s="15"/>
      <c r="X166" s="21"/>
    </row>
    <row r="167" spans="1:24" s="13" customFormat="1" ht="72.5" hidden="1" x14ac:dyDescent="0.35">
      <c r="A167" s="23">
        <v>43663</v>
      </c>
      <c r="B167" s="21" t="s">
        <v>95</v>
      </c>
      <c r="C167" s="21" t="s">
        <v>96</v>
      </c>
      <c r="D167" s="23">
        <v>43715</v>
      </c>
      <c r="E167" s="21" t="s">
        <v>97</v>
      </c>
      <c r="F167" s="21" t="s">
        <v>98</v>
      </c>
      <c r="G167" s="21" t="s">
        <v>49</v>
      </c>
      <c r="H167" s="21" t="s">
        <v>49</v>
      </c>
      <c r="I167" s="21" t="s">
        <v>49</v>
      </c>
      <c r="J167" s="21" t="s">
        <v>49</v>
      </c>
      <c r="K167" s="21" t="s">
        <v>49</v>
      </c>
      <c r="L167" s="21" t="s">
        <v>17</v>
      </c>
      <c r="M167" s="15"/>
      <c r="N167" s="15"/>
      <c r="O167" s="15"/>
      <c r="P167" s="15"/>
      <c r="Q167" s="15"/>
      <c r="R167" s="15"/>
      <c r="S167" s="15"/>
      <c r="T167" s="15"/>
      <c r="U167" s="15"/>
      <c r="V167" s="15"/>
      <c r="W167" s="15"/>
      <c r="X167" s="21"/>
    </row>
    <row r="168" spans="1:24" s="13" customFormat="1" ht="203" hidden="1" x14ac:dyDescent="0.35">
      <c r="A168" s="25">
        <v>43635</v>
      </c>
      <c r="B168" s="24" t="s">
        <v>99</v>
      </c>
      <c r="C168" s="24" t="s">
        <v>100</v>
      </c>
      <c r="D168" s="25">
        <v>43716</v>
      </c>
      <c r="E168" s="24" t="s">
        <v>101</v>
      </c>
      <c r="F168" s="24" t="s">
        <v>15</v>
      </c>
      <c r="G168" s="24" t="s">
        <v>49</v>
      </c>
      <c r="H168" s="24" t="s">
        <v>49</v>
      </c>
      <c r="I168" s="24" t="s">
        <v>102</v>
      </c>
      <c r="J168" s="21" t="s">
        <v>103</v>
      </c>
      <c r="K168" s="21" t="s">
        <v>15</v>
      </c>
      <c r="L168" s="21" t="s">
        <v>17</v>
      </c>
      <c r="M168" s="15"/>
      <c r="N168" s="15"/>
      <c r="O168" s="15"/>
      <c r="P168" s="15"/>
      <c r="Q168" s="15"/>
      <c r="R168" s="15"/>
      <c r="S168" s="15"/>
      <c r="T168" s="15"/>
      <c r="U168" s="15"/>
      <c r="V168" s="15"/>
      <c r="W168" s="15"/>
      <c r="X168" s="21"/>
    </row>
    <row r="169" spans="1:24" s="13" customFormat="1" ht="58" hidden="1" x14ac:dyDescent="0.35">
      <c r="A169" s="23">
        <v>43648</v>
      </c>
      <c r="B169" s="22" t="s">
        <v>104</v>
      </c>
      <c r="C169" s="22" t="s">
        <v>105</v>
      </c>
      <c r="D169" s="23">
        <v>43722</v>
      </c>
      <c r="E169" s="22" t="s">
        <v>106</v>
      </c>
      <c r="F169" s="22" t="s">
        <v>15</v>
      </c>
      <c r="G169" s="22" t="s">
        <v>49</v>
      </c>
      <c r="H169" s="22" t="s">
        <v>49</v>
      </c>
      <c r="I169" s="22" t="s">
        <v>107</v>
      </c>
      <c r="J169" s="22" t="s">
        <v>108</v>
      </c>
      <c r="K169" s="22" t="s">
        <v>15</v>
      </c>
      <c r="L169" s="22" t="s">
        <v>17</v>
      </c>
      <c r="M169" s="15"/>
      <c r="N169" s="15"/>
      <c r="O169" s="15"/>
      <c r="P169" s="15"/>
      <c r="Q169" s="15"/>
      <c r="R169" s="15"/>
      <c r="S169" s="15"/>
      <c r="T169" s="15"/>
      <c r="U169" s="15"/>
      <c r="V169" s="15"/>
      <c r="W169" s="15"/>
      <c r="X169" s="21"/>
    </row>
    <row r="170" spans="1:24" customFormat="1" ht="188.5" x14ac:dyDescent="0.35">
      <c r="A170" s="825">
        <v>43689</v>
      </c>
      <c r="B170" s="826" t="s">
        <v>3680</v>
      </c>
      <c r="C170" s="826" t="s">
        <v>3681</v>
      </c>
      <c r="D170" s="827">
        <v>43660</v>
      </c>
      <c r="E170" s="872" t="s">
        <v>19</v>
      </c>
      <c r="F170" s="865">
        <v>0.375</v>
      </c>
      <c r="G170" s="865">
        <v>0.375</v>
      </c>
      <c r="H170" s="865">
        <v>0.375</v>
      </c>
      <c r="I170" s="828">
        <v>693</v>
      </c>
      <c r="J170" s="915" t="s">
        <v>3682</v>
      </c>
      <c r="K170" s="826" t="s">
        <v>15</v>
      </c>
      <c r="L170" s="829" t="s">
        <v>17</v>
      </c>
    </row>
    <row r="171" spans="1:24" s="13" customFormat="1" x14ac:dyDescent="0.35">
      <c r="A171" s="15"/>
      <c r="B171" s="15"/>
      <c r="C171" s="20"/>
      <c r="D171" s="15"/>
      <c r="E171" s="15"/>
      <c r="F171" s="15"/>
      <c r="G171" s="15"/>
      <c r="H171" s="15"/>
      <c r="I171" s="15"/>
      <c r="J171" s="15"/>
      <c r="K171" s="15"/>
      <c r="L171" s="15"/>
      <c r="M171" s="15"/>
      <c r="N171" s="15"/>
      <c r="O171" s="15"/>
      <c r="P171" s="15"/>
      <c r="Q171" s="15"/>
      <c r="R171" s="15"/>
      <c r="S171" s="15"/>
      <c r="T171" s="15"/>
      <c r="U171" s="15"/>
      <c r="V171" s="15"/>
      <c r="W171" s="15"/>
      <c r="X171" s="15"/>
    </row>
    <row r="185" spans="1:12" s="13" customFormat="1" x14ac:dyDescent="0.35">
      <c r="A185" s="19">
        <v>43654</v>
      </c>
      <c r="B185" s="17" t="s">
        <v>20</v>
      </c>
      <c r="C185" s="17" t="s">
        <v>112</v>
      </c>
      <c r="D185" s="18">
        <v>43658</v>
      </c>
      <c r="E185" s="17" t="s">
        <v>20</v>
      </c>
      <c r="F185" s="17" t="s">
        <v>15</v>
      </c>
      <c r="G185" s="17" t="s">
        <v>15</v>
      </c>
      <c r="H185" s="17" t="s">
        <v>15</v>
      </c>
      <c r="I185" s="17" t="s">
        <v>15</v>
      </c>
      <c r="J185" s="17" t="s">
        <v>20</v>
      </c>
      <c r="K185" s="17" t="s">
        <v>15</v>
      </c>
      <c r="L185" s="16" t="s">
        <v>22</v>
      </c>
    </row>
  </sheetData>
  <conditionalFormatting sqref="O1:AMG1 W2:AMH3 A47:E47 J47:L47 G47:H47 A1:L22 A65:L71 A41:L46 A48:L48 A51:L55 A56:C56 E56:L56 A24:L39 M4:AMH74 A57:L61 A89:E89 G89:L89 A90:L96 A84:L88 A75:AMH83 C129 C130:D130 F129:I130 A99:L107 A145:L145 A142:E142 G142:L142 A110:L115 A172:AMH184 M84:AMH121 M166:AMH169 A138:D138 F138:L138 A158:L164 A117:L124 A126:L127 M131:AMH164 M122:W130 Y122:AMH130 A133:L133 A136:L137 A186:AMH1048576 M185:AMH185 B167:C167 E167:L167 A168:L169 A139:L141 M171:AMH171">
    <cfRule type="cellIs" dxfId="1569" priority="37" operator="equal">
      <formula>TODAY()</formula>
    </cfRule>
    <cfRule type="cellIs" dxfId="1568" priority="38" operator="equal">
      <formula>TODAY()</formula>
    </cfRule>
  </conditionalFormatting>
  <conditionalFormatting sqref="M2:N2 O3:V3 P2 R2 U2:V2">
    <cfRule type="cellIs" dxfId="1567" priority="39" operator="equal">
      <formula>TODAY()</formula>
    </cfRule>
    <cfRule type="cellIs" dxfId="1566" priority="40" operator="equal">
      <formula>TODAY()</formula>
    </cfRule>
  </conditionalFormatting>
  <conditionalFormatting sqref="N3">
    <cfRule type="cellIs" dxfId="1565" priority="41" operator="equal">
      <formula>TODAY()</formula>
    </cfRule>
    <cfRule type="cellIs" dxfId="1564" priority="42" operator="equal">
      <formula>TODAY()</formula>
    </cfRule>
  </conditionalFormatting>
  <conditionalFormatting sqref="A23:B23 D23:J23 L23">
    <cfRule type="cellIs" dxfId="1563" priority="43" operator="equal">
      <formula>TODAY()</formula>
    </cfRule>
    <cfRule type="cellIs" dxfId="1562" priority="44" operator="equal">
      <formula>TODAY()</formula>
    </cfRule>
  </conditionalFormatting>
  <conditionalFormatting sqref="C23">
    <cfRule type="cellIs" dxfId="1561" priority="45" operator="equal">
      <formula>TODAY()</formula>
    </cfRule>
    <cfRule type="cellIs" dxfId="1560" priority="46" operator="equal">
      <formula>TODAY()</formula>
    </cfRule>
  </conditionalFormatting>
  <conditionalFormatting sqref="A40:L40">
    <cfRule type="cellIs" dxfId="1559" priority="47" operator="equal">
      <formula>TODAY()</formula>
    </cfRule>
    <cfRule type="cellIs" dxfId="1558" priority="48" operator="equal">
      <formula>TODAY()</formula>
    </cfRule>
  </conditionalFormatting>
  <conditionalFormatting sqref="A62:J62 A63:A64 L62">
    <cfRule type="cellIs" dxfId="1557" priority="49" operator="equal">
      <formula>TODAY()</formula>
    </cfRule>
    <cfRule type="cellIs" dxfId="1556" priority="50" operator="equal">
      <formula>TODAY()</formula>
    </cfRule>
  </conditionalFormatting>
  <conditionalFormatting sqref="B63:J64 L63:L64">
    <cfRule type="cellIs" dxfId="1555" priority="51" operator="equal">
      <formula>TODAY()</formula>
    </cfRule>
    <cfRule type="cellIs" dxfId="1554" priority="52" operator="equal">
      <formula>TODAY()</formula>
    </cfRule>
  </conditionalFormatting>
  <conditionalFormatting sqref="K23">
    <cfRule type="cellIs" dxfId="1553" priority="53" operator="equal">
      <formula>TODAY()</formula>
    </cfRule>
    <cfRule type="cellIs" dxfId="1552" priority="54" operator="equal">
      <formula>TODAY()</formula>
    </cfRule>
  </conditionalFormatting>
  <conditionalFormatting sqref="A72:L72 A73:I73 K73:L73 A74 C74:I74 L74">
    <cfRule type="cellIs" dxfId="1551" priority="55" operator="equal">
      <formula>TODAY()</formula>
    </cfRule>
    <cfRule type="cellIs" dxfId="1550" priority="56" operator="equal">
      <formula>TODAY()</formula>
    </cfRule>
  </conditionalFormatting>
  <conditionalFormatting sqref="A49:J49 L49">
    <cfRule type="cellIs" dxfId="1549" priority="57" operator="equal">
      <formula>TODAY()</formula>
    </cfRule>
    <cfRule type="cellIs" dxfId="1548" priority="58" operator="equal">
      <formula>TODAY()</formula>
    </cfRule>
  </conditionalFormatting>
  <conditionalFormatting sqref="A50:F50 J50 L50">
    <cfRule type="cellIs" dxfId="1547" priority="59" operator="equal">
      <formula>TODAY()</formula>
    </cfRule>
    <cfRule type="cellIs" dxfId="1546" priority="60" operator="equal">
      <formula>TODAY()</formula>
    </cfRule>
  </conditionalFormatting>
  <conditionalFormatting sqref="G50">
    <cfRule type="cellIs" dxfId="1545" priority="61" operator="equal">
      <formula>TODAY()</formula>
    </cfRule>
    <cfRule type="cellIs" dxfId="1544" priority="62" operator="equal">
      <formula>TODAY()</formula>
    </cfRule>
  </conditionalFormatting>
  <conditionalFormatting sqref="H50">
    <cfRule type="cellIs" dxfId="1543" priority="63" operator="equal">
      <formula>TODAY()</formula>
    </cfRule>
    <cfRule type="cellIs" dxfId="1542" priority="64" operator="equal">
      <formula>TODAY()</formula>
    </cfRule>
  </conditionalFormatting>
  <conditionalFormatting sqref="I50">
    <cfRule type="cellIs" dxfId="1541" priority="65" operator="equal">
      <formula>TODAY()</formula>
    </cfRule>
    <cfRule type="cellIs" dxfId="1540" priority="66" operator="equal">
      <formula>TODAY()</formula>
    </cfRule>
  </conditionalFormatting>
  <conditionalFormatting sqref="K50">
    <cfRule type="cellIs" dxfId="1539" priority="67" operator="equal">
      <formula>TODAY()</formula>
    </cfRule>
    <cfRule type="cellIs" dxfId="1538" priority="68" operator="equal">
      <formula>TODAY()</formula>
    </cfRule>
  </conditionalFormatting>
  <conditionalFormatting sqref="K49">
    <cfRule type="cellIs" dxfId="1537" priority="69" operator="equal">
      <formula>TODAY()</formula>
    </cfRule>
    <cfRule type="cellIs" dxfId="1536" priority="70" operator="equal">
      <formula>TODAY()</formula>
    </cfRule>
  </conditionalFormatting>
  <conditionalFormatting sqref="B97:L97">
    <cfRule type="cellIs" dxfId="1535" priority="71" operator="equal">
      <formula>TODAY()</formula>
    </cfRule>
    <cfRule type="cellIs" dxfId="1534" priority="72" operator="equal">
      <formula>TODAY()</formula>
    </cfRule>
  </conditionalFormatting>
  <conditionalFormatting sqref="B98:L98">
    <cfRule type="cellIs" dxfId="1533" priority="73" operator="equal">
      <formula>TODAY()</formula>
    </cfRule>
    <cfRule type="cellIs" dxfId="1532" priority="74" operator="equal">
      <formula>TODAY()</formula>
    </cfRule>
  </conditionalFormatting>
  <conditionalFormatting sqref="A97:A98">
    <cfRule type="cellIs" dxfId="1531" priority="75" operator="equal">
      <formula>TODAY()</formula>
    </cfRule>
    <cfRule type="cellIs" dxfId="1530" priority="76" operator="equal">
      <formula>TODAY()</formula>
    </cfRule>
  </conditionalFormatting>
  <conditionalFormatting sqref="D56">
    <cfRule type="cellIs" dxfId="1529" priority="77" operator="equal">
      <formula>TODAY()</formula>
    </cfRule>
    <cfRule type="cellIs" dxfId="1528" priority="78" operator="equal">
      <formula>TODAY()</formula>
    </cfRule>
  </conditionalFormatting>
  <conditionalFormatting sqref="K62">
    <cfRule type="cellIs" dxfId="1527" priority="79" operator="equal">
      <formula>TODAY()</formula>
    </cfRule>
    <cfRule type="cellIs" dxfId="1526" priority="80" operator="equal">
      <formula>TODAY()</formula>
    </cfRule>
  </conditionalFormatting>
  <conditionalFormatting sqref="K63:K64">
    <cfRule type="cellIs" dxfId="1525" priority="81" operator="equal">
      <formula>TODAY()</formula>
    </cfRule>
    <cfRule type="cellIs" dxfId="1524" priority="82" operator="equal">
      <formula>TODAY()</formula>
    </cfRule>
  </conditionalFormatting>
  <conditionalFormatting sqref="A108">
    <cfRule type="cellIs" dxfId="1523" priority="83" operator="equal">
      <formula>TODAY()</formula>
    </cfRule>
    <cfRule type="cellIs" dxfId="1522" priority="84" operator="equal">
      <formula>TODAY()</formula>
    </cfRule>
  </conditionalFormatting>
  <conditionalFormatting sqref="B108:J108 L108">
    <cfRule type="cellIs" dxfId="1521" priority="85" operator="equal">
      <formula>TODAY()</formula>
    </cfRule>
    <cfRule type="cellIs" dxfId="1520" priority="86" operator="equal">
      <formula>TODAY()</formula>
    </cfRule>
  </conditionalFormatting>
  <conditionalFormatting sqref="K108">
    <cfRule type="cellIs" dxfId="1519" priority="87" operator="equal">
      <formula>TODAY()</formula>
    </cfRule>
    <cfRule type="cellIs" dxfId="1518" priority="88" operator="equal">
      <formula>TODAY()</formula>
    </cfRule>
  </conditionalFormatting>
  <conditionalFormatting sqref="A109">
    <cfRule type="cellIs" dxfId="1517" priority="89" operator="equal">
      <formula>TODAY()</formula>
    </cfRule>
    <cfRule type="cellIs" dxfId="1516" priority="90" operator="equal">
      <formula>TODAY()</formula>
    </cfRule>
  </conditionalFormatting>
  <conditionalFormatting sqref="B109:J109 L109">
    <cfRule type="cellIs" dxfId="1515" priority="91" operator="equal">
      <formula>TODAY()</formula>
    </cfRule>
    <cfRule type="cellIs" dxfId="1514" priority="92" operator="equal">
      <formula>TODAY()</formula>
    </cfRule>
  </conditionalFormatting>
  <conditionalFormatting sqref="K109">
    <cfRule type="cellIs" dxfId="1513" priority="93" operator="equal">
      <formula>TODAY()</formula>
    </cfRule>
    <cfRule type="cellIs" dxfId="1512" priority="94" operator="equal">
      <formula>TODAY()</formula>
    </cfRule>
  </conditionalFormatting>
  <conditionalFormatting sqref="A116:L116">
    <cfRule type="cellIs" dxfId="1511" priority="95" operator="equal">
      <formula>TODAY()</formula>
    </cfRule>
    <cfRule type="cellIs" dxfId="1510" priority="96" operator="equal">
      <formula>TODAY()</formula>
    </cfRule>
  </conditionalFormatting>
  <conditionalFormatting sqref="J73:J74">
    <cfRule type="cellIs" dxfId="1509" priority="97" operator="equal">
      <formula>TODAY()</formula>
    </cfRule>
    <cfRule type="cellIs" dxfId="1508" priority="98" operator="equal">
      <formula>TODAY()</formula>
    </cfRule>
  </conditionalFormatting>
  <conditionalFormatting sqref="B74">
    <cfRule type="cellIs" dxfId="1507" priority="99" operator="equal">
      <formula>TODAY()</formula>
    </cfRule>
    <cfRule type="cellIs" dxfId="1506" priority="100" operator="equal">
      <formula>TODAY()</formula>
    </cfRule>
  </conditionalFormatting>
  <conditionalFormatting sqref="A125:J125">
    <cfRule type="cellIs" dxfId="1505" priority="101" operator="equal">
      <formula>TODAY()</formula>
    </cfRule>
    <cfRule type="cellIs" dxfId="1504" priority="102" operator="equal">
      <formula>TODAY()</formula>
    </cfRule>
  </conditionalFormatting>
  <conditionalFormatting sqref="L125">
    <cfRule type="cellIs" dxfId="1503" priority="103" operator="equal">
      <formula>TODAY()</formula>
    </cfRule>
    <cfRule type="cellIs" dxfId="1502" priority="104" operator="equal">
      <formula>TODAY()</formula>
    </cfRule>
  </conditionalFormatting>
  <conditionalFormatting sqref="K74">
    <cfRule type="cellIs" dxfId="1501" priority="105" operator="equal">
      <formula>TODAY()</formula>
    </cfRule>
    <cfRule type="cellIs" dxfId="1500" priority="106" operator="equal">
      <formula>TODAY()</formula>
    </cfRule>
  </conditionalFormatting>
  <conditionalFormatting sqref="A128:B128 D128:J128 L128">
    <cfRule type="cellIs" dxfId="1499" priority="107" operator="equal">
      <formula>TODAY()</formula>
    </cfRule>
    <cfRule type="cellIs" dxfId="1498" priority="108" operator="equal">
      <formula>TODAY()</formula>
    </cfRule>
  </conditionalFormatting>
  <conditionalFormatting sqref="C128">
    <cfRule type="cellIs" dxfId="1497" priority="109" operator="equal">
      <formula>TODAY()</formula>
    </cfRule>
    <cfRule type="cellIs" dxfId="1496" priority="110" operator="equal">
      <formula>TODAY()</formula>
    </cfRule>
  </conditionalFormatting>
  <conditionalFormatting sqref="A129:B129">
    <cfRule type="cellIs" dxfId="1495" priority="111" operator="equal">
      <formula>TODAY()</formula>
    </cfRule>
    <cfRule type="cellIs" dxfId="1494" priority="112" operator="equal">
      <formula>TODAY()</formula>
    </cfRule>
  </conditionalFormatting>
  <conditionalFormatting sqref="D129:E129">
    <cfRule type="cellIs" dxfId="1493" priority="113" operator="equal">
      <formula>TODAY()</formula>
    </cfRule>
    <cfRule type="cellIs" dxfId="1492" priority="114" operator="equal">
      <formula>TODAY()</formula>
    </cfRule>
  </conditionalFormatting>
  <conditionalFormatting sqref="J129">
    <cfRule type="cellIs" dxfId="1491" priority="115" operator="equal">
      <formula>TODAY()</formula>
    </cfRule>
    <cfRule type="cellIs" dxfId="1490" priority="116" operator="equal">
      <formula>TODAY()</formula>
    </cfRule>
  </conditionalFormatting>
  <conditionalFormatting sqref="L129">
    <cfRule type="cellIs" dxfId="1489" priority="117" operator="equal">
      <formula>TODAY()</formula>
    </cfRule>
    <cfRule type="cellIs" dxfId="1488" priority="118" operator="equal">
      <formula>TODAY()</formula>
    </cfRule>
  </conditionalFormatting>
  <conditionalFormatting sqref="A130:B130">
    <cfRule type="cellIs" dxfId="1487" priority="119" operator="equal">
      <formula>TODAY()</formula>
    </cfRule>
    <cfRule type="cellIs" dxfId="1486" priority="120" operator="equal">
      <formula>TODAY()</formula>
    </cfRule>
  </conditionalFormatting>
  <conditionalFormatting sqref="E130">
    <cfRule type="cellIs" dxfId="1485" priority="121" operator="equal">
      <formula>TODAY()</formula>
    </cfRule>
    <cfRule type="cellIs" dxfId="1484" priority="122" operator="equal">
      <formula>TODAY()</formula>
    </cfRule>
  </conditionalFormatting>
  <conditionalFormatting sqref="J130">
    <cfRule type="cellIs" dxfId="1483" priority="123" operator="equal">
      <formula>TODAY()</formula>
    </cfRule>
    <cfRule type="cellIs" dxfId="1482" priority="124" operator="equal">
      <formula>TODAY()</formula>
    </cfRule>
  </conditionalFormatting>
  <conditionalFormatting sqref="L130">
    <cfRule type="cellIs" dxfId="1481" priority="125" operator="equal">
      <formula>TODAY()</formula>
    </cfRule>
    <cfRule type="cellIs" dxfId="1480" priority="126" operator="equal">
      <formula>TODAY()</formula>
    </cfRule>
  </conditionalFormatting>
  <conditionalFormatting sqref="A153:L155 A146:L150">
    <cfRule type="cellIs" dxfId="1479" priority="127" operator="equal">
      <formula>TODAY()</formula>
    </cfRule>
    <cfRule type="cellIs" dxfId="1478" priority="128" operator="equal">
      <formula>TODAY()</formula>
    </cfRule>
  </conditionalFormatting>
  <conditionalFormatting sqref="A151:A152">
    <cfRule type="cellIs" dxfId="1477" priority="129" operator="equal">
      <formula>TODAY()</formula>
    </cfRule>
    <cfRule type="cellIs" dxfId="1476" priority="130" operator="equal">
      <formula>TODAY()</formula>
    </cfRule>
  </conditionalFormatting>
  <conditionalFormatting sqref="L151:L152 B151:J152">
    <cfRule type="cellIs" dxfId="1475" priority="131" operator="equal">
      <formula>TODAY()</formula>
    </cfRule>
    <cfRule type="cellIs" dxfId="1474" priority="132" operator="equal">
      <formula>TODAY()</formula>
    </cfRule>
  </conditionalFormatting>
  <conditionalFormatting sqref="K151:K152">
    <cfRule type="cellIs" dxfId="1473" priority="133" operator="equal">
      <formula>TODAY()</formula>
    </cfRule>
    <cfRule type="cellIs" dxfId="1472" priority="134" operator="equal">
      <formula>TODAY()</formula>
    </cfRule>
  </conditionalFormatting>
  <conditionalFormatting sqref="A156:L156">
    <cfRule type="cellIs" dxfId="1471" priority="135" operator="equal">
      <formula>TODAY()</formula>
    </cfRule>
    <cfRule type="cellIs" dxfId="1470" priority="136" operator="equal">
      <formula>TODAY()</formula>
    </cfRule>
  </conditionalFormatting>
  <conditionalFormatting sqref="A157:C157 E157:L157">
    <cfRule type="cellIs" dxfId="1469" priority="137" operator="equal">
      <formula>TODAY()</formula>
    </cfRule>
    <cfRule type="cellIs" dxfId="1468" priority="138" operator="equal">
      <formula>TODAY()</formula>
    </cfRule>
  </conditionalFormatting>
  <conditionalFormatting sqref="D157">
    <cfRule type="cellIs" dxfId="1467" priority="139" operator="equal">
      <formula>TODAY()</formula>
    </cfRule>
    <cfRule type="cellIs" dxfId="1466" priority="140" operator="equal">
      <formula>TODAY()</formula>
    </cfRule>
  </conditionalFormatting>
  <conditionalFormatting sqref="A185:C185 E185:L185">
    <cfRule type="cellIs" dxfId="1465" priority="141" operator="equal">
      <formula>TODAY()</formula>
    </cfRule>
    <cfRule type="cellIs" dxfId="1464" priority="142" operator="equal">
      <formula>TODAY()</formula>
    </cfRule>
  </conditionalFormatting>
  <conditionalFormatting sqref="D185">
    <cfRule type="cellIs" dxfId="1463" priority="143" operator="equal">
      <formula>TODAY()</formula>
    </cfRule>
    <cfRule type="cellIs" dxfId="1462" priority="144" operator="equal">
      <formula>TODAY()</formula>
    </cfRule>
  </conditionalFormatting>
  <conditionalFormatting sqref="A143:J143 L143">
    <cfRule type="cellIs" dxfId="1461" priority="35" operator="equal">
      <formula>TODAY()</formula>
    </cfRule>
    <cfRule type="cellIs" dxfId="1460" priority="36" operator="equal">
      <formula>TODAY()</formula>
    </cfRule>
  </conditionalFormatting>
  <conditionalFormatting sqref="A144:J144 L144">
    <cfRule type="cellIs" dxfId="1459" priority="33" operator="equal">
      <formula>TODAY()</formula>
    </cfRule>
    <cfRule type="cellIs" dxfId="1458" priority="34" operator="equal">
      <formula>TODAY()</formula>
    </cfRule>
  </conditionalFormatting>
  <conditionalFormatting sqref="A131:J131 L131">
    <cfRule type="cellIs" dxfId="1457" priority="31" operator="equal">
      <formula>TODAY()</formula>
    </cfRule>
    <cfRule type="cellIs" dxfId="1456" priority="32" operator="equal">
      <formula>TODAY()</formula>
    </cfRule>
  </conditionalFormatting>
  <conditionalFormatting sqref="A132:L132">
    <cfRule type="cellIs" dxfId="1455" priority="29" operator="equal">
      <formula>TODAY()</formula>
    </cfRule>
    <cfRule type="cellIs" dxfId="1454" priority="30" operator="equal">
      <formula>TODAY()</formula>
    </cfRule>
  </conditionalFormatting>
  <conditionalFormatting sqref="K125">
    <cfRule type="cellIs" dxfId="1453" priority="27" operator="equal">
      <formula>TODAY()</formula>
    </cfRule>
    <cfRule type="cellIs" dxfId="1452" priority="28" operator="equal">
      <formula>TODAY()</formula>
    </cfRule>
  </conditionalFormatting>
  <conditionalFormatting sqref="K128">
    <cfRule type="cellIs" dxfId="1451" priority="25" operator="equal">
      <formula>TODAY()</formula>
    </cfRule>
    <cfRule type="cellIs" dxfId="1450" priority="26" operator="equal">
      <formula>TODAY()</formula>
    </cfRule>
  </conditionalFormatting>
  <conditionalFormatting sqref="K129">
    <cfRule type="cellIs" dxfId="1449" priority="23" operator="equal">
      <formula>TODAY()</formula>
    </cfRule>
    <cfRule type="cellIs" dxfId="1448" priority="24" operator="equal">
      <formula>TODAY()</formula>
    </cfRule>
  </conditionalFormatting>
  <conditionalFormatting sqref="K130">
    <cfRule type="cellIs" dxfId="1447" priority="21" operator="equal">
      <formula>TODAY()</formula>
    </cfRule>
    <cfRule type="cellIs" dxfId="1446" priority="22" operator="equal">
      <formula>TODAY()</formula>
    </cfRule>
  </conditionalFormatting>
  <conditionalFormatting sqref="K131">
    <cfRule type="cellIs" dxfId="1445" priority="19" operator="equal">
      <formula>TODAY()</formula>
    </cfRule>
    <cfRule type="cellIs" dxfId="1444" priority="20" operator="equal">
      <formula>TODAY()</formula>
    </cfRule>
  </conditionalFormatting>
  <conditionalFormatting sqref="X128:X129 X126 X122:X124">
    <cfRule type="cellIs" dxfId="1443" priority="15" operator="equal">
      <formula>TODAY()</formula>
    </cfRule>
    <cfRule type="cellIs" dxfId="1442" priority="16" operator="equal">
      <formula>TODAY()</formula>
    </cfRule>
  </conditionalFormatting>
  <conditionalFormatting sqref="X125">
    <cfRule type="cellIs" dxfId="1441" priority="17" operator="equal">
      <formula>TODAY()</formula>
    </cfRule>
    <cfRule type="cellIs" dxfId="1440" priority="18" operator="equal">
      <formula>TODAY()</formula>
    </cfRule>
  </conditionalFormatting>
  <conditionalFormatting sqref="X127">
    <cfRule type="cellIs" dxfId="1439" priority="13" operator="equal">
      <formula>TODAY()</formula>
    </cfRule>
    <cfRule type="cellIs" dxfId="1438" priority="14" operator="equal">
      <formula>TODAY()</formula>
    </cfRule>
  </conditionalFormatting>
  <conditionalFormatting sqref="X130">
    <cfRule type="cellIs" dxfId="1437" priority="11" operator="equal">
      <formula>TODAY()</formula>
    </cfRule>
    <cfRule type="cellIs" dxfId="1436" priority="12" operator="equal">
      <formula>TODAY()</formula>
    </cfRule>
  </conditionalFormatting>
  <conditionalFormatting sqref="K134">
    <cfRule type="cellIs" dxfId="1435" priority="9" operator="equal">
      <formula>TODAY()</formula>
    </cfRule>
    <cfRule type="cellIs" dxfId="1434" priority="10" operator="equal">
      <formula>TODAY()</formula>
    </cfRule>
  </conditionalFormatting>
  <conditionalFormatting sqref="K135">
    <cfRule type="cellIs" dxfId="1433" priority="7" operator="equal">
      <formula>TODAY()</formula>
    </cfRule>
    <cfRule type="cellIs" dxfId="1432" priority="8" operator="equal">
      <formula>TODAY()</formula>
    </cfRule>
  </conditionalFormatting>
  <conditionalFormatting sqref="K165">
    <cfRule type="cellIs" dxfId="1431" priority="5" operator="equal">
      <formula>TODAY()</formula>
    </cfRule>
    <cfRule type="cellIs" dxfId="1430" priority="6" operator="equal">
      <formula>TODAY()</formula>
    </cfRule>
  </conditionalFormatting>
  <conditionalFormatting sqref="K143">
    <cfRule type="cellIs" dxfId="1429" priority="3" operator="equal">
      <formula>TODAY()</formula>
    </cfRule>
    <cfRule type="cellIs" dxfId="1428" priority="4" operator="equal">
      <formula>TODAY()</formula>
    </cfRule>
  </conditionalFormatting>
  <conditionalFormatting sqref="K144">
    <cfRule type="cellIs" dxfId="1427" priority="1" operator="equal">
      <formula>TODAY()</formula>
    </cfRule>
    <cfRule type="cellIs" dxfId="1426" priority="2" operator="equal">
      <formula>TODAY()</formula>
    </cfRule>
  </conditionalFormatting>
  <printOptions horizontalCentered="1" verticalCentered="1"/>
  <pageMargins left="0" right="0" top="0" bottom="0" header="0.51180555555555496" footer="0.51180555555555496"/>
  <pageSetup paperSize="9" scale="24" firstPageNumber="0" orientation="landscape" horizontalDpi="4294967293" verticalDpi="30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pageSetUpPr fitToPage="1"/>
  </sheetPr>
  <dimension ref="A1:AMJ178"/>
  <sheetViews>
    <sheetView zoomScale="70" zoomScaleNormal="70" workbookViewId="0">
      <pane ySplit="1" topLeftCell="A30" activePane="bottomLeft" state="frozen"/>
      <selection pane="bottomLeft" activeCell="E30" sqref="E30"/>
    </sheetView>
  </sheetViews>
  <sheetFormatPr defaultColWidth="8.453125" defaultRowHeight="14.5" x14ac:dyDescent="0.35"/>
  <cols>
    <col min="1" max="1" width="13.453125" style="120" customWidth="1"/>
    <col min="2" max="2" width="27" style="15" customWidth="1"/>
    <col min="3" max="3" width="64.453125" style="15" customWidth="1"/>
    <col min="4" max="4" width="13.453125" style="120" customWidth="1"/>
    <col min="5" max="5" width="16.453125" style="15" customWidth="1"/>
    <col min="6" max="6" width="12.54296875" style="15" customWidth="1"/>
    <col min="7" max="8" width="17.453125" style="15" customWidth="1"/>
    <col min="9" max="9" width="16.453125" style="120" customWidth="1"/>
    <col min="10" max="10" width="15.453125" style="15" customWidth="1"/>
    <col min="11" max="11" width="11.54296875" style="120" customWidth="1"/>
    <col min="12" max="1020" width="8.453125" style="120" customWidth="1"/>
    <col min="1021" max="1025" width="8.453125" style="13" customWidth="1"/>
    <col min="1026" max="16384" width="8.453125" style="13"/>
  </cols>
  <sheetData>
    <row r="1" spans="1:1021" s="15" customFormat="1" ht="43.5" x14ac:dyDescent="0.35">
      <c r="A1" s="119" t="s">
        <v>0</v>
      </c>
      <c r="B1" s="117" t="s">
        <v>1</v>
      </c>
      <c r="C1" s="117" t="s">
        <v>2</v>
      </c>
      <c r="D1" s="119" t="s">
        <v>3</v>
      </c>
      <c r="E1" s="118" t="s">
        <v>4</v>
      </c>
      <c r="F1" s="118" t="s">
        <v>5</v>
      </c>
      <c r="G1" s="117" t="s">
        <v>6</v>
      </c>
      <c r="H1" s="117" t="s">
        <v>7</v>
      </c>
      <c r="I1" s="117" t="s">
        <v>8</v>
      </c>
      <c r="J1" s="117" t="s">
        <v>9</v>
      </c>
      <c r="K1" s="117" t="s">
        <v>10</v>
      </c>
      <c r="L1" s="17" t="s">
        <v>11</v>
      </c>
      <c r="O1" s="190"/>
      <c r="R1" s="115"/>
      <c r="S1" s="120"/>
      <c r="T1" s="115"/>
      <c r="U1" s="120"/>
      <c r="V1" s="189"/>
      <c r="W1" s="120"/>
      <c r="X1" s="120"/>
      <c r="AMF1" s="14"/>
      <c r="AMG1" s="14"/>
    </row>
    <row r="2" spans="1:1021" ht="174" x14ac:dyDescent="0.35">
      <c r="A2" s="125">
        <v>43553</v>
      </c>
      <c r="B2" s="29" t="s">
        <v>437</v>
      </c>
      <c r="C2" s="29" t="s">
        <v>955</v>
      </c>
      <c r="D2" s="164">
        <v>43617</v>
      </c>
      <c r="E2" s="29" t="s">
        <v>437</v>
      </c>
      <c r="F2" s="31">
        <v>0.44791666666666702</v>
      </c>
      <c r="G2" s="31">
        <v>0.47916666666666702</v>
      </c>
      <c r="H2" s="31">
        <v>0.51041666666666696</v>
      </c>
      <c r="I2" s="144">
        <v>1413</v>
      </c>
      <c r="J2" s="42" t="s">
        <v>954</v>
      </c>
      <c r="K2" s="65" t="s">
        <v>140</v>
      </c>
      <c r="L2" s="65"/>
      <c r="M2" s="120" t="s">
        <v>516</v>
      </c>
      <c r="N2" s="120">
        <f>SUM(I2:I32)/4.76</f>
        <v>4393.9873949579833</v>
      </c>
      <c r="O2" s="120" t="s">
        <v>515</v>
      </c>
      <c r="P2" s="120">
        <f>SUM(I33:I63)/4.76</f>
        <v>8549.7478991596654</v>
      </c>
      <c r="Q2" s="120" t="s">
        <v>514</v>
      </c>
      <c r="R2" s="188">
        <f>SUM(I64:I95)/4.76</f>
        <v>1946.8907563025211</v>
      </c>
      <c r="S2" s="120" t="s">
        <v>513</v>
      </c>
      <c r="T2" s="120">
        <f>SUM(I96:II506)/4.76</f>
        <v>4894.6008403361348</v>
      </c>
      <c r="U2" s="120" t="s">
        <v>512</v>
      </c>
      <c r="V2" s="120">
        <f>SUM(I:I)/4.76</f>
        <v>19785.226890756305</v>
      </c>
    </row>
    <row r="3" spans="1:1021" ht="58" x14ac:dyDescent="0.35">
      <c r="A3" s="125">
        <v>43613</v>
      </c>
      <c r="B3" s="29" t="s">
        <v>953</v>
      </c>
      <c r="C3" s="29" t="s">
        <v>952</v>
      </c>
      <c r="D3" s="142">
        <v>43617</v>
      </c>
      <c r="E3" s="29" t="s">
        <v>129</v>
      </c>
      <c r="F3" s="31">
        <v>0.44791666666666702</v>
      </c>
      <c r="G3" s="31">
        <v>0.52777777777777801</v>
      </c>
      <c r="H3" s="31">
        <v>0.54166666666666696</v>
      </c>
      <c r="I3" s="187">
        <v>1369.38</v>
      </c>
      <c r="J3" s="42" t="s">
        <v>951</v>
      </c>
      <c r="K3" s="65" t="s">
        <v>140</v>
      </c>
      <c r="L3" s="65" t="s">
        <v>216</v>
      </c>
      <c r="N3" s="120">
        <f>N2+P2+R2+T2</f>
        <v>19785.226890756305</v>
      </c>
    </row>
    <row r="4" spans="1:1021" ht="116" x14ac:dyDescent="0.35">
      <c r="A4" s="125">
        <v>43612</v>
      </c>
      <c r="B4" s="160" t="s">
        <v>585</v>
      </c>
      <c r="C4" s="160" t="s">
        <v>950</v>
      </c>
      <c r="D4" s="163">
        <v>43617</v>
      </c>
      <c r="E4" s="160" t="s">
        <v>441</v>
      </c>
      <c r="F4" s="161">
        <v>0.5625</v>
      </c>
      <c r="G4" s="161">
        <v>0.58333333333333304</v>
      </c>
      <c r="H4" s="161">
        <v>0.60416666666666696</v>
      </c>
      <c r="I4" s="144">
        <v>1904</v>
      </c>
      <c r="J4" s="42" t="s">
        <v>949</v>
      </c>
      <c r="K4" s="65" t="s">
        <v>140</v>
      </c>
      <c r="L4" s="65" t="s">
        <v>17</v>
      </c>
    </row>
    <row r="5" spans="1:1021" ht="261" x14ac:dyDescent="0.35">
      <c r="A5" s="125">
        <v>43612</v>
      </c>
      <c r="B5" s="17" t="s">
        <v>948</v>
      </c>
      <c r="C5" s="17" t="s">
        <v>947</v>
      </c>
      <c r="D5" s="125">
        <v>43617</v>
      </c>
      <c r="E5" s="17" t="s">
        <v>946</v>
      </c>
      <c r="F5" s="26">
        <v>0.5625</v>
      </c>
      <c r="G5" s="26">
        <v>0.625</v>
      </c>
      <c r="H5" s="26">
        <v>0.65625</v>
      </c>
      <c r="I5" s="144">
        <v>665</v>
      </c>
      <c r="J5" s="42" t="s">
        <v>945</v>
      </c>
      <c r="K5" s="65" t="s">
        <v>140</v>
      </c>
      <c r="L5" s="65" t="s">
        <v>22</v>
      </c>
    </row>
    <row r="6" spans="1:1021" ht="101.5" x14ac:dyDescent="0.35">
      <c r="A6" s="186">
        <v>43596</v>
      </c>
      <c r="B6" s="182" t="s">
        <v>944</v>
      </c>
      <c r="C6" s="182" t="s">
        <v>943</v>
      </c>
      <c r="D6" s="183">
        <v>43617</v>
      </c>
      <c r="E6" s="182" t="s">
        <v>851</v>
      </c>
      <c r="F6" s="181">
        <v>0.5625</v>
      </c>
      <c r="G6" s="181">
        <v>0.67708333333333304</v>
      </c>
      <c r="H6" s="181">
        <v>0.6875</v>
      </c>
      <c r="I6" s="180">
        <v>1050</v>
      </c>
      <c r="J6" s="171" t="s">
        <v>942</v>
      </c>
      <c r="K6" s="165" t="s">
        <v>140</v>
      </c>
      <c r="L6" s="144" t="s">
        <v>941</v>
      </c>
    </row>
    <row r="7" spans="1:1021" ht="87" x14ac:dyDescent="0.35">
      <c r="A7" s="186">
        <v>43611</v>
      </c>
      <c r="B7" s="185" t="s">
        <v>262</v>
      </c>
      <c r="C7" s="185" t="s">
        <v>940</v>
      </c>
      <c r="D7" s="186">
        <v>43617</v>
      </c>
      <c r="E7" s="185" t="s">
        <v>73</v>
      </c>
      <c r="F7" s="184">
        <v>0.5625</v>
      </c>
      <c r="G7" s="184">
        <v>0.70833333333333304</v>
      </c>
      <c r="H7" s="184">
        <v>0.71875</v>
      </c>
      <c r="I7" s="156">
        <v>2100</v>
      </c>
      <c r="J7" s="42" t="s">
        <v>939</v>
      </c>
      <c r="K7" s="65" t="s">
        <v>140</v>
      </c>
      <c r="L7" s="65" t="s">
        <v>17</v>
      </c>
    </row>
    <row r="8" spans="1:1021" ht="246.5" x14ac:dyDescent="0.35">
      <c r="A8" s="163">
        <v>43612</v>
      </c>
      <c r="B8" s="159" t="s">
        <v>938</v>
      </c>
      <c r="C8" s="182" t="s">
        <v>937</v>
      </c>
      <c r="D8" s="183">
        <v>43617</v>
      </c>
      <c r="E8" s="182" t="s">
        <v>290</v>
      </c>
      <c r="F8" s="181">
        <v>0.5625</v>
      </c>
      <c r="G8" s="181">
        <v>0.73958333333333304</v>
      </c>
      <c r="H8" s="181">
        <v>0.78125</v>
      </c>
      <c r="I8" s="180">
        <v>1730</v>
      </c>
      <c r="J8" s="171" t="s">
        <v>936</v>
      </c>
      <c r="K8" s="165" t="s">
        <v>140</v>
      </c>
      <c r="L8" s="100" t="s">
        <v>935</v>
      </c>
    </row>
    <row r="9" spans="1:1021" ht="87" x14ac:dyDescent="0.35">
      <c r="A9" s="163">
        <v>43612</v>
      </c>
      <c r="B9" s="159" t="s">
        <v>934</v>
      </c>
      <c r="C9" s="159" t="s">
        <v>933</v>
      </c>
      <c r="D9" s="179">
        <v>43617</v>
      </c>
      <c r="E9" s="159" t="s">
        <v>290</v>
      </c>
      <c r="F9" s="178">
        <v>0.5625</v>
      </c>
      <c r="G9" s="178">
        <v>0.73958333333333304</v>
      </c>
      <c r="H9" s="178">
        <v>0.78125</v>
      </c>
      <c r="I9" s="65">
        <v>0</v>
      </c>
      <c r="J9" s="65" t="s">
        <v>15</v>
      </c>
      <c r="K9" s="65" t="s">
        <v>140</v>
      </c>
      <c r="L9" s="65" t="s">
        <v>22</v>
      </c>
    </row>
    <row r="10" spans="1:1021" ht="87" x14ac:dyDescent="0.35">
      <c r="A10" s="125">
        <v>43616</v>
      </c>
      <c r="B10" s="160" t="s">
        <v>932</v>
      </c>
      <c r="C10" s="160" t="s">
        <v>588</v>
      </c>
      <c r="D10" s="163">
        <v>43617</v>
      </c>
      <c r="E10" s="160" t="s">
        <v>441</v>
      </c>
      <c r="F10" s="161">
        <v>0.5625</v>
      </c>
      <c r="G10" s="161" t="s">
        <v>931</v>
      </c>
      <c r="H10" s="161" t="s">
        <v>930</v>
      </c>
      <c r="I10" s="65" t="s">
        <v>455</v>
      </c>
      <c r="J10" s="65" t="s">
        <v>15</v>
      </c>
      <c r="K10" s="65" t="s">
        <v>140</v>
      </c>
      <c r="L10" s="65"/>
    </row>
    <row r="11" spans="1:1021" ht="101.5" x14ac:dyDescent="0.35">
      <c r="A11" s="125">
        <v>43613</v>
      </c>
      <c r="B11" s="17" t="s">
        <v>929</v>
      </c>
      <c r="C11" s="17" t="s">
        <v>928</v>
      </c>
      <c r="D11" s="174">
        <v>43617</v>
      </c>
      <c r="E11" s="32" t="s">
        <v>927</v>
      </c>
      <c r="F11" s="177">
        <v>0.70833333333333304</v>
      </c>
      <c r="G11" s="26">
        <v>0.72916666666666696</v>
      </c>
      <c r="H11" s="26">
        <v>0.77083333333333304</v>
      </c>
      <c r="I11" s="144">
        <v>628</v>
      </c>
      <c r="J11" s="42" t="s">
        <v>926</v>
      </c>
      <c r="K11" s="65" t="s">
        <v>17</v>
      </c>
      <c r="L11" s="65" t="s">
        <v>216</v>
      </c>
    </row>
    <row r="12" spans="1:1021" ht="87" x14ac:dyDescent="0.35">
      <c r="A12" s="125">
        <v>43606</v>
      </c>
      <c r="B12" s="17" t="s">
        <v>925</v>
      </c>
      <c r="C12" s="17" t="s">
        <v>924</v>
      </c>
      <c r="D12" s="174">
        <v>43618</v>
      </c>
      <c r="E12" s="17" t="s">
        <v>923</v>
      </c>
      <c r="F12" s="26">
        <v>0.4375</v>
      </c>
      <c r="G12" s="26">
        <v>0.45833333333333298</v>
      </c>
      <c r="H12" s="26">
        <v>0.5</v>
      </c>
      <c r="I12" s="144">
        <v>923</v>
      </c>
      <c r="J12" s="17" t="s">
        <v>922</v>
      </c>
      <c r="K12" s="17" t="s">
        <v>921</v>
      </c>
      <c r="L12" s="65"/>
    </row>
    <row r="13" spans="1:1021" ht="87" x14ac:dyDescent="0.35">
      <c r="A13" s="125">
        <v>43616</v>
      </c>
      <c r="B13" s="17" t="s">
        <v>920</v>
      </c>
      <c r="C13" s="17" t="s">
        <v>919</v>
      </c>
      <c r="D13" s="125">
        <v>43618</v>
      </c>
      <c r="E13" s="17" t="s">
        <v>27</v>
      </c>
      <c r="F13" s="26">
        <v>0.58333333333333304</v>
      </c>
      <c r="G13" s="26">
        <v>0.61458333333333304</v>
      </c>
      <c r="H13" s="26">
        <v>0.63541666666666696</v>
      </c>
      <c r="I13" s="144">
        <v>717</v>
      </c>
      <c r="J13" s="42" t="s">
        <v>918</v>
      </c>
      <c r="K13" s="65" t="s">
        <v>15</v>
      </c>
      <c r="L13" s="65" t="s">
        <v>17</v>
      </c>
    </row>
    <row r="14" spans="1:1021" ht="159.5" x14ac:dyDescent="0.35">
      <c r="A14" s="125">
        <v>43615</v>
      </c>
      <c r="B14" s="17" t="s">
        <v>917</v>
      </c>
      <c r="C14" s="17" t="s">
        <v>916</v>
      </c>
      <c r="D14" s="125">
        <v>43619</v>
      </c>
      <c r="E14" s="176" t="s">
        <v>915</v>
      </c>
      <c r="F14" s="26">
        <v>0.5</v>
      </c>
      <c r="G14" s="26">
        <v>0.53125</v>
      </c>
      <c r="H14" s="26">
        <v>0.54166666666666696</v>
      </c>
      <c r="I14" s="65">
        <v>0</v>
      </c>
      <c r="J14" s="17" t="s">
        <v>289</v>
      </c>
      <c r="K14" s="65" t="s">
        <v>136</v>
      </c>
      <c r="L14" s="65" t="s">
        <v>216</v>
      </c>
    </row>
    <row r="15" spans="1:1021" ht="29" x14ac:dyDescent="0.35">
      <c r="A15" s="125">
        <v>43612</v>
      </c>
      <c r="B15" s="17" t="s">
        <v>651</v>
      </c>
      <c r="C15" s="17" t="s">
        <v>914</v>
      </c>
      <c r="D15" s="174">
        <v>43619</v>
      </c>
      <c r="E15" s="109" t="s">
        <v>649</v>
      </c>
      <c r="F15" s="26">
        <v>0.5</v>
      </c>
      <c r="G15" s="175">
        <v>0.5625</v>
      </c>
      <c r="H15" s="175">
        <v>0.56944444444444398</v>
      </c>
      <c r="I15" s="144">
        <v>225</v>
      </c>
      <c r="J15" s="17" t="s">
        <v>257</v>
      </c>
      <c r="K15" s="17" t="s">
        <v>136</v>
      </c>
      <c r="L15" s="65" t="s">
        <v>22</v>
      </c>
    </row>
    <row r="16" spans="1:1021" ht="29" x14ac:dyDescent="0.35">
      <c r="A16" s="125">
        <v>43618</v>
      </c>
      <c r="B16" s="17" t="s">
        <v>437</v>
      </c>
      <c r="C16" s="17" t="s">
        <v>913</v>
      </c>
      <c r="D16" s="174">
        <v>43619</v>
      </c>
      <c r="E16" s="17" t="s">
        <v>912</v>
      </c>
      <c r="F16" s="26">
        <v>0.5</v>
      </c>
      <c r="G16" s="26">
        <v>0.58333333333333304</v>
      </c>
      <c r="H16" s="26">
        <v>0.60416666666666696</v>
      </c>
      <c r="I16" s="65">
        <v>0</v>
      </c>
      <c r="J16" s="17" t="s">
        <v>911</v>
      </c>
      <c r="K16" s="65" t="s">
        <v>136</v>
      </c>
      <c r="L16" s="65" t="s">
        <v>17</v>
      </c>
    </row>
    <row r="17" spans="1:1024" ht="58" x14ac:dyDescent="0.35">
      <c r="A17" s="125">
        <v>43614</v>
      </c>
      <c r="B17" s="17" t="s">
        <v>262</v>
      </c>
      <c r="C17" s="17" t="s">
        <v>910</v>
      </c>
      <c r="D17" s="125">
        <v>43620</v>
      </c>
      <c r="E17" s="17" t="s">
        <v>73</v>
      </c>
      <c r="F17" s="26">
        <v>0.45833333333333298</v>
      </c>
      <c r="G17" s="26">
        <v>0.5</v>
      </c>
      <c r="H17" s="26">
        <v>0.52083333333333304</v>
      </c>
      <c r="I17" s="156">
        <v>1760</v>
      </c>
      <c r="J17" s="42" t="s">
        <v>909</v>
      </c>
      <c r="K17" s="65" t="s">
        <v>140</v>
      </c>
      <c r="L17" s="65" t="s">
        <v>17</v>
      </c>
    </row>
    <row r="18" spans="1:1024" ht="87" x14ac:dyDescent="0.35">
      <c r="A18" s="142">
        <v>43619</v>
      </c>
      <c r="B18" s="29" t="s">
        <v>889</v>
      </c>
      <c r="C18" s="29" t="s">
        <v>908</v>
      </c>
      <c r="D18" s="142">
        <v>43620</v>
      </c>
      <c r="E18" s="29" t="s">
        <v>907</v>
      </c>
      <c r="F18" s="31">
        <v>0.54166666666666696</v>
      </c>
      <c r="G18" s="31">
        <v>0.58333333333333304</v>
      </c>
      <c r="H18" s="31">
        <v>0.60416666666666696</v>
      </c>
      <c r="I18" s="156">
        <v>432</v>
      </c>
      <c r="J18" s="42" t="s">
        <v>906</v>
      </c>
      <c r="K18" s="65" t="s">
        <v>140</v>
      </c>
      <c r="L18" s="65" t="s">
        <v>17</v>
      </c>
    </row>
    <row r="19" spans="1:1024" ht="43.5" x14ac:dyDescent="0.35">
      <c r="A19" s="125">
        <v>43616</v>
      </c>
      <c r="B19" s="17" t="s">
        <v>905</v>
      </c>
      <c r="C19" s="17" t="s">
        <v>904</v>
      </c>
      <c r="D19" s="125">
        <v>43620</v>
      </c>
      <c r="E19" s="17" t="s">
        <v>903</v>
      </c>
      <c r="F19" s="17" t="s">
        <v>15</v>
      </c>
      <c r="G19" s="26">
        <v>0.54166666666666696</v>
      </c>
      <c r="H19" s="26">
        <v>0.55208333333333304</v>
      </c>
      <c r="I19" s="65">
        <v>0</v>
      </c>
      <c r="J19" s="17" t="s">
        <v>902</v>
      </c>
      <c r="K19" s="65" t="s">
        <v>140</v>
      </c>
      <c r="L19" s="65" t="s">
        <v>17</v>
      </c>
    </row>
    <row r="20" spans="1:1024" ht="43.5" x14ac:dyDescent="0.35">
      <c r="A20" s="142">
        <v>43620</v>
      </c>
      <c r="B20" s="17" t="s">
        <v>901</v>
      </c>
      <c r="C20" s="17" t="s">
        <v>900</v>
      </c>
      <c r="D20" s="125">
        <v>43620</v>
      </c>
      <c r="E20" s="17" t="s">
        <v>899</v>
      </c>
      <c r="F20" s="17" t="s">
        <v>15</v>
      </c>
      <c r="G20" s="26">
        <v>0.83333333333333304</v>
      </c>
      <c r="H20" s="26">
        <v>0.83333333333333304</v>
      </c>
      <c r="I20" s="144">
        <v>170</v>
      </c>
      <c r="J20" s="17" t="s">
        <v>257</v>
      </c>
      <c r="K20" s="65" t="s">
        <v>15</v>
      </c>
      <c r="L20" s="65" t="s">
        <v>898</v>
      </c>
    </row>
    <row r="21" spans="1:1024" ht="174" x14ac:dyDescent="0.35">
      <c r="A21" s="125">
        <v>43614</v>
      </c>
      <c r="B21" s="29" t="s">
        <v>897</v>
      </c>
      <c r="C21" s="29" t="s">
        <v>896</v>
      </c>
      <c r="D21" s="142">
        <v>43621</v>
      </c>
      <c r="E21" s="29" t="s">
        <v>895</v>
      </c>
      <c r="F21" s="29" t="s">
        <v>15</v>
      </c>
      <c r="G21" s="31">
        <v>0.40625</v>
      </c>
      <c r="H21" s="31">
        <v>0.41666666666666702</v>
      </c>
      <c r="I21" s="144">
        <v>702</v>
      </c>
      <c r="J21" s="42" t="s">
        <v>894</v>
      </c>
      <c r="K21" s="65" t="s">
        <v>15</v>
      </c>
      <c r="L21" s="65" t="s">
        <v>17</v>
      </c>
    </row>
    <row r="22" spans="1:1024" ht="188.5" x14ac:dyDescent="0.35">
      <c r="A22" s="142">
        <v>43619</v>
      </c>
      <c r="B22" s="17" t="s">
        <v>893</v>
      </c>
      <c r="C22" s="17" t="s">
        <v>892</v>
      </c>
      <c r="D22" s="125">
        <v>43621</v>
      </c>
      <c r="E22" s="17" t="s">
        <v>528</v>
      </c>
      <c r="F22" s="17" t="s">
        <v>15</v>
      </c>
      <c r="G22" s="26">
        <v>0.44791666666666702</v>
      </c>
      <c r="H22" s="26">
        <v>0.45833333333333298</v>
      </c>
      <c r="I22" s="144">
        <v>288</v>
      </c>
      <c r="J22" s="42" t="s">
        <v>891</v>
      </c>
      <c r="K22" s="65"/>
      <c r="L22" s="65"/>
    </row>
    <row r="23" spans="1:1024" ht="72.5" x14ac:dyDescent="0.35">
      <c r="A23" s="125">
        <v>43616</v>
      </c>
      <c r="B23" s="17" t="s">
        <v>890</v>
      </c>
      <c r="C23" s="17" t="s">
        <v>701</v>
      </c>
      <c r="D23" s="125">
        <v>43621</v>
      </c>
      <c r="E23" s="17" t="s">
        <v>700</v>
      </c>
      <c r="F23" s="17" t="s">
        <v>15</v>
      </c>
      <c r="G23" s="26">
        <v>0.52083333333333304</v>
      </c>
      <c r="H23" s="26">
        <v>0.5625</v>
      </c>
      <c r="I23" s="144">
        <v>300</v>
      </c>
      <c r="J23" s="17" t="s">
        <v>699</v>
      </c>
      <c r="K23" s="65" t="s">
        <v>15</v>
      </c>
      <c r="L23" s="65" t="s">
        <v>17</v>
      </c>
    </row>
    <row r="24" spans="1:1024" ht="87" x14ac:dyDescent="0.35">
      <c r="A24" s="142">
        <v>43619</v>
      </c>
      <c r="B24" s="29" t="s">
        <v>889</v>
      </c>
      <c r="C24" s="29" t="s">
        <v>888</v>
      </c>
      <c r="D24" s="142">
        <v>43621</v>
      </c>
      <c r="E24" s="29" t="s">
        <v>887</v>
      </c>
      <c r="F24" s="29" t="s">
        <v>15</v>
      </c>
      <c r="G24" s="31">
        <v>0.58333333333333304</v>
      </c>
      <c r="H24" s="31">
        <v>0.60416666666666696</v>
      </c>
      <c r="I24" s="144">
        <v>324</v>
      </c>
      <c r="J24" s="42" t="s">
        <v>886</v>
      </c>
      <c r="K24" s="65"/>
      <c r="L24" s="65" t="s">
        <v>17</v>
      </c>
    </row>
    <row r="25" spans="1:1024" ht="116" x14ac:dyDescent="0.35">
      <c r="A25" s="142">
        <v>43619</v>
      </c>
      <c r="B25" s="29" t="s">
        <v>885</v>
      </c>
      <c r="C25" s="29" t="s">
        <v>884</v>
      </c>
      <c r="D25" s="142">
        <v>43621</v>
      </c>
      <c r="E25" s="29" t="s">
        <v>836</v>
      </c>
      <c r="F25" s="29" t="s">
        <v>15</v>
      </c>
      <c r="G25" s="31">
        <v>0.77083333333333304</v>
      </c>
      <c r="H25" s="31">
        <v>0.79166666666666696</v>
      </c>
      <c r="I25" s="144">
        <v>480</v>
      </c>
      <c r="J25" s="29" t="s">
        <v>883</v>
      </c>
      <c r="K25" s="157" t="s">
        <v>15</v>
      </c>
      <c r="L25" s="157" t="s">
        <v>22</v>
      </c>
    </row>
    <row r="26" spans="1:1024" ht="116" x14ac:dyDescent="0.35">
      <c r="A26" s="142">
        <v>43619</v>
      </c>
      <c r="B26" s="17" t="s">
        <v>882</v>
      </c>
      <c r="C26" s="17" t="s">
        <v>881</v>
      </c>
      <c r="D26" s="18">
        <v>43622</v>
      </c>
      <c r="E26" s="17" t="s">
        <v>129</v>
      </c>
      <c r="F26" s="26">
        <v>0.45833333333333298</v>
      </c>
      <c r="G26" s="26">
        <v>0.47916666666666702</v>
      </c>
      <c r="H26" s="26">
        <v>0.5</v>
      </c>
      <c r="I26" s="65">
        <v>0</v>
      </c>
      <c r="J26" s="17" t="s">
        <v>289</v>
      </c>
      <c r="K26" s="65" t="s">
        <v>136</v>
      </c>
      <c r="L26" s="65"/>
    </row>
    <row r="27" spans="1:1024" ht="87" x14ac:dyDescent="0.35">
      <c r="A27" s="142">
        <v>43619</v>
      </c>
      <c r="B27" s="17" t="s">
        <v>292</v>
      </c>
      <c r="C27" s="17" t="s">
        <v>880</v>
      </c>
      <c r="D27" s="125">
        <v>43622</v>
      </c>
      <c r="E27" s="17" t="s">
        <v>290</v>
      </c>
      <c r="F27" s="17" t="s">
        <v>15</v>
      </c>
      <c r="G27" s="26" t="s">
        <v>879</v>
      </c>
      <c r="H27" s="26" t="s">
        <v>879</v>
      </c>
      <c r="I27" s="144">
        <v>350</v>
      </c>
      <c r="J27" s="42" t="s">
        <v>878</v>
      </c>
      <c r="K27" s="65" t="s">
        <v>136</v>
      </c>
      <c r="L27" s="65"/>
    </row>
    <row r="28" spans="1:1024" ht="43.5" x14ac:dyDescent="0.35">
      <c r="A28" s="125">
        <v>43622</v>
      </c>
      <c r="B28" s="17" t="s">
        <v>877</v>
      </c>
      <c r="C28" s="17" t="s">
        <v>876</v>
      </c>
      <c r="D28" s="125">
        <v>43623</v>
      </c>
      <c r="E28" s="17" t="s">
        <v>875</v>
      </c>
      <c r="F28" s="26">
        <v>0.38541666666666702</v>
      </c>
      <c r="G28" s="26">
        <v>0.40625</v>
      </c>
      <c r="H28" s="26">
        <v>0.41666666666666702</v>
      </c>
      <c r="I28" s="144">
        <v>507</v>
      </c>
      <c r="J28" s="17" t="s">
        <v>874</v>
      </c>
      <c r="K28" s="65" t="s">
        <v>140</v>
      </c>
      <c r="L28" s="65" t="s">
        <v>17</v>
      </c>
      <c r="AMJ28" s="120"/>
    </row>
    <row r="29" spans="1:1024" ht="116" x14ac:dyDescent="0.35">
      <c r="A29" s="125">
        <v>43622</v>
      </c>
      <c r="B29" s="17" t="s">
        <v>68</v>
      </c>
      <c r="C29" s="17" t="s">
        <v>873</v>
      </c>
      <c r="D29" s="125">
        <v>43623</v>
      </c>
      <c r="E29" s="17" t="s">
        <v>48</v>
      </c>
      <c r="F29" s="26">
        <v>0.38541666666666702</v>
      </c>
      <c r="G29" s="26">
        <v>0.4375</v>
      </c>
      <c r="H29" s="26">
        <v>0.44791666666666702</v>
      </c>
      <c r="I29" s="144">
        <v>497.5</v>
      </c>
      <c r="J29" s="42" t="s">
        <v>872</v>
      </c>
      <c r="K29" s="65" t="s">
        <v>140</v>
      </c>
      <c r="L29" s="65" t="s">
        <v>17</v>
      </c>
    </row>
    <row r="30" spans="1:1024" ht="174" x14ac:dyDescent="0.35">
      <c r="A30" s="125">
        <v>43622</v>
      </c>
      <c r="B30" s="17" t="s">
        <v>152</v>
      </c>
      <c r="C30" s="17" t="s">
        <v>871</v>
      </c>
      <c r="D30" s="125">
        <v>43623</v>
      </c>
      <c r="E30" s="17" t="s">
        <v>510</v>
      </c>
      <c r="F30" s="26">
        <v>0.47916666666666702</v>
      </c>
      <c r="G30" s="26">
        <v>0.49305555555555602</v>
      </c>
      <c r="H30" s="26">
        <v>0.5</v>
      </c>
      <c r="I30" s="144">
        <v>298</v>
      </c>
      <c r="J30" s="42" t="s">
        <v>870</v>
      </c>
      <c r="K30" s="65" t="s">
        <v>140</v>
      </c>
      <c r="L30" s="65" t="s">
        <v>17</v>
      </c>
    </row>
    <row r="31" spans="1:1024" ht="29" x14ac:dyDescent="0.35">
      <c r="A31" s="125">
        <v>43620</v>
      </c>
      <c r="B31" s="17" t="s">
        <v>869</v>
      </c>
      <c r="C31" s="17" t="s">
        <v>868</v>
      </c>
      <c r="D31" s="125">
        <v>43623</v>
      </c>
      <c r="E31" s="17" t="s">
        <v>210</v>
      </c>
      <c r="F31" s="26">
        <v>0.54166666666666696</v>
      </c>
      <c r="G31" s="26">
        <v>0.54166666666666696</v>
      </c>
      <c r="H31" s="26">
        <v>0.54166666666666696</v>
      </c>
      <c r="I31" s="144">
        <v>420</v>
      </c>
      <c r="J31" s="17" t="s">
        <v>257</v>
      </c>
      <c r="K31" s="65" t="s">
        <v>15</v>
      </c>
      <c r="L31" s="65" t="s">
        <v>22</v>
      </c>
    </row>
    <row r="32" spans="1:1024" ht="87" x14ac:dyDescent="0.35">
      <c r="A32" s="142">
        <v>43619</v>
      </c>
      <c r="B32" s="29" t="s">
        <v>867</v>
      </c>
      <c r="C32" s="29" t="s">
        <v>866</v>
      </c>
      <c r="D32" s="142">
        <v>43623</v>
      </c>
      <c r="E32" s="168" t="s">
        <v>576</v>
      </c>
      <c r="F32" s="31">
        <v>0.79166666666666696</v>
      </c>
      <c r="G32" s="31">
        <v>0.8125</v>
      </c>
      <c r="H32" s="31">
        <v>0.83333333333333304</v>
      </c>
      <c r="I32" s="156">
        <v>1662.5</v>
      </c>
      <c r="J32" s="42" t="s">
        <v>865</v>
      </c>
      <c r="K32" s="65" t="s">
        <v>119</v>
      </c>
      <c r="L32" s="65" t="s">
        <v>17</v>
      </c>
    </row>
    <row r="33" spans="1:12" s="13" customFormat="1" ht="101.5" x14ac:dyDescent="0.35">
      <c r="A33" s="142">
        <v>43619</v>
      </c>
      <c r="B33" s="29" t="s">
        <v>864</v>
      </c>
      <c r="C33" s="29" t="s">
        <v>863</v>
      </c>
      <c r="D33" s="142">
        <v>43624</v>
      </c>
      <c r="E33" s="29" t="s">
        <v>129</v>
      </c>
      <c r="F33" s="31">
        <v>0.5</v>
      </c>
      <c r="G33" s="31">
        <v>0.52083333333333304</v>
      </c>
      <c r="H33" s="31">
        <v>0.53125</v>
      </c>
      <c r="I33" s="144">
        <v>1709</v>
      </c>
      <c r="J33" s="42" t="s">
        <v>862</v>
      </c>
      <c r="K33" s="65" t="s">
        <v>119</v>
      </c>
      <c r="L33" s="65" t="s">
        <v>17</v>
      </c>
    </row>
    <row r="34" spans="1:12" s="13" customFormat="1" ht="101.5" x14ac:dyDescent="0.35">
      <c r="A34" s="142">
        <v>43621</v>
      </c>
      <c r="B34" s="29" t="s">
        <v>861</v>
      </c>
      <c r="C34" s="29" t="s">
        <v>860</v>
      </c>
      <c r="D34" s="142">
        <v>43624</v>
      </c>
      <c r="E34" s="29" t="s">
        <v>859</v>
      </c>
      <c r="F34" s="31">
        <v>0.5</v>
      </c>
      <c r="G34" s="31">
        <v>0.5625</v>
      </c>
      <c r="H34" s="31">
        <v>0.57291666666666696</v>
      </c>
      <c r="I34" s="144">
        <v>717</v>
      </c>
      <c r="J34" s="42" t="s">
        <v>858</v>
      </c>
      <c r="K34" s="65" t="s">
        <v>119</v>
      </c>
      <c r="L34" s="65" t="s">
        <v>17</v>
      </c>
    </row>
    <row r="35" spans="1:12" s="13" customFormat="1" ht="72.5" x14ac:dyDescent="0.35">
      <c r="A35" s="142">
        <v>43620</v>
      </c>
      <c r="B35" s="29" t="s">
        <v>857</v>
      </c>
      <c r="C35" s="29" t="s">
        <v>856</v>
      </c>
      <c r="D35" s="142">
        <v>43624</v>
      </c>
      <c r="E35" s="29" t="s">
        <v>855</v>
      </c>
      <c r="F35" s="31">
        <v>0.5</v>
      </c>
      <c r="G35" s="31">
        <v>0.60416666666666696</v>
      </c>
      <c r="H35" s="31">
        <v>0.625</v>
      </c>
      <c r="I35" s="144">
        <v>450</v>
      </c>
      <c r="J35" s="17" t="s">
        <v>854</v>
      </c>
      <c r="K35" s="65" t="s">
        <v>119</v>
      </c>
      <c r="L35" s="65" t="s">
        <v>22</v>
      </c>
    </row>
    <row r="36" spans="1:12" s="13" customFormat="1" ht="87" x14ac:dyDescent="0.35">
      <c r="A36" s="142">
        <v>43619</v>
      </c>
      <c r="B36" s="29" t="s">
        <v>853</v>
      </c>
      <c r="C36" s="29" t="s">
        <v>852</v>
      </c>
      <c r="D36" s="142">
        <v>43624</v>
      </c>
      <c r="E36" s="29" t="s">
        <v>851</v>
      </c>
      <c r="F36" s="31">
        <v>0.66666666666666696</v>
      </c>
      <c r="G36" s="31">
        <v>0.69791666666666696</v>
      </c>
      <c r="H36" s="31">
        <v>0.71875</v>
      </c>
      <c r="I36" s="173">
        <v>1310</v>
      </c>
      <c r="J36" s="42" t="s">
        <v>850</v>
      </c>
      <c r="K36" s="65" t="s">
        <v>119</v>
      </c>
      <c r="L36" s="100" t="s">
        <v>849</v>
      </c>
    </row>
    <row r="37" spans="1:12" s="13" customFormat="1" ht="145" x14ac:dyDescent="0.35">
      <c r="A37" s="169">
        <v>43598</v>
      </c>
      <c r="B37" s="168" t="s">
        <v>848</v>
      </c>
      <c r="C37" s="168" t="s">
        <v>847</v>
      </c>
      <c r="D37" s="169">
        <v>43624</v>
      </c>
      <c r="E37" s="168" t="s">
        <v>576</v>
      </c>
      <c r="F37" s="167">
        <v>0.66666666666666696</v>
      </c>
      <c r="G37" s="167">
        <v>0.73611111111111105</v>
      </c>
      <c r="H37" s="167">
        <v>0.76041666666666696</v>
      </c>
      <c r="I37" s="172">
        <v>1927.5</v>
      </c>
      <c r="J37" s="171" t="s">
        <v>846</v>
      </c>
      <c r="K37" s="100" t="s">
        <v>845</v>
      </c>
      <c r="L37" s="165"/>
    </row>
    <row r="38" spans="1:12" s="13" customFormat="1" ht="87" x14ac:dyDescent="0.35">
      <c r="A38" s="142">
        <v>43619</v>
      </c>
      <c r="B38" s="29" t="s">
        <v>292</v>
      </c>
      <c r="C38" s="29" t="s">
        <v>844</v>
      </c>
      <c r="D38" s="142">
        <v>43624</v>
      </c>
      <c r="E38" s="29" t="s">
        <v>290</v>
      </c>
      <c r="F38" s="31">
        <v>0.66666666666666696</v>
      </c>
      <c r="G38" s="31">
        <v>0.79166666666666696</v>
      </c>
      <c r="H38" s="31">
        <v>0.83333333333333304</v>
      </c>
      <c r="I38" s="144">
        <v>1275</v>
      </c>
      <c r="J38" s="42" t="s">
        <v>843</v>
      </c>
      <c r="K38" s="65" t="s">
        <v>119</v>
      </c>
      <c r="L38" s="65" t="s">
        <v>22</v>
      </c>
    </row>
    <row r="39" spans="1:12" s="13" customFormat="1" ht="58" x14ac:dyDescent="0.35">
      <c r="A39" s="142">
        <v>43621</v>
      </c>
      <c r="B39" s="29" t="s">
        <v>842</v>
      </c>
      <c r="C39" s="29" t="s">
        <v>841</v>
      </c>
      <c r="D39" s="142">
        <v>43625</v>
      </c>
      <c r="E39" s="29" t="s">
        <v>840</v>
      </c>
      <c r="F39" s="31">
        <v>0.52083333333333304</v>
      </c>
      <c r="G39" s="31">
        <v>0.5625</v>
      </c>
      <c r="H39" s="31">
        <v>0.58333333333333304</v>
      </c>
      <c r="I39" s="144">
        <v>360</v>
      </c>
      <c r="J39" s="17" t="s">
        <v>839</v>
      </c>
      <c r="K39" s="65" t="s">
        <v>15</v>
      </c>
      <c r="L39" s="65" t="s">
        <v>22</v>
      </c>
    </row>
    <row r="40" spans="1:12" s="13" customFormat="1" ht="58" x14ac:dyDescent="0.35">
      <c r="A40" s="170">
        <v>43614</v>
      </c>
      <c r="B40" s="168" t="s">
        <v>838</v>
      </c>
      <c r="C40" s="168" t="s">
        <v>837</v>
      </c>
      <c r="D40" s="169">
        <v>43625</v>
      </c>
      <c r="E40" s="168" t="s">
        <v>836</v>
      </c>
      <c r="F40" s="31">
        <v>0.52083333333333304</v>
      </c>
      <c r="G40" s="167">
        <v>0.58333333333333304</v>
      </c>
      <c r="H40" s="167">
        <v>0.625</v>
      </c>
      <c r="I40" s="166">
        <v>495</v>
      </c>
      <c r="J40" s="37" t="s">
        <v>835</v>
      </c>
      <c r="K40" s="37" t="s">
        <v>15</v>
      </c>
      <c r="L40" s="165" t="s">
        <v>22</v>
      </c>
    </row>
    <row r="41" spans="1:12" s="13" customFormat="1" ht="87" x14ac:dyDescent="0.35">
      <c r="A41" s="142">
        <v>43619</v>
      </c>
      <c r="B41" s="29" t="s">
        <v>292</v>
      </c>
      <c r="C41" s="29" t="s">
        <v>834</v>
      </c>
      <c r="D41" s="169">
        <v>43625</v>
      </c>
      <c r="E41" s="29" t="s">
        <v>290</v>
      </c>
      <c r="F41" s="167">
        <v>0.52083333333333304</v>
      </c>
      <c r="G41" s="31">
        <v>0.66666666666666696</v>
      </c>
      <c r="H41" s="31">
        <v>0.6875</v>
      </c>
      <c r="I41" s="166">
        <v>1200</v>
      </c>
      <c r="J41" s="171" t="s">
        <v>833</v>
      </c>
      <c r="K41" s="37" t="s">
        <v>15</v>
      </c>
      <c r="L41" s="65" t="s">
        <v>22</v>
      </c>
    </row>
    <row r="42" spans="1:12" s="13" customFormat="1" ht="58" x14ac:dyDescent="0.35">
      <c r="A42" s="125">
        <v>43621</v>
      </c>
      <c r="B42" s="17" t="s">
        <v>832</v>
      </c>
      <c r="C42" s="17" t="s">
        <v>831</v>
      </c>
      <c r="D42" s="125">
        <v>43625</v>
      </c>
      <c r="E42" s="17" t="s">
        <v>830</v>
      </c>
      <c r="F42" s="26">
        <v>0.52083333333333304</v>
      </c>
      <c r="G42" s="26">
        <v>0.70833333333333304</v>
      </c>
      <c r="H42" s="26">
        <v>0.75</v>
      </c>
      <c r="I42" s="144">
        <v>576</v>
      </c>
      <c r="J42" s="17" t="s">
        <v>829</v>
      </c>
      <c r="K42" s="65" t="s">
        <v>15</v>
      </c>
      <c r="L42" s="65" t="s">
        <v>17</v>
      </c>
    </row>
    <row r="43" spans="1:12" s="13" customFormat="1" ht="29" x14ac:dyDescent="0.35">
      <c r="A43" s="170">
        <v>43624</v>
      </c>
      <c r="B43" s="168" t="s">
        <v>828</v>
      </c>
      <c r="C43" s="168" t="s">
        <v>49</v>
      </c>
      <c r="D43" s="169">
        <v>43625</v>
      </c>
      <c r="E43" s="168" t="s">
        <v>49</v>
      </c>
      <c r="F43" s="31" t="s">
        <v>49</v>
      </c>
      <c r="G43" s="167" t="s">
        <v>49</v>
      </c>
      <c r="H43" s="167" t="s">
        <v>49</v>
      </c>
      <c r="I43" s="166">
        <v>120</v>
      </c>
      <c r="J43" s="37" t="s">
        <v>827</v>
      </c>
      <c r="K43" s="37" t="s">
        <v>15</v>
      </c>
      <c r="L43" s="165" t="s">
        <v>330</v>
      </c>
    </row>
    <row r="44" spans="1:12" s="13" customFormat="1" ht="116" x14ac:dyDescent="0.35">
      <c r="A44" s="125">
        <v>43623</v>
      </c>
      <c r="B44" s="17" t="s">
        <v>826</v>
      </c>
      <c r="C44" s="17" t="s">
        <v>825</v>
      </c>
      <c r="D44" s="125">
        <v>43626</v>
      </c>
      <c r="E44" s="17" t="s">
        <v>824</v>
      </c>
      <c r="F44" s="26">
        <v>0.5</v>
      </c>
      <c r="G44" s="26">
        <v>0.52083333333333304</v>
      </c>
      <c r="H44" s="26">
        <v>0.54166666666666696</v>
      </c>
      <c r="I44" s="144">
        <v>267.3</v>
      </c>
      <c r="J44" s="42" t="s">
        <v>823</v>
      </c>
      <c r="K44" s="65" t="s">
        <v>119</v>
      </c>
      <c r="L44" s="65" t="s">
        <v>17</v>
      </c>
    </row>
    <row r="45" spans="1:12" s="13" customFormat="1" ht="101.5" x14ac:dyDescent="0.35">
      <c r="A45" s="125">
        <v>43624</v>
      </c>
      <c r="B45" s="17" t="s">
        <v>152</v>
      </c>
      <c r="C45" s="17" t="s">
        <v>822</v>
      </c>
      <c r="D45" s="125">
        <v>43626</v>
      </c>
      <c r="E45" s="17" t="s">
        <v>528</v>
      </c>
      <c r="F45" s="26">
        <v>0.5</v>
      </c>
      <c r="G45" s="26">
        <v>0.54166666666666696</v>
      </c>
      <c r="H45" s="26">
        <v>0.58333333333333304</v>
      </c>
      <c r="I45" s="65">
        <v>0</v>
      </c>
      <c r="J45" s="17" t="s">
        <v>289</v>
      </c>
      <c r="K45" s="65" t="s">
        <v>119</v>
      </c>
      <c r="L45" s="65" t="s">
        <v>216</v>
      </c>
    </row>
    <row r="46" spans="1:12" s="13" customFormat="1" ht="29" x14ac:dyDescent="0.35">
      <c r="A46" s="125">
        <v>43624</v>
      </c>
      <c r="B46" s="17" t="s">
        <v>821</v>
      </c>
      <c r="C46" s="17" t="s">
        <v>820</v>
      </c>
      <c r="D46" s="125">
        <v>43626</v>
      </c>
      <c r="E46" s="17" t="s">
        <v>210</v>
      </c>
      <c r="F46" s="26">
        <v>0.75</v>
      </c>
      <c r="G46" s="26">
        <v>0.75</v>
      </c>
      <c r="H46" s="26">
        <v>0.75</v>
      </c>
      <c r="I46" s="65">
        <v>0</v>
      </c>
      <c r="J46" s="17" t="s">
        <v>289</v>
      </c>
      <c r="K46" s="65" t="s">
        <v>15</v>
      </c>
      <c r="L46" s="65" t="s">
        <v>216</v>
      </c>
    </row>
    <row r="47" spans="1:12" s="13" customFormat="1" ht="29" x14ac:dyDescent="0.35">
      <c r="A47" s="125">
        <v>43612</v>
      </c>
      <c r="B47" s="17" t="s">
        <v>572</v>
      </c>
      <c r="C47" s="17" t="s">
        <v>819</v>
      </c>
      <c r="D47" s="125">
        <v>43626</v>
      </c>
      <c r="E47" s="17" t="s">
        <v>210</v>
      </c>
      <c r="F47" s="17" t="s">
        <v>49</v>
      </c>
      <c r="G47" s="17" t="s">
        <v>49</v>
      </c>
      <c r="H47" s="17" t="s">
        <v>49</v>
      </c>
      <c r="I47" s="65">
        <v>0</v>
      </c>
      <c r="J47" s="17" t="s">
        <v>49</v>
      </c>
      <c r="K47" s="65" t="s">
        <v>15</v>
      </c>
      <c r="L47" s="65" t="s">
        <v>330</v>
      </c>
    </row>
    <row r="48" spans="1:12" s="13" customFormat="1" ht="58" x14ac:dyDescent="0.35">
      <c r="A48" s="125">
        <v>43626</v>
      </c>
      <c r="B48" s="17" t="s">
        <v>758</v>
      </c>
      <c r="C48" s="17" t="s">
        <v>818</v>
      </c>
      <c r="D48" s="125">
        <v>43627</v>
      </c>
      <c r="E48" s="17" t="s">
        <v>817</v>
      </c>
      <c r="F48" s="26">
        <v>0.51041666666666696</v>
      </c>
      <c r="G48" s="26">
        <v>0.54166666666666696</v>
      </c>
      <c r="H48" s="26">
        <v>0.5625</v>
      </c>
      <c r="I48" s="65">
        <v>0</v>
      </c>
      <c r="J48" s="17" t="s">
        <v>816</v>
      </c>
      <c r="K48" s="65" t="s">
        <v>140</v>
      </c>
      <c r="L48" s="65" t="s">
        <v>17</v>
      </c>
    </row>
    <row r="49" spans="1:12" s="13" customFormat="1" ht="87" x14ac:dyDescent="0.35">
      <c r="A49" s="125">
        <v>43626</v>
      </c>
      <c r="B49" s="17" t="s">
        <v>641</v>
      </c>
      <c r="C49" s="17" t="s">
        <v>815</v>
      </c>
      <c r="D49" s="125">
        <v>43627</v>
      </c>
      <c r="E49" s="17" t="s">
        <v>639</v>
      </c>
      <c r="F49" s="26">
        <v>0.51041666666666696</v>
      </c>
      <c r="G49" s="26">
        <v>0.59375</v>
      </c>
      <c r="H49" s="26">
        <v>0.60416666666666696</v>
      </c>
      <c r="I49" s="144">
        <v>500</v>
      </c>
      <c r="J49" s="17" t="s">
        <v>814</v>
      </c>
      <c r="K49" s="65" t="s">
        <v>140</v>
      </c>
      <c r="L49" s="65" t="s">
        <v>17</v>
      </c>
    </row>
    <row r="50" spans="1:12" s="13" customFormat="1" ht="43.5" x14ac:dyDescent="0.35">
      <c r="A50" s="125">
        <v>43625</v>
      </c>
      <c r="B50" s="17" t="s">
        <v>813</v>
      </c>
      <c r="C50" s="17" t="s">
        <v>812</v>
      </c>
      <c r="D50" s="125">
        <v>43627</v>
      </c>
      <c r="E50" s="17" t="s">
        <v>589</v>
      </c>
      <c r="F50" s="26">
        <v>0.51041666666666696</v>
      </c>
      <c r="G50" s="26">
        <v>0.625</v>
      </c>
      <c r="H50" s="26">
        <v>0.64583333333333304</v>
      </c>
      <c r="I50" s="144">
        <v>360</v>
      </c>
      <c r="J50" s="17" t="s">
        <v>648</v>
      </c>
      <c r="K50" s="65" t="s">
        <v>140</v>
      </c>
      <c r="L50" s="65" t="s">
        <v>22</v>
      </c>
    </row>
    <row r="51" spans="1:12" s="13" customFormat="1" ht="58" x14ac:dyDescent="0.35">
      <c r="A51" s="125">
        <v>43627</v>
      </c>
      <c r="B51" s="17" t="s">
        <v>68</v>
      </c>
      <c r="C51" s="17" t="s">
        <v>811</v>
      </c>
      <c r="D51" s="125">
        <v>43628</v>
      </c>
      <c r="E51" s="17" t="s">
        <v>48</v>
      </c>
      <c r="F51" s="26">
        <v>0.48958333333333298</v>
      </c>
      <c r="G51" s="26">
        <v>0.5</v>
      </c>
      <c r="H51" s="26">
        <v>0.54166666666666696</v>
      </c>
      <c r="I51" s="144">
        <v>600</v>
      </c>
      <c r="J51" s="42" t="s">
        <v>729</v>
      </c>
      <c r="K51" s="65" t="s">
        <v>119</v>
      </c>
      <c r="L51" s="65" t="s">
        <v>17</v>
      </c>
    </row>
    <row r="52" spans="1:12" s="13" customFormat="1" ht="101.5" x14ac:dyDescent="0.35">
      <c r="A52" s="125">
        <v>43628</v>
      </c>
      <c r="B52" s="17" t="s">
        <v>152</v>
      </c>
      <c r="C52" s="17" t="s">
        <v>810</v>
      </c>
      <c r="D52" s="125">
        <v>43628</v>
      </c>
      <c r="E52" s="17" t="s">
        <v>528</v>
      </c>
      <c r="F52" s="26">
        <v>0.60416666666666696</v>
      </c>
      <c r="G52" s="26">
        <v>0.625</v>
      </c>
      <c r="H52" s="26">
        <v>0.66666666666666696</v>
      </c>
      <c r="I52" s="156">
        <v>171</v>
      </c>
      <c r="J52" s="42" t="s">
        <v>809</v>
      </c>
      <c r="K52" s="65" t="s">
        <v>119</v>
      </c>
      <c r="L52" s="65" t="s">
        <v>17</v>
      </c>
    </row>
    <row r="53" spans="1:12" s="13" customFormat="1" ht="58" x14ac:dyDescent="0.35">
      <c r="A53" s="142">
        <v>43623</v>
      </c>
      <c r="B53" s="29" t="s">
        <v>808</v>
      </c>
      <c r="C53" s="29" t="s">
        <v>807</v>
      </c>
      <c r="D53" s="142">
        <v>43628</v>
      </c>
      <c r="E53" s="29" t="s">
        <v>806</v>
      </c>
      <c r="F53" s="31">
        <v>0.71875</v>
      </c>
      <c r="G53" s="31">
        <v>0.73958333333333304</v>
      </c>
      <c r="H53" s="31">
        <v>0.75</v>
      </c>
      <c r="I53" s="144">
        <v>200</v>
      </c>
      <c r="J53" s="17" t="s">
        <v>638</v>
      </c>
      <c r="K53" s="65" t="s">
        <v>119</v>
      </c>
      <c r="L53" s="65" t="s">
        <v>17</v>
      </c>
    </row>
    <row r="54" spans="1:12" s="13" customFormat="1" ht="58" x14ac:dyDescent="0.35">
      <c r="A54" s="125">
        <v>43627</v>
      </c>
      <c r="B54" s="17" t="s">
        <v>805</v>
      </c>
      <c r="C54" s="17" t="s">
        <v>804</v>
      </c>
      <c r="D54" s="125">
        <v>43629</v>
      </c>
      <c r="E54" s="17" t="s">
        <v>803</v>
      </c>
      <c r="F54" s="26">
        <v>0.53125</v>
      </c>
      <c r="G54" s="26">
        <v>0.54166666666666696</v>
      </c>
      <c r="H54" s="26">
        <v>0.5625</v>
      </c>
      <c r="I54" s="144">
        <v>360</v>
      </c>
      <c r="J54" s="17" t="s">
        <v>802</v>
      </c>
      <c r="K54" s="65" t="s">
        <v>119</v>
      </c>
      <c r="L54" s="65" t="s">
        <v>17</v>
      </c>
    </row>
    <row r="55" spans="1:12" s="13" customFormat="1" ht="29" x14ac:dyDescent="0.35">
      <c r="A55" s="125">
        <v>43628</v>
      </c>
      <c r="B55" s="17" t="s">
        <v>801</v>
      </c>
      <c r="C55" s="17" t="s">
        <v>800</v>
      </c>
      <c r="D55" s="125">
        <v>43629</v>
      </c>
      <c r="E55" s="17" t="s">
        <v>799</v>
      </c>
      <c r="F55" s="26">
        <v>0.53125</v>
      </c>
      <c r="G55" s="26">
        <v>0.58333333333333304</v>
      </c>
      <c r="H55" s="26">
        <v>0.625</v>
      </c>
      <c r="I55" s="65">
        <v>0</v>
      </c>
      <c r="J55" s="17" t="s">
        <v>15</v>
      </c>
      <c r="K55" s="65" t="s">
        <v>119</v>
      </c>
      <c r="L55" s="65" t="s">
        <v>17</v>
      </c>
    </row>
    <row r="56" spans="1:12" s="13" customFormat="1" ht="275.5" x14ac:dyDescent="0.35">
      <c r="A56" s="125">
        <v>43626</v>
      </c>
      <c r="B56" s="17" t="s">
        <v>798</v>
      </c>
      <c r="C56" s="17" t="s">
        <v>797</v>
      </c>
      <c r="D56" s="125">
        <v>43630</v>
      </c>
      <c r="E56" s="17" t="s">
        <v>796</v>
      </c>
      <c r="F56" s="26">
        <v>0.34375</v>
      </c>
      <c r="G56" s="26">
        <v>0.375</v>
      </c>
      <c r="H56" s="26">
        <v>0.47916666666666702</v>
      </c>
      <c r="I56" s="144">
        <v>24300</v>
      </c>
      <c r="J56" s="42" t="s">
        <v>795</v>
      </c>
      <c r="K56" s="65" t="s">
        <v>140</v>
      </c>
      <c r="L56" s="144" t="s">
        <v>794</v>
      </c>
    </row>
    <row r="57" spans="1:12" s="13" customFormat="1" ht="43.5" x14ac:dyDescent="0.35">
      <c r="A57" s="125">
        <v>43629</v>
      </c>
      <c r="B57" s="17" t="s">
        <v>793</v>
      </c>
      <c r="C57" s="17" t="s">
        <v>792</v>
      </c>
      <c r="D57" s="125">
        <v>43630</v>
      </c>
      <c r="E57" s="17" t="s">
        <v>791</v>
      </c>
      <c r="F57" s="26">
        <v>0.52083333333333304</v>
      </c>
      <c r="G57" s="26">
        <v>0.54166666666666696</v>
      </c>
      <c r="H57" s="26">
        <v>0.55208333333333304</v>
      </c>
      <c r="I57" s="144">
        <v>500</v>
      </c>
      <c r="J57" s="42" t="s">
        <v>790</v>
      </c>
      <c r="K57" s="65" t="s">
        <v>140</v>
      </c>
      <c r="L57" s="65"/>
    </row>
    <row r="58" spans="1:12" s="13" customFormat="1" ht="246.5" x14ac:dyDescent="0.35">
      <c r="A58" s="125">
        <v>43629</v>
      </c>
      <c r="B58" s="17" t="s">
        <v>152</v>
      </c>
      <c r="C58" s="17" t="s">
        <v>789</v>
      </c>
      <c r="D58" s="125">
        <v>43630</v>
      </c>
      <c r="E58" s="17" t="s">
        <v>528</v>
      </c>
      <c r="F58" s="26">
        <v>0.54166666666666696</v>
      </c>
      <c r="G58" s="26">
        <v>0.5625</v>
      </c>
      <c r="H58" s="26">
        <v>0.58333333333333304</v>
      </c>
      <c r="I58" s="156">
        <v>423</v>
      </c>
      <c r="J58" s="42" t="s">
        <v>788</v>
      </c>
      <c r="K58" s="65" t="s">
        <v>17</v>
      </c>
      <c r="L58" s="65"/>
    </row>
    <row r="59" spans="1:12" s="13" customFormat="1" ht="58" x14ac:dyDescent="0.35">
      <c r="A59" s="125">
        <v>43627</v>
      </c>
      <c r="B59" s="17" t="s">
        <v>585</v>
      </c>
      <c r="C59" s="17" t="s">
        <v>787</v>
      </c>
      <c r="D59" s="125">
        <v>43630</v>
      </c>
      <c r="E59" s="17" t="s">
        <v>441</v>
      </c>
      <c r="F59" s="26">
        <v>0.58333333333333304</v>
      </c>
      <c r="G59" s="26">
        <v>0.60416666666666696</v>
      </c>
      <c r="H59" s="26">
        <v>0.61458333333333304</v>
      </c>
      <c r="I59" s="65">
        <v>0</v>
      </c>
      <c r="J59" s="17" t="s">
        <v>289</v>
      </c>
      <c r="K59" s="65" t="s">
        <v>119</v>
      </c>
      <c r="L59" s="65" t="s">
        <v>17</v>
      </c>
    </row>
    <row r="60" spans="1:12" s="13" customFormat="1" ht="43.5" x14ac:dyDescent="0.35">
      <c r="A60" s="125">
        <v>43626</v>
      </c>
      <c r="B60" s="17" t="s">
        <v>786</v>
      </c>
      <c r="C60" s="17" t="s">
        <v>785</v>
      </c>
      <c r="D60" s="125">
        <v>43630</v>
      </c>
      <c r="E60" s="17" t="s">
        <v>784</v>
      </c>
      <c r="F60" s="26">
        <v>0.58333333333333304</v>
      </c>
      <c r="G60" s="26">
        <v>0.64583333333333304</v>
      </c>
      <c r="H60" s="26">
        <v>0.65625</v>
      </c>
      <c r="I60" s="144">
        <v>162</v>
      </c>
      <c r="J60" s="17" t="s">
        <v>783</v>
      </c>
      <c r="K60" s="65" t="s">
        <v>119</v>
      </c>
      <c r="L60" s="65" t="s">
        <v>17</v>
      </c>
    </row>
    <row r="61" spans="1:12" s="13" customFormat="1" ht="58" x14ac:dyDescent="0.35">
      <c r="A61" s="125">
        <v>43612</v>
      </c>
      <c r="B61" s="17" t="s">
        <v>537</v>
      </c>
      <c r="C61" s="17" t="s">
        <v>782</v>
      </c>
      <c r="D61" s="125">
        <v>43630</v>
      </c>
      <c r="E61" s="17" t="s">
        <v>97</v>
      </c>
      <c r="F61" s="26">
        <v>0.58333333333333304</v>
      </c>
      <c r="G61" s="26">
        <v>0.6875</v>
      </c>
      <c r="H61" s="26">
        <v>0.83333333333333304</v>
      </c>
      <c r="I61" s="144">
        <v>300</v>
      </c>
      <c r="J61" s="42" t="s">
        <v>781</v>
      </c>
      <c r="K61" s="65" t="s">
        <v>119</v>
      </c>
      <c r="L61" s="65" t="s">
        <v>17</v>
      </c>
    </row>
    <row r="62" spans="1:12" s="13" customFormat="1" ht="145" x14ac:dyDescent="0.35">
      <c r="A62" s="125">
        <v>43624</v>
      </c>
      <c r="B62" s="29" t="s">
        <v>262</v>
      </c>
      <c r="C62" s="29" t="s">
        <v>780</v>
      </c>
      <c r="D62" s="164">
        <v>43630</v>
      </c>
      <c r="E62" s="29" t="s">
        <v>73</v>
      </c>
      <c r="F62" s="31">
        <v>0.58333333333333304</v>
      </c>
      <c r="G62" s="31">
        <v>0.6875</v>
      </c>
      <c r="H62" s="31">
        <v>0.70833333333333304</v>
      </c>
      <c r="I62" s="156">
        <v>2030</v>
      </c>
      <c r="J62" s="42" t="s">
        <v>779</v>
      </c>
      <c r="K62" s="65" t="s">
        <v>119</v>
      </c>
      <c r="L62" s="37" t="s">
        <v>17</v>
      </c>
    </row>
    <row r="63" spans="1:12" s="13" customFormat="1" ht="87" x14ac:dyDescent="0.35">
      <c r="A63" s="125">
        <v>43629</v>
      </c>
      <c r="B63" s="17" t="s">
        <v>778</v>
      </c>
      <c r="C63" s="17" t="s">
        <v>777</v>
      </c>
      <c r="D63" s="125">
        <v>43630</v>
      </c>
      <c r="E63" s="17" t="s">
        <v>210</v>
      </c>
      <c r="F63" s="26">
        <v>0.66666666666666696</v>
      </c>
      <c r="G63" s="26">
        <v>0.66666666666666696</v>
      </c>
      <c r="H63" s="26">
        <v>0.66666666666666696</v>
      </c>
      <c r="I63" s="144">
        <v>384</v>
      </c>
      <c r="J63" s="42" t="s">
        <v>776</v>
      </c>
      <c r="K63" s="65" t="s">
        <v>119</v>
      </c>
      <c r="L63" s="65" t="s">
        <v>216</v>
      </c>
    </row>
    <row r="64" spans="1:12" s="13" customFormat="1" ht="29" x14ac:dyDescent="0.35">
      <c r="A64" s="125">
        <v>43627</v>
      </c>
      <c r="B64" s="17" t="s">
        <v>775</v>
      </c>
      <c r="C64" s="17" t="s">
        <v>774</v>
      </c>
      <c r="D64" s="125">
        <v>43631</v>
      </c>
      <c r="E64" s="17" t="s">
        <v>210</v>
      </c>
      <c r="F64" s="26">
        <v>0.5</v>
      </c>
      <c r="G64" s="26">
        <v>0.5</v>
      </c>
      <c r="H64" s="26">
        <v>0.5</v>
      </c>
      <c r="I64" s="144">
        <v>192</v>
      </c>
      <c r="J64" s="17" t="s">
        <v>257</v>
      </c>
      <c r="K64" s="65" t="s">
        <v>15</v>
      </c>
      <c r="L64" s="65" t="s">
        <v>22</v>
      </c>
    </row>
    <row r="65" spans="1:12" s="13" customFormat="1" ht="43.5" x14ac:dyDescent="0.35">
      <c r="A65" s="125">
        <v>43630</v>
      </c>
      <c r="B65" s="29" t="s">
        <v>773</v>
      </c>
      <c r="C65" s="29" t="s">
        <v>772</v>
      </c>
      <c r="D65" s="164">
        <v>43631</v>
      </c>
      <c r="E65" s="29" t="s">
        <v>771</v>
      </c>
      <c r="F65" s="31">
        <v>0.5</v>
      </c>
      <c r="G65" s="31">
        <v>0.52083333333333304</v>
      </c>
      <c r="H65" s="31">
        <v>0.54166666666666696</v>
      </c>
      <c r="I65" s="144">
        <v>260</v>
      </c>
      <c r="J65" s="42" t="s">
        <v>770</v>
      </c>
      <c r="K65" s="65" t="s">
        <v>140</v>
      </c>
      <c r="L65" s="37" t="s">
        <v>17</v>
      </c>
    </row>
    <row r="66" spans="1:12" s="13" customFormat="1" ht="116" x14ac:dyDescent="0.35">
      <c r="A66" s="142">
        <v>43619</v>
      </c>
      <c r="B66" s="29" t="s">
        <v>567</v>
      </c>
      <c r="C66" s="29" t="s">
        <v>769</v>
      </c>
      <c r="D66" s="142">
        <v>43631</v>
      </c>
      <c r="E66" s="29" t="s">
        <v>27</v>
      </c>
      <c r="F66" s="31">
        <v>0.5</v>
      </c>
      <c r="G66" s="31">
        <v>0.5625</v>
      </c>
      <c r="H66" s="31">
        <v>0.58333333333333304</v>
      </c>
      <c r="I66" s="144">
        <v>717</v>
      </c>
      <c r="J66" s="42" t="s">
        <v>768</v>
      </c>
      <c r="K66" s="65" t="s">
        <v>140</v>
      </c>
      <c r="L66" s="65" t="s">
        <v>17</v>
      </c>
    </row>
    <row r="67" spans="1:12" s="13" customFormat="1" ht="116" x14ac:dyDescent="0.35">
      <c r="A67" s="142">
        <v>43561</v>
      </c>
      <c r="B67" s="29" t="s">
        <v>767</v>
      </c>
      <c r="C67" s="29" t="s">
        <v>766</v>
      </c>
      <c r="D67" s="142">
        <v>43631</v>
      </c>
      <c r="E67" s="29" t="s">
        <v>765</v>
      </c>
      <c r="F67" s="31">
        <v>0.5</v>
      </c>
      <c r="G67" s="31">
        <v>0.60416666666666696</v>
      </c>
      <c r="H67" s="31">
        <v>0.625</v>
      </c>
      <c r="I67" s="144">
        <v>400</v>
      </c>
      <c r="J67" s="42" t="s">
        <v>75</v>
      </c>
      <c r="K67" s="65" t="s">
        <v>140</v>
      </c>
      <c r="L67" s="37" t="s">
        <v>330</v>
      </c>
    </row>
    <row r="68" spans="1:12" s="13" customFormat="1" ht="43.5" x14ac:dyDescent="0.35">
      <c r="A68" s="125">
        <v>43573</v>
      </c>
      <c r="B68" s="29" t="s">
        <v>764</v>
      </c>
      <c r="C68" s="29" t="s">
        <v>763</v>
      </c>
      <c r="D68" s="142">
        <v>43631</v>
      </c>
      <c r="E68" s="29" t="s">
        <v>73</v>
      </c>
      <c r="F68" s="31">
        <v>0.5</v>
      </c>
      <c r="G68" s="31">
        <v>0.64583333333333304</v>
      </c>
      <c r="H68" s="31">
        <v>0.66666666666666696</v>
      </c>
      <c r="I68" s="156">
        <v>1280</v>
      </c>
      <c r="J68" s="42" t="s">
        <v>75</v>
      </c>
      <c r="K68" s="65" t="s">
        <v>140</v>
      </c>
      <c r="L68" s="37"/>
    </row>
    <row r="69" spans="1:12" s="13" customFormat="1" ht="101.5" x14ac:dyDescent="0.35">
      <c r="A69" s="142">
        <v>43619</v>
      </c>
      <c r="B69" s="29" t="s">
        <v>762</v>
      </c>
      <c r="C69" s="29" t="s">
        <v>761</v>
      </c>
      <c r="D69" s="142">
        <v>43631</v>
      </c>
      <c r="E69" s="29" t="s">
        <v>760</v>
      </c>
      <c r="F69" s="31">
        <v>0.5</v>
      </c>
      <c r="G69" s="31">
        <v>0.66666666666666696</v>
      </c>
      <c r="H69" s="31">
        <v>0.67708333333333304</v>
      </c>
      <c r="I69" s="144">
        <v>600</v>
      </c>
      <c r="J69" s="17" t="s">
        <v>759</v>
      </c>
      <c r="K69" s="65" t="s">
        <v>140</v>
      </c>
      <c r="L69" s="65" t="s">
        <v>17</v>
      </c>
    </row>
    <row r="70" spans="1:12" s="13" customFormat="1" ht="188.5" x14ac:dyDescent="0.35">
      <c r="A70" s="142">
        <v>43627</v>
      </c>
      <c r="B70" s="29" t="s">
        <v>758</v>
      </c>
      <c r="C70" s="29" t="s">
        <v>757</v>
      </c>
      <c r="D70" s="142">
        <v>43631</v>
      </c>
      <c r="E70" s="29" t="s">
        <v>756</v>
      </c>
      <c r="F70" s="31">
        <v>0.5</v>
      </c>
      <c r="G70" s="31">
        <v>0.6875</v>
      </c>
      <c r="H70" s="31">
        <v>0.70833333333333304</v>
      </c>
      <c r="I70" s="144">
        <v>1505.2</v>
      </c>
      <c r="J70" s="42" t="s">
        <v>755</v>
      </c>
      <c r="K70" s="65" t="s">
        <v>140</v>
      </c>
      <c r="L70" s="65" t="s">
        <v>17</v>
      </c>
    </row>
    <row r="71" spans="1:12" s="13" customFormat="1" ht="58" x14ac:dyDescent="0.35">
      <c r="A71" s="142">
        <v>43626</v>
      </c>
      <c r="B71" s="29" t="s">
        <v>395</v>
      </c>
      <c r="C71" s="29" t="s">
        <v>754</v>
      </c>
      <c r="D71" s="142">
        <v>43631</v>
      </c>
      <c r="E71" s="29" t="s">
        <v>753</v>
      </c>
      <c r="F71" s="31">
        <v>0.5</v>
      </c>
      <c r="G71" s="31">
        <v>0.72916666666666696</v>
      </c>
      <c r="H71" s="31">
        <v>0.75</v>
      </c>
      <c r="I71" s="144">
        <v>360</v>
      </c>
      <c r="J71" s="17" t="s">
        <v>752</v>
      </c>
      <c r="K71" s="65" t="s">
        <v>140</v>
      </c>
      <c r="L71" s="65" t="s">
        <v>17</v>
      </c>
    </row>
    <row r="72" spans="1:12" s="13" customFormat="1" ht="29" x14ac:dyDescent="0.35">
      <c r="A72" s="125">
        <v>43630</v>
      </c>
      <c r="B72" s="17" t="s">
        <v>667</v>
      </c>
      <c r="C72" s="17" t="s">
        <v>751</v>
      </c>
      <c r="D72" s="125">
        <v>43631</v>
      </c>
      <c r="E72" s="17" t="s">
        <v>665</v>
      </c>
      <c r="F72" s="26">
        <v>0.5</v>
      </c>
      <c r="G72" s="26">
        <v>0.77083333333333304</v>
      </c>
      <c r="H72" s="26">
        <v>0.79166666666666696</v>
      </c>
      <c r="I72" s="144">
        <v>99</v>
      </c>
      <c r="J72" s="17" t="s">
        <v>664</v>
      </c>
      <c r="K72" s="65" t="s">
        <v>140</v>
      </c>
      <c r="L72" s="65" t="s">
        <v>22</v>
      </c>
    </row>
    <row r="73" spans="1:12" s="13" customFormat="1" ht="130.5" x14ac:dyDescent="0.35">
      <c r="A73" s="142">
        <v>43609</v>
      </c>
      <c r="B73" s="29" t="s">
        <v>750</v>
      </c>
      <c r="C73" s="29" t="s">
        <v>749</v>
      </c>
      <c r="D73" s="142">
        <v>43632</v>
      </c>
      <c r="E73" s="111" t="s">
        <v>748</v>
      </c>
      <c r="F73" s="29" t="s">
        <v>15</v>
      </c>
      <c r="G73" s="31">
        <v>0.75</v>
      </c>
      <c r="H73" s="31">
        <v>0.79166666666666696</v>
      </c>
      <c r="I73" s="144">
        <v>585</v>
      </c>
      <c r="J73" s="55" t="s">
        <v>257</v>
      </c>
      <c r="K73" s="65" t="s">
        <v>15</v>
      </c>
      <c r="L73" s="37" t="s">
        <v>22</v>
      </c>
    </row>
    <row r="74" spans="1:12" s="13" customFormat="1" ht="87" x14ac:dyDescent="0.35">
      <c r="A74" s="125">
        <v>43628</v>
      </c>
      <c r="B74" s="17" t="s">
        <v>747</v>
      </c>
      <c r="C74" s="17" t="s">
        <v>746</v>
      </c>
      <c r="D74" s="125">
        <v>43632</v>
      </c>
      <c r="E74" s="17" t="s">
        <v>229</v>
      </c>
      <c r="F74" s="17"/>
      <c r="G74" s="26" t="s">
        <v>745</v>
      </c>
      <c r="H74" s="26"/>
      <c r="I74" s="65">
        <v>0</v>
      </c>
      <c r="J74" s="17"/>
      <c r="K74" s="65"/>
      <c r="L74" s="65" t="s">
        <v>22</v>
      </c>
    </row>
    <row r="75" spans="1:12" s="13" customFormat="1" ht="174" x14ac:dyDescent="0.35">
      <c r="A75" s="125">
        <v>43633</v>
      </c>
      <c r="B75" s="17" t="s">
        <v>152</v>
      </c>
      <c r="C75" s="17" t="s">
        <v>744</v>
      </c>
      <c r="D75" s="125">
        <v>43634</v>
      </c>
      <c r="E75" s="17" t="s">
        <v>528</v>
      </c>
      <c r="F75" s="26">
        <v>0.47916666666666702</v>
      </c>
      <c r="G75" s="26">
        <v>0.5</v>
      </c>
      <c r="H75" s="26">
        <v>0.51041666666666696</v>
      </c>
      <c r="I75" s="156">
        <v>360</v>
      </c>
      <c r="J75" s="42" t="s">
        <v>743</v>
      </c>
      <c r="K75" s="65" t="s">
        <v>140</v>
      </c>
      <c r="L75" s="65" t="s">
        <v>17</v>
      </c>
    </row>
    <row r="76" spans="1:12" s="13" customFormat="1" ht="43.5" x14ac:dyDescent="0.35">
      <c r="A76" s="125">
        <v>43633</v>
      </c>
      <c r="B76" s="17" t="s">
        <v>697</v>
      </c>
      <c r="C76" s="17" t="s">
        <v>742</v>
      </c>
      <c r="D76" s="125">
        <v>43634</v>
      </c>
      <c r="E76" s="17" t="s">
        <v>589</v>
      </c>
      <c r="F76" s="26">
        <v>0.47916666666666702</v>
      </c>
      <c r="G76" s="26">
        <v>0.52083333333333304</v>
      </c>
      <c r="H76" s="26">
        <v>0.53472222222222199</v>
      </c>
      <c r="I76" s="65">
        <v>0</v>
      </c>
      <c r="J76" s="17" t="s">
        <v>741</v>
      </c>
      <c r="K76" s="65" t="s">
        <v>140</v>
      </c>
      <c r="L76" s="65" t="s">
        <v>17</v>
      </c>
    </row>
    <row r="77" spans="1:12" s="13" customFormat="1" ht="29" x14ac:dyDescent="0.35">
      <c r="A77" s="125">
        <v>43633</v>
      </c>
      <c r="B77" s="17" t="s">
        <v>740</v>
      </c>
      <c r="C77" s="17" t="s">
        <v>739</v>
      </c>
      <c r="D77" s="125">
        <v>43634</v>
      </c>
      <c r="E77" s="17" t="s">
        <v>690</v>
      </c>
      <c r="F77" s="26">
        <v>0.5</v>
      </c>
      <c r="G77" s="26">
        <v>0.5</v>
      </c>
      <c r="H77" s="26">
        <v>0.5</v>
      </c>
      <c r="I77" s="65">
        <v>0</v>
      </c>
      <c r="J77" s="17" t="s">
        <v>289</v>
      </c>
      <c r="K77" s="65" t="s">
        <v>15</v>
      </c>
      <c r="L77" s="65" t="s">
        <v>17</v>
      </c>
    </row>
    <row r="78" spans="1:12" s="13" customFormat="1" ht="43.5" x14ac:dyDescent="0.35">
      <c r="A78" s="125">
        <v>43632</v>
      </c>
      <c r="B78" s="17" t="s">
        <v>345</v>
      </c>
      <c r="C78" s="17" t="s">
        <v>738</v>
      </c>
      <c r="D78" s="125">
        <v>43634</v>
      </c>
      <c r="E78" s="17" t="s">
        <v>737</v>
      </c>
      <c r="F78" s="26">
        <v>0.55208333333333304</v>
      </c>
      <c r="G78" s="26">
        <v>0.57291666666666696</v>
      </c>
      <c r="H78" s="26">
        <v>0.58333333333333304</v>
      </c>
      <c r="I78" s="144">
        <v>120</v>
      </c>
      <c r="J78" s="17" t="s">
        <v>736</v>
      </c>
      <c r="K78" s="65" t="s">
        <v>140</v>
      </c>
      <c r="L78" s="65" t="s">
        <v>17</v>
      </c>
    </row>
    <row r="79" spans="1:12" s="13" customFormat="1" ht="43.5" x14ac:dyDescent="0.35">
      <c r="A79" s="125">
        <v>43632</v>
      </c>
      <c r="B79" s="17" t="s">
        <v>735</v>
      </c>
      <c r="C79" s="17" t="s">
        <v>734</v>
      </c>
      <c r="D79" s="125">
        <v>43634</v>
      </c>
      <c r="E79" s="17" t="s">
        <v>733</v>
      </c>
      <c r="F79" s="26">
        <v>0.59375</v>
      </c>
      <c r="G79" s="26">
        <v>0.61458333333333304</v>
      </c>
      <c r="H79" s="26">
        <v>0.625</v>
      </c>
      <c r="I79" s="144">
        <v>300</v>
      </c>
      <c r="J79" s="17" t="s">
        <v>732</v>
      </c>
      <c r="K79" s="65" t="s">
        <v>140</v>
      </c>
      <c r="L79" s="65" t="s">
        <v>17</v>
      </c>
    </row>
    <row r="80" spans="1:12" s="13" customFormat="1" ht="29" x14ac:dyDescent="0.35">
      <c r="A80" s="125">
        <v>43633</v>
      </c>
      <c r="B80" s="17" t="s">
        <v>670</v>
      </c>
      <c r="C80" s="17" t="s">
        <v>731</v>
      </c>
      <c r="D80" s="125">
        <v>43634</v>
      </c>
      <c r="E80" s="17" t="s">
        <v>210</v>
      </c>
      <c r="F80" s="26">
        <v>0.625</v>
      </c>
      <c r="G80" s="26">
        <v>0.625</v>
      </c>
      <c r="H80" s="26">
        <v>0.625</v>
      </c>
      <c r="I80" s="65">
        <v>0</v>
      </c>
      <c r="J80" s="17" t="s">
        <v>289</v>
      </c>
      <c r="K80" s="65" t="s">
        <v>15</v>
      </c>
      <c r="L80" s="65" t="s">
        <v>17</v>
      </c>
    </row>
    <row r="81" spans="1:12" s="13" customFormat="1" ht="58" x14ac:dyDescent="0.35">
      <c r="A81" s="125">
        <v>43634</v>
      </c>
      <c r="B81" s="17" t="s">
        <v>68</v>
      </c>
      <c r="C81" s="17" t="s">
        <v>730</v>
      </c>
      <c r="D81" s="125">
        <v>43635</v>
      </c>
      <c r="E81" s="17" t="s">
        <v>48</v>
      </c>
      <c r="F81" s="26">
        <v>0.41666666666666702</v>
      </c>
      <c r="G81" s="26">
        <v>0.44791666666666702</v>
      </c>
      <c r="H81" s="26">
        <v>0.47222222222222199</v>
      </c>
      <c r="I81" s="144">
        <v>375</v>
      </c>
      <c r="J81" s="42" t="s">
        <v>729</v>
      </c>
      <c r="K81" s="65" t="s">
        <v>119</v>
      </c>
      <c r="L81" s="65" t="s">
        <v>17</v>
      </c>
    </row>
    <row r="82" spans="1:12" s="13" customFormat="1" ht="58" x14ac:dyDescent="0.35">
      <c r="A82" s="163">
        <v>43628</v>
      </c>
      <c r="B82" s="160" t="s">
        <v>728</v>
      </c>
      <c r="C82" s="160" t="s">
        <v>727</v>
      </c>
      <c r="D82" s="163">
        <v>43635</v>
      </c>
      <c r="E82" s="162" t="s">
        <v>726</v>
      </c>
      <c r="F82" s="161">
        <v>0.5</v>
      </c>
      <c r="G82" s="161">
        <v>0.66666666666666696</v>
      </c>
      <c r="H82" s="161">
        <v>0.70833333333333304</v>
      </c>
      <c r="I82" s="158">
        <v>0</v>
      </c>
      <c r="J82" s="160" t="s">
        <v>725</v>
      </c>
      <c r="K82" s="158" t="s">
        <v>119</v>
      </c>
      <c r="L82" s="159" t="s">
        <v>216</v>
      </c>
    </row>
    <row r="83" spans="1:12" s="13" customFormat="1" ht="29" x14ac:dyDescent="0.35">
      <c r="A83" s="125">
        <v>43633</v>
      </c>
      <c r="B83" s="17" t="s">
        <v>152</v>
      </c>
      <c r="C83" s="17" t="s">
        <v>724</v>
      </c>
      <c r="D83" s="125">
        <v>43635</v>
      </c>
      <c r="E83" s="17" t="s">
        <v>528</v>
      </c>
      <c r="F83" s="26">
        <v>0.58333333333333304</v>
      </c>
      <c r="G83" s="26">
        <v>0.60416666666666696</v>
      </c>
      <c r="H83" s="26">
        <v>0.61458333333333304</v>
      </c>
      <c r="I83" s="65">
        <v>0</v>
      </c>
      <c r="J83" s="17" t="s">
        <v>289</v>
      </c>
      <c r="K83" s="65" t="s">
        <v>119</v>
      </c>
      <c r="L83" s="65" t="s">
        <v>216</v>
      </c>
    </row>
    <row r="84" spans="1:12" s="13" customFormat="1" ht="43.5" x14ac:dyDescent="0.35">
      <c r="A84" s="125">
        <v>43634</v>
      </c>
      <c r="B84" s="17" t="s">
        <v>723</v>
      </c>
      <c r="C84" s="17" t="s">
        <v>722</v>
      </c>
      <c r="D84" s="125">
        <v>43635</v>
      </c>
      <c r="E84" s="17" t="s">
        <v>589</v>
      </c>
      <c r="F84" s="26">
        <v>0.58333333333333304</v>
      </c>
      <c r="G84" s="26">
        <v>0.625</v>
      </c>
      <c r="H84" s="26">
        <v>0.63541666666666696</v>
      </c>
      <c r="I84" s="65">
        <v>0</v>
      </c>
      <c r="J84" s="17" t="s">
        <v>289</v>
      </c>
      <c r="K84" s="65" t="s">
        <v>119</v>
      </c>
      <c r="L84" s="65" t="s">
        <v>216</v>
      </c>
    </row>
    <row r="85" spans="1:12" s="13" customFormat="1" ht="58" x14ac:dyDescent="0.35">
      <c r="A85" s="142">
        <v>43633</v>
      </c>
      <c r="B85" s="29" t="s">
        <v>721</v>
      </c>
      <c r="C85" s="29" t="s">
        <v>720</v>
      </c>
      <c r="D85" s="142">
        <v>43636</v>
      </c>
      <c r="E85" s="29" t="s">
        <v>719</v>
      </c>
      <c r="F85" s="31">
        <v>0.45833333333333298</v>
      </c>
      <c r="G85" s="31">
        <v>0.48958333333333298</v>
      </c>
      <c r="H85" s="31">
        <v>0.52083333333333304</v>
      </c>
      <c r="I85" s="144">
        <v>180</v>
      </c>
      <c r="J85" s="17" t="s">
        <v>718</v>
      </c>
      <c r="K85" s="65" t="s">
        <v>140</v>
      </c>
      <c r="L85" s="65" t="s">
        <v>17</v>
      </c>
    </row>
    <row r="86" spans="1:12" s="13" customFormat="1" ht="43.5" x14ac:dyDescent="0.35">
      <c r="A86" s="125">
        <v>43634</v>
      </c>
      <c r="B86" s="17" t="s">
        <v>659</v>
      </c>
      <c r="C86" s="17" t="s">
        <v>717</v>
      </c>
      <c r="D86" s="125">
        <v>43636</v>
      </c>
      <c r="E86" s="17" t="s">
        <v>210</v>
      </c>
      <c r="F86" s="26">
        <v>0.58333333333333304</v>
      </c>
      <c r="G86" s="26">
        <v>0.58333333333333304</v>
      </c>
      <c r="H86" s="26">
        <v>0.58333333333333304</v>
      </c>
      <c r="I86" s="144">
        <v>219</v>
      </c>
      <c r="J86" s="17" t="s">
        <v>716</v>
      </c>
      <c r="K86" s="65" t="s">
        <v>140</v>
      </c>
      <c r="L86" s="65" t="s">
        <v>17</v>
      </c>
    </row>
    <row r="87" spans="1:12" s="13" customFormat="1" ht="130.5" x14ac:dyDescent="0.35">
      <c r="A87" s="125">
        <v>43634</v>
      </c>
      <c r="B87" s="17" t="s">
        <v>715</v>
      </c>
      <c r="C87" s="17" t="s">
        <v>714</v>
      </c>
      <c r="D87" s="125">
        <v>43636</v>
      </c>
      <c r="E87" s="17" t="s">
        <v>713</v>
      </c>
      <c r="F87" s="26">
        <v>0.72916666666666696</v>
      </c>
      <c r="G87" s="26">
        <v>0.75</v>
      </c>
      <c r="H87" s="26">
        <v>0.83333333333333304</v>
      </c>
      <c r="I87" s="144">
        <v>500</v>
      </c>
      <c r="J87" s="42" t="s">
        <v>712</v>
      </c>
      <c r="K87" s="65" t="s">
        <v>140</v>
      </c>
      <c r="L87" s="65" t="s">
        <v>17</v>
      </c>
    </row>
    <row r="88" spans="1:12" s="13" customFormat="1" ht="43.5" x14ac:dyDescent="0.35">
      <c r="A88" s="125">
        <v>43635</v>
      </c>
      <c r="B88" s="17" t="s">
        <v>709</v>
      </c>
      <c r="C88" s="17" t="s">
        <v>711</v>
      </c>
      <c r="D88" s="125">
        <v>43637</v>
      </c>
      <c r="E88" s="17" t="s">
        <v>710</v>
      </c>
      <c r="F88" s="26">
        <v>0.375</v>
      </c>
      <c r="G88" s="26">
        <v>0.41666666666666702</v>
      </c>
      <c r="H88" s="26">
        <v>0.42708333333333298</v>
      </c>
      <c r="I88" s="65">
        <v>0</v>
      </c>
      <c r="J88" s="17" t="s">
        <v>709</v>
      </c>
      <c r="K88" s="65" t="s">
        <v>119</v>
      </c>
      <c r="L88" s="65" t="s">
        <v>17</v>
      </c>
    </row>
    <row r="89" spans="1:12" s="13" customFormat="1" ht="130.5" x14ac:dyDescent="0.35">
      <c r="A89" s="125">
        <v>43634</v>
      </c>
      <c r="B89" s="29" t="s">
        <v>708</v>
      </c>
      <c r="C89" s="29" t="s">
        <v>707</v>
      </c>
      <c r="D89" s="142">
        <v>43637</v>
      </c>
      <c r="E89" s="29" t="s">
        <v>706</v>
      </c>
      <c r="F89" s="31">
        <v>0.44444444444444398</v>
      </c>
      <c r="G89" s="31">
        <v>0.45833333333333298</v>
      </c>
      <c r="H89" s="31">
        <v>0.47916666666666702</v>
      </c>
      <c r="I89" s="158">
        <v>288</v>
      </c>
      <c r="J89" s="17" t="s">
        <v>705</v>
      </c>
      <c r="K89" s="65" t="s">
        <v>119</v>
      </c>
      <c r="L89" s="65" t="s">
        <v>17</v>
      </c>
    </row>
    <row r="90" spans="1:12" s="13" customFormat="1" ht="174" x14ac:dyDescent="0.35">
      <c r="A90" s="125">
        <v>43634</v>
      </c>
      <c r="B90" s="17" t="s">
        <v>466</v>
      </c>
      <c r="C90" s="17" t="s">
        <v>704</v>
      </c>
      <c r="D90" s="125">
        <v>43637</v>
      </c>
      <c r="E90" s="17" t="s">
        <v>464</v>
      </c>
      <c r="F90" s="26">
        <v>0.44444444444444398</v>
      </c>
      <c r="G90" s="26">
        <v>0.51041666666666696</v>
      </c>
      <c r="H90" s="26">
        <v>0.52083333333333304</v>
      </c>
      <c r="I90" s="156">
        <v>252</v>
      </c>
      <c r="J90" s="42" t="s">
        <v>703</v>
      </c>
      <c r="K90" s="65" t="s">
        <v>119</v>
      </c>
      <c r="L90" s="65" t="s">
        <v>17</v>
      </c>
    </row>
    <row r="91" spans="1:12" s="13" customFormat="1" ht="72.5" x14ac:dyDescent="0.35">
      <c r="A91" s="125">
        <v>43634</v>
      </c>
      <c r="B91" s="17" t="s">
        <v>702</v>
      </c>
      <c r="C91" s="17" t="s">
        <v>701</v>
      </c>
      <c r="D91" s="125">
        <v>43637</v>
      </c>
      <c r="E91" s="17" t="s">
        <v>700</v>
      </c>
      <c r="F91" s="26">
        <v>0.44444444444444398</v>
      </c>
      <c r="G91" s="26">
        <v>0.53472222222222199</v>
      </c>
      <c r="H91" s="26">
        <v>0.55208333333333304</v>
      </c>
      <c r="I91" s="144">
        <v>300</v>
      </c>
      <c r="J91" s="17" t="s">
        <v>699</v>
      </c>
      <c r="K91" s="65" t="s">
        <v>15</v>
      </c>
      <c r="L91" s="65" t="s">
        <v>22</v>
      </c>
    </row>
    <row r="92" spans="1:12" s="13" customFormat="1" ht="174" x14ac:dyDescent="0.35">
      <c r="A92" s="125">
        <v>43634</v>
      </c>
      <c r="B92" s="17" t="s">
        <v>655</v>
      </c>
      <c r="C92" s="17" t="s">
        <v>698</v>
      </c>
      <c r="D92" s="125">
        <v>43637</v>
      </c>
      <c r="E92" s="17" t="s">
        <v>129</v>
      </c>
      <c r="F92" s="26">
        <v>0.60416666666666696</v>
      </c>
      <c r="G92" s="26">
        <v>0.625</v>
      </c>
      <c r="H92" s="26">
        <v>0.63541666666666696</v>
      </c>
      <c r="I92" s="65">
        <v>0</v>
      </c>
      <c r="J92" s="17" t="s">
        <v>361</v>
      </c>
      <c r="K92" s="65" t="s">
        <v>119</v>
      </c>
      <c r="L92" s="65" t="s">
        <v>17</v>
      </c>
    </row>
    <row r="93" spans="1:12" s="13" customFormat="1" ht="43.5" x14ac:dyDescent="0.35">
      <c r="A93" s="125">
        <v>43636</v>
      </c>
      <c r="B93" s="17" t="s">
        <v>697</v>
      </c>
      <c r="C93" s="17" t="s">
        <v>696</v>
      </c>
      <c r="D93" s="125">
        <v>43637</v>
      </c>
      <c r="E93" s="17" t="s">
        <v>589</v>
      </c>
      <c r="F93" s="26">
        <v>0.60416666666666696</v>
      </c>
      <c r="G93" s="26">
        <v>0.64583333333333304</v>
      </c>
      <c r="H93" s="26">
        <v>0.65625</v>
      </c>
      <c r="I93" s="65">
        <v>0</v>
      </c>
      <c r="J93" s="17" t="s">
        <v>361</v>
      </c>
      <c r="K93" s="65" t="s">
        <v>119</v>
      </c>
      <c r="L93" s="65" t="s">
        <v>17</v>
      </c>
    </row>
    <row r="94" spans="1:12" s="13" customFormat="1" ht="29" x14ac:dyDescent="0.35">
      <c r="A94" s="125">
        <v>43636</v>
      </c>
      <c r="B94" s="17" t="s">
        <v>152</v>
      </c>
      <c r="C94" s="17" t="s">
        <v>695</v>
      </c>
      <c r="D94" s="125">
        <v>43637</v>
      </c>
      <c r="E94" s="17" t="s">
        <v>528</v>
      </c>
      <c r="F94" s="26">
        <v>0.60416666666666696</v>
      </c>
      <c r="G94" s="26">
        <v>0.67708333333333304</v>
      </c>
      <c r="H94" s="26">
        <v>0.6875</v>
      </c>
      <c r="I94" s="65">
        <v>0</v>
      </c>
      <c r="J94" s="17" t="s">
        <v>361</v>
      </c>
      <c r="K94" s="65" t="s">
        <v>119</v>
      </c>
      <c r="L94" s="65" t="s">
        <v>17</v>
      </c>
    </row>
    <row r="95" spans="1:12" s="13" customFormat="1" ht="87" x14ac:dyDescent="0.35">
      <c r="A95" s="125">
        <v>43634</v>
      </c>
      <c r="B95" s="17" t="s">
        <v>292</v>
      </c>
      <c r="C95" s="17" t="s">
        <v>694</v>
      </c>
      <c r="D95" s="125">
        <v>43637</v>
      </c>
      <c r="E95" s="17" t="s">
        <v>290</v>
      </c>
      <c r="F95" s="26">
        <v>0.60416666666666696</v>
      </c>
      <c r="G95" s="26">
        <v>0.6875</v>
      </c>
      <c r="H95" s="26">
        <v>0.69791666666666696</v>
      </c>
      <c r="I95" s="144">
        <f>75*5</f>
        <v>375</v>
      </c>
      <c r="J95" s="42" t="s">
        <v>693</v>
      </c>
      <c r="K95" s="65" t="s">
        <v>119</v>
      </c>
      <c r="L95" s="65" t="s">
        <v>22</v>
      </c>
    </row>
    <row r="96" spans="1:12" s="13" customFormat="1" ht="29" x14ac:dyDescent="0.35">
      <c r="A96" s="125">
        <v>43634</v>
      </c>
      <c r="B96" s="17" t="s">
        <v>692</v>
      </c>
      <c r="C96" s="17" t="s">
        <v>691</v>
      </c>
      <c r="D96" s="125">
        <v>43638</v>
      </c>
      <c r="E96" s="17" t="s">
        <v>690</v>
      </c>
      <c r="F96" s="26">
        <v>0.5</v>
      </c>
      <c r="G96" s="26">
        <v>0.5</v>
      </c>
      <c r="H96" s="26">
        <v>0.5</v>
      </c>
      <c r="I96" s="65">
        <v>0</v>
      </c>
      <c r="J96" s="17" t="s">
        <v>361</v>
      </c>
      <c r="K96" s="65" t="s">
        <v>15</v>
      </c>
      <c r="L96" s="65" t="s">
        <v>17</v>
      </c>
    </row>
    <row r="97" spans="1:12" s="13" customFormat="1" ht="87" x14ac:dyDescent="0.35">
      <c r="A97" s="142">
        <v>43625</v>
      </c>
      <c r="B97" s="29" t="s">
        <v>689</v>
      </c>
      <c r="C97" s="29" t="s">
        <v>688</v>
      </c>
      <c r="D97" s="142">
        <v>43638</v>
      </c>
      <c r="E97" s="29" t="s">
        <v>687</v>
      </c>
      <c r="F97" s="31">
        <v>0.51041666666666696</v>
      </c>
      <c r="G97" s="31">
        <v>0.54166666666666696</v>
      </c>
      <c r="H97" s="31">
        <v>0.55555555555555602</v>
      </c>
      <c r="I97" s="144">
        <v>325</v>
      </c>
      <c r="J97" s="17" t="s">
        <v>686</v>
      </c>
      <c r="K97" s="65" t="s">
        <v>15</v>
      </c>
      <c r="L97" s="65" t="s">
        <v>17</v>
      </c>
    </row>
    <row r="98" spans="1:12" s="13" customFormat="1" ht="72.5" x14ac:dyDescent="0.35">
      <c r="A98" s="142">
        <v>43634</v>
      </c>
      <c r="B98" s="29" t="s">
        <v>645</v>
      </c>
      <c r="C98" s="29" t="s">
        <v>685</v>
      </c>
      <c r="D98" s="142">
        <v>43638</v>
      </c>
      <c r="E98" s="29" t="s">
        <v>684</v>
      </c>
      <c r="F98" s="31">
        <v>0.51041666666666696</v>
      </c>
      <c r="G98" s="31">
        <v>0.58333333333333304</v>
      </c>
      <c r="H98" s="31">
        <v>0.59375</v>
      </c>
      <c r="I98" s="144">
        <v>420</v>
      </c>
      <c r="J98" s="42" t="s">
        <v>683</v>
      </c>
      <c r="K98" s="65" t="s">
        <v>15</v>
      </c>
      <c r="L98" s="65" t="s">
        <v>17</v>
      </c>
    </row>
    <row r="99" spans="1:12" s="13" customFormat="1" ht="43.5" x14ac:dyDescent="0.35">
      <c r="A99" s="125">
        <v>43635</v>
      </c>
      <c r="B99" s="17" t="s">
        <v>682</v>
      </c>
      <c r="C99" s="17" t="s">
        <v>681</v>
      </c>
      <c r="D99" s="125">
        <v>43638</v>
      </c>
      <c r="E99" s="17" t="s">
        <v>599</v>
      </c>
      <c r="F99" s="26">
        <v>0.54166666666666696</v>
      </c>
      <c r="G99" s="26">
        <v>0.54166666666666696</v>
      </c>
      <c r="H99" s="26">
        <v>0.54166666666666696</v>
      </c>
      <c r="I99" s="17">
        <v>0</v>
      </c>
      <c r="J99" s="17" t="s">
        <v>289</v>
      </c>
      <c r="K99" s="65" t="s">
        <v>15</v>
      </c>
      <c r="L99" s="65" t="s">
        <v>15</v>
      </c>
    </row>
    <row r="100" spans="1:12" s="13" customFormat="1" ht="174" x14ac:dyDescent="0.35">
      <c r="A100" s="142">
        <v>43634</v>
      </c>
      <c r="B100" s="29" t="s">
        <v>655</v>
      </c>
      <c r="C100" s="29" t="s">
        <v>680</v>
      </c>
      <c r="D100" s="142">
        <v>43638</v>
      </c>
      <c r="E100" s="29" t="s">
        <v>129</v>
      </c>
      <c r="F100" s="31">
        <v>0.625</v>
      </c>
      <c r="G100" s="31">
        <v>0.65277777777777801</v>
      </c>
      <c r="H100" s="31">
        <v>0.66666666666666696</v>
      </c>
      <c r="I100" s="157">
        <v>1565</v>
      </c>
      <c r="J100" s="42" t="s">
        <v>679</v>
      </c>
      <c r="K100" s="65" t="s">
        <v>15</v>
      </c>
      <c r="L100" s="65" t="s">
        <v>17</v>
      </c>
    </row>
    <row r="101" spans="1:12" s="13" customFormat="1" ht="58" x14ac:dyDescent="0.35">
      <c r="A101" s="125">
        <v>43633</v>
      </c>
      <c r="B101" s="17" t="s">
        <v>678</v>
      </c>
      <c r="C101" s="17" t="s">
        <v>677</v>
      </c>
      <c r="D101" s="125">
        <v>43638</v>
      </c>
      <c r="E101" s="17" t="s">
        <v>676</v>
      </c>
      <c r="F101" s="26">
        <v>0.625</v>
      </c>
      <c r="G101" s="26">
        <v>0.6875</v>
      </c>
      <c r="H101" s="26">
        <v>0.70833333333333304</v>
      </c>
      <c r="I101" s="144">
        <v>400</v>
      </c>
      <c r="J101" s="17" t="s">
        <v>675</v>
      </c>
      <c r="K101" s="65" t="s">
        <v>15</v>
      </c>
      <c r="L101" s="65" t="s">
        <v>216</v>
      </c>
    </row>
    <row r="102" spans="1:12" s="13" customFormat="1" ht="188.5" x14ac:dyDescent="0.35">
      <c r="A102" s="142">
        <v>43627</v>
      </c>
      <c r="B102" s="29" t="s">
        <v>674</v>
      </c>
      <c r="C102" s="29" t="s">
        <v>673</v>
      </c>
      <c r="D102" s="142">
        <v>43638</v>
      </c>
      <c r="E102" s="29" t="s">
        <v>73</v>
      </c>
      <c r="F102" s="31">
        <v>0.72916666666666696</v>
      </c>
      <c r="G102" s="31">
        <v>0.76041666666666696</v>
      </c>
      <c r="H102" s="31">
        <v>0.78472222222222199</v>
      </c>
      <c r="I102" s="156">
        <v>2050</v>
      </c>
      <c r="J102" s="42" t="s">
        <v>672</v>
      </c>
      <c r="K102" s="17" t="s">
        <v>671</v>
      </c>
      <c r="L102" s="65" t="s">
        <v>17</v>
      </c>
    </row>
    <row r="103" spans="1:12" s="13" customFormat="1" ht="80.25" customHeight="1" x14ac:dyDescent="0.35">
      <c r="A103" s="125">
        <v>43633</v>
      </c>
      <c r="B103" s="17" t="s">
        <v>670</v>
      </c>
      <c r="C103" s="17" t="s">
        <v>669</v>
      </c>
      <c r="D103" s="125">
        <v>43638</v>
      </c>
      <c r="E103" s="17" t="s">
        <v>668</v>
      </c>
      <c r="F103" s="17" t="s">
        <v>210</v>
      </c>
      <c r="G103" s="26">
        <v>0.58333333333333304</v>
      </c>
      <c r="H103" s="26">
        <v>0.58333333333333304</v>
      </c>
      <c r="I103" s="65">
        <v>0</v>
      </c>
      <c r="J103" s="17" t="s">
        <v>289</v>
      </c>
      <c r="K103" s="65" t="s">
        <v>15</v>
      </c>
      <c r="L103" s="65" t="s">
        <v>17</v>
      </c>
    </row>
    <row r="104" spans="1:12" s="13" customFormat="1" ht="140.25" customHeight="1" x14ac:dyDescent="0.35">
      <c r="A104" s="125">
        <v>43630</v>
      </c>
      <c r="B104" s="17" t="s">
        <v>667</v>
      </c>
      <c r="C104" s="17" t="s">
        <v>666</v>
      </c>
      <c r="D104" s="125">
        <v>43639</v>
      </c>
      <c r="E104" s="17" t="s">
        <v>665</v>
      </c>
      <c r="F104" s="26">
        <v>0.47916666666666702</v>
      </c>
      <c r="G104" s="26">
        <v>0.47916666666666702</v>
      </c>
      <c r="H104" s="26">
        <v>0.5</v>
      </c>
      <c r="I104" s="144">
        <v>200</v>
      </c>
      <c r="J104" s="17" t="s">
        <v>664</v>
      </c>
      <c r="K104" s="65" t="s">
        <v>15</v>
      </c>
      <c r="L104" s="65" t="s">
        <v>22</v>
      </c>
    </row>
    <row r="105" spans="1:12" s="13" customFormat="1" ht="58" x14ac:dyDescent="0.35">
      <c r="A105" s="125">
        <v>43638</v>
      </c>
      <c r="B105" s="17" t="s">
        <v>663</v>
      </c>
      <c r="C105" s="17" t="s">
        <v>662</v>
      </c>
      <c r="D105" s="125">
        <v>43639</v>
      </c>
      <c r="E105" s="17" t="s">
        <v>661</v>
      </c>
      <c r="F105" s="26">
        <v>0.47916666666666702</v>
      </c>
      <c r="G105" s="26">
        <v>0.52083333333333304</v>
      </c>
      <c r="H105" s="26">
        <v>0.54166666666666696</v>
      </c>
      <c r="I105" s="144">
        <v>200</v>
      </c>
      <c r="J105" s="17" t="s">
        <v>660</v>
      </c>
      <c r="K105" s="65" t="s">
        <v>15</v>
      </c>
      <c r="L105" s="65" t="s">
        <v>17</v>
      </c>
    </row>
    <row r="106" spans="1:12" s="13" customFormat="1" ht="87" x14ac:dyDescent="0.35">
      <c r="A106" s="142">
        <v>43636</v>
      </c>
      <c r="B106" s="29" t="s">
        <v>659</v>
      </c>
      <c r="C106" s="29" t="s">
        <v>658</v>
      </c>
      <c r="D106" s="142">
        <v>43639</v>
      </c>
      <c r="E106" s="29" t="s">
        <v>657</v>
      </c>
      <c r="F106" s="31">
        <v>0.60416666666666696</v>
      </c>
      <c r="G106" s="31">
        <v>0.625</v>
      </c>
      <c r="H106" s="31">
        <v>0.63541666666666696</v>
      </c>
      <c r="I106" s="156">
        <v>520</v>
      </c>
      <c r="J106" s="17" t="s">
        <v>656</v>
      </c>
      <c r="K106" s="65" t="s">
        <v>15</v>
      </c>
      <c r="L106" s="65" t="s">
        <v>17</v>
      </c>
    </row>
    <row r="107" spans="1:12" s="13" customFormat="1" ht="174" x14ac:dyDescent="0.35">
      <c r="A107" s="142">
        <v>43634</v>
      </c>
      <c r="B107" s="29" t="s">
        <v>655</v>
      </c>
      <c r="C107" s="29" t="s">
        <v>654</v>
      </c>
      <c r="D107" s="142">
        <v>43639</v>
      </c>
      <c r="E107" s="29" t="s">
        <v>129</v>
      </c>
      <c r="F107" s="31">
        <v>0.60416666666666696</v>
      </c>
      <c r="G107" s="31">
        <v>0.65277777777777801</v>
      </c>
      <c r="H107" s="31">
        <v>0.66666666666666696</v>
      </c>
      <c r="I107" s="156">
        <v>1466.25</v>
      </c>
      <c r="J107" s="42" t="s">
        <v>653</v>
      </c>
      <c r="K107" s="65" t="s">
        <v>15</v>
      </c>
      <c r="L107" s="65" t="s">
        <v>17</v>
      </c>
    </row>
    <row r="108" spans="1:12" s="13" customFormat="1" ht="29" x14ac:dyDescent="0.35">
      <c r="A108" s="125">
        <v>43638</v>
      </c>
      <c r="B108" s="17" t="s">
        <v>647</v>
      </c>
      <c r="C108" s="17" t="s">
        <v>652</v>
      </c>
      <c r="D108" s="125">
        <v>43640</v>
      </c>
      <c r="E108" s="17" t="s">
        <v>210</v>
      </c>
      <c r="F108" s="26">
        <v>0.35416666666666702</v>
      </c>
      <c r="G108" s="26">
        <v>0.35416666666666702</v>
      </c>
      <c r="H108" s="26">
        <v>0.35416666666666702</v>
      </c>
      <c r="I108" s="65">
        <v>0</v>
      </c>
      <c r="J108" s="17" t="s">
        <v>15</v>
      </c>
      <c r="K108" s="65" t="s">
        <v>15</v>
      </c>
      <c r="L108" s="65" t="s">
        <v>17</v>
      </c>
    </row>
    <row r="109" spans="1:12" s="13" customFormat="1" ht="29" x14ac:dyDescent="0.35">
      <c r="A109" s="126">
        <v>43638</v>
      </c>
      <c r="B109" s="22" t="s">
        <v>651</v>
      </c>
      <c r="C109" s="22" t="s">
        <v>650</v>
      </c>
      <c r="D109" s="126">
        <v>43640</v>
      </c>
      <c r="E109" s="137" t="s">
        <v>649</v>
      </c>
      <c r="F109" s="79">
        <v>0.5</v>
      </c>
      <c r="G109" s="79">
        <v>0.5</v>
      </c>
      <c r="H109" s="79">
        <v>0.54166666666666696</v>
      </c>
      <c r="I109" s="143">
        <v>192</v>
      </c>
      <c r="J109" s="22" t="s">
        <v>648</v>
      </c>
      <c r="K109" s="121" t="s">
        <v>15</v>
      </c>
      <c r="L109" s="121" t="s">
        <v>17</v>
      </c>
    </row>
    <row r="110" spans="1:12" s="13" customFormat="1" ht="43.5" x14ac:dyDescent="0.35">
      <c r="A110" s="126">
        <v>43638</v>
      </c>
      <c r="B110" s="22" t="s">
        <v>647</v>
      </c>
      <c r="C110" s="22" t="s">
        <v>646</v>
      </c>
      <c r="D110" s="126">
        <v>43640</v>
      </c>
      <c r="E110" s="22" t="s">
        <v>589</v>
      </c>
      <c r="F110" s="79">
        <v>0.5</v>
      </c>
      <c r="G110" s="79">
        <v>0.5625</v>
      </c>
      <c r="H110" s="79">
        <v>0.58333333333333304</v>
      </c>
      <c r="I110" s="121">
        <v>0</v>
      </c>
      <c r="J110" s="22" t="s">
        <v>15</v>
      </c>
      <c r="K110" s="121" t="s">
        <v>15</v>
      </c>
      <c r="L110" s="121" t="s">
        <v>17</v>
      </c>
    </row>
    <row r="111" spans="1:12" s="13" customFormat="1" ht="43.5" x14ac:dyDescent="0.35">
      <c r="A111" s="125">
        <v>43638</v>
      </c>
      <c r="B111" s="17" t="s">
        <v>645</v>
      </c>
      <c r="C111" s="17" t="s">
        <v>644</v>
      </c>
      <c r="D111" s="125">
        <v>43641</v>
      </c>
      <c r="E111" s="109" t="s">
        <v>643</v>
      </c>
      <c r="F111" s="26">
        <v>0.38888888888888901</v>
      </c>
      <c r="G111" s="26">
        <v>0.40625</v>
      </c>
      <c r="H111" s="26">
        <v>0.41666666666666702</v>
      </c>
      <c r="I111" s="144">
        <v>125</v>
      </c>
      <c r="J111" s="17" t="s">
        <v>642</v>
      </c>
      <c r="K111" s="65" t="s">
        <v>119</v>
      </c>
      <c r="L111" s="65" t="s">
        <v>17</v>
      </c>
    </row>
    <row r="112" spans="1:12" s="13" customFormat="1" ht="116" x14ac:dyDescent="0.35">
      <c r="A112" s="18">
        <v>43640</v>
      </c>
      <c r="B112" s="17" t="s">
        <v>641</v>
      </c>
      <c r="C112" s="17" t="s">
        <v>640</v>
      </c>
      <c r="D112" s="18">
        <v>43641</v>
      </c>
      <c r="E112" s="17" t="s">
        <v>639</v>
      </c>
      <c r="F112" s="26">
        <v>0.38888888888888901</v>
      </c>
      <c r="G112" s="26">
        <v>0.43055555555555602</v>
      </c>
      <c r="H112" s="26">
        <v>0.44444444444444398</v>
      </c>
      <c r="I112" s="17">
        <v>200</v>
      </c>
      <c r="J112" s="17" t="s">
        <v>638</v>
      </c>
      <c r="K112" s="17" t="s">
        <v>119</v>
      </c>
      <c r="L112" s="17" t="s">
        <v>17</v>
      </c>
    </row>
    <row r="113" spans="1:12" s="13" customFormat="1" ht="43.5" x14ac:dyDescent="0.35">
      <c r="A113" s="124">
        <v>43636</v>
      </c>
      <c r="B113" s="123" t="s">
        <v>637</v>
      </c>
      <c r="C113" s="27" t="s">
        <v>636</v>
      </c>
      <c r="D113" s="124">
        <v>43641</v>
      </c>
      <c r="E113" s="123" t="s">
        <v>635</v>
      </c>
      <c r="F113" s="129">
        <v>0.39583333333333298</v>
      </c>
      <c r="G113" s="129">
        <v>0.41666666666666702</v>
      </c>
      <c r="H113" s="129">
        <v>0.42708333333333298</v>
      </c>
      <c r="I113" s="122">
        <v>170</v>
      </c>
      <c r="J113" s="22" t="s">
        <v>634</v>
      </c>
      <c r="K113" s="121" t="s">
        <v>136</v>
      </c>
      <c r="L113" s="121" t="s">
        <v>17</v>
      </c>
    </row>
    <row r="114" spans="1:12" s="13" customFormat="1" ht="72.5" x14ac:dyDescent="0.35">
      <c r="A114" s="126">
        <v>43639</v>
      </c>
      <c r="B114" s="22" t="s">
        <v>466</v>
      </c>
      <c r="C114" s="22" t="s">
        <v>633</v>
      </c>
      <c r="D114" s="126">
        <v>43641</v>
      </c>
      <c r="E114" s="22" t="s">
        <v>464</v>
      </c>
      <c r="F114" s="79">
        <v>0.52083333333333304</v>
      </c>
      <c r="G114" s="79">
        <v>0.55208333333333304</v>
      </c>
      <c r="H114" s="79">
        <v>0.5625</v>
      </c>
      <c r="I114" s="121">
        <v>0</v>
      </c>
      <c r="J114" s="98" t="s">
        <v>16</v>
      </c>
      <c r="K114" s="121" t="s">
        <v>119</v>
      </c>
      <c r="L114" s="121" t="s">
        <v>17</v>
      </c>
    </row>
    <row r="115" spans="1:12" s="13" customFormat="1" ht="58" x14ac:dyDescent="0.35">
      <c r="A115" s="142">
        <v>43634</v>
      </c>
      <c r="B115" s="29" t="s">
        <v>632</v>
      </c>
      <c r="C115" s="29" t="s">
        <v>631</v>
      </c>
      <c r="D115" s="142">
        <v>43641</v>
      </c>
      <c r="E115" s="29" t="s">
        <v>630</v>
      </c>
      <c r="F115" s="31">
        <v>0.52083333333333304</v>
      </c>
      <c r="G115" s="31">
        <v>0.59375</v>
      </c>
      <c r="H115" s="31">
        <v>0.60416666666666696</v>
      </c>
      <c r="I115" s="144">
        <v>250</v>
      </c>
      <c r="J115" s="42" t="s">
        <v>629</v>
      </c>
      <c r="K115" s="65" t="s">
        <v>119</v>
      </c>
      <c r="L115" s="65" t="s">
        <v>17</v>
      </c>
    </row>
    <row r="116" spans="1:12" s="13" customFormat="1" ht="126.65" customHeight="1" x14ac:dyDescent="0.35">
      <c r="A116" s="124">
        <v>43639</v>
      </c>
      <c r="B116" s="123" t="s">
        <v>131</v>
      </c>
      <c r="C116" s="123" t="s">
        <v>628</v>
      </c>
      <c r="D116" s="124">
        <v>43641</v>
      </c>
      <c r="E116" s="123" t="s">
        <v>129</v>
      </c>
      <c r="F116" s="129">
        <v>0.52083333333333304</v>
      </c>
      <c r="G116" s="129">
        <v>0.63541666666666696</v>
      </c>
      <c r="H116" s="129">
        <v>0.66666666666666696</v>
      </c>
      <c r="I116" s="121">
        <v>642.6</v>
      </c>
      <c r="J116" s="42" t="s">
        <v>627</v>
      </c>
      <c r="K116" s="65" t="s">
        <v>15</v>
      </c>
      <c r="L116" s="65" t="s">
        <v>17</v>
      </c>
    </row>
    <row r="117" spans="1:12" s="13" customFormat="1" ht="29" x14ac:dyDescent="0.35">
      <c r="A117" s="155">
        <v>43640</v>
      </c>
      <c r="B117" s="17" t="s">
        <v>626</v>
      </c>
      <c r="C117" s="17" t="s">
        <v>625</v>
      </c>
      <c r="D117" s="125">
        <v>43641</v>
      </c>
      <c r="E117" s="17" t="s">
        <v>210</v>
      </c>
      <c r="F117" s="17" t="s">
        <v>621</v>
      </c>
      <c r="G117" s="26">
        <v>0.66666666666666696</v>
      </c>
      <c r="H117" s="26">
        <v>0.66666666666666696</v>
      </c>
      <c r="I117" s="65">
        <v>140</v>
      </c>
      <c r="J117" s="17" t="s">
        <v>624</v>
      </c>
      <c r="K117" s="65" t="s">
        <v>15</v>
      </c>
      <c r="L117" s="154" t="s">
        <v>17</v>
      </c>
    </row>
    <row r="118" spans="1:12" s="13" customFormat="1" ht="29" x14ac:dyDescent="0.35">
      <c r="A118" s="126">
        <v>43640</v>
      </c>
      <c r="B118" s="22" t="s">
        <v>623</v>
      </c>
      <c r="C118" s="22" t="s">
        <v>622</v>
      </c>
      <c r="D118" s="126">
        <v>43641</v>
      </c>
      <c r="E118" s="22" t="s">
        <v>210</v>
      </c>
      <c r="F118" s="22" t="s">
        <v>621</v>
      </c>
      <c r="G118" s="22" t="s">
        <v>620</v>
      </c>
      <c r="H118" s="79">
        <v>0.66666666666666696</v>
      </c>
      <c r="I118" s="121">
        <v>70</v>
      </c>
      <c r="J118" s="22" t="s">
        <v>619</v>
      </c>
      <c r="K118" s="121" t="s">
        <v>15</v>
      </c>
      <c r="L118" s="121" t="s">
        <v>17</v>
      </c>
    </row>
    <row r="119" spans="1:12" s="13" customFormat="1" ht="188.5" x14ac:dyDescent="0.35">
      <c r="A119" s="125">
        <v>43641</v>
      </c>
      <c r="B119" s="17" t="s">
        <v>152</v>
      </c>
      <c r="C119" s="17" t="s">
        <v>618</v>
      </c>
      <c r="D119" s="125">
        <v>43642</v>
      </c>
      <c r="E119" s="17" t="s">
        <v>510</v>
      </c>
      <c r="F119" s="26">
        <v>0.54166666666666696</v>
      </c>
      <c r="G119" s="26">
        <v>0.5625</v>
      </c>
      <c r="H119" s="26">
        <v>0.58333333333333304</v>
      </c>
      <c r="I119" s="65">
        <v>297</v>
      </c>
      <c r="J119" s="42" t="s">
        <v>617</v>
      </c>
      <c r="K119" s="65" t="s">
        <v>140</v>
      </c>
      <c r="L119" s="65" t="s">
        <v>17</v>
      </c>
    </row>
    <row r="120" spans="1:12" s="13" customFormat="1" ht="58" x14ac:dyDescent="0.35">
      <c r="A120" s="125">
        <v>43641</v>
      </c>
      <c r="B120" s="17" t="s">
        <v>466</v>
      </c>
      <c r="C120" s="17" t="s">
        <v>616</v>
      </c>
      <c r="D120" s="125">
        <v>43642</v>
      </c>
      <c r="E120" s="17" t="s">
        <v>464</v>
      </c>
      <c r="F120" s="26">
        <v>0.74305555555555503</v>
      </c>
      <c r="G120" s="26">
        <v>0.78472222222222199</v>
      </c>
      <c r="H120" s="26">
        <v>0.79861111111111105</v>
      </c>
      <c r="I120" s="65">
        <v>0</v>
      </c>
      <c r="J120" s="17" t="s">
        <v>289</v>
      </c>
      <c r="K120" s="65" t="s">
        <v>140</v>
      </c>
      <c r="L120" s="65" t="s">
        <v>17</v>
      </c>
    </row>
    <row r="121" spans="1:12" s="13" customFormat="1" ht="72.5" x14ac:dyDescent="0.35">
      <c r="A121" s="125">
        <v>43635</v>
      </c>
      <c r="B121" s="17" t="s">
        <v>615</v>
      </c>
      <c r="C121" s="17" t="s">
        <v>614</v>
      </c>
      <c r="D121" s="125">
        <v>43642</v>
      </c>
      <c r="E121" s="17" t="s">
        <v>613</v>
      </c>
      <c r="F121" s="26">
        <v>0.78472222222222199</v>
      </c>
      <c r="G121" s="26">
        <v>0.8125</v>
      </c>
      <c r="H121" s="26">
        <v>0.82291666666666696</v>
      </c>
      <c r="I121" s="65">
        <v>500</v>
      </c>
      <c r="J121" s="42" t="s">
        <v>612</v>
      </c>
      <c r="K121" s="65" t="s">
        <v>140</v>
      </c>
      <c r="L121" s="65" t="s">
        <v>17</v>
      </c>
    </row>
    <row r="122" spans="1:12" s="13" customFormat="1" ht="43.5" x14ac:dyDescent="0.35">
      <c r="A122" s="126">
        <v>43640</v>
      </c>
      <c r="B122" s="22" t="s">
        <v>611</v>
      </c>
      <c r="C122" s="22" t="s">
        <v>610</v>
      </c>
      <c r="D122" s="126">
        <v>43643</v>
      </c>
      <c r="E122" s="22" t="s">
        <v>589</v>
      </c>
      <c r="F122" s="79">
        <v>0.35416666666666702</v>
      </c>
      <c r="G122" s="79">
        <v>0.375</v>
      </c>
      <c r="H122" s="79">
        <v>0.38541666666666702</v>
      </c>
      <c r="I122" s="121">
        <v>0</v>
      </c>
      <c r="J122" s="22" t="s">
        <v>289</v>
      </c>
      <c r="K122" s="121" t="s">
        <v>119</v>
      </c>
      <c r="L122" s="121" t="s">
        <v>22</v>
      </c>
    </row>
    <row r="123" spans="1:12" s="13" customFormat="1" ht="29" x14ac:dyDescent="0.35">
      <c r="A123" s="125">
        <v>43635</v>
      </c>
      <c r="B123" s="17" t="s">
        <v>609</v>
      </c>
      <c r="C123" s="17" t="s">
        <v>608</v>
      </c>
      <c r="D123" s="125">
        <v>43643</v>
      </c>
      <c r="E123" s="17" t="s">
        <v>576</v>
      </c>
      <c r="F123" s="79">
        <v>0.35416666666666702</v>
      </c>
      <c r="G123" s="26">
        <v>0.39583333333333298</v>
      </c>
      <c r="H123" s="26">
        <v>0.41666666666666702</v>
      </c>
      <c r="I123" s="65">
        <v>0</v>
      </c>
      <c r="J123" s="22" t="s">
        <v>289</v>
      </c>
      <c r="K123" s="121" t="s">
        <v>119</v>
      </c>
      <c r="L123" s="65" t="s">
        <v>17</v>
      </c>
    </row>
    <row r="124" spans="1:12" s="13" customFormat="1" ht="290" x14ac:dyDescent="0.35">
      <c r="A124" s="126">
        <v>43641</v>
      </c>
      <c r="B124" s="22" t="s">
        <v>607</v>
      </c>
      <c r="C124" s="22" t="s">
        <v>606</v>
      </c>
      <c r="D124" s="126">
        <v>43643</v>
      </c>
      <c r="E124" s="22" t="s">
        <v>605</v>
      </c>
      <c r="F124" s="79">
        <v>0.47916666666666702</v>
      </c>
      <c r="G124" s="79">
        <v>0.52083333333333304</v>
      </c>
      <c r="H124" s="79">
        <v>0.54166666666666696</v>
      </c>
      <c r="I124" s="121">
        <v>2704.95</v>
      </c>
      <c r="J124" s="98" t="s">
        <v>604</v>
      </c>
      <c r="K124" s="121" t="s">
        <v>119</v>
      </c>
      <c r="L124" s="121" t="s">
        <v>17</v>
      </c>
    </row>
    <row r="125" spans="1:12" s="13" customFormat="1" ht="130.5" x14ac:dyDescent="0.35">
      <c r="A125" s="125">
        <v>43641</v>
      </c>
      <c r="B125" s="17" t="s">
        <v>131</v>
      </c>
      <c r="C125" s="17" t="s">
        <v>603</v>
      </c>
      <c r="D125" s="125">
        <v>43643</v>
      </c>
      <c r="E125" s="17" t="s">
        <v>129</v>
      </c>
      <c r="F125" s="79">
        <v>0.60416666666666696</v>
      </c>
      <c r="G125" s="26">
        <v>0.625</v>
      </c>
      <c r="H125" s="26">
        <v>0.64583333333333304</v>
      </c>
      <c r="I125" s="65">
        <v>991.25</v>
      </c>
      <c r="J125" s="42" t="s">
        <v>602</v>
      </c>
      <c r="K125" s="121" t="s">
        <v>119</v>
      </c>
      <c r="L125" s="121" t="s">
        <v>17</v>
      </c>
    </row>
    <row r="126" spans="1:12" s="13" customFormat="1" ht="217.5" x14ac:dyDescent="0.35">
      <c r="A126" s="125">
        <v>43642</v>
      </c>
      <c r="B126" s="17" t="s">
        <v>601</v>
      </c>
      <c r="C126" s="17" t="s">
        <v>600</v>
      </c>
      <c r="D126" s="125">
        <v>43643</v>
      </c>
      <c r="E126" s="17" t="s">
        <v>599</v>
      </c>
      <c r="F126" s="26">
        <v>0.75</v>
      </c>
      <c r="G126" s="26">
        <v>0.75</v>
      </c>
      <c r="H126" s="26">
        <v>0.75</v>
      </c>
      <c r="I126" s="65">
        <v>0</v>
      </c>
      <c r="J126" s="17" t="s">
        <v>16</v>
      </c>
      <c r="K126" s="65" t="s">
        <v>17</v>
      </c>
      <c r="L126" s="65" t="s">
        <v>17</v>
      </c>
    </row>
    <row r="127" spans="1:12" s="13" customFormat="1" ht="101.5" x14ac:dyDescent="0.35">
      <c r="A127" s="126">
        <v>43640</v>
      </c>
      <c r="B127" s="22" t="s">
        <v>598</v>
      </c>
      <c r="C127" s="22" t="s">
        <v>597</v>
      </c>
      <c r="D127" s="126">
        <v>43643</v>
      </c>
      <c r="E127" s="22" t="s">
        <v>596</v>
      </c>
      <c r="F127" s="79">
        <v>0.88541666666666696</v>
      </c>
      <c r="G127" s="79">
        <v>0.90277777777777801</v>
      </c>
      <c r="H127" s="79">
        <v>0.93055555555555503</v>
      </c>
      <c r="I127" s="121">
        <v>845</v>
      </c>
      <c r="J127" s="98" t="s">
        <v>595</v>
      </c>
      <c r="K127" s="121" t="s">
        <v>17</v>
      </c>
      <c r="L127" s="121" t="s">
        <v>17</v>
      </c>
    </row>
    <row r="128" spans="1:12" s="13" customFormat="1" ht="43.5" x14ac:dyDescent="0.35">
      <c r="A128" s="125">
        <v>43640</v>
      </c>
      <c r="B128" s="17" t="s">
        <v>594</v>
      </c>
      <c r="C128" s="17" t="s">
        <v>593</v>
      </c>
      <c r="D128" s="125">
        <v>43644</v>
      </c>
      <c r="E128" s="17" t="s">
        <v>589</v>
      </c>
      <c r="F128" s="26">
        <v>0.58333333333333304</v>
      </c>
      <c r="G128" s="26">
        <v>0.60416666666666696</v>
      </c>
      <c r="H128" s="26">
        <v>0.61458333333333304</v>
      </c>
      <c r="I128" s="143">
        <v>120</v>
      </c>
      <c r="J128" s="22" t="s">
        <v>592</v>
      </c>
      <c r="K128" s="121" t="s">
        <v>15</v>
      </c>
      <c r="L128" s="65" t="s">
        <v>22</v>
      </c>
    </row>
    <row r="129" spans="1:12" s="13" customFormat="1" ht="43.5" x14ac:dyDescent="0.35">
      <c r="A129" s="126">
        <v>43643</v>
      </c>
      <c r="B129" s="152" t="s">
        <v>591</v>
      </c>
      <c r="C129" s="152" t="s">
        <v>590</v>
      </c>
      <c r="D129" s="153">
        <v>43644</v>
      </c>
      <c r="E129" s="152" t="s">
        <v>589</v>
      </c>
      <c r="F129" s="151">
        <v>0.58333333333333304</v>
      </c>
      <c r="G129" s="151">
        <v>0.60416666666666696</v>
      </c>
      <c r="H129" s="151">
        <v>0.61458333333333304</v>
      </c>
      <c r="I129" s="150" t="s">
        <v>15</v>
      </c>
      <c r="J129" s="150" t="s">
        <v>15</v>
      </c>
      <c r="K129" s="150" t="s">
        <v>15</v>
      </c>
      <c r="L129" s="150" t="s">
        <v>216</v>
      </c>
    </row>
    <row r="130" spans="1:12" s="13" customFormat="1" ht="87" x14ac:dyDescent="0.35">
      <c r="A130" s="126">
        <v>43640</v>
      </c>
      <c r="B130" s="22" t="s">
        <v>292</v>
      </c>
      <c r="C130" s="22" t="s">
        <v>588</v>
      </c>
      <c r="D130" s="126">
        <v>43644</v>
      </c>
      <c r="E130" s="22" t="s">
        <v>290</v>
      </c>
      <c r="F130" s="79">
        <v>0.58333333333333304</v>
      </c>
      <c r="G130" s="79">
        <v>0.64583333333333304</v>
      </c>
      <c r="H130" s="79">
        <v>0.66666666666666696</v>
      </c>
      <c r="I130" s="121" t="s">
        <v>15</v>
      </c>
      <c r="J130" s="22" t="s">
        <v>289</v>
      </c>
      <c r="K130" s="121" t="s">
        <v>15</v>
      </c>
      <c r="L130" s="121" t="s">
        <v>22</v>
      </c>
    </row>
    <row r="131" spans="1:12" s="13" customFormat="1" ht="58" x14ac:dyDescent="0.35">
      <c r="A131" s="126">
        <v>43644</v>
      </c>
      <c r="B131" s="22" t="s">
        <v>152</v>
      </c>
      <c r="C131" s="22" t="s">
        <v>587</v>
      </c>
      <c r="D131" s="126">
        <v>43644</v>
      </c>
      <c r="E131" s="22" t="s">
        <v>510</v>
      </c>
      <c r="F131" s="79" t="s">
        <v>15</v>
      </c>
      <c r="G131" s="79">
        <v>0.58333333333333304</v>
      </c>
      <c r="H131" s="79">
        <v>0.625</v>
      </c>
      <c r="I131" s="121">
        <v>360</v>
      </c>
      <c r="J131" s="98" t="s">
        <v>586</v>
      </c>
      <c r="K131" s="121" t="s">
        <v>15</v>
      </c>
      <c r="L131" s="121" t="s">
        <v>17</v>
      </c>
    </row>
    <row r="132" spans="1:12" s="13" customFormat="1" ht="203" x14ac:dyDescent="0.35">
      <c r="A132" s="142">
        <v>43638</v>
      </c>
      <c r="B132" s="29" t="s">
        <v>585</v>
      </c>
      <c r="C132" s="29" t="s">
        <v>584</v>
      </c>
      <c r="D132" s="124">
        <v>43645</v>
      </c>
      <c r="E132" s="29" t="s">
        <v>441</v>
      </c>
      <c r="F132" s="129">
        <v>0.54166666666666696</v>
      </c>
      <c r="G132" s="31">
        <v>0.5625</v>
      </c>
      <c r="H132" s="31">
        <v>0.60416666666666696</v>
      </c>
      <c r="I132" s="65">
        <v>952</v>
      </c>
      <c r="J132" s="149" t="s">
        <v>583</v>
      </c>
      <c r="K132" s="121" t="s">
        <v>15</v>
      </c>
      <c r="L132" s="121" t="s">
        <v>17</v>
      </c>
    </row>
    <row r="133" spans="1:12" s="13" customFormat="1" ht="87" x14ac:dyDescent="0.35">
      <c r="A133" s="124">
        <v>43628</v>
      </c>
      <c r="B133" s="123" t="s">
        <v>582</v>
      </c>
      <c r="C133" s="123" t="s">
        <v>581</v>
      </c>
      <c r="D133" s="148">
        <v>43645</v>
      </c>
      <c r="E133" s="147" t="s">
        <v>580</v>
      </c>
      <c r="F133" s="129">
        <v>0.54166666666666696</v>
      </c>
      <c r="G133" s="146">
        <v>0.625</v>
      </c>
      <c r="H133" s="129">
        <v>0.64583333333333304</v>
      </c>
      <c r="I133" s="139">
        <v>318</v>
      </c>
      <c r="J133" s="22" t="s">
        <v>369</v>
      </c>
      <c r="K133" s="121" t="s">
        <v>15</v>
      </c>
      <c r="L133" s="121" t="s">
        <v>22</v>
      </c>
    </row>
    <row r="134" spans="1:12" s="13" customFormat="1" ht="101.5" x14ac:dyDescent="0.35">
      <c r="A134" s="124">
        <v>43642</v>
      </c>
      <c r="B134" s="123" t="s">
        <v>131</v>
      </c>
      <c r="C134" s="123" t="s">
        <v>579</v>
      </c>
      <c r="D134" s="124">
        <v>43645</v>
      </c>
      <c r="E134" s="123" t="s">
        <v>129</v>
      </c>
      <c r="F134" s="129">
        <v>0.54166666666666696</v>
      </c>
      <c r="G134" s="129">
        <v>0.625</v>
      </c>
      <c r="H134" s="129">
        <v>0.66666666666666696</v>
      </c>
      <c r="I134" s="121">
        <v>2085</v>
      </c>
      <c r="J134" s="98" t="s">
        <v>578</v>
      </c>
      <c r="K134" s="121" t="s">
        <v>15</v>
      </c>
      <c r="L134" s="121" t="s">
        <v>17</v>
      </c>
    </row>
    <row r="135" spans="1:12" s="13" customFormat="1" ht="101.5" x14ac:dyDescent="0.35">
      <c r="A135" s="125">
        <v>43639</v>
      </c>
      <c r="B135" s="22" t="s">
        <v>262</v>
      </c>
      <c r="C135" s="17" t="s">
        <v>577</v>
      </c>
      <c r="D135" s="125">
        <v>43645</v>
      </c>
      <c r="E135" s="22" t="s">
        <v>576</v>
      </c>
      <c r="F135" s="26">
        <v>0.70833333333333304</v>
      </c>
      <c r="G135" s="26">
        <v>0.73958333333333304</v>
      </c>
      <c r="H135" s="26">
        <v>0.75</v>
      </c>
      <c r="I135" s="65">
        <v>1357</v>
      </c>
      <c r="J135" s="42" t="s">
        <v>575</v>
      </c>
      <c r="K135" s="65" t="s">
        <v>15</v>
      </c>
      <c r="L135" s="65" t="s">
        <v>17</v>
      </c>
    </row>
    <row r="136" spans="1:12" s="13" customFormat="1" ht="101.5" x14ac:dyDescent="0.35">
      <c r="A136" s="126">
        <v>43640</v>
      </c>
      <c r="B136" s="123" t="s">
        <v>292</v>
      </c>
      <c r="C136" s="123" t="s">
        <v>574</v>
      </c>
      <c r="D136" s="148">
        <v>43645</v>
      </c>
      <c r="E136" s="147" t="s">
        <v>290</v>
      </c>
      <c r="F136" s="129">
        <v>0.70833333333333304</v>
      </c>
      <c r="G136" s="146">
        <v>0.78125</v>
      </c>
      <c r="H136" s="129">
        <v>0.79166666666666696</v>
      </c>
      <c r="I136" s="145">
        <v>921.75</v>
      </c>
      <c r="J136" s="98" t="s">
        <v>573</v>
      </c>
      <c r="K136" s="121" t="s">
        <v>15</v>
      </c>
      <c r="L136" s="121" t="s">
        <v>22</v>
      </c>
    </row>
    <row r="137" spans="1:12" s="13" customFormat="1" ht="29" x14ac:dyDescent="0.35">
      <c r="A137" s="126">
        <v>43612</v>
      </c>
      <c r="B137" s="123" t="s">
        <v>572</v>
      </c>
      <c r="C137" s="123" t="s">
        <v>571</v>
      </c>
      <c r="D137" s="124">
        <v>43645</v>
      </c>
      <c r="E137" s="123" t="s">
        <v>210</v>
      </c>
      <c r="F137" s="123" t="s">
        <v>49</v>
      </c>
      <c r="G137" s="123" t="s">
        <v>49</v>
      </c>
      <c r="H137" s="123" t="s">
        <v>49</v>
      </c>
      <c r="I137" s="121">
        <v>0</v>
      </c>
      <c r="J137" s="22" t="s">
        <v>49</v>
      </c>
      <c r="K137" s="121" t="s">
        <v>15</v>
      </c>
      <c r="L137" s="121" t="s">
        <v>330</v>
      </c>
    </row>
    <row r="138" spans="1:12" s="13" customFormat="1" ht="29" x14ac:dyDescent="0.35">
      <c r="A138" s="126">
        <v>43644</v>
      </c>
      <c r="B138" s="22" t="s">
        <v>570</v>
      </c>
      <c r="C138" s="22" t="s">
        <v>569</v>
      </c>
      <c r="D138" s="126">
        <v>43646</v>
      </c>
      <c r="E138" s="22" t="s">
        <v>568</v>
      </c>
      <c r="F138" s="79">
        <v>0.41666666666666702</v>
      </c>
      <c r="G138" s="79">
        <v>0.41666666666666702</v>
      </c>
      <c r="H138" s="79">
        <v>0.45833333333333298</v>
      </c>
      <c r="I138" s="121">
        <v>0</v>
      </c>
      <c r="J138" s="22" t="s">
        <v>361</v>
      </c>
      <c r="K138" s="121" t="s">
        <v>15</v>
      </c>
      <c r="L138" s="121" t="s">
        <v>17</v>
      </c>
    </row>
    <row r="139" spans="1:12" s="13" customFormat="1" ht="101.5" x14ac:dyDescent="0.35">
      <c r="A139" s="125">
        <v>43642</v>
      </c>
      <c r="B139" s="29" t="s">
        <v>567</v>
      </c>
      <c r="C139" s="29" t="s">
        <v>566</v>
      </c>
      <c r="D139" s="142">
        <v>43646</v>
      </c>
      <c r="E139" s="29" t="s">
        <v>27</v>
      </c>
      <c r="F139" s="31">
        <v>0.54166666666666696</v>
      </c>
      <c r="G139" s="31">
        <v>0.58333333333333304</v>
      </c>
      <c r="H139" s="31">
        <v>0.60416666666666696</v>
      </c>
      <c r="I139" s="144">
        <v>238</v>
      </c>
      <c r="J139" s="42" t="s">
        <v>565</v>
      </c>
      <c r="K139" s="121" t="s">
        <v>15</v>
      </c>
      <c r="L139" s="65" t="s">
        <v>17</v>
      </c>
    </row>
    <row r="140" spans="1:12" s="13" customFormat="1" ht="174" x14ac:dyDescent="0.35">
      <c r="A140" s="126">
        <v>43641</v>
      </c>
      <c r="B140" s="123" t="s">
        <v>131</v>
      </c>
      <c r="C140" s="123" t="s">
        <v>564</v>
      </c>
      <c r="D140" s="124">
        <v>43646</v>
      </c>
      <c r="E140" s="123" t="s">
        <v>129</v>
      </c>
      <c r="F140" s="129">
        <v>0.54166666666666696</v>
      </c>
      <c r="G140" s="129">
        <v>0.625</v>
      </c>
      <c r="H140" s="129">
        <v>0.66666666666666696</v>
      </c>
      <c r="I140" s="122">
        <v>1087.5</v>
      </c>
      <c r="J140" s="98" t="s">
        <v>563</v>
      </c>
      <c r="K140" s="121" t="s">
        <v>15</v>
      </c>
      <c r="L140" s="121" t="s">
        <v>17</v>
      </c>
    </row>
    <row r="141" spans="1:12" s="13" customFormat="1" x14ac:dyDescent="0.35">
      <c r="A141" s="125">
        <v>43646</v>
      </c>
      <c r="B141" s="17" t="s">
        <v>518</v>
      </c>
      <c r="C141" s="17" t="s">
        <v>517</v>
      </c>
      <c r="D141" s="125">
        <v>43647</v>
      </c>
      <c r="E141" s="17" t="s">
        <v>229</v>
      </c>
      <c r="F141" s="26"/>
      <c r="G141" s="26">
        <v>0.41666666666666702</v>
      </c>
      <c r="H141" s="26">
        <v>0.41666666666666702</v>
      </c>
      <c r="I141" s="65" t="s">
        <v>15</v>
      </c>
      <c r="J141" s="17"/>
      <c r="K141" s="65"/>
      <c r="L141" s="65" t="s">
        <v>22</v>
      </c>
    </row>
    <row r="142" spans="1:12" s="13" customFormat="1" ht="87" x14ac:dyDescent="0.35">
      <c r="A142" s="126">
        <v>43644</v>
      </c>
      <c r="B142" s="22" t="s">
        <v>466</v>
      </c>
      <c r="C142" s="22" t="s">
        <v>562</v>
      </c>
      <c r="D142" s="126">
        <v>43647</v>
      </c>
      <c r="E142" s="17" t="s">
        <v>464</v>
      </c>
      <c r="F142" s="22" t="s">
        <v>15</v>
      </c>
      <c r="G142" s="79">
        <v>0.45833333333333298</v>
      </c>
      <c r="H142" s="79">
        <v>0.5</v>
      </c>
      <c r="I142" s="121" t="s">
        <v>561</v>
      </c>
      <c r="J142" s="22" t="s">
        <v>463</v>
      </c>
      <c r="K142" s="121" t="s">
        <v>15</v>
      </c>
      <c r="L142" s="121" t="s">
        <v>17</v>
      </c>
    </row>
    <row r="143" spans="1:12" s="13" customFormat="1" ht="29" x14ac:dyDescent="0.35">
      <c r="A143" s="126">
        <v>43644</v>
      </c>
      <c r="B143" s="22" t="s">
        <v>152</v>
      </c>
      <c r="C143" s="22" t="s">
        <v>511</v>
      </c>
      <c r="D143" s="126">
        <v>43647</v>
      </c>
      <c r="E143" s="22" t="s">
        <v>510</v>
      </c>
      <c r="F143" s="79" t="s">
        <v>15</v>
      </c>
      <c r="G143" s="79">
        <v>0.58333333333333304</v>
      </c>
      <c r="H143" s="79">
        <v>0.625</v>
      </c>
      <c r="I143" s="143">
        <v>0</v>
      </c>
      <c r="J143" s="98" t="s">
        <v>16</v>
      </c>
      <c r="K143" s="121" t="s">
        <v>15</v>
      </c>
      <c r="L143" s="121" t="s">
        <v>17</v>
      </c>
    </row>
    <row r="144" spans="1:12" s="13" customFormat="1" ht="29" x14ac:dyDescent="0.35">
      <c r="A144" s="126">
        <v>43643</v>
      </c>
      <c r="B144" s="123" t="s">
        <v>508</v>
      </c>
      <c r="C144" s="123" t="s">
        <v>507</v>
      </c>
      <c r="D144" s="124">
        <v>43647</v>
      </c>
      <c r="E144" s="123" t="s">
        <v>506</v>
      </c>
      <c r="F144" s="129"/>
      <c r="G144" s="129">
        <v>0.66666666666666696</v>
      </c>
      <c r="H144" s="129">
        <v>0.75</v>
      </c>
      <c r="I144" s="121">
        <v>390</v>
      </c>
      <c r="J144" s="22" t="s">
        <v>257</v>
      </c>
      <c r="K144" s="121" t="s">
        <v>15</v>
      </c>
      <c r="L144" s="121" t="s">
        <v>22</v>
      </c>
    </row>
    <row r="145" spans="1:1024" ht="72.5" x14ac:dyDescent="0.35">
      <c r="A145" s="126">
        <v>43644</v>
      </c>
      <c r="B145" s="22" t="s">
        <v>131</v>
      </c>
      <c r="C145" s="22" t="s">
        <v>505</v>
      </c>
      <c r="D145" s="126">
        <v>43648</v>
      </c>
      <c r="E145" s="22" t="s">
        <v>129</v>
      </c>
      <c r="F145" s="22" t="s">
        <v>15</v>
      </c>
      <c r="G145" s="79">
        <v>0.5</v>
      </c>
      <c r="H145" s="79">
        <v>0.58333333333333304</v>
      </c>
      <c r="I145" s="121" t="s">
        <v>560</v>
      </c>
      <c r="J145" s="22" t="s">
        <v>504</v>
      </c>
      <c r="K145" s="121"/>
      <c r="L145" s="121" t="s">
        <v>17</v>
      </c>
    </row>
    <row r="146" spans="1:1024" ht="29" x14ac:dyDescent="0.35">
      <c r="A146" s="125">
        <v>43646</v>
      </c>
      <c r="B146" s="29" t="s">
        <v>501</v>
      </c>
      <c r="C146" s="29" t="s">
        <v>559</v>
      </c>
      <c r="D146" s="142">
        <v>43648</v>
      </c>
      <c r="E146" s="29" t="s">
        <v>499</v>
      </c>
      <c r="F146" s="29"/>
      <c r="G146" s="26">
        <v>0.66666666666666696</v>
      </c>
      <c r="H146" s="26">
        <v>0.66666666666666696</v>
      </c>
      <c r="I146" s="65">
        <v>240</v>
      </c>
      <c r="J146" s="17" t="s">
        <v>257</v>
      </c>
      <c r="K146" s="65"/>
      <c r="L146" s="65" t="s">
        <v>22</v>
      </c>
    </row>
    <row r="147" spans="1:1024" ht="72.5" x14ac:dyDescent="0.35">
      <c r="A147" s="126">
        <v>43644</v>
      </c>
      <c r="B147" s="22" t="s">
        <v>131</v>
      </c>
      <c r="C147" s="22" t="s">
        <v>558</v>
      </c>
      <c r="D147" s="126">
        <v>43650</v>
      </c>
      <c r="E147" s="22" t="s">
        <v>129</v>
      </c>
      <c r="F147" s="22" t="s">
        <v>15</v>
      </c>
      <c r="G147" s="22" t="s">
        <v>49</v>
      </c>
      <c r="H147" s="22" t="s">
        <v>49</v>
      </c>
      <c r="I147" s="121" t="s">
        <v>557</v>
      </c>
      <c r="J147" s="22" t="s">
        <v>556</v>
      </c>
      <c r="K147" s="121"/>
      <c r="L147" s="121" t="s">
        <v>17</v>
      </c>
    </row>
    <row r="148" spans="1:1024" ht="101.5" x14ac:dyDescent="0.35">
      <c r="A148" s="126">
        <v>43642</v>
      </c>
      <c r="B148" s="22" t="s">
        <v>364</v>
      </c>
      <c r="C148" s="22" t="s">
        <v>555</v>
      </c>
      <c r="D148" s="126">
        <v>43652</v>
      </c>
      <c r="E148" s="22" t="s">
        <v>362</v>
      </c>
      <c r="F148" s="22" t="s">
        <v>15</v>
      </c>
      <c r="G148" s="79">
        <v>0.5</v>
      </c>
      <c r="H148" s="79">
        <v>0.66666666666666696</v>
      </c>
      <c r="I148" s="121" t="s">
        <v>554</v>
      </c>
      <c r="J148" s="22" t="s">
        <v>415</v>
      </c>
      <c r="K148" s="121" t="s">
        <v>15</v>
      </c>
      <c r="L148" s="121" t="s">
        <v>17</v>
      </c>
    </row>
    <row r="149" spans="1:1024" ht="72.5" x14ac:dyDescent="0.35">
      <c r="A149" s="126">
        <v>43571</v>
      </c>
      <c r="B149" s="123" t="s">
        <v>553</v>
      </c>
      <c r="C149" s="123" t="s">
        <v>552</v>
      </c>
      <c r="D149" s="124">
        <v>43652</v>
      </c>
      <c r="E149" s="123" t="s">
        <v>437</v>
      </c>
      <c r="F149" s="123" t="s">
        <v>15</v>
      </c>
      <c r="G149" s="123" t="s">
        <v>49</v>
      </c>
      <c r="H149" s="123" t="s">
        <v>49</v>
      </c>
      <c r="I149" s="122" t="s">
        <v>551</v>
      </c>
      <c r="J149" s="131" t="s">
        <v>75</v>
      </c>
      <c r="K149" s="121" t="s">
        <v>15</v>
      </c>
      <c r="L149" s="121"/>
    </row>
    <row r="150" spans="1:1024" ht="43.5" x14ac:dyDescent="0.35">
      <c r="A150" s="126">
        <v>43627</v>
      </c>
      <c r="B150" s="141" t="s">
        <v>436</v>
      </c>
      <c r="C150" s="141" t="s">
        <v>550</v>
      </c>
      <c r="D150" s="124">
        <v>43652</v>
      </c>
      <c r="E150" s="123" t="s">
        <v>549</v>
      </c>
      <c r="F150" s="123"/>
      <c r="G150" s="123" t="s">
        <v>539</v>
      </c>
      <c r="H150" s="123" t="s">
        <v>539</v>
      </c>
      <c r="I150" s="121" t="s">
        <v>548</v>
      </c>
      <c r="J150" s="22" t="s">
        <v>49</v>
      </c>
      <c r="K150" s="121" t="s">
        <v>15</v>
      </c>
      <c r="L150" s="121" t="s">
        <v>22</v>
      </c>
    </row>
    <row r="151" spans="1:1024" ht="58" x14ac:dyDescent="0.35">
      <c r="A151" s="126">
        <v>43635</v>
      </c>
      <c r="B151" s="22" t="s">
        <v>447</v>
      </c>
      <c r="C151" s="27" t="s">
        <v>547</v>
      </c>
      <c r="D151" s="23">
        <v>43652</v>
      </c>
      <c r="E151" s="137" t="s">
        <v>445</v>
      </c>
      <c r="F151" s="140"/>
      <c r="G151" s="140" t="s">
        <v>546</v>
      </c>
      <c r="H151" s="79" t="s">
        <v>545</v>
      </c>
      <c r="I151" s="139" t="s">
        <v>545</v>
      </c>
      <c r="J151" s="22" t="s">
        <v>540</v>
      </c>
      <c r="K151" s="121"/>
      <c r="L151" s="121" t="s">
        <v>22</v>
      </c>
    </row>
    <row r="152" spans="1:1024" ht="43.5" x14ac:dyDescent="0.35">
      <c r="A152" s="126">
        <v>43593</v>
      </c>
      <c r="B152" s="27" t="s">
        <v>544</v>
      </c>
      <c r="C152" s="27" t="s">
        <v>543</v>
      </c>
      <c r="D152" s="138">
        <v>43652</v>
      </c>
      <c r="E152" s="27"/>
      <c r="F152" s="27"/>
      <c r="G152" s="27"/>
      <c r="H152" s="137" t="s">
        <v>49</v>
      </c>
      <c r="I152" s="136" t="s">
        <v>49</v>
      </c>
      <c r="J152" s="131"/>
      <c r="K152" s="121" t="s">
        <v>542</v>
      </c>
      <c r="L152" s="121"/>
    </row>
    <row r="153" spans="1:1024" ht="87" x14ac:dyDescent="0.35">
      <c r="A153" s="125">
        <v>43646</v>
      </c>
      <c r="B153" s="17" t="s">
        <v>292</v>
      </c>
      <c r="C153" s="32" t="s">
        <v>541</v>
      </c>
      <c r="D153" s="125">
        <v>43652</v>
      </c>
      <c r="E153" s="17" t="s">
        <v>290</v>
      </c>
      <c r="F153" s="17"/>
      <c r="G153" s="17" t="s">
        <v>539</v>
      </c>
      <c r="H153" s="109" t="s">
        <v>540</v>
      </c>
      <c r="I153" s="135" t="s">
        <v>539</v>
      </c>
      <c r="J153" s="17" t="s">
        <v>539</v>
      </c>
      <c r="K153" s="65"/>
      <c r="L153" s="65" t="s">
        <v>22</v>
      </c>
    </row>
    <row r="154" spans="1:1024" ht="29" x14ac:dyDescent="0.35">
      <c r="A154" s="126">
        <v>43644</v>
      </c>
      <c r="B154" s="22" t="s">
        <v>413</v>
      </c>
      <c r="C154" s="22" t="s">
        <v>412</v>
      </c>
      <c r="D154" s="126">
        <v>43653</v>
      </c>
      <c r="E154" s="22" t="s">
        <v>210</v>
      </c>
      <c r="F154" s="22" t="s">
        <v>15</v>
      </c>
      <c r="G154" s="79">
        <v>0.5</v>
      </c>
      <c r="H154" s="79">
        <v>0.66666666666666696</v>
      </c>
      <c r="I154" s="121" t="s">
        <v>538</v>
      </c>
      <c r="J154" s="17" t="s">
        <v>411</v>
      </c>
      <c r="K154" s="121" t="s">
        <v>15</v>
      </c>
      <c r="L154" s="121" t="s">
        <v>17</v>
      </c>
    </row>
    <row r="155" spans="1:1024" ht="54.65" customHeight="1" x14ac:dyDescent="0.35">
      <c r="A155" s="126">
        <v>43612</v>
      </c>
      <c r="B155" s="22" t="s">
        <v>537</v>
      </c>
      <c r="C155" s="22" t="s">
        <v>536</v>
      </c>
      <c r="D155" s="126">
        <v>43660</v>
      </c>
      <c r="E155" s="22" t="s">
        <v>101</v>
      </c>
      <c r="F155" s="22" t="s">
        <v>15</v>
      </c>
      <c r="G155" s="22" t="s">
        <v>49</v>
      </c>
      <c r="H155" s="22" t="s">
        <v>49</v>
      </c>
      <c r="I155" s="121" t="s">
        <v>535</v>
      </c>
      <c r="J155" s="22" t="s">
        <v>534</v>
      </c>
      <c r="K155" s="121" t="s">
        <v>15</v>
      </c>
      <c r="L155" s="121" t="s">
        <v>17</v>
      </c>
    </row>
    <row r="156" spans="1:1024" ht="188.5" x14ac:dyDescent="0.35">
      <c r="A156" s="134">
        <v>43640</v>
      </c>
      <c r="B156" s="132" t="s">
        <v>533</v>
      </c>
      <c r="C156" s="27" t="s">
        <v>532</v>
      </c>
      <c r="D156" s="134">
        <v>43667</v>
      </c>
      <c r="E156" s="132" t="s">
        <v>262</v>
      </c>
      <c r="F156" s="132" t="s">
        <v>15</v>
      </c>
      <c r="G156" s="132" t="s">
        <v>49</v>
      </c>
      <c r="H156" s="132" t="s">
        <v>49</v>
      </c>
      <c r="I156" s="133" t="s">
        <v>531</v>
      </c>
      <c r="J156" s="132" t="s">
        <v>530</v>
      </c>
      <c r="K156" s="121"/>
      <c r="L156" s="121" t="s">
        <v>17</v>
      </c>
    </row>
    <row r="157" spans="1:1024" ht="72.650000000000006" customHeight="1" x14ac:dyDescent="0.35">
      <c r="A157" s="126">
        <v>43641</v>
      </c>
      <c r="B157" s="22" t="s">
        <v>152</v>
      </c>
      <c r="C157" s="22" t="s">
        <v>529</v>
      </c>
      <c r="D157" s="126">
        <v>43671</v>
      </c>
      <c r="E157" s="22" t="s">
        <v>528</v>
      </c>
      <c r="F157" s="22" t="s">
        <v>15</v>
      </c>
      <c r="G157" s="22" t="s">
        <v>49</v>
      </c>
      <c r="H157" s="22" t="s">
        <v>49</v>
      </c>
      <c r="I157" s="121">
        <v>162</v>
      </c>
      <c r="J157" s="22" t="s">
        <v>527</v>
      </c>
      <c r="K157" s="121" t="s">
        <v>15</v>
      </c>
      <c r="L157" s="121" t="s">
        <v>17</v>
      </c>
      <c r="AMJ157" s="120"/>
    </row>
    <row r="158" spans="1:1024" ht="128.15" customHeight="1" x14ac:dyDescent="0.35">
      <c r="A158" s="126">
        <v>43638</v>
      </c>
      <c r="B158" s="17" t="s">
        <v>195</v>
      </c>
      <c r="C158" s="17" t="s">
        <v>526</v>
      </c>
      <c r="D158" s="125">
        <v>43673</v>
      </c>
      <c r="E158" s="17" t="s">
        <v>525</v>
      </c>
      <c r="F158" s="17" t="s">
        <v>15</v>
      </c>
      <c r="G158" s="17" t="s">
        <v>49</v>
      </c>
      <c r="H158" s="17" t="s">
        <v>49</v>
      </c>
      <c r="I158" s="65" t="s">
        <v>524</v>
      </c>
      <c r="J158" s="17" t="s">
        <v>192</v>
      </c>
      <c r="K158" s="65" t="s">
        <v>15</v>
      </c>
      <c r="L158" s="65" t="s">
        <v>17</v>
      </c>
      <c r="AMJ158" s="120"/>
    </row>
    <row r="159" spans="1:1024" ht="203" x14ac:dyDescent="0.35">
      <c r="A159" s="126">
        <v>43638</v>
      </c>
      <c r="B159" s="22" t="s">
        <v>147</v>
      </c>
      <c r="C159" s="22" t="s">
        <v>146</v>
      </c>
      <c r="D159" s="126">
        <v>43674</v>
      </c>
      <c r="E159" s="22" t="s">
        <v>145</v>
      </c>
      <c r="F159" s="22" t="s">
        <v>15</v>
      </c>
      <c r="G159" s="79">
        <v>0.54166666666666696</v>
      </c>
      <c r="H159" s="79">
        <v>0.5625</v>
      </c>
      <c r="I159" s="121">
        <v>793</v>
      </c>
      <c r="J159" s="22" t="s">
        <v>144</v>
      </c>
      <c r="K159" s="121" t="s">
        <v>15</v>
      </c>
      <c r="L159" s="121" t="s">
        <v>17</v>
      </c>
    </row>
    <row r="160" spans="1:1024" ht="83.9" customHeight="1" x14ac:dyDescent="0.35">
      <c r="A160" s="126">
        <v>43571</v>
      </c>
      <c r="B160" s="123" t="s">
        <v>143</v>
      </c>
      <c r="C160" s="123" t="s">
        <v>523</v>
      </c>
      <c r="D160" s="130">
        <v>43674</v>
      </c>
      <c r="E160" s="123" t="s">
        <v>73</v>
      </c>
      <c r="F160" s="123" t="s">
        <v>15</v>
      </c>
      <c r="G160" s="129">
        <v>0.60416666666666696</v>
      </c>
      <c r="H160" s="129">
        <v>0.64583333333333304</v>
      </c>
      <c r="I160" s="121" t="s">
        <v>522</v>
      </c>
      <c r="J160" s="131" t="s">
        <v>75</v>
      </c>
      <c r="K160" s="121" t="s">
        <v>15</v>
      </c>
      <c r="L160" s="128"/>
    </row>
    <row r="161" spans="1:12" s="13" customFormat="1" ht="174" x14ac:dyDescent="0.35">
      <c r="A161" s="126">
        <v>43628</v>
      </c>
      <c r="B161" s="123" t="s">
        <v>36</v>
      </c>
      <c r="C161" s="123" t="s">
        <v>521</v>
      </c>
      <c r="D161" s="130">
        <v>43680</v>
      </c>
      <c r="E161" s="123" t="s">
        <v>38</v>
      </c>
      <c r="F161" s="123"/>
      <c r="G161" s="129">
        <v>0.69791666666666696</v>
      </c>
      <c r="H161" s="129">
        <v>0.69791666666666696</v>
      </c>
      <c r="I161" s="121" t="s">
        <v>520</v>
      </c>
      <c r="J161" s="22" t="s">
        <v>519</v>
      </c>
      <c r="K161" s="121"/>
      <c r="L161" s="128" t="s">
        <v>22</v>
      </c>
    </row>
    <row r="162" spans="1:12" s="13" customFormat="1" ht="116" x14ac:dyDescent="0.35">
      <c r="A162" s="126">
        <v>43622</v>
      </c>
      <c r="B162" s="22" t="s">
        <v>63</v>
      </c>
      <c r="C162" s="22" t="s">
        <v>64</v>
      </c>
      <c r="D162" s="126">
        <v>43702</v>
      </c>
      <c r="E162" s="22" t="s">
        <v>65</v>
      </c>
      <c r="F162" s="22" t="s">
        <v>15</v>
      </c>
      <c r="G162" s="22" t="s">
        <v>49</v>
      </c>
      <c r="H162" s="22" t="s">
        <v>49</v>
      </c>
      <c r="I162" s="121" t="s">
        <v>66</v>
      </c>
      <c r="J162" s="22" t="s">
        <v>67</v>
      </c>
      <c r="K162" s="121" t="s">
        <v>15</v>
      </c>
      <c r="L162" s="121" t="s">
        <v>17</v>
      </c>
    </row>
    <row r="163" spans="1:12" s="13" customFormat="1" ht="72.5" x14ac:dyDescent="0.35">
      <c r="A163" s="124">
        <v>43570</v>
      </c>
      <c r="B163" s="29" t="s">
        <v>71</v>
      </c>
      <c r="C163" s="123" t="s">
        <v>72</v>
      </c>
      <c r="D163" s="124">
        <v>43708</v>
      </c>
      <c r="E163" s="123" t="s">
        <v>73</v>
      </c>
      <c r="F163" s="123" t="s">
        <v>15</v>
      </c>
      <c r="G163" s="123" t="s">
        <v>49</v>
      </c>
      <c r="H163" s="123" t="s">
        <v>49</v>
      </c>
      <c r="I163" s="127" t="s">
        <v>74</v>
      </c>
      <c r="J163" s="22" t="s">
        <v>75</v>
      </c>
      <c r="K163" s="121" t="s">
        <v>15</v>
      </c>
      <c r="L163" s="121" t="s">
        <v>17</v>
      </c>
    </row>
    <row r="164" spans="1:12" s="13" customFormat="1" ht="29" x14ac:dyDescent="0.35">
      <c r="A164" s="126">
        <v>43633</v>
      </c>
      <c r="B164" s="22" t="s">
        <v>80</v>
      </c>
      <c r="C164" s="22" t="s">
        <v>81</v>
      </c>
      <c r="D164" s="126">
        <v>43709</v>
      </c>
      <c r="E164" s="22" t="s">
        <v>82</v>
      </c>
      <c r="F164" s="22" t="s">
        <v>15</v>
      </c>
      <c r="G164" s="79">
        <v>0.41666666666666702</v>
      </c>
      <c r="H164" s="79">
        <v>0.5</v>
      </c>
      <c r="I164" s="121" t="s">
        <v>83</v>
      </c>
      <c r="J164" s="22" t="s">
        <v>84</v>
      </c>
      <c r="K164" s="121" t="s">
        <v>15</v>
      </c>
      <c r="L164" s="121" t="s">
        <v>17</v>
      </c>
    </row>
    <row r="165" spans="1:12" s="13" customFormat="1" ht="188.5" x14ac:dyDescent="0.35">
      <c r="A165" s="126">
        <v>43639</v>
      </c>
      <c r="B165" s="17" t="s">
        <v>85</v>
      </c>
      <c r="C165" s="17" t="s">
        <v>86</v>
      </c>
      <c r="D165" s="125">
        <v>43715</v>
      </c>
      <c r="E165" s="17" t="s">
        <v>87</v>
      </c>
      <c r="F165" s="17" t="s">
        <v>15</v>
      </c>
      <c r="G165" s="17" t="s">
        <v>49</v>
      </c>
      <c r="H165" s="17" t="s">
        <v>49</v>
      </c>
      <c r="I165" s="65" t="s">
        <v>88</v>
      </c>
      <c r="J165" s="17" t="s">
        <v>89</v>
      </c>
      <c r="K165" s="65" t="s">
        <v>15</v>
      </c>
      <c r="L165" s="65" t="s">
        <v>17</v>
      </c>
    </row>
    <row r="166" spans="1:12" s="13" customFormat="1" ht="203" x14ac:dyDescent="0.35">
      <c r="A166" s="124">
        <v>43635</v>
      </c>
      <c r="B166" s="123" t="s">
        <v>99</v>
      </c>
      <c r="C166" s="123" t="s">
        <v>100</v>
      </c>
      <c r="D166" s="124">
        <v>43716</v>
      </c>
      <c r="E166" s="123" t="s">
        <v>101</v>
      </c>
      <c r="F166" s="123" t="s">
        <v>15</v>
      </c>
      <c r="G166" s="123" t="s">
        <v>49</v>
      </c>
      <c r="H166" s="123" t="s">
        <v>49</v>
      </c>
      <c r="I166" s="122" t="s">
        <v>102</v>
      </c>
      <c r="J166" s="22" t="s">
        <v>103</v>
      </c>
      <c r="K166" s="121" t="s">
        <v>15</v>
      </c>
      <c r="L166" s="121" t="s">
        <v>17</v>
      </c>
    </row>
    <row r="178" spans="1024:1024" s="13" customFormat="1" x14ac:dyDescent="0.35">
      <c r="AMJ178" s="120"/>
    </row>
  </sheetData>
  <conditionalFormatting sqref="M2:N2 A11 O3:AMG6 A16:D17 F16:L17 A12:L15 P2 R2 B46:H47 J46:L47 K48:L48 B54:L58 A18:L38 B39:L45 A39:A58 B49:L52 M7:AMG78 A1:L10 O1:AMG1 U2:AMG2 A80:AMG83 A59:L78 M85:AMG126 A85:L95 L96:L97 A96:J97 A98:L116 A131:E132 G131:J132 L131:L132 M127:AMH1048576 A118:L129 A133:L166 A168:L1048576">
    <cfRule type="cellIs" dxfId="1423" priority="1" operator="equal">
      <formula>TODAY()</formula>
    </cfRule>
    <cfRule type="cellIs" dxfId="1422" priority="2" operator="equal">
      <formula>TODAY()</formula>
    </cfRule>
  </conditionalFormatting>
  <conditionalFormatting sqref="N3">
    <cfRule type="cellIs" dxfId="1421" priority="3" operator="equal">
      <formula>TODAY()</formula>
    </cfRule>
    <cfRule type="cellIs" dxfId="1420" priority="4" operator="equal">
      <formula>TODAY()</formula>
    </cfRule>
  </conditionalFormatting>
  <conditionalFormatting sqref="N4">
    <cfRule type="cellIs" dxfId="1419" priority="5" operator="equal">
      <formula>TODAY()</formula>
    </cfRule>
    <cfRule type="cellIs" dxfId="1418" priority="6" operator="equal">
      <formula>TODAY()</formula>
    </cfRule>
  </conditionalFormatting>
  <conditionalFormatting sqref="L11">
    <cfRule type="cellIs" dxfId="1417" priority="7" operator="equal">
      <formula>TODAY()</formula>
    </cfRule>
    <cfRule type="cellIs" dxfId="1416" priority="8" operator="equal">
      <formula>TODAY()</formula>
    </cfRule>
  </conditionalFormatting>
  <conditionalFormatting sqref="B11:F11 I11:K11">
    <cfRule type="cellIs" dxfId="1415" priority="9" operator="equal">
      <formula>TODAY()</formula>
    </cfRule>
    <cfRule type="cellIs" dxfId="1414" priority="10" operator="equal">
      <formula>TODAY()</formula>
    </cfRule>
  </conditionalFormatting>
  <conditionalFormatting sqref="E16:E17">
    <cfRule type="cellIs" dxfId="1413" priority="11" operator="equal">
      <formula>TODAY()</formula>
    </cfRule>
    <cfRule type="cellIs" dxfId="1412" priority="12" operator="equal">
      <formula>TODAY()</formula>
    </cfRule>
  </conditionalFormatting>
  <conditionalFormatting sqref="G11">
    <cfRule type="cellIs" dxfId="1411" priority="13" operator="equal">
      <formula>TODAY()</formula>
    </cfRule>
    <cfRule type="cellIs" dxfId="1410" priority="14" operator="equal">
      <formula>TODAY()</formula>
    </cfRule>
  </conditionalFormatting>
  <conditionalFormatting sqref="H11">
    <cfRule type="cellIs" dxfId="1409" priority="15" operator="equal">
      <formula>TODAY()</formula>
    </cfRule>
    <cfRule type="cellIs" dxfId="1408" priority="16" operator="equal">
      <formula>TODAY()</formula>
    </cfRule>
  </conditionalFormatting>
  <conditionalFormatting sqref="N5">
    <cfRule type="cellIs" dxfId="1407" priority="17" operator="equal">
      <formula>TODAY()</formula>
    </cfRule>
    <cfRule type="cellIs" dxfId="1406" priority="18" operator="equal">
      <formula>TODAY()</formula>
    </cfRule>
  </conditionalFormatting>
  <conditionalFormatting sqref="B48:H48 J48">
    <cfRule type="cellIs" dxfId="1405" priority="19" operator="equal">
      <formula>TODAY()</formula>
    </cfRule>
    <cfRule type="cellIs" dxfId="1404" priority="20" operator="equal">
      <formula>TODAY()</formula>
    </cfRule>
  </conditionalFormatting>
  <conditionalFormatting sqref="L53">
    <cfRule type="cellIs" dxfId="1403" priority="21" operator="equal">
      <formula>TODAY()</formula>
    </cfRule>
    <cfRule type="cellIs" dxfId="1402" priority="22" operator="equal">
      <formula>TODAY()</formula>
    </cfRule>
  </conditionalFormatting>
  <conditionalFormatting sqref="B53:K53">
    <cfRule type="cellIs" dxfId="1401" priority="23" operator="equal">
      <formula>TODAY()</formula>
    </cfRule>
    <cfRule type="cellIs" dxfId="1400" priority="24" operator="equal">
      <formula>TODAY()</formula>
    </cfRule>
  </conditionalFormatting>
  <conditionalFormatting sqref="K97">
    <cfRule type="cellIs" dxfId="1399" priority="25" operator="equal">
      <formula>TODAY()</formula>
    </cfRule>
    <cfRule type="cellIs" dxfId="1398" priority="26" operator="equal">
      <formula>TODAY()</formula>
    </cfRule>
  </conditionalFormatting>
  <conditionalFormatting sqref="A79:AMG79">
    <cfRule type="cellIs" dxfId="1397" priority="27" operator="equal">
      <formula>TODAY()</formula>
    </cfRule>
    <cfRule type="cellIs" dxfId="1396" priority="28" operator="equal">
      <formula>TODAY()</formula>
    </cfRule>
  </conditionalFormatting>
  <conditionalFormatting sqref="A84:AMG84">
    <cfRule type="cellIs" dxfId="1395" priority="29" operator="equal">
      <formula>TODAY()</formula>
    </cfRule>
    <cfRule type="cellIs" dxfId="1394" priority="30" operator="equal">
      <formula>TODAY()</formula>
    </cfRule>
  </conditionalFormatting>
  <conditionalFormatting sqref="A117:D117 F117:L117">
    <cfRule type="cellIs" dxfId="1393" priority="31" operator="equal">
      <formula>TODAY()</formula>
    </cfRule>
    <cfRule type="cellIs" dxfId="1392" priority="32" operator="equal">
      <formula>TODAY()</formula>
    </cfRule>
  </conditionalFormatting>
  <conditionalFormatting sqref="A130:L130">
    <cfRule type="cellIs" dxfId="1391" priority="33" operator="equal">
      <formula>TODAY()</formula>
    </cfRule>
    <cfRule type="cellIs" dxfId="1390" priority="34" operator="equal">
      <formula>TODAY()</formula>
    </cfRule>
  </conditionalFormatting>
  <conditionalFormatting sqref="K132">
    <cfRule type="cellIs" dxfId="1389" priority="35" operator="equal">
      <formula>TODAY()</formula>
    </cfRule>
    <cfRule type="cellIs" dxfId="1388" priority="36" operator="equal">
      <formula>TODAY()</formula>
    </cfRule>
  </conditionalFormatting>
  <conditionalFormatting sqref="F131:F132">
    <cfRule type="cellIs" dxfId="1387" priority="37" operator="equal">
      <formula>TODAY()</formula>
    </cfRule>
    <cfRule type="cellIs" dxfId="1386" priority="38" operator="equal">
      <formula>TODAY()</formula>
    </cfRule>
  </conditionalFormatting>
  <conditionalFormatting sqref="K131">
    <cfRule type="cellIs" dxfId="1385" priority="39" operator="equal">
      <formula>TODAY()</formula>
    </cfRule>
    <cfRule type="cellIs" dxfId="1384" priority="40" operator="equal">
      <formula>TODAY()</formula>
    </cfRule>
  </conditionalFormatting>
  <printOptions horizontalCentered="1" verticalCentered="1"/>
  <pageMargins left="0" right="0" top="0" bottom="0" header="0.51180555555555496" footer="0.51180555555555496"/>
  <pageSetup paperSize="9" scale="10" firstPageNumber="0" orientation="landscape" horizontalDpi="300" verticalDpi="3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pageSetUpPr fitToPage="1"/>
  </sheetPr>
  <dimension ref="A1:AB230"/>
  <sheetViews>
    <sheetView zoomScale="70" zoomScaleNormal="70" workbookViewId="0">
      <pane ySplit="1" topLeftCell="A183" activePane="bottomLeft" state="frozen"/>
      <selection pane="bottomLeft" activeCell="D184" sqref="D184"/>
    </sheetView>
  </sheetViews>
  <sheetFormatPr defaultRowHeight="14.5" x14ac:dyDescent="0.35"/>
  <cols>
    <col min="1" max="1" width="14.453125" customWidth="1"/>
    <col min="2" max="2" width="28.54296875" customWidth="1"/>
    <col min="3" max="3" width="48" style="3" customWidth="1"/>
    <col min="4" max="4" width="13.453125" style="1" customWidth="1"/>
    <col min="5" max="5" width="21.54296875" style="2" customWidth="1"/>
    <col min="6" max="6" width="8.453125" customWidth="1"/>
    <col min="7" max="7" width="7.453125" customWidth="1"/>
    <col min="8" max="8" width="7.54296875" customWidth="1"/>
    <col min="9" max="9" width="15.54296875" customWidth="1"/>
    <col min="10" max="10" width="24.453125" customWidth="1"/>
    <col min="11" max="11" width="11.453125" customWidth="1"/>
    <col min="12" max="12" width="17.453125" customWidth="1"/>
    <col min="17" max="17" width="22.453125" customWidth="1"/>
    <col min="18" max="18" width="16.453125" customWidth="1"/>
    <col min="19" max="19" width="22.08984375" customWidth="1"/>
    <col min="21" max="21" width="10.453125" customWidth="1"/>
  </cols>
  <sheetData>
    <row r="1" spans="1:28" x14ac:dyDescent="0.35">
      <c r="A1" s="810" t="s">
        <v>0</v>
      </c>
      <c r="B1" s="811" t="s">
        <v>1</v>
      </c>
      <c r="C1" s="812" t="s">
        <v>2</v>
      </c>
      <c r="D1" s="813" t="s">
        <v>3</v>
      </c>
      <c r="E1" s="814" t="s">
        <v>110</v>
      </c>
      <c r="F1" s="814" t="s">
        <v>5</v>
      </c>
      <c r="G1" s="812" t="s">
        <v>6</v>
      </c>
      <c r="H1" s="812" t="s">
        <v>7</v>
      </c>
      <c r="I1" s="812" t="s">
        <v>8</v>
      </c>
      <c r="J1" s="812" t="s">
        <v>9</v>
      </c>
      <c r="K1" s="812" t="s">
        <v>10</v>
      </c>
      <c r="L1" s="815" t="s">
        <v>11</v>
      </c>
    </row>
    <row r="2" spans="1:28" ht="87" x14ac:dyDescent="0.35">
      <c r="A2" s="830">
        <v>43648</v>
      </c>
      <c r="B2" s="819" t="s">
        <v>4162</v>
      </c>
      <c r="C2" s="819" t="s">
        <v>4150</v>
      </c>
      <c r="D2" s="833">
        <v>43722</v>
      </c>
      <c r="E2" s="819" t="s">
        <v>106</v>
      </c>
      <c r="F2" s="913">
        <v>0.72916666666666663</v>
      </c>
      <c r="G2" s="913">
        <v>0.8125</v>
      </c>
      <c r="H2" s="913">
        <v>0.83333333333333337</v>
      </c>
      <c r="I2" s="942">
        <f>1620-1090.26</f>
        <v>529.74</v>
      </c>
      <c r="J2" s="915" t="s">
        <v>4314</v>
      </c>
      <c r="K2" s="826" t="s">
        <v>119</v>
      </c>
      <c r="L2" s="829" t="s">
        <v>17</v>
      </c>
      <c r="O2">
        <f>SUM(I1:I38)/4.57</f>
        <v>7911.6006564551417</v>
      </c>
      <c r="Q2" s="818">
        <v>43663</v>
      </c>
      <c r="R2" s="816" t="s">
        <v>20</v>
      </c>
      <c r="S2" s="816" t="s">
        <v>21</v>
      </c>
      <c r="T2" s="818">
        <v>43678</v>
      </c>
      <c r="U2" s="816" t="s">
        <v>20</v>
      </c>
      <c r="V2" s="816" t="s">
        <v>15</v>
      </c>
      <c r="W2" s="816" t="s">
        <v>15</v>
      </c>
      <c r="X2" s="816" t="s">
        <v>15</v>
      </c>
      <c r="Y2" s="816">
        <v>0</v>
      </c>
      <c r="Z2" s="816" t="s">
        <v>20</v>
      </c>
      <c r="AA2" s="816" t="s">
        <v>15</v>
      </c>
      <c r="AB2" s="816"/>
    </row>
    <row r="3" spans="1:28" ht="159.5" x14ac:dyDescent="0.35">
      <c r="A3" s="825">
        <v>43654</v>
      </c>
      <c r="B3" s="5" t="s">
        <v>90</v>
      </c>
      <c r="C3" s="5" t="s">
        <v>4043</v>
      </c>
      <c r="D3" s="908">
        <v>43715</v>
      </c>
      <c r="E3" s="5" t="s">
        <v>3988</v>
      </c>
      <c r="F3" s="6">
        <v>0.57638888888888895</v>
      </c>
      <c r="G3" s="6">
        <v>0.72222222222222221</v>
      </c>
      <c r="H3" s="6">
        <v>0.72222222222222221</v>
      </c>
      <c r="I3" s="7">
        <f>1713+300</f>
        <v>2013</v>
      </c>
      <c r="J3" s="850" t="s">
        <v>3987</v>
      </c>
      <c r="K3" s="5" t="s">
        <v>140</v>
      </c>
      <c r="L3" s="5" t="s">
        <v>17</v>
      </c>
      <c r="O3">
        <f>SUM(I39:I81)/4.57</f>
        <v>5052.163019693654</v>
      </c>
      <c r="Q3" s="818">
        <v>43663</v>
      </c>
      <c r="R3" s="816" t="s">
        <v>3605</v>
      </c>
      <c r="S3" s="816" t="s">
        <v>911</v>
      </c>
      <c r="T3" s="818">
        <v>43678</v>
      </c>
      <c r="U3" s="816" t="s">
        <v>2081</v>
      </c>
      <c r="V3" s="816" t="s">
        <v>15</v>
      </c>
      <c r="W3" s="816" t="s">
        <v>49</v>
      </c>
      <c r="X3" s="816" t="s">
        <v>49</v>
      </c>
      <c r="Y3" s="816">
        <v>0</v>
      </c>
      <c r="Z3" s="816" t="s">
        <v>911</v>
      </c>
      <c r="AA3" s="816">
        <v>0</v>
      </c>
      <c r="AB3" s="816"/>
    </row>
    <row r="4" spans="1:28" ht="29" x14ac:dyDescent="0.35">
      <c r="A4" s="924">
        <v>43663</v>
      </c>
      <c r="B4" s="1410" t="s">
        <v>20</v>
      </c>
      <c r="C4" s="817" t="s">
        <v>3715</v>
      </c>
      <c r="D4" s="1415">
        <v>43721</v>
      </c>
      <c r="E4" s="1032" t="s">
        <v>20</v>
      </c>
      <c r="F4" s="1032" t="s">
        <v>15</v>
      </c>
      <c r="G4" s="1032" t="s">
        <v>15</v>
      </c>
      <c r="H4" s="1032" t="s">
        <v>15</v>
      </c>
      <c r="I4" s="856">
        <v>0</v>
      </c>
      <c r="J4" s="1032" t="s">
        <v>20</v>
      </c>
      <c r="K4" s="874" t="s">
        <v>15</v>
      </c>
      <c r="L4" s="1035" t="s">
        <v>17</v>
      </c>
      <c r="O4">
        <f>SUM(I82:I126)/4.57</f>
        <v>6339.84135667396</v>
      </c>
      <c r="Q4" s="866"/>
    </row>
    <row r="5" spans="1:28" x14ac:dyDescent="0.35">
      <c r="A5" s="925">
        <v>43663</v>
      </c>
      <c r="B5" s="873" t="s">
        <v>20</v>
      </c>
      <c r="C5" s="874" t="s">
        <v>4038</v>
      </c>
      <c r="D5" s="981">
        <v>43762</v>
      </c>
      <c r="E5" s="874" t="s">
        <v>20</v>
      </c>
      <c r="F5" s="874" t="s">
        <v>15</v>
      </c>
      <c r="G5" s="874" t="s">
        <v>15</v>
      </c>
      <c r="H5" s="874" t="s">
        <v>15</v>
      </c>
      <c r="I5" s="874">
        <v>0</v>
      </c>
      <c r="J5" s="874" t="s">
        <v>20</v>
      </c>
      <c r="K5" s="874" t="s">
        <v>15</v>
      </c>
      <c r="L5" s="875" t="s">
        <v>17</v>
      </c>
      <c r="O5">
        <f>SUM(I127:I192)/4.57</f>
        <v>5628.3150984682707</v>
      </c>
      <c r="Q5" s="866"/>
    </row>
    <row r="6" spans="1:28" ht="145" x14ac:dyDescent="0.35">
      <c r="A6" s="825">
        <v>43669</v>
      </c>
      <c r="B6" s="927" t="s">
        <v>52</v>
      </c>
      <c r="C6" s="826" t="s">
        <v>13</v>
      </c>
      <c r="D6" s="827">
        <v>43743</v>
      </c>
      <c r="E6" s="826" t="s">
        <v>19</v>
      </c>
      <c r="F6" s="826" t="s">
        <v>15</v>
      </c>
      <c r="G6" s="826" t="s">
        <v>49</v>
      </c>
      <c r="H6" s="826" t="s">
        <v>49</v>
      </c>
      <c r="I6" s="828">
        <v>0</v>
      </c>
      <c r="J6" s="826" t="s">
        <v>16</v>
      </c>
      <c r="K6" s="826" t="s">
        <v>15</v>
      </c>
      <c r="L6" s="829" t="s">
        <v>17</v>
      </c>
      <c r="Q6" s="866"/>
    </row>
    <row r="7" spans="1:28" ht="29" x14ac:dyDescent="0.35">
      <c r="A7" s="925">
        <v>43672</v>
      </c>
      <c r="B7" s="873" t="s">
        <v>20</v>
      </c>
      <c r="C7" s="874" t="s">
        <v>4037</v>
      </c>
      <c r="D7" s="981">
        <v>43748</v>
      </c>
      <c r="E7" s="874" t="s">
        <v>20</v>
      </c>
      <c r="F7" s="874" t="s">
        <v>15</v>
      </c>
      <c r="G7" s="874" t="s">
        <v>15</v>
      </c>
      <c r="H7" s="874" t="s">
        <v>15</v>
      </c>
      <c r="I7" s="874">
        <v>0</v>
      </c>
      <c r="J7" s="874" t="s">
        <v>20</v>
      </c>
      <c r="K7" s="874" t="s">
        <v>15</v>
      </c>
      <c r="L7" s="875" t="s">
        <v>17</v>
      </c>
      <c r="Q7" s="866"/>
    </row>
    <row r="8" spans="1:28" ht="58" x14ac:dyDescent="0.35">
      <c r="A8" s="1180">
        <v>43679</v>
      </c>
      <c r="B8" s="1178" t="s">
        <v>3975</v>
      </c>
      <c r="C8" s="1178" t="s">
        <v>4009</v>
      </c>
      <c r="D8" s="1192">
        <v>43712</v>
      </c>
      <c r="E8" s="1193" t="s">
        <v>3974</v>
      </c>
      <c r="F8" s="1211">
        <v>0.45833333333333331</v>
      </c>
      <c r="G8" s="1211">
        <v>0.52777777777777779</v>
      </c>
      <c r="H8" s="1211">
        <v>0.52777777777777779</v>
      </c>
      <c r="I8" s="1185">
        <v>0</v>
      </c>
      <c r="J8" s="1178" t="s">
        <v>16</v>
      </c>
      <c r="K8" s="5" t="s">
        <v>140</v>
      </c>
      <c r="L8" s="1178" t="s">
        <v>17</v>
      </c>
      <c r="Q8" s="7"/>
    </row>
    <row r="9" spans="1:28" ht="333.5" x14ac:dyDescent="0.35">
      <c r="A9" s="861">
        <v>43682</v>
      </c>
      <c r="B9" s="819" t="s">
        <v>4089</v>
      </c>
      <c r="C9" s="819" t="s">
        <v>4017</v>
      </c>
      <c r="D9" s="1010">
        <v>43715</v>
      </c>
      <c r="E9" s="867" t="s">
        <v>3968</v>
      </c>
      <c r="F9" s="1026">
        <v>0.5625</v>
      </c>
      <c r="G9" s="1026">
        <v>0.67708333333333337</v>
      </c>
      <c r="H9" s="1026">
        <v>0.67708333333333337</v>
      </c>
      <c r="I9" s="856">
        <f>3332*(1-0.125)</f>
        <v>2915.5</v>
      </c>
      <c r="J9" s="826" t="s">
        <v>4103</v>
      </c>
      <c r="K9" s="826" t="s">
        <v>4068</v>
      </c>
      <c r="L9" s="857" t="s">
        <v>17</v>
      </c>
      <c r="Q9" s="1012"/>
    </row>
    <row r="10" spans="1:28" ht="217.5" x14ac:dyDescent="0.35">
      <c r="A10" s="862">
        <v>43682</v>
      </c>
      <c r="B10" s="855" t="s">
        <v>3606</v>
      </c>
      <c r="C10" s="826" t="s">
        <v>3607</v>
      </c>
      <c r="D10" s="863">
        <v>43723</v>
      </c>
      <c r="E10" s="872" t="s">
        <v>4201</v>
      </c>
      <c r="F10" s="855" t="s">
        <v>15</v>
      </c>
      <c r="G10" s="1029">
        <v>0.66666666666666663</v>
      </c>
      <c r="H10" s="1029">
        <v>0.66666666666666663</v>
      </c>
      <c r="I10" s="856">
        <v>1211.1199999999999</v>
      </c>
      <c r="J10" s="915" t="s">
        <v>3952</v>
      </c>
      <c r="K10" s="826" t="s">
        <v>119</v>
      </c>
      <c r="L10" s="857" t="s">
        <v>17</v>
      </c>
      <c r="Q10" s="1012"/>
    </row>
    <row r="11" spans="1:28" ht="282" customHeight="1" x14ac:dyDescent="0.35">
      <c r="A11" s="830">
        <v>43682</v>
      </c>
      <c r="B11" s="819" t="s">
        <v>3622</v>
      </c>
      <c r="C11" s="819" t="s">
        <v>4261</v>
      </c>
      <c r="D11" s="833">
        <v>43729</v>
      </c>
      <c r="E11" s="867" t="s">
        <v>4257</v>
      </c>
      <c r="F11" s="913">
        <v>0.70833333333333337</v>
      </c>
      <c r="G11" s="913">
        <v>0.73958333333333337</v>
      </c>
      <c r="H11" s="913">
        <v>0.73958333333333337</v>
      </c>
      <c r="I11" s="828">
        <f>1462.5+1100+50 *3*4.76+110*3.5*4.76+100</f>
        <v>5209.1000000000004</v>
      </c>
      <c r="J11" s="915" t="s">
        <v>4262</v>
      </c>
      <c r="K11" s="826" t="s">
        <v>140</v>
      </c>
      <c r="L11" s="829" t="s">
        <v>17</v>
      </c>
      <c r="Q11" s="1012"/>
    </row>
    <row r="12" spans="1:28" ht="217.5" x14ac:dyDescent="0.35">
      <c r="A12" s="840">
        <v>43682</v>
      </c>
      <c r="B12" s="841" t="s">
        <v>3614</v>
      </c>
      <c r="C12" s="5" t="s">
        <v>3970</v>
      </c>
      <c r="D12" s="842">
        <v>43729</v>
      </c>
      <c r="E12" s="824" t="s">
        <v>4258</v>
      </c>
      <c r="F12" s="843">
        <v>0.70833333333333337</v>
      </c>
      <c r="G12" s="843">
        <v>0.78125</v>
      </c>
      <c r="H12" s="6">
        <v>0.78125</v>
      </c>
      <c r="I12" s="869">
        <v>1300</v>
      </c>
      <c r="J12" s="850" t="s">
        <v>4390</v>
      </c>
      <c r="K12" s="826" t="s">
        <v>140</v>
      </c>
      <c r="L12" s="845" t="s">
        <v>17</v>
      </c>
      <c r="Q12" s="828"/>
    </row>
    <row r="13" spans="1:28" ht="29" x14ac:dyDescent="0.35">
      <c r="A13" s="925">
        <v>43684</v>
      </c>
      <c r="B13" s="873" t="s">
        <v>20</v>
      </c>
      <c r="C13" s="874" t="s">
        <v>3640</v>
      </c>
      <c r="D13" s="981">
        <v>43728</v>
      </c>
      <c r="E13" s="874" t="s">
        <v>20</v>
      </c>
      <c r="F13" s="874" t="s">
        <v>15</v>
      </c>
      <c r="G13" s="874" t="s">
        <v>15</v>
      </c>
      <c r="H13" s="874" t="s">
        <v>15</v>
      </c>
      <c r="I13" s="874">
        <v>0</v>
      </c>
      <c r="J13" s="874" t="s">
        <v>20</v>
      </c>
      <c r="K13" s="874">
        <v>0</v>
      </c>
      <c r="L13" s="875"/>
      <c r="Q13" s="828"/>
    </row>
    <row r="14" spans="1:28" ht="174" x14ac:dyDescent="0.35">
      <c r="A14" s="984">
        <v>43684</v>
      </c>
      <c r="B14" s="1084" t="s">
        <v>3614</v>
      </c>
      <c r="C14" s="819" t="s">
        <v>3641</v>
      </c>
      <c r="D14" s="1085">
        <v>43730</v>
      </c>
      <c r="E14" s="867" t="s">
        <v>4259</v>
      </c>
      <c r="F14" s="1251">
        <v>0.47222222222222227</v>
      </c>
      <c r="G14" s="1251">
        <v>0.51388888888888895</v>
      </c>
      <c r="H14" s="1251">
        <v>0.51388888888888895</v>
      </c>
      <c r="I14" s="1298">
        <v>600</v>
      </c>
      <c r="J14" s="876" t="s">
        <v>3639</v>
      </c>
      <c r="K14" s="826" t="s">
        <v>140</v>
      </c>
      <c r="L14" s="878" t="s">
        <v>17</v>
      </c>
      <c r="Q14" s="866"/>
    </row>
    <row r="15" spans="1:28" s="866" customFormat="1" x14ac:dyDescent="0.35">
      <c r="A15" s="1391">
        <v>43684</v>
      </c>
      <c r="B15" s="1336" t="s">
        <v>20</v>
      </c>
      <c r="C15" s="1392" t="s">
        <v>4450</v>
      </c>
      <c r="D15" s="1395">
        <v>43741</v>
      </c>
      <c r="E15" s="1336" t="s">
        <v>20</v>
      </c>
      <c r="F15" s="1336" t="s">
        <v>15</v>
      </c>
      <c r="G15" s="1336" t="s">
        <v>15</v>
      </c>
      <c r="H15" s="1336" t="s">
        <v>15</v>
      </c>
      <c r="I15" s="1332">
        <v>0</v>
      </c>
      <c r="J15" s="1336" t="s">
        <v>20</v>
      </c>
      <c r="K15" s="1336">
        <v>0</v>
      </c>
      <c r="L15" s="1348"/>
    </row>
    <row r="16" spans="1:28" x14ac:dyDescent="0.35">
      <c r="A16" s="1375">
        <v>43689</v>
      </c>
      <c r="B16" s="873" t="s">
        <v>20</v>
      </c>
      <c r="C16" s="828" t="s">
        <v>4005</v>
      </c>
      <c r="D16" s="1379">
        <v>43712</v>
      </c>
      <c r="E16" s="874" t="s">
        <v>4272</v>
      </c>
      <c r="F16" s="874" t="s">
        <v>15</v>
      </c>
      <c r="G16" s="874" t="s">
        <v>15</v>
      </c>
      <c r="H16" s="874" t="s">
        <v>15</v>
      </c>
      <c r="I16" s="874">
        <v>0</v>
      </c>
      <c r="J16" s="874" t="s">
        <v>20</v>
      </c>
      <c r="K16" s="874" t="s">
        <v>15</v>
      </c>
      <c r="L16" s="875" t="s">
        <v>974</v>
      </c>
      <c r="Q16" s="866"/>
    </row>
    <row r="17" spans="1:17" ht="101.5" x14ac:dyDescent="0.35">
      <c r="A17" s="909">
        <v>43689</v>
      </c>
      <c r="B17" s="826" t="s">
        <v>4048</v>
      </c>
      <c r="C17" s="826" t="s">
        <v>4008</v>
      </c>
      <c r="D17" s="910">
        <v>43714</v>
      </c>
      <c r="E17" s="1423" t="s">
        <v>3685</v>
      </c>
      <c r="F17" s="932">
        <v>0.58333333333333337</v>
      </c>
      <c r="G17" s="865">
        <v>0.625</v>
      </c>
      <c r="H17" s="865">
        <v>0.64583333333333337</v>
      </c>
      <c r="I17" s="942">
        <v>360</v>
      </c>
      <c r="J17" s="826" t="s">
        <v>4057</v>
      </c>
      <c r="K17" s="826" t="s">
        <v>140</v>
      </c>
      <c r="L17" s="829" t="s">
        <v>22</v>
      </c>
      <c r="Q17" s="866"/>
    </row>
    <row r="18" spans="1:17" ht="217.5" x14ac:dyDescent="0.35">
      <c r="A18" s="1061">
        <v>43690</v>
      </c>
      <c r="B18" s="819" t="s">
        <v>4362</v>
      </c>
      <c r="C18" s="819" t="s">
        <v>4427</v>
      </c>
      <c r="D18" s="1066">
        <v>43736</v>
      </c>
      <c r="E18" s="867" t="s">
        <v>4447</v>
      </c>
      <c r="F18" s="1543">
        <v>0.47916666666666669</v>
      </c>
      <c r="G18" s="1543">
        <v>0.50694444444444442</v>
      </c>
      <c r="H18" s="1543">
        <v>0.50694444444444442</v>
      </c>
      <c r="I18" s="1322">
        <v>4355</v>
      </c>
      <c r="J18" s="915" t="s">
        <v>4442</v>
      </c>
      <c r="K18" s="826" t="s">
        <v>119</v>
      </c>
      <c r="L18" s="829" t="s">
        <v>974</v>
      </c>
      <c r="Q18" s="866"/>
    </row>
    <row r="19" spans="1:17" ht="188.5" x14ac:dyDescent="0.35">
      <c r="A19" s="993">
        <v>43698</v>
      </c>
      <c r="B19" s="819" t="s">
        <v>3800</v>
      </c>
      <c r="C19" s="819" t="s">
        <v>3949</v>
      </c>
      <c r="D19" s="995">
        <v>43709</v>
      </c>
      <c r="E19" s="913" t="s">
        <v>311</v>
      </c>
      <c r="F19" s="997">
        <v>0.41666666666666669</v>
      </c>
      <c r="G19" s="997">
        <v>0.41666666666666669</v>
      </c>
      <c r="H19" s="997">
        <v>0.58333333333333337</v>
      </c>
      <c r="I19" s="1045">
        <v>549</v>
      </c>
      <c r="J19" s="826" t="s">
        <v>3948</v>
      </c>
      <c r="K19" s="826" t="s">
        <v>119</v>
      </c>
      <c r="L19" s="829" t="s">
        <v>22</v>
      </c>
      <c r="Q19" s="866"/>
    </row>
    <row r="20" spans="1:17" ht="72.5" x14ac:dyDescent="0.35">
      <c r="A20" s="986">
        <v>43698</v>
      </c>
      <c r="B20" s="826" t="s">
        <v>4024</v>
      </c>
      <c r="C20" s="987" t="s">
        <v>3792</v>
      </c>
      <c r="D20" s="988">
        <v>43712</v>
      </c>
      <c r="E20" s="872" t="s">
        <v>4025</v>
      </c>
      <c r="F20" s="992">
        <v>0.45833333333333331</v>
      </c>
      <c r="G20" s="992">
        <v>0.5625</v>
      </c>
      <c r="H20" s="992">
        <v>0.5625</v>
      </c>
      <c r="I20" s="990">
        <v>0</v>
      </c>
      <c r="J20" s="987" t="s">
        <v>289</v>
      </c>
      <c r="K20" s="826" t="s">
        <v>140</v>
      </c>
      <c r="L20" s="991" t="s">
        <v>17</v>
      </c>
    </row>
    <row r="21" spans="1:17" ht="246.5" x14ac:dyDescent="0.35">
      <c r="A21" s="1005">
        <v>43699</v>
      </c>
      <c r="B21" s="1062" t="s">
        <v>3809</v>
      </c>
      <c r="C21" s="1229" t="s">
        <v>4329</v>
      </c>
      <c r="D21" s="1065">
        <v>43736</v>
      </c>
      <c r="E21" s="1540" t="s">
        <v>4273</v>
      </c>
      <c r="F21" s="1549">
        <v>0.64583333333333337</v>
      </c>
      <c r="G21" s="1549">
        <v>0.78125</v>
      </c>
      <c r="H21" s="1549">
        <v>0.78125</v>
      </c>
      <c r="I21" s="1062">
        <f>4402+456</f>
        <v>4858</v>
      </c>
      <c r="J21" s="915" t="s">
        <v>4328</v>
      </c>
      <c r="K21" s="1229" t="s">
        <v>119</v>
      </c>
      <c r="L21" s="1062" t="s">
        <v>17</v>
      </c>
    </row>
    <row r="22" spans="1:17" ht="29" x14ac:dyDescent="0.35">
      <c r="A22" s="986">
        <v>43700</v>
      </c>
      <c r="B22" s="873" t="s">
        <v>20</v>
      </c>
      <c r="C22" s="874" t="s">
        <v>4139</v>
      </c>
      <c r="D22" s="981">
        <v>43721</v>
      </c>
      <c r="E22" s="874" t="s">
        <v>20</v>
      </c>
      <c r="F22" s="874" t="s">
        <v>15</v>
      </c>
      <c r="G22" s="874" t="s">
        <v>15</v>
      </c>
      <c r="H22" s="874" t="s">
        <v>15</v>
      </c>
      <c r="I22" s="874">
        <v>0</v>
      </c>
      <c r="J22" s="874" t="s">
        <v>20</v>
      </c>
      <c r="K22" s="874" t="s">
        <v>15</v>
      </c>
      <c r="L22" s="875" t="s">
        <v>17</v>
      </c>
    </row>
    <row r="23" spans="1:17" ht="217.5" x14ac:dyDescent="0.35">
      <c r="A23" s="1519">
        <v>43700</v>
      </c>
      <c r="B23" s="10" t="s">
        <v>4056</v>
      </c>
      <c r="C23" s="10" t="s">
        <v>4179</v>
      </c>
      <c r="D23" s="1418">
        <v>43723</v>
      </c>
      <c r="E23" s="823" t="s">
        <v>4202</v>
      </c>
      <c r="F23" s="1544">
        <v>0.5</v>
      </c>
      <c r="G23" s="1544">
        <v>0.53125</v>
      </c>
      <c r="H23" s="1544">
        <v>0.53125</v>
      </c>
      <c r="I23" s="998">
        <f>100+400*(1-0.19)+97.5+16*65+325*4.76</f>
        <v>3108.5</v>
      </c>
      <c r="J23" s="850" t="s">
        <v>4180</v>
      </c>
      <c r="K23" s="5" t="s">
        <v>119</v>
      </c>
      <c r="L23" s="1000" t="s">
        <v>17</v>
      </c>
    </row>
    <row r="24" spans="1:17" ht="43.5" x14ac:dyDescent="0.35">
      <c r="A24" s="986">
        <v>43702</v>
      </c>
      <c r="B24" s="987" t="s">
        <v>3843</v>
      </c>
      <c r="C24" s="826" t="s">
        <v>3844</v>
      </c>
      <c r="D24" s="988">
        <v>43722</v>
      </c>
      <c r="E24" s="989" t="s">
        <v>3845</v>
      </c>
      <c r="F24" s="992">
        <v>0.45833333333333331</v>
      </c>
      <c r="G24" s="992">
        <v>0.47916666666666669</v>
      </c>
      <c r="H24" s="992">
        <v>0.47916666666666669</v>
      </c>
      <c r="I24" s="1045">
        <v>120</v>
      </c>
      <c r="J24" s="826" t="s">
        <v>3847</v>
      </c>
      <c r="K24" s="826" t="s">
        <v>119</v>
      </c>
      <c r="L24" s="991" t="s">
        <v>17</v>
      </c>
    </row>
    <row r="25" spans="1:17" ht="29" x14ac:dyDescent="0.35">
      <c r="A25" s="825">
        <v>43703</v>
      </c>
      <c r="B25" s="873" t="s">
        <v>20</v>
      </c>
      <c r="C25" s="874" t="s">
        <v>4039</v>
      </c>
      <c r="D25" s="981">
        <v>43713</v>
      </c>
      <c r="E25" s="874" t="s">
        <v>20</v>
      </c>
      <c r="F25" s="874" t="s">
        <v>15</v>
      </c>
      <c r="G25" s="874" t="s">
        <v>15</v>
      </c>
      <c r="H25" s="874" t="s">
        <v>15</v>
      </c>
      <c r="I25" s="874">
        <v>0</v>
      </c>
      <c r="J25" s="874" t="s">
        <v>20</v>
      </c>
      <c r="K25" s="874" t="s">
        <v>15</v>
      </c>
      <c r="L25" s="875" t="s">
        <v>17</v>
      </c>
    </row>
    <row r="26" spans="1:17" ht="290" x14ac:dyDescent="0.35">
      <c r="A26" s="830">
        <v>43703</v>
      </c>
      <c r="B26" s="819" t="s">
        <v>3869</v>
      </c>
      <c r="C26" s="819" t="s">
        <v>4256</v>
      </c>
      <c r="D26" s="833">
        <v>43727</v>
      </c>
      <c r="E26" s="867" t="s">
        <v>4287</v>
      </c>
      <c r="F26" s="913">
        <v>0.34722222222222227</v>
      </c>
      <c r="G26" s="913">
        <v>0.38541666666666669</v>
      </c>
      <c r="H26" s="913">
        <v>0.38541666666666669</v>
      </c>
      <c r="I26" s="828">
        <f>100+(120*4.76)*0.9</f>
        <v>614.07999999999993</v>
      </c>
      <c r="J26" s="915" t="s">
        <v>3871</v>
      </c>
      <c r="K26" s="826" t="s">
        <v>119</v>
      </c>
      <c r="L26" s="829" t="s">
        <v>17</v>
      </c>
    </row>
    <row r="27" spans="1:17" ht="101.5" x14ac:dyDescent="0.35">
      <c r="A27" s="993">
        <v>43703</v>
      </c>
      <c r="B27" s="1413" t="s">
        <v>3873</v>
      </c>
      <c r="C27" s="10" t="s">
        <v>4047</v>
      </c>
      <c r="D27" s="1418">
        <v>43743</v>
      </c>
      <c r="E27" s="1421" t="s">
        <v>48</v>
      </c>
      <c r="F27" s="1413" t="s">
        <v>15</v>
      </c>
      <c r="G27" s="1413" t="s">
        <v>49</v>
      </c>
      <c r="H27" s="1413" t="s">
        <v>49</v>
      </c>
      <c r="I27" s="7" t="s">
        <v>4010</v>
      </c>
      <c r="J27" s="999" t="s">
        <v>3874</v>
      </c>
      <c r="K27" s="999" t="s">
        <v>15</v>
      </c>
      <c r="L27" s="999" t="s">
        <v>17</v>
      </c>
    </row>
    <row r="28" spans="1:17" ht="130.5" x14ac:dyDescent="0.35">
      <c r="A28" s="1001">
        <v>43703</v>
      </c>
      <c r="B28" s="999" t="s">
        <v>3856</v>
      </c>
      <c r="C28" s="999" t="s">
        <v>3858</v>
      </c>
      <c r="D28" s="1002">
        <v>43750</v>
      </c>
      <c r="E28" s="1004" t="s">
        <v>3857</v>
      </c>
      <c r="F28" s="999" t="s">
        <v>15</v>
      </c>
      <c r="G28" s="999" t="s">
        <v>49</v>
      </c>
      <c r="H28" s="999" t="s">
        <v>49</v>
      </c>
      <c r="I28" s="998" t="s">
        <v>3859</v>
      </c>
      <c r="J28" s="999" t="s">
        <v>369</v>
      </c>
      <c r="K28" s="999" t="s">
        <v>15</v>
      </c>
      <c r="L28" s="1000" t="s">
        <v>17</v>
      </c>
    </row>
    <row r="29" spans="1:17" ht="319" x14ac:dyDescent="0.35">
      <c r="A29" s="806">
        <v>43703</v>
      </c>
      <c r="B29" s="10" t="s">
        <v>3878</v>
      </c>
      <c r="C29" s="10" t="s">
        <v>3967</v>
      </c>
      <c r="D29" s="8">
        <v>43764</v>
      </c>
      <c r="E29" s="823" t="s">
        <v>262</v>
      </c>
      <c r="F29" s="10" t="s">
        <v>15</v>
      </c>
      <c r="G29" s="10" t="s">
        <v>49</v>
      </c>
      <c r="H29" s="10" t="s">
        <v>49</v>
      </c>
      <c r="I29" s="7" t="s">
        <v>3880</v>
      </c>
      <c r="J29" s="5" t="s">
        <v>3879</v>
      </c>
      <c r="K29" s="5" t="s">
        <v>15</v>
      </c>
      <c r="L29" s="807" t="s">
        <v>17</v>
      </c>
    </row>
    <row r="30" spans="1:17" ht="29" x14ac:dyDescent="0.35">
      <c r="A30" s="907">
        <v>43703</v>
      </c>
      <c r="B30" s="5" t="s">
        <v>3889</v>
      </c>
      <c r="C30" s="5" t="s">
        <v>3884</v>
      </c>
      <c r="D30" s="908">
        <v>43883</v>
      </c>
      <c r="E30" s="824" t="s">
        <v>49</v>
      </c>
      <c r="F30" s="5" t="s">
        <v>15</v>
      </c>
      <c r="G30" s="5" t="s">
        <v>49</v>
      </c>
      <c r="H30" s="5" t="s">
        <v>49</v>
      </c>
      <c r="I30" s="7" t="s">
        <v>49</v>
      </c>
      <c r="J30" s="5" t="s">
        <v>49</v>
      </c>
      <c r="K30" s="5" t="s">
        <v>15</v>
      </c>
      <c r="L30" s="807" t="s">
        <v>17</v>
      </c>
    </row>
    <row r="31" spans="1:17" ht="146.15" customHeight="1" x14ac:dyDescent="0.35">
      <c r="A31" s="825">
        <v>43704</v>
      </c>
      <c r="B31" s="826" t="s">
        <v>3904</v>
      </c>
      <c r="C31" s="826" t="s">
        <v>3964</v>
      </c>
      <c r="D31" s="827">
        <v>43709</v>
      </c>
      <c r="E31" s="872" t="s">
        <v>3966</v>
      </c>
      <c r="F31" s="865">
        <v>0.53472222222222221</v>
      </c>
      <c r="G31" s="865">
        <v>0.5625</v>
      </c>
      <c r="H31" s="865">
        <v>0.56944444444444442</v>
      </c>
      <c r="I31" s="828">
        <f>18.8*75</f>
        <v>1410</v>
      </c>
      <c r="J31" s="915" t="s">
        <v>3965</v>
      </c>
      <c r="K31" s="5" t="s">
        <v>119</v>
      </c>
      <c r="L31" s="829" t="s">
        <v>17</v>
      </c>
    </row>
    <row r="32" spans="1:17" ht="409.4" customHeight="1" x14ac:dyDescent="0.35">
      <c r="A32" s="1522">
        <v>43704</v>
      </c>
      <c r="B32" s="1527" t="s">
        <v>131</v>
      </c>
      <c r="C32" s="1527" t="s">
        <v>3912</v>
      </c>
      <c r="D32" s="1533">
        <v>43709</v>
      </c>
      <c r="E32" s="1074" t="s">
        <v>129</v>
      </c>
      <c r="F32" s="1548">
        <v>0.53472222222222221</v>
      </c>
      <c r="G32" s="6">
        <v>0.61805555555555558</v>
      </c>
      <c r="H32" s="1554">
        <v>0.625</v>
      </c>
      <c r="I32" s="7">
        <v>1319.35</v>
      </c>
      <c r="J32" s="915" t="s">
        <v>3772</v>
      </c>
      <c r="K32" s="5" t="s">
        <v>119</v>
      </c>
      <c r="L32" s="1171" t="s">
        <v>17</v>
      </c>
    </row>
    <row r="33" spans="1:15" ht="246.5" x14ac:dyDescent="0.35">
      <c r="A33" s="1019">
        <v>43704</v>
      </c>
      <c r="B33" s="10" t="s">
        <v>3896</v>
      </c>
      <c r="C33" s="10" t="s">
        <v>4061</v>
      </c>
      <c r="D33" s="1532">
        <v>43716</v>
      </c>
      <c r="E33" s="823" t="s">
        <v>4013</v>
      </c>
      <c r="F33" s="1547">
        <v>0.54166666666666663</v>
      </c>
      <c r="G33" s="1547">
        <v>0.57291666666666663</v>
      </c>
      <c r="H33" s="12">
        <v>0.57291666666666663</v>
      </c>
      <c r="I33" s="965">
        <v>1410</v>
      </c>
      <c r="J33" s="850" t="s">
        <v>4007</v>
      </c>
      <c r="K33" s="5" t="s">
        <v>136</v>
      </c>
      <c r="L33" s="5" t="s">
        <v>22</v>
      </c>
      <c r="O33" t="s">
        <v>4015</v>
      </c>
    </row>
    <row r="34" spans="1:15" ht="217.5" x14ac:dyDescent="0.35">
      <c r="A34" s="1019">
        <v>43704</v>
      </c>
      <c r="B34" s="819" t="s">
        <v>3900</v>
      </c>
      <c r="C34" s="819" t="s">
        <v>4440</v>
      </c>
      <c r="D34" s="1024">
        <v>43737</v>
      </c>
      <c r="E34" s="867" t="s">
        <v>4438</v>
      </c>
      <c r="F34" s="913">
        <v>0.59722222222222221</v>
      </c>
      <c r="G34" s="913">
        <v>0.71875</v>
      </c>
      <c r="H34" s="913">
        <v>0.71875</v>
      </c>
      <c r="I34" s="1031">
        <v>2091</v>
      </c>
      <c r="J34" s="915" t="s">
        <v>4326</v>
      </c>
      <c r="K34" s="826" t="s">
        <v>119</v>
      </c>
      <c r="L34" s="829" t="s">
        <v>22</v>
      </c>
    </row>
    <row r="35" spans="1:15" ht="43.5" x14ac:dyDescent="0.35">
      <c r="A35" s="1049">
        <v>43705</v>
      </c>
      <c r="B35" s="1526" t="s">
        <v>1199</v>
      </c>
      <c r="C35" s="10" t="s">
        <v>3925</v>
      </c>
      <c r="D35" s="1530">
        <v>43710</v>
      </c>
      <c r="E35" s="1538" t="s">
        <v>1197</v>
      </c>
      <c r="F35" s="1545">
        <v>0.4375</v>
      </c>
      <c r="G35" s="1553">
        <v>0.41666666666666669</v>
      </c>
      <c r="H35" s="1553">
        <v>0.5625</v>
      </c>
      <c r="I35" s="1555">
        <v>192</v>
      </c>
      <c r="J35" s="7" t="s">
        <v>257</v>
      </c>
      <c r="K35" s="5" t="s">
        <v>15</v>
      </c>
      <c r="L35" s="5" t="s">
        <v>22</v>
      </c>
    </row>
    <row r="36" spans="1:15" ht="159.5" x14ac:dyDescent="0.35">
      <c r="A36" s="825">
        <v>43706</v>
      </c>
      <c r="B36" s="826" t="s">
        <v>131</v>
      </c>
      <c r="C36" s="826" t="s">
        <v>3986</v>
      </c>
      <c r="D36" s="827">
        <v>43711</v>
      </c>
      <c r="E36" s="872" t="s">
        <v>129</v>
      </c>
      <c r="F36" s="865">
        <v>0.52083333333333337</v>
      </c>
      <c r="G36" s="865">
        <v>0.5</v>
      </c>
      <c r="H36" s="865">
        <v>0.54166666666666663</v>
      </c>
      <c r="I36" s="828">
        <f>15*130+0.625*65</f>
        <v>1990.625</v>
      </c>
      <c r="J36" s="915" t="s">
        <v>3985</v>
      </c>
      <c r="K36" s="5" t="s">
        <v>15</v>
      </c>
      <c r="L36" s="829" t="s">
        <v>17</v>
      </c>
    </row>
    <row r="37" spans="1:15" ht="29" x14ac:dyDescent="0.35">
      <c r="A37" s="1077">
        <v>43709</v>
      </c>
      <c r="B37" s="1078" t="s">
        <v>262</v>
      </c>
      <c r="C37" s="1252" t="s">
        <v>3969</v>
      </c>
      <c r="D37" s="1253">
        <v>43709</v>
      </c>
      <c r="E37" s="1079" t="s">
        <v>73</v>
      </c>
      <c r="F37" s="1080">
        <v>0.52083333333333337</v>
      </c>
      <c r="G37" s="1080">
        <v>0.58333333333333337</v>
      </c>
      <c r="H37" s="1080">
        <v>0.625</v>
      </c>
      <c r="I37" s="1081">
        <v>0</v>
      </c>
      <c r="J37" s="1078" t="s">
        <v>911</v>
      </c>
      <c r="K37" s="1078">
        <v>0</v>
      </c>
      <c r="L37" s="1082" t="s">
        <v>17</v>
      </c>
    </row>
    <row r="38" spans="1:15" ht="43.5" x14ac:dyDescent="0.35">
      <c r="A38" s="1083">
        <v>43709</v>
      </c>
      <c r="B38" s="1078" t="s">
        <v>3904</v>
      </c>
      <c r="C38" s="1252" t="s">
        <v>3969</v>
      </c>
      <c r="D38" s="1253">
        <v>43709</v>
      </c>
      <c r="E38" s="1079" t="s">
        <v>48</v>
      </c>
      <c r="F38" s="1080">
        <v>0.52083333333333337</v>
      </c>
      <c r="G38" s="1080">
        <v>0.58333333333333337</v>
      </c>
      <c r="H38" s="1080">
        <v>0.625</v>
      </c>
      <c r="I38" s="1081">
        <v>0</v>
      </c>
      <c r="J38" s="1078" t="s">
        <v>911</v>
      </c>
      <c r="K38" s="1078">
        <v>0</v>
      </c>
      <c r="L38" s="1082" t="s">
        <v>17</v>
      </c>
    </row>
    <row r="39" spans="1:15" ht="72.5" x14ac:dyDescent="0.35">
      <c r="A39" s="1116">
        <v>43710</v>
      </c>
      <c r="B39" s="1117" t="s">
        <v>3989</v>
      </c>
      <c r="C39" s="1117" t="s">
        <v>3990</v>
      </c>
      <c r="D39" s="1118">
        <v>43711</v>
      </c>
      <c r="E39" s="1119" t="s">
        <v>3991</v>
      </c>
      <c r="F39" s="1179">
        <v>0.52083333333333337</v>
      </c>
      <c r="G39" s="1115">
        <v>0.58333333333333337</v>
      </c>
      <c r="H39" s="1115">
        <v>0.58333333333333337</v>
      </c>
      <c r="I39" s="1113">
        <v>0</v>
      </c>
      <c r="J39" s="826" t="s">
        <v>4070</v>
      </c>
      <c r="K39" s="1112" t="s">
        <v>15</v>
      </c>
      <c r="L39" s="829" t="s">
        <v>17</v>
      </c>
    </row>
    <row r="40" spans="1:15" ht="43.5" x14ac:dyDescent="0.35">
      <c r="A40" s="1453">
        <v>43710</v>
      </c>
      <c r="B40" s="5" t="s">
        <v>697</v>
      </c>
      <c r="C40" s="5" t="s">
        <v>3981</v>
      </c>
      <c r="D40" s="908">
        <v>43712</v>
      </c>
      <c r="E40" s="824" t="s">
        <v>4026</v>
      </c>
      <c r="F40" s="6">
        <v>0.35416666666666669</v>
      </c>
      <c r="G40" s="6">
        <v>0.35416666666666669</v>
      </c>
      <c r="H40" s="6">
        <v>0.35416666666666669</v>
      </c>
      <c r="I40" s="7">
        <v>0</v>
      </c>
      <c r="J40" s="5" t="s">
        <v>289</v>
      </c>
      <c r="K40" s="5" t="s">
        <v>140</v>
      </c>
      <c r="L40" s="807" t="s">
        <v>17</v>
      </c>
    </row>
    <row r="41" spans="1:15" ht="87" x14ac:dyDescent="0.35">
      <c r="A41" s="1183">
        <v>43710</v>
      </c>
      <c r="B41" s="1217" t="s">
        <v>3989</v>
      </c>
      <c r="C41" s="1217" t="s">
        <v>3990</v>
      </c>
      <c r="D41" s="1184">
        <v>43712</v>
      </c>
      <c r="E41" s="823" t="s">
        <v>4027</v>
      </c>
      <c r="F41" s="1210">
        <v>0.39583333333333331</v>
      </c>
      <c r="G41" s="1211">
        <v>0.43055555555555558</v>
      </c>
      <c r="H41" s="1211">
        <v>0.43055555555555558</v>
      </c>
      <c r="I41" s="1185">
        <v>172.8</v>
      </c>
      <c r="J41" s="5" t="s">
        <v>4071</v>
      </c>
      <c r="K41" s="5" t="s">
        <v>140</v>
      </c>
      <c r="L41" s="807" t="s">
        <v>17</v>
      </c>
    </row>
    <row r="42" spans="1:15" ht="188.25" customHeight="1" x14ac:dyDescent="0.35">
      <c r="A42" s="825">
        <v>43710</v>
      </c>
      <c r="B42" s="826" t="s">
        <v>697</v>
      </c>
      <c r="C42" s="826" t="s">
        <v>3982</v>
      </c>
      <c r="D42" s="827">
        <v>43712</v>
      </c>
      <c r="E42" s="872" t="s">
        <v>126</v>
      </c>
      <c r="F42" s="865">
        <v>0.45833333333333331</v>
      </c>
      <c r="G42" s="865">
        <v>0.5</v>
      </c>
      <c r="H42" s="865">
        <v>0.5</v>
      </c>
      <c r="I42" s="828">
        <v>0</v>
      </c>
      <c r="J42" s="826" t="s">
        <v>289</v>
      </c>
      <c r="K42" s="826" t="s">
        <v>140</v>
      </c>
      <c r="L42" s="829" t="s">
        <v>17</v>
      </c>
    </row>
    <row r="43" spans="1:15" ht="43.5" x14ac:dyDescent="0.35">
      <c r="A43" s="1453">
        <v>43710</v>
      </c>
      <c r="B43" s="5" t="s">
        <v>697</v>
      </c>
      <c r="C43" s="5" t="s">
        <v>3984</v>
      </c>
      <c r="D43" s="908">
        <v>43712</v>
      </c>
      <c r="E43" s="824" t="s">
        <v>3983</v>
      </c>
      <c r="F43" s="6">
        <v>0.79166666666666663</v>
      </c>
      <c r="G43" s="6">
        <v>0.79166666666666663</v>
      </c>
      <c r="H43" s="6">
        <v>0.79166666666666663</v>
      </c>
      <c r="I43" s="7">
        <v>0</v>
      </c>
      <c r="J43" s="5" t="s">
        <v>289</v>
      </c>
      <c r="K43" s="826" t="s">
        <v>140</v>
      </c>
      <c r="L43" s="807" t="s">
        <v>17</v>
      </c>
    </row>
    <row r="44" spans="1:15" ht="329.15" customHeight="1" x14ac:dyDescent="0.35">
      <c r="A44" s="852">
        <v>43710</v>
      </c>
      <c r="B44" s="817" t="s">
        <v>20</v>
      </c>
      <c r="C44" s="817" t="s">
        <v>3978</v>
      </c>
      <c r="D44" s="1223">
        <v>43713</v>
      </c>
      <c r="E44" s="817" t="s">
        <v>20</v>
      </c>
      <c r="F44" s="817" t="s">
        <v>15</v>
      </c>
      <c r="G44" s="817" t="s">
        <v>15</v>
      </c>
      <c r="H44" s="817" t="s">
        <v>15</v>
      </c>
      <c r="I44" s="7">
        <v>0</v>
      </c>
      <c r="J44" s="817" t="s">
        <v>20</v>
      </c>
      <c r="K44" s="874" t="s">
        <v>15</v>
      </c>
      <c r="L44" s="839" t="s">
        <v>17</v>
      </c>
    </row>
    <row r="45" spans="1:15" ht="29" x14ac:dyDescent="0.35">
      <c r="A45" s="852">
        <v>43710</v>
      </c>
      <c r="B45" s="817" t="s">
        <v>20</v>
      </c>
      <c r="C45" s="817" t="s">
        <v>3977</v>
      </c>
      <c r="D45" s="1223">
        <v>43713</v>
      </c>
      <c r="E45" s="817" t="s">
        <v>20</v>
      </c>
      <c r="F45" s="817" t="s">
        <v>15</v>
      </c>
      <c r="G45" s="817" t="s">
        <v>15</v>
      </c>
      <c r="H45" s="817" t="s">
        <v>15</v>
      </c>
      <c r="I45" s="7">
        <v>0</v>
      </c>
      <c r="J45" s="817" t="s">
        <v>20</v>
      </c>
      <c r="K45" s="874" t="s">
        <v>15</v>
      </c>
      <c r="L45" s="839" t="s">
        <v>17</v>
      </c>
    </row>
    <row r="46" spans="1:15" ht="29" x14ac:dyDescent="0.35">
      <c r="A46" s="1409">
        <v>43710</v>
      </c>
      <c r="B46" s="1414" t="s">
        <v>20</v>
      </c>
      <c r="C46" s="1414" t="s">
        <v>3999</v>
      </c>
      <c r="D46" s="1409">
        <v>43713</v>
      </c>
      <c r="E46" s="1414" t="s">
        <v>20</v>
      </c>
      <c r="F46" s="1414" t="s">
        <v>15</v>
      </c>
      <c r="G46" s="1414" t="s">
        <v>15</v>
      </c>
      <c r="H46" s="1414" t="s">
        <v>15</v>
      </c>
      <c r="I46" s="1185">
        <v>0</v>
      </c>
      <c r="J46" s="1414" t="s">
        <v>20</v>
      </c>
      <c r="K46" s="1414" t="s">
        <v>15</v>
      </c>
      <c r="L46" s="1178" t="s">
        <v>17</v>
      </c>
    </row>
    <row r="47" spans="1:15" ht="409.6" customHeight="1" x14ac:dyDescent="0.35">
      <c r="A47" s="1120">
        <v>43710</v>
      </c>
      <c r="B47" s="1121" t="s">
        <v>20</v>
      </c>
      <c r="C47" s="1121" t="s">
        <v>3994</v>
      </c>
      <c r="D47" s="1122">
        <v>43714</v>
      </c>
      <c r="E47" s="1121" t="s">
        <v>20</v>
      </c>
      <c r="F47" s="1121" t="s">
        <v>15</v>
      </c>
      <c r="G47" s="1121" t="s">
        <v>15</v>
      </c>
      <c r="H47" s="1121" t="s">
        <v>15</v>
      </c>
      <c r="I47" s="1113">
        <v>0</v>
      </c>
      <c r="J47" s="1121" t="s">
        <v>20</v>
      </c>
      <c r="K47" s="1121" t="s">
        <v>15</v>
      </c>
      <c r="L47" s="1190" t="s">
        <v>17</v>
      </c>
    </row>
    <row r="48" spans="1:15" x14ac:dyDescent="0.35">
      <c r="A48" s="1120">
        <v>43710</v>
      </c>
      <c r="B48" s="1121" t="s">
        <v>20</v>
      </c>
      <c r="C48" s="1121" t="s">
        <v>3996</v>
      </c>
      <c r="D48" s="1122">
        <v>43714</v>
      </c>
      <c r="E48" s="1121" t="s">
        <v>20</v>
      </c>
      <c r="F48" s="1121" t="s">
        <v>15</v>
      </c>
      <c r="G48" s="1121" t="s">
        <v>15</v>
      </c>
      <c r="H48" s="1121" t="s">
        <v>15</v>
      </c>
      <c r="I48" s="1113">
        <v>0</v>
      </c>
      <c r="J48" s="1121" t="s">
        <v>20</v>
      </c>
      <c r="K48" s="1121" t="s">
        <v>15</v>
      </c>
      <c r="L48" s="1114" t="s">
        <v>17</v>
      </c>
    </row>
    <row r="49" spans="1:12" ht="101.5" x14ac:dyDescent="0.35">
      <c r="A49" s="830">
        <v>43710</v>
      </c>
      <c r="B49" s="819" t="s">
        <v>4050</v>
      </c>
      <c r="C49" s="819" t="s">
        <v>4072</v>
      </c>
      <c r="D49" s="833">
        <v>43715</v>
      </c>
      <c r="E49" s="819" t="s">
        <v>4036</v>
      </c>
      <c r="F49" s="913">
        <v>0.41666666666666669</v>
      </c>
      <c r="G49" s="913">
        <v>0.47916666666666669</v>
      </c>
      <c r="H49" s="913">
        <v>0.47916666666666669</v>
      </c>
      <c r="I49" s="828">
        <f>700+120*125/1000*85</f>
        <v>1975</v>
      </c>
      <c r="J49" s="915" t="s">
        <v>4069</v>
      </c>
      <c r="K49" s="1187" t="s">
        <v>140</v>
      </c>
      <c r="L49" s="829" t="s">
        <v>17</v>
      </c>
    </row>
    <row r="50" spans="1:12" ht="116" x14ac:dyDescent="0.35">
      <c r="A50" s="1116">
        <v>43710</v>
      </c>
      <c r="B50" s="819" t="s">
        <v>4042</v>
      </c>
      <c r="C50" s="819" t="s">
        <v>3997</v>
      </c>
      <c r="D50" s="1118">
        <v>43715</v>
      </c>
      <c r="E50" s="867" t="s">
        <v>129</v>
      </c>
      <c r="F50" s="1179">
        <v>0.41666666666666669</v>
      </c>
      <c r="G50" s="1115">
        <v>0.51388888888888895</v>
      </c>
      <c r="H50" s="1115">
        <v>0.51388888888888895</v>
      </c>
      <c r="I50" s="1113">
        <f>450+97.5+135*125/1000*65</f>
        <v>1644.375</v>
      </c>
      <c r="J50" s="1209" t="s">
        <v>3998</v>
      </c>
      <c r="K50" s="1187" t="s">
        <v>140</v>
      </c>
      <c r="L50" s="1114" t="s">
        <v>17</v>
      </c>
    </row>
    <row r="51" spans="1:12" ht="362.5" x14ac:dyDescent="0.35">
      <c r="A51" s="830">
        <v>43710</v>
      </c>
      <c r="B51" s="819" t="s">
        <v>4053</v>
      </c>
      <c r="C51" s="819" t="s">
        <v>4040</v>
      </c>
      <c r="D51" s="833">
        <v>43715</v>
      </c>
      <c r="E51" s="867" t="s">
        <v>4016</v>
      </c>
      <c r="F51" s="913">
        <v>0.57638888888888895</v>
      </c>
      <c r="G51" s="913">
        <v>0.61458333333333337</v>
      </c>
      <c r="H51" s="913">
        <v>0.61458333333333337</v>
      </c>
      <c r="I51" s="828">
        <f>75*4*4.76+300+840+100</f>
        <v>2668</v>
      </c>
      <c r="J51" s="915" t="s">
        <v>4041</v>
      </c>
      <c r="K51" s="1187" t="s">
        <v>140</v>
      </c>
      <c r="L51" s="829" t="s">
        <v>3862</v>
      </c>
    </row>
    <row r="52" spans="1:12" ht="58" x14ac:dyDescent="0.35">
      <c r="A52" s="1116">
        <v>43710</v>
      </c>
      <c r="B52" s="819" t="s">
        <v>4051</v>
      </c>
      <c r="C52" s="819" t="s">
        <v>4000</v>
      </c>
      <c r="D52" s="833">
        <v>43715</v>
      </c>
      <c r="E52" s="819" t="s">
        <v>290</v>
      </c>
      <c r="F52" s="913">
        <v>0.4375</v>
      </c>
      <c r="G52" s="1384">
        <v>0.47916666666666669</v>
      </c>
      <c r="H52" s="1384">
        <v>0.47916666666666669</v>
      </c>
      <c r="I52" s="1386">
        <v>1145.625</v>
      </c>
      <c r="J52" s="915" t="s">
        <v>4001</v>
      </c>
      <c r="K52" s="826" t="s">
        <v>4068</v>
      </c>
      <c r="L52" s="829" t="s">
        <v>22</v>
      </c>
    </row>
    <row r="53" spans="1:12" ht="145" x14ac:dyDescent="0.35">
      <c r="A53" s="8">
        <v>43710</v>
      </c>
      <c r="B53" s="10" t="s">
        <v>4073</v>
      </c>
      <c r="C53" s="10" t="s">
        <v>3971</v>
      </c>
      <c r="D53" s="8">
        <v>43715</v>
      </c>
      <c r="E53" s="823" t="s">
        <v>262</v>
      </c>
      <c r="F53" s="12">
        <v>0.4375</v>
      </c>
      <c r="G53" s="836">
        <v>0.52083333333333337</v>
      </c>
      <c r="H53" s="836">
        <v>0.52083333333333337</v>
      </c>
      <c r="I53" s="7">
        <v>1935</v>
      </c>
      <c r="J53" s="850" t="s">
        <v>3972</v>
      </c>
      <c r="K53" s="5" t="s">
        <v>4068</v>
      </c>
      <c r="L53" s="5" t="s">
        <v>17</v>
      </c>
    </row>
    <row r="54" spans="1:12" ht="203" x14ac:dyDescent="0.35">
      <c r="A54" s="1116">
        <v>43710</v>
      </c>
      <c r="B54" s="819" t="s">
        <v>4078</v>
      </c>
      <c r="C54" s="819" t="s">
        <v>4030</v>
      </c>
      <c r="D54" s="1118">
        <v>43716</v>
      </c>
      <c r="E54" s="1119" t="s">
        <v>129</v>
      </c>
      <c r="F54" s="1179">
        <v>0.47916666666666669</v>
      </c>
      <c r="G54" s="1179">
        <v>0.5</v>
      </c>
      <c r="H54" s="1179">
        <v>0.5</v>
      </c>
      <c r="I54" s="1113">
        <f>200+97.5+145*125/1000*65+140*3*4.76</f>
        <v>3474.8249999999998</v>
      </c>
      <c r="J54" s="915" t="s">
        <v>4031</v>
      </c>
      <c r="K54" s="826" t="s">
        <v>140</v>
      </c>
      <c r="L54" s="1114" t="s">
        <v>17</v>
      </c>
    </row>
    <row r="55" spans="1:12" ht="72.5" x14ac:dyDescent="0.35">
      <c r="A55" s="1116">
        <v>43710</v>
      </c>
      <c r="B55" s="819" t="s">
        <v>3992</v>
      </c>
      <c r="C55" s="1117" t="s">
        <v>3993</v>
      </c>
      <c r="D55" s="1118">
        <v>43716</v>
      </c>
      <c r="E55" s="1119" t="s">
        <v>3941</v>
      </c>
      <c r="F55" s="1179">
        <v>0.64583333333333337</v>
      </c>
      <c r="G55" s="1115">
        <v>0.6875</v>
      </c>
      <c r="H55" s="1115">
        <v>0.70833333333333337</v>
      </c>
      <c r="I55" s="1429">
        <v>660</v>
      </c>
      <c r="J55" s="1112" t="s">
        <v>3995</v>
      </c>
      <c r="K55" s="826" t="s">
        <v>136</v>
      </c>
      <c r="L55" s="1114" t="s">
        <v>17</v>
      </c>
    </row>
    <row r="56" spans="1:12" ht="58" x14ac:dyDescent="0.35">
      <c r="A56" s="1232">
        <v>43711</v>
      </c>
      <c r="B56" s="1187" t="s">
        <v>4032</v>
      </c>
      <c r="C56" s="1187" t="s">
        <v>4033</v>
      </c>
      <c r="D56" s="1233">
        <v>43713</v>
      </c>
      <c r="E56" s="1188" t="s">
        <v>4034</v>
      </c>
      <c r="F56" s="1191">
        <v>0.41666666666666669</v>
      </c>
      <c r="G56" s="1191">
        <v>0.45833333333333331</v>
      </c>
      <c r="H56" s="1191">
        <v>0.45833333333333331</v>
      </c>
      <c r="I56" s="1189">
        <f>(3.2*120)*0.9+200*3.5</f>
        <v>1045.5999999999999</v>
      </c>
      <c r="J56" s="1194" t="s">
        <v>4035</v>
      </c>
      <c r="K56" s="1187" t="s">
        <v>119</v>
      </c>
      <c r="L56" s="1190" t="s">
        <v>17</v>
      </c>
    </row>
    <row r="57" spans="1:12" ht="58" x14ac:dyDescent="0.35">
      <c r="A57" s="825">
        <v>43711</v>
      </c>
      <c r="B57" s="826" t="s">
        <v>292</v>
      </c>
      <c r="C57" s="826" t="s">
        <v>4023</v>
      </c>
      <c r="D57" s="827">
        <v>43713</v>
      </c>
      <c r="E57" s="872" t="s">
        <v>290</v>
      </c>
      <c r="F57" s="865">
        <v>0.61458333333333337</v>
      </c>
      <c r="G57" s="865">
        <v>0.66666666666666663</v>
      </c>
      <c r="H57" s="865">
        <v>0.66666666666666663</v>
      </c>
      <c r="I57" s="828">
        <v>480</v>
      </c>
      <c r="J57" s="915" t="s">
        <v>4029</v>
      </c>
      <c r="K57" s="826" t="s">
        <v>119</v>
      </c>
      <c r="L57" s="829" t="s">
        <v>22</v>
      </c>
    </row>
    <row r="58" spans="1:12" ht="29" x14ac:dyDescent="0.35">
      <c r="A58" s="852">
        <v>43711</v>
      </c>
      <c r="B58" s="873" t="s">
        <v>20</v>
      </c>
      <c r="C58" s="817" t="s">
        <v>4014</v>
      </c>
      <c r="D58" s="1223">
        <v>43714</v>
      </c>
      <c r="E58" s="817" t="s">
        <v>20</v>
      </c>
      <c r="F58" s="874" t="s">
        <v>15</v>
      </c>
      <c r="G58" s="874" t="s">
        <v>15</v>
      </c>
      <c r="H58" s="874" t="s">
        <v>15</v>
      </c>
      <c r="I58" s="874">
        <v>0</v>
      </c>
      <c r="J58" s="874" t="s">
        <v>20</v>
      </c>
      <c r="K58" s="874" t="s">
        <v>15</v>
      </c>
      <c r="L58" s="839" t="s">
        <v>17</v>
      </c>
    </row>
    <row r="59" spans="1:12" ht="246.5" x14ac:dyDescent="0.35">
      <c r="A59" s="1180">
        <v>43711</v>
      </c>
      <c r="B59" s="826" t="s">
        <v>4052</v>
      </c>
      <c r="C59" s="826" t="s">
        <v>4011</v>
      </c>
      <c r="D59" s="1181">
        <v>43715</v>
      </c>
      <c r="E59" s="1182" t="s">
        <v>441</v>
      </c>
      <c r="F59" s="1115">
        <v>0.5625</v>
      </c>
      <c r="G59" s="1115">
        <v>0.58333333333333337</v>
      </c>
      <c r="H59" s="1115">
        <v>0.58333333333333337</v>
      </c>
      <c r="I59" s="1113">
        <v>2700</v>
      </c>
      <c r="J59" s="1209" t="s">
        <v>4012</v>
      </c>
      <c r="K59" s="826" t="s">
        <v>4068</v>
      </c>
      <c r="L59" s="1114" t="s">
        <v>17</v>
      </c>
    </row>
    <row r="60" spans="1:12" ht="87" x14ac:dyDescent="0.35">
      <c r="A60" s="830">
        <v>43711</v>
      </c>
      <c r="B60" s="819" t="s">
        <v>25</v>
      </c>
      <c r="C60" s="819" t="s">
        <v>4064</v>
      </c>
      <c r="D60" s="833">
        <v>43716</v>
      </c>
      <c r="E60" s="867" t="s">
        <v>27</v>
      </c>
      <c r="F60" s="913">
        <v>0.3611111111111111</v>
      </c>
      <c r="G60" s="913">
        <v>0.39583333333333331</v>
      </c>
      <c r="H60" s="913">
        <v>0.39583333333333331</v>
      </c>
      <c r="I60" s="828">
        <v>238</v>
      </c>
      <c r="J60" s="915" t="s">
        <v>4022</v>
      </c>
      <c r="K60" s="826" t="s">
        <v>140</v>
      </c>
      <c r="L60" s="829" t="s">
        <v>17</v>
      </c>
    </row>
    <row r="61" spans="1:12" ht="43.5" x14ac:dyDescent="0.35">
      <c r="A61" s="1180">
        <v>43711</v>
      </c>
      <c r="B61" s="826" t="s">
        <v>4054</v>
      </c>
      <c r="C61" s="826" t="s">
        <v>4006</v>
      </c>
      <c r="D61" s="1181">
        <v>43716</v>
      </c>
      <c r="E61" s="872" t="s">
        <v>4003</v>
      </c>
      <c r="F61" s="1115">
        <v>0.47916666666666669</v>
      </c>
      <c r="G61" s="1115">
        <v>0.53125</v>
      </c>
      <c r="H61" s="1115">
        <v>0.53125</v>
      </c>
      <c r="I61" s="1113">
        <v>160</v>
      </c>
      <c r="J61" s="1209" t="s">
        <v>4002</v>
      </c>
      <c r="K61" s="826" t="s">
        <v>140</v>
      </c>
      <c r="L61" s="1114" t="s">
        <v>17</v>
      </c>
    </row>
    <row r="62" spans="1:12" ht="304.5" x14ac:dyDescent="0.35">
      <c r="A62" s="1116">
        <v>43711</v>
      </c>
      <c r="B62" s="819" t="s">
        <v>4079</v>
      </c>
      <c r="C62" s="819" t="s">
        <v>4080</v>
      </c>
      <c r="D62" s="1118">
        <v>43716</v>
      </c>
      <c r="E62" s="867" t="s">
        <v>4081</v>
      </c>
      <c r="F62" s="1179">
        <v>0.54861111111111105</v>
      </c>
      <c r="G62" s="1179">
        <v>0.63194444444444442</v>
      </c>
      <c r="H62" s="1115">
        <v>0.63194444444444442</v>
      </c>
      <c r="I62" s="1113">
        <f>79*4*4.76+300+85+85+800</f>
        <v>2774.16</v>
      </c>
      <c r="J62" s="915" t="s">
        <v>4028</v>
      </c>
      <c r="K62" s="826" t="s">
        <v>140</v>
      </c>
      <c r="L62" s="1114" t="s">
        <v>17</v>
      </c>
    </row>
    <row r="63" spans="1:12" ht="159.5" x14ac:dyDescent="0.35">
      <c r="A63" s="1212">
        <v>43711</v>
      </c>
      <c r="B63" s="1213" t="s">
        <v>4095</v>
      </c>
      <c r="C63" s="1213" t="s">
        <v>4075</v>
      </c>
      <c r="D63" s="1214">
        <v>43716</v>
      </c>
      <c r="E63" s="1215" t="s">
        <v>4082</v>
      </c>
      <c r="F63" s="1216">
        <v>0.90972222222222221</v>
      </c>
      <c r="G63" s="1216">
        <v>0.95833333333333337</v>
      </c>
      <c r="H63" s="1191">
        <v>0.95833333333333337</v>
      </c>
      <c r="I63" s="1189">
        <v>0</v>
      </c>
      <c r="J63" s="1187" t="s">
        <v>4077</v>
      </c>
      <c r="K63" s="826" t="s">
        <v>17</v>
      </c>
      <c r="L63" s="1190" t="s">
        <v>17</v>
      </c>
    </row>
    <row r="64" spans="1:12" ht="43.5" x14ac:dyDescent="0.35">
      <c r="A64" s="1201">
        <v>43711</v>
      </c>
      <c r="B64" s="5" t="s">
        <v>4055</v>
      </c>
      <c r="C64" s="1178" t="s">
        <v>4004</v>
      </c>
      <c r="D64" s="1192">
        <v>43722</v>
      </c>
      <c r="E64" s="824" t="s">
        <v>210</v>
      </c>
      <c r="F64" s="1211">
        <v>0.52083333333333337</v>
      </c>
      <c r="G64" s="1211">
        <v>0.52083333333333337</v>
      </c>
      <c r="H64" s="6">
        <v>0.54166666666666663</v>
      </c>
      <c r="I64" s="1387">
        <v>400</v>
      </c>
      <c r="J64" s="1178" t="s">
        <v>257</v>
      </c>
      <c r="K64" s="5" t="s">
        <v>15</v>
      </c>
      <c r="L64" s="1186" t="s">
        <v>17</v>
      </c>
    </row>
    <row r="65" spans="1:12" ht="261" x14ac:dyDescent="0.35">
      <c r="A65" s="830">
        <v>43711</v>
      </c>
      <c r="B65" s="819" t="s">
        <v>4018</v>
      </c>
      <c r="C65" s="819" t="s">
        <v>4019</v>
      </c>
      <c r="D65" s="833">
        <v>43750</v>
      </c>
      <c r="E65" s="867" t="s">
        <v>262</v>
      </c>
      <c r="F65" s="819" t="s">
        <v>15</v>
      </c>
      <c r="G65" s="826" t="s">
        <v>49</v>
      </c>
      <c r="H65" s="826" t="s">
        <v>49</v>
      </c>
      <c r="I65" s="1405" t="s">
        <v>4021</v>
      </c>
      <c r="J65" s="826" t="s">
        <v>4020</v>
      </c>
      <c r="K65" s="826" t="s">
        <v>15</v>
      </c>
      <c r="L65" s="829" t="s">
        <v>17</v>
      </c>
    </row>
    <row r="66" spans="1:12" ht="29" x14ac:dyDescent="0.35">
      <c r="A66" s="1232">
        <v>43712</v>
      </c>
      <c r="B66" s="1187" t="s">
        <v>131</v>
      </c>
      <c r="C66" s="1187" t="s">
        <v>404</v>
      </c>
      <c r="D66" s="1233">
        <v>43714</v>
      </c>
      <c r="E66" s="1188" t="s">
        <v>129</v>
      </c>
      <c r="F66" s="1191">
        <v>0.58333333333333337</v>
      </c>
      <c r="G66" s="1191">
        <v>0.58333333333333337</v>
      </c>
      <c r="H66" s="1191">
        <v>0.60416666666666663</v>
      </c>
      <c r="I66" s="1189">
        <v>0</v>
      </c>
      <c r="J66" s="1187" t="s">
        <v>289</v>
      </c>
      <c r="K66" s="1187" t="s">
        <v>140</v>
      </c>
      <c r="L66" s="1190" t="s">
        <v>17</v>
      </c>
    </row>
    <row r="67" spans="1:12" ht="72.5" x14ac:dyDescent="0.35">
      <c r="A67" s="1204">
        <v>43712</v>
      </c>
      <c r="B67" s="1205" t="s">
        <v>4058</v>
      </c>
      <c r="C67" s="1205" t="s">
        <v>4059</v>
      </c>
      <c r="D67" s="1206">
        <v>43714</v>
      </c>
      <c r="E67" s="1205" t="s">
        <v>3567</v>
      </c>
      <c r="F67" s="1208">
        <v>0.58333333333333337</v>
      </c>
      <c r="G67" s="1208">
        <v>0.625</v>
      </c>
      <c r="H67" s="1208">
        <v>0.625</v>
      </c>
      <c r="I67" s="1189">
        <v>171</v>
      </c>
      <c r="J67" s="1433" t="s">
        <v>4060</v>
      </c>
      <c r="K67" s="1205" t="s">
        <v>140</v>
      </c>
      <c r="L67" s="1190" t="s">
        <v>17</v>
      </c>
    </row>
    <row r="68" spans="1:12" ht="43.5" x14ac:dyDescent="0.35">
      <c r="A68" s="1212">
        <v>43713</v>
      </c>
      <c r="B68" s="1213" t="s">
        <v>4049</v>
      </c>
      <c r="C68" s="1213" t="s">
        <v>4044</v>
      </c>
      <c r="D68" s="1214">
        <v>43715</v>
      </c>
      <c r="E68" s="1215" t="s">
        <v>4045</v>
      </c>
      <c r="F68" s="1216">
        <v>0.35416666666666669</v>
      </c>
      <c r="G68" s="1191">
        <v>0.375</v>
      </c>
      <c r="H68" s="1191">
        <v>0.375</v>
      </c>
      <c r="I68" s="1189" t="s">
        <v>15</v>
      </c>
      <c r="J68" s="1187" t="s">
        <v>4046</v>
      </c>
      <c r="K68" s="1187" t="s">
        <v>140</v>
      </c>
      <c r="L68" s="1190" t="s">
        <v>17</v>
      </c>
    </row>
    <row r="69" spans="1:12" ht="29" x14ac:dyDescent="0.35">
      <c r="A69" s="1226">
        <v>43713</v>
      </c>
      <c r="B69" s="817" t="s">
        <v>4074</v>
      </c>
      <c r="C69" s="817" t="s">
        <v>4062</v>
      </c>
      <c r="D69" s="1226">
        <v>43715</v>
      </c>
      <c r="E69" s="817" t="s">
        <v>311</v>
      </c>
      <c r="F69" s="1225" t="s">
        <v>15</v>
      </c>
      <c r="G69" s="1154">
        <v>0.625</v>
      </c>
      <c r="H69" s="1154">
        <v>0.625</v>
      </c>
      <c r="I69" s="1199">
        <v>192</v>
      </c>
      <c r="J69" s="1430" t="s">
        <v>4063</v>
      </c>
      <c r="K69" s="1225" t="s">
        <v>15</v>
      </c>
      <c r="L69" s="817" t="s">
        <v>22</v>
      </c>
    </row>
    <row r="70" spans="1:12" ht="43.5" x14ac:dyDescent="0.35">
      <c r="A70" s="1228">
        <v>43714</v>
      </c>
      <c r="B70" s="1200" t="s">
        <v>4085</v>
      </c>
      <c r="C70" s="1200" t="s">
        <v>4096</v>
      </c>
      <c r="D70" s="1228">
        <v>43717</v>
      </c>
      <c r="E70" s="1207" t="s">
        <v>4076</v>
      </c>
      <c r="F70" s="1198">
        <v>0.33333333333333331</v>
      </c>
      <c r="G70" s="1198">
        <v>0.375</v>
      </c>
      <c r="H70" s="1198">
        <v>0.41666666666666669</v>
      </c>
      <c r="I70" s="1199">
        <v>0</v>
      </c>
      <c r="J70" s="1200" t="s">
        <v>911</v>
      </c>
      <c r="K70" s="1187" t="s">
        <v>315</v>
      </c>
      <c r="L70" s="1200" t="s">
        <v>17</v>
      </c>
    </row>
    <row r="71" spans="1:12" ht="29" x14ac:dyDescent="0.35">
      <c r="A71" s="1232">
        <v>43714</v>
      </c>
      <c r="B71" s="1187" t="s">
        <v>4085</v>
      </c>
      <c r="C71" s="1187" t="s">
        <v>4097</v>
      </c>
      <c r="D71" s="1233">
        <v>43717</v>
      </c>
      <c r="E71" s="1188" t="s">
        <v>129</v>
      </c>
      <c r="F71" s="1191">
        <v>0.58333333333333337</v>
      </c>
      <c r="G71" s="1191">
        <v>0.625</v>
      </c>
      <c r="H71" s="1191">
        <v>0.625</v>
      </c>
      <c r="I71" s="1189">
        <v>0</v>
      </c>
      <c r="J71" s="1187" t="s">
        <v>911</v>
      </c>
      <c r="K71" s="1187" t="s">
        <v>315</v>
      </c>
      <c r="L71" s="1190" t="s">
        <v>17</v>
      </c>
    </row>
    <row r="72" spans="1:12" ht="130.5" x14ac:dyDescent="0.35">
      <c r="A72" s="1232">
        <v>43714</v>
      </c>
      <c r="B72" s="1187" t="s">
        <v>4065</v>
      </c>
      <c r="C72" s="1187" t="s">
        <v>4066</v>
      </c>
      <c r="D72" s="1233">
        <v>43718</v>
      </c>
      <c r="E72" s="1188" t="s">
        <v>4067</v>
      </c>
      <c r="F72" s="1191">
        <v>0.58333333333333337</v>
      </c>
      <c r="G72" s="1191">
        <v>0.60416666666666663</v>
      </c>
      <c r="H72" s="1191">
        <v>0.61458333333333337</v>
      </c>
      <c r="I72" s="1189">
        <v>0</v>
      </c>
      <c r="J72" s="1187" t="s">
        <v>289</v>
      </c>
      <c r="K72" s="1187" t="s">
        <v>140</v>
      </c>
      <c r="L72" s="1190" t="s">
        <v>17</v>
      </c>
    </row>
    <row r="73" spans="1:12" ht="174" x14ac:dyDescent="0.35">
      <c r="A73" s="1228">
        <v>43714</v>
      </c>
      <c r="B73" s="1200" t="s">
        <v>4083</v>
      </c>
      <c r="C73" s="1200" t="s">
        <v>4110</v>
      </c>
      <c r="D73" s="1228">
        <v>43718</v>
      </c>
      <c r="E73" s="1207" t="s">
        <v>4111</v>
      </c>
      <c r="F73" s="1200" t="s">
        <v>15</v>
      </c>
      <c r="G73" s="1198">
        <v>0.54166666666666663</v>
      </c>
      <c r="H73" s="1198">
        <v>0.54166666666666663</v>
      </c>
      <c r="I73" s="1199">
        <v>0</v>
      </c>
      <c r="J73" s="1200" t="s">
        <v>4084</v>
      </c>
      <c r="K73" s="1187" t="s">
        <v>17</v>
      </c>
      <c r="L73" s="1200" t="s">
        <v>17</v>
      </c>
    </row>
    <row r="74" spans="1:12" x14ac:dyDescent="0.35">
      <c r="A74" s="1985"/>
      <c r="B74" s="1986"/>
      <c r="C74" s="1986"/>
      <c r="D74" s="1987"/>
      <c r="E74" s="1988"/>
      <c r="F74" s="1986"/>
      <c r="G74" s="1989"/>
      <c r="H74" s="1989"/>
      <c r="I74" s="1960"/>
      <c r="J74" s="1986"/>
      <c r="K74" s="1986"/>
      <c r="L74" s="1990"/>
    </row>
    <row r="75" spans="1:12" ht="217.5" x14ac:dyDescent="0.35">
      <c r="A75" s="1202">
        <v>43714</v>
      </c>
      <c r="B75" s="10" t="s">
        <v>4086</v>
      </c>
      <c r="C75" s="10" t="s">
        <v>4088</v>
      </c>
      <c r="D75" s="1196">
        <v>43730</v>
      </c>
      <c r="E75" s="823" t="s">
        <v>4087</v>
      </c>
      <c r="F75" s="1197">
        <v>0.58333333333333337</v>
      </c>
      <c r="G75" s="1197">
        <v>0.70833333333333337</v>
      </c>
      <c r="H75" s="1197">
        <v>0.70833333333333337</v>
      </c>
      <c r="I75" s="1287">
        <f>50*4*4.76+300</f>
        <v>1252</v>
      </c>
      <c r="J75" s="1432" t="s">
        <v>108</v>
      </c>
      <c r="K75" s="826" t="s">
        <v>140</v>
      </c>
      <c r="L75" s="1203" t="s">
        <v>17</v>
      </c>
    </row>
    <row r="76" spans="1:12" ht="43.5" x14ac:dyDescent="0.35">
      <c r="A76" s="1218">
        <v>43715</v>
      </c>
      <c r="B76" s="1189" t="s">
        <v>911</v>
      </c>
      <c r="C76" s="1189" t="s">
        <v>4094</v>
      </c>
      <c r="D76" s="1219">
        <v>43716</v>
      </c>
      <c r="E76" s="1220" t="s">
        <v>4093</v>
      </c>
      <c r="F76" s="1221">
        <v>0.3611111111111111</v>
      </c>
      <c r="G76" s="1221">
        <v>0.375</v>
      </c>
      <c r="H76" s="1221">
        <v>0.375</v>
      </c>
      <c r="I76" s="1189">
        <v>0</v>
      </c>
      <c r="J76" s="1189" t="s">
        <v>911</v>
      </c>
      <c r="K76" s="1189" t="s">
        <v>4092</v>
      </c>
      <c r="L76" s="1222" t="s">
        <v>17</v>
      </c>
    </row>
    <row r="77" spans="1:12" ht="43.5" x14ac:dyDescent="0.35">
      <c r="A77" s="1218">
        <v>43715</v>
      </c>
      <c r="B77" s="1189" t="s">
        <v>911</v>
      </c>
      <c r="C77" s="1189" t="s">
        <v>4090</v>
      </c>
      <c r="D77" s="1219">
        <v>43716</v>
      </c>
      <c r="E77" s="1220" t="s">
        <v>4091</v>
      </c>
      <c r="F77" s="1221">
        <v>0.3611111111111111</v>
      </c>
      <c r="G77" s="1221">
        <v>0.43055555555555558</v>
      </c>
      <c r="H77" s="1221">
        <v>0.43055555555555558</v>
      </c>
      <c r="I77" s="1189">
        <v>0</v>
      </c>
      <c r="J77" s="1189" t="s">
        <v>911</v>
      </c>
      <c r="K77" s="1189" t="s">
        <v>4092</v>
      </c>
      <c r="L77" s="1222" t="s">
        <v>17</v>
      </c>
    </row>
    <row r="78" spans="1:12" ht="101.5" x14ac:dyDescent="0.35">
      <c r="A78" s="1232">
        <v>43716</v>
      </c>
      <c r="B78" s="1187" t="s">
        <v>4151</v>
      </c>
      <c r="C78" s="1187" t="s">
        <v>4152</v>
      </c>
      <c r="D78" s="1233">
        <v>43720</v>
      </c>
      <c r="E78" s="1188" t="s">
        <v>4102</v>
      </c>
      <c r="F78" s="1191">
        <v>0.49305555555555558</v>
      </c>
      <c r="G78" s="1191">
        <v>0.5</v>
      </c>
      <c r="H78" s="1191">
        <v>0.5</v>
      </c>
      <c r="I78" s="1189">
        <v>0</v>
      </c>
      <c r="J78" s="1187" t="s">
        <v>16</v>
      </c>
      <c r="K78" s="1187" t="s">
        <v>15</v>
      </c>
      <c r="L78" s="1190" t="s">
        <v>17</v>
      </c>
    </row>
    <row r="79" spans="1:12" ht="87" x14ac:dyDescent="0.35">
      <c r="A79" s="1232">
        <v>43716</v>
      </c>
      <c r="B79" s="1187" t="s">
        <v>4100</v>
      </c>
      <c r="C79" s="1187" t="s">
        <v>4101</v>
      </c>
      <c r="D79" s="1233">
        <v>43720</v>
      </c>
      <c r="E79" s="1188" t="s">
        <v>4102</v>
      </c>
      <c r="F79" s="1191">
        <v>0.55555555555555558</v>
      </c>
      <c r="G79" s="1191">
        <v>0.5625</v>
      </c>
      <c r="H79" s="1191">
        <v>0.5625</v>
      </c>
      <c r="I79" s="1189">
        <v>0</v>
      </c>
      <c r="J79" s="1187" t="s">
        <v>16</v>
      </c>
      <c r="K79" s="1187" t="s">
        <v>15</v>
      </c>
      <c r="L79" s="1190" t="s">
        <v>17</v>
      </c>
    </row>
    <row r="80" spans="1:12" s="866" customFormat="1" ht="29" x14ac:dyDescent="0.35">
      <c r="A80" s="1227">
        <v>43716</v>
      </c>
      <c r="B80" s="1187" t="s">
        <v>4149</v>
      </c>
      <c r="C80" s="1187" t="s">
        <v>4147</v>
      </c>
      <c r="D80" s="1233">
        <v>43720</v>
      </c>
      <c r="E80" s="872" t="s">
        <v>4148</v>
      </c>
      <c r="F80" s="1191">
        <v>0.63888888888888895</v>
      </c>
      <c r="G80" s="1191">
        <v>0.64583333333333337</v>
      </c>
      <c r="H80" s="1191">
        <v>0.64583333333333337</v>
      </c>
      <c r="I80" s="1189">
        <v>0</v>
      </c>
      <c r="J80" s="1187" t="s">
        <v>16</v>
      </c>
      <c r="K80" s="1187" t="s">
        <v>15</v>
      </c>
      <c r="L80" s="1190" t="s">
        <v>17</v>
      </c>
    </row>
    <row r="81" spans="1:12" ht="101.5" x14ac:dyDescent="0.35">
      <c r="A81" s="1232">
        <v>43716</v>
      </c>
      <c r="B81" s="1187" t="s">
        <v>4153</v>
      </c>
      <c r="C81" s="1187" t="s">
        <v>4152</v>
      </c>
      <c r="D81" s="1233">
        <v>43744</v>
      </c>
      <c r="E81" s="1188" t="s">
        <v>4102</v>
      </c>
      <c r="F81" s="1187" t="s">
        <v>15</v>
      </c>
      <c r="G81" s="1191">
        <v>0.5</v>
      </c>
      <c r="H81" s="1191">
        <v>0.5</v>
      </c>
      <c r="I81" s="1189">
        <v>0</v>
      </c>
      <c r="J81" s="1187" t="s">
        <v>16</v>
      </c>
      <c r="K81" s="1187" t="s">
        <v>15</v>
      </c>
      <c r="L81" s="1190" t="s">
        <v>17</v>
      </c>
    </row>
    <row r="82" spans="1:12" ht="29" x14ac:dyDescent="0.35">
      <c r="A82" s="925">
        <v>43717</v>
      </c>
      <c r="B82" s="874" t="s">
        <v>4113</v>
      </c>
      <c r="C82" s="874" t="s">
        <v>4114</v>
      </c>
      <c r="D82" s="981">
        <v>43718</v>
      </c>
      <c r="E82" s="1015" t="s">
        <v>4115</v>
      </c>
      <c r="F82" s="1016"/>
      <c r="G82" s="1016">
        <v>0.45833333333333331</v>
      </c>
      <c r="H82" s="1016">
        <v>0.5</v>
      </c>
      <c r="I82" s="874">
        <v>220</v>
      </c>
      <c r="J82" s="1388" t="s">
        <v>1755</v>
      </c>
      <c r="K82" s="874"/>
      <c r="L82" s="875" t="s">
        <v>22</v>
      </c>
    </row>
    <row r="83" spans="1:12" ht="130.5" x14ac:dyDescent="0.35">
      <c r="A83" s="1227">
        <v>43717</v>
      </c>
      <c r="B83" s="1200" t="s">
        <v>4106</v>
      </c>
      <c r="C83" s="5" t="s">
        <v>4105</v>
      </c>
      <c r="D83" s="1228">
        <v>43719</v>
      </c>
      <c r="E83" s="1207" t="s">
        <v>4104</v>
      </c>
      <c r="F83" s="1198">
        <v>0.48958333333333331</v>
      </c>
      <c r="G83" s="1198">
        <v>0.55208333333333337</v>
      </c>
      <c r="H83" s="1198">
        <v>0.61458333333333337</v>
      </c>
      <c r="I83" s="1199">
        <v>0</v>
      </c>
      <c r="J83" s="1200" t="s">
        <v>16</v>
      </c>
      <c r="K83" s="1200" t="s">
        <v>119</v>
      </c>
      <c r="L83" s="1203" t="s">
        <v>17</v>
      </c>
    </row>
    <row r="84" spans="1:12" ht="29" x14ac:dyDescent="0.35">
      <c r="A84" s="1232">
        <v>43717</v>
      </c>
      <c r="B84" s="826" t="s">
        <v>4108</v>
      </c>
      <c r="C84" s="1187" t="s">
        <v>4122</v>
      </c>
      <c r="D84" s="1233">
        <v>43719</v>
      </c>
      <c r="E84" s="872" t="s">
        <v>4109</v>
      </c>
      <c r="F84" s="1191">
        <v>0.48958333333333331</v>
      </c>
      <c r="G84" s="1191">
        <v>0.51041666666666663</v>
      </c>
      <c r="H84" s="1191">
        <v>0.51041666666666663</v>
      </c>
      <c r="I84" s="1230">
        <v>150</v>
      </c>
      <c r="J84" s="1187" t="s">
        <v>257</v>
      </c>
      <c r="K84" s="1187" t="s">
        <v>119</v>
      </c>
      <c r="L84" s="1190" t="s">
        <v>17</v>
      </c>
    </row>
    <row r="85" spans="1:12" ht="290" x14ac:dyDescent="0.35">
      <c r="A85" s="1202">
        <v>43717</v>
      </c>
      <c r="B85" s="1195" t="s">
        <v>4107</v>
      </c>
      <c r="C85" s="10" t="s">
        <v>4169</v>
      </c>
      <c r="D85" s="1196">
        <v>43723</v>
      </c>
      <c r="E85" s="823" t="s">
        <v>4200</v>
      </c>
      <c r="F85" s="1197">
        <v>0.58333333333333337</v>
      </c>
      <c r="G85" s="1197">
        <v>0.60416666666666663</v>
      </c>
      <c r="H85" s="1197">
        <v>0.60416666666666663</v>
      </c>
      <c r="I85" s="1199">
        <f>450+300+105*4*4.76+70*8</f>
        <v>3309.2</v>
      </c>
      <c r="J85" s="850" t="s">
        <v>4170</v>
      </c>
      <c r="K85" s="5" t="s">
        <v>119</v>
      </c>
      <c r="L85" s="1203" t="s">
        <v>17</v>
      </c>
    </row>
    <row r="86" spans="1:12" ht="58" x14ac:dyDescent="0.35">
      <c r="A86" s="1521">
        <v>43717</v>
      </c>
      <c r="B86" s="816" t="s">
        <v>20</v>
      </c>
      <c r="C86" s="817" t="s">
        <v>4130</v>
      </c>
      <c r="D86" s="1223">
        <v>43727</v>
      </c>
      <c r="E86" s="817" t="s">
        <v>20</v>
      </c>
      <c r="F86" s="817" t="s">
        <v>15</v>
      </c>
      <c r="G86" s="817" t="s">
        <v>15</v>
      </c>
      <c r="H86" s="817" t="s">
        <v>4255</v>
      </c>
      <c r="I86" s="817">
        <v>0</v>
      </c>
      <c r="J86" s="817" t="s">
        <v>20</v>
      </c>
      <c r="K86" s="817">
        <v>0</v>
      </c>
      <c r="L86" s="839" t="s">
        <v>22</v>
      </c>
    </row>
    <row r="87" spans="1:12" ht="290" x14ac:dyDescent="0.35">
      <c r="A87" s="1202">
        <v>43717</v>
      </c>
      <c r="B87" s="10" t="s">
        <v>4318</v>
      </c>
      <c r="C87" s="10" t="s">
        <v>4129</v>
      </c>
      <c r="D87" s="1196">
        <v>43729</v>
      </c>
      <c r="E87" s="823" t="s">
        <v>4317</v>
      </c>
      <c r="F87" s="1197">
        <v>0.58333333333333337</v>
      </c>
      <c r="G87" s="1197">
        <v>0.625</v>
      </c>
      <c r="H87" s="1197">
        <v>0.64583333333333337</v>
      </c>
      <c r="I87" s="1428">
        <v>1370</v>
      </c>
      <c r="J87" s="5" t="s">
        <v>4316</v>
      </c>
      <c r="K87" s="5" t="s">
        <v>140</v>
      </c>
      <c r="L87" s="807" t="s">
        <v>22</v>
      </c>
    </row>
    <row r="88" spans="1:12" ht="29" x14ac:dyDescent="0.35">
      <c r="A88" s="1227">
        <v>43717</v>
      </c>
      <c r="B88" s="1200" t="s">
        <v>4112</v>
      </c>
      <c r="C88" s="5" t="s">
        <v>4330</v>
      </c>
      <c r="D88" s="1228">
        <v>43731</v>
      </c>
      <c r="E88" s="1207" t="s">
        <v>4098</v>
      </c>
      <c r="F88" s="1198">
        <v>0.59722222222222221</v>
      </c>
      <c r="G88" s="1198">
        <v>0.64583333333333337</v>
      </c>
      <c r="H88" s="1198">
        <v>0.70833333333333337</v>
      </c>
      <c r="I88" s="1199">
        <v>0</v>
      </c>
      <c r="J88" s="1200" t="s">
        <v>4099</v>
      </c>
      <c r="K88" s="5" t="s">
        <v>119</v>
      </c>
      <c r="L88" s="1203" t="s">
        <v>17</v>
      </c>
    </row>
    <row r="89" spans="1:12" ht="29" x14ac:dyDescent="0.35">
      <c r="A89" s="1294">
        <v>43717</v>
      </c>
      <c r="B89" s="874" t="s">
        <v>20</v>
      </c>
      <c r="C89" s="874" t="s">
        <v>4367</v>
      </c>
      <c r="D89" s="1268">
        <v>43735</v>
      </c>
      <c r="E89" s="1267" t="s">
        <v>20</v>
      </c>
      <c r="F89" s="1267" t="s">
        <v>15</v>
      </c>
      <c r="G89" s="1267" t="s">
        <v>15</v>
      </c>
      <c r="H89" s="1267" t="s">
        <v>15</v>
      </c>
      <c r="I89" s="1264">
        <v>0</v>
      </c>
      <c r="J89" s="1267" t="s">
        <v>20</v>
      </c>
      <c r="K89" s="1267" t="s">
        <v>15</v>
      </c>
      <c r="L89" s="829" t="s">
        <v>22</v>
      </c>
    </row>
    <row r="90" spans="1:12" ht="72.5" x14ac:dyDescent="0.35">
      <c r="A90" s="1212">
        <v>43717</v>
      </c>
      <c r="B90" s="819" t="s">
        <v>4116</v>
      </c>
      <c r="C90" s="819" t="s">
        <v>4366</v>
      </c>
      <c r="D90" s="1214">
        <v>43737</v>
      </c>
      <c r="E90" s="867" t="s">
        <v>4421</v>
      </c>
      <c r="F90" s="913">
        <v>0.5</v>
      </c>
      <c r="G90" s="1216">
        <v>0.55208333333333337</v>
      </c>
      <c r="H90" s="1216">
        <v>0.55208333333333337</v>
      </c>
      <c r="I90" s="1322">
        <v>480</v>
      </c>
      <c r="J90" s="826" t="s">
        <v>45</v>
      </c>
      <c r="K90" s="826" t="s">
        <v>17</v>
      </c>
      <c r="L90" s="829" t="s">
        <v>22</v>
      </c>
    </row>
    <row r="91" spans="1:12" ht="130.5" x14ac:dyDescent="0.35">
      <c r="A91" s="1212">
        <v>43717</v>
      </c>
      <c r="B91" s="819" t="s">
        <v>3800</v>
      </c>
      <c r="C91" s="819" t="s">
        <v>4167</v>
      </c>
      <c r="D91" s="1214">
        <v>43739</v>
      </c>
      <c r="E91" s="867" t="s">
        <v>210</v>
      </c>
      <c r="F91" s="1216">
        <v>0.54166666666666663</v>
      </c>
      <c r="G91" s="1216">
        <v>0.54166666666666663</v>
      </c>
      <c r="H91" s="1216">
        <v>0.54166666666666663</v>
      </c>
      <c r="I91" s="1322">
        <v>350</v>
      </c>
      <c r="J91" s="826" t="s">
        <v>257</v>
      </c>
      <c r="K91" s="826" t="s">
        <v>119</v>
      </c>
      <c r="L91" s="829" t="s">
        <v>22</v>
      </c>
    </row>
    <row r="92" spans="1:12" ht="29" x14ac:dyDescent="0.35">
      <c r="A92" s="1204">
        <v>43718</v>
      </c>
      <c r="B92" s="1205" t="s">
        <v>20</v>
      </c>
      <c r="C92" s="1205" t="s">
        <v>4120</v>
      </c>
      <c r="D92" s="1206">
        <v>43719</v>
      </c>
      <c r="E92" s="1205" t="s">
        <v>20</v>
      </c>
      <c r="F92" s="1205" t="s">
        <v>15</v>
      </c>
      <c r="G92" s="1205" t="s">
        <v>15</v>
      </c>
      <c r="H92" s="1205" t="s">
        <v>15</v>
      </c>
      <c r="I92" s="1189">
        <v>0</v>
      </c>
      <c r="J92" s="1205" t="s">
        <v>20</v>
      </c>
      <c r="K92" s="1187" t="s">
        <v>119</v>
      </c>
      <c r="L92" s="1224" t="s">
        <v>17</v>
      </c>
    </row>
    <row r="93" spans="1:12" ht="43.5" x14ac:dyDescent="0.35">
      <c r="A93" s="1232">
        <v>43718</v>
      </c>
      <c r="B93" s="1187" t="s">
        <v>4127</v>
      </c>
      <c r="C93" s="1187" t="s">
        <v>4128</v>
      </c>
      <c r="D93" s="1233">
        <v>43719</v>
      </c>
      <c r="E93" s="1188" t="s">
        <v>4126</v>
      </c>
      <c r="F93" s="1191">
        <v>0.35416666666666669</v>
      </c>
      <c r="G93" s="1191">
        <v>0.375</v>
      </c>
      <c r="H93" s="1191">
        <v>0.375</v>
      </c>
      <c r="I93" s="1189">
        <v>0</v>
      </c>
      <c r="J93" s="1187" t="s">
        <v>98</v>
      </c>
      <c r="K93" s="1187" t="s">
        <v>119</v>
      </c>
      <c r="L93" s="1190" t="s">
        <v>17</v>
      </c>
    </row>
    <row r="94" spans="1:12" ht="29" x14ac:dyDescent="0.35">
      <c r="A94" s="1232">
        <v>43718</v>
      </c>
      <c r="B94" s="1205" t="s">
        <v>20</v>
      </c>
      <c r="C94" s="826" t="s">
        <v>4133</v>
      </c>
      <c r="D94" s="1233">
        <v>43719</v>
      </c>
      <c r="E94" s="872" t="s">
        <v>3798</v>
      </c>
      <c r="F94" s="1205" t="s">
        <v>15</v>
      </c>
      <c r="G94" s="1205" t="s">
        <v>15</v>
      </c>
      <c r="H94" s="1205" t="s">
        <v>15</v>
      </c>
      <c r="I94" s="1189">
        <v>0</v>
      </c>
      <c r="J94" s="1205" t="s">
        <v>20</v>
      </c>
      <c r="K94" s="1205" t="s">
        <v>15</v>
      </c>
      <c r="L94" s="829" t="s">
        <v>22</v>
      </c>
    </row>
    <row r="95" spans="1:12" ht="29" x14ac:dyDescent="0.35">
      <c r="A95" s="1204">
        <v>43718</v>
      </c>
      <c r="B95" s="1205" t="s">
        <v>20</v>
      </c>
      <c r="C95" s="1205" t="s">
        <v>4142</v>
      </c>
      <c r="D95" s="1206">
        <v>43719</v>
      </c>
      <c r="E95" s="1205" t="s">
        <v>20</v>
      </c>
      <c r="F95" s="1205" t="s">
        <v>15</v>
      </c>
      <c r="G95" s="1205" t="s">
        <v>15</v>
      </c>
      <c r="H95" s="1205" t="s">
        <v>15</v>
      </c>
      <c r="I95" s="1189">
        <v>0</v>
      </c>
      <c r="J95" s="1205" t="s">
        <v>20</v>
      </c>
      <c r="K95" s="1205" t="s">
        <v>15</v>
      </c>
      <c r="L95" s="1224" t="s">
        <v>17</v>
      </c>
    </row>
    <row r="96" spans="1:12" ht="72.5" x14ac:dyDescent="0.35">
      <c r="A96" s="1212">
        <v>43718</v>
      </c>
      <c r="B96" s="1213" t="s">
        <v>4117</v>
      </c>
      <c r="C96" s="1213" t="s">
        <v>4118</v>
      </c>
      <c r="D96" s="1214">
        <v>43720</v>
      </c>
      <c r="E96" s="1215" t="s">
        <v>4119</v>
      </c>
      <c r="F96" s="1216">
        <v>0.5</v>
      </c>
      <c r="G96" s="1216">
        <v>0.41666666666666669</v>
      </c>
      <c r="H96" s="1216">
        <v>0.625</v>
      </c>
      <c r="I96" s="1230">
        <f>375*0.9</f>
        <v>337.5</v>
      </c>
      <c r="J96" s="1187" t="s">
        <v>4121</v>
      </c>
      <c r="K96" s="1187" t="s">
        <v>15</v>
      </c>
      <c r="L96" s="1190" t="s">
        <v>17</v>
      </c>
    </row>
    <row r="97" spans="1:12" x14ac:dyDescent="0.35">
      <c r="A97" s="1520">
        <v>43718</v>
      </c>
      <c r="B97" s="1225" t="s">
        <v>20</v>
      </c>
      <c r="C97" s="1225" t="s">
        <v>4123</v>
      </c>
      <c r="D97" s="1226">
        <v>43720</v>
      </c>
      <c r="E97" s="1225" t="s">
        <v>20</v>
      </c>
      <c r="F97" s="1225" t="s">
        <v>15</v>
      </c>
      <c r="G97" s="1225" t="s">
        <v>15</v>
      </c>
      <c r="H97" s="1225" t="s">
        <v>15</v>
      </c>
      <c r="I97" s="1199">
        <v>0</v>
      </c>
      <c r="J97" s="1225" t="s">
        <v>20</v>
      </c>
      <c r="K97" s="1225" t="s">
        <v>15</v>
      </c>
      <c r="L97" s="1231" t="s">
        <v>17</v>
      </c>
    </row>
    <row r="98" spans="1:12" ht="58" x14ac:dyDescent="0.35">
      <c r="A98" s="925">
        <v>43718</v>
      </c>
      <c r="B98" s="873" t="s">
        <v>20</v>
      </c>
      <c r="C98" s="874" t="s">
        <v>4138</v>
      </c>
      <c r="D98" s="981">
        <v>43720</v>
      </c>
      <c r="E98" s="874" t="s">
        <v>20</v>
      </c>
      <c r="F98" s="874" t="s">
        <v>15</v>
      </c>
      <c r="G98" s="874" t="s">
        <v>15</v>
      </c>
      <c r="H98" s="874" t="s">
        <v>15</v>
      </c>
      <c r="I98" s="874">
        <v>0</v>
      </c>
      <c r="J98" s="874" t="s">
        <v>20</v>
      </c>
      <c r="K98" s="874" t="s">
        <v>15</v>
      </c>
      <c r="L98" s="875" t="s">
        <v>17</v>
      </c>
    </row>
    <row r="99" spans="1:12" ht="159.5" x14ac:dyDescent="0.35">
      <c r="A99" s="1202">
        <v>43718</v>
      </c>
      <c r="B99" s="1195" t="s">
        <v>4042</v>
      </c>
      <c r="C99" s="1195" t="s">
        <v>4143</v>
      </c>
      <c r="D99" s="1196">
        <v>43721</v>
      </c>
      <c r="E99" s="1215" t="s">
        <v>129</v>
      </c>
      <c r="F99" s="1197">
        <v>0.47916666666666669</v>
      </c>
      <c r="G99" s="1197">
        <v>0.5</v>
      </c>
      <c r="H99" s="1197">
        <v>0.5</v>
      </c>
      <c r="I99" s="1199">
        <f>80*1.5*4.76+14*65</f>
        <v>1481.1999999999998</v>
      </c>
      <c r="J99" s="1194" t="s">
        <v>4141</v>
      </c>
      <c r="K99" s="5" t="s">
        <v>119</v>
      </c>
      <c r="L99" s="1203" t="s">
        <v>17</v>
      </c>
    </row>
    <row r="100" spans="1:12" ht="58" x14ac:dyDescent="0.35">
      <c r="A100" s="1376">
        <v>43718</v>
      </c>
      <c r="B100" s="976" t="s">
        <v>4048</v>
      </c>
      <c r="C100" s="976" t="s">
        <v>4131</v>
      </c>
      <c r="D100" s="1380">
        <v>43721</v>
      </c>
      <c r="E100" s="976" t="s">
        <v>4132</v>
      </c>
      <c r="F100" s="1208">
        <v>0.47916666666666669</v>
      </c>
      <c r="G100" s="1208">
        <v>0.52083333333333337</v>
      </c>
      <c r="H100" s="1208">
        <v>0.52083333333333337</v>
      </c>
      <c r="I100" s="1296">
        <v>420</v>
      </c>
      <c r="J100" s="1277" t="s">
        <v>4161</v>
      </c>
      <c r="K100" s="874" t="s">
        <v>119</v>
      </c>
      <c r="L100" s="875" t="s">
        <v>22</v>
      </c>
    </row>
    <row r="101" spans="1:12" ht="29" x14ac:dyDescent="0.35">
      <c r="A101" s="1204">
        <v>43718</v>
      </c>
      <c r="B101" s="1205" t="s">
        <v>20</v>
      </c>
      <c r="C101" s="1205" t="s">
        <v>4140</v>
      </c>
      <c r="D101" s="1206">
        <v>43721</v>
      </c>
      <c r="E101" s="1205" t="s">
        <v>20</v>
      </c>
      <c r="F101" s="1205" t="s">
        <v>15</v>
      </c>
      <c r="G101" s="1205" t="s">
        <v>15</v>
      </c>
      <c r="H101" s="1205" t="s">
        <v>15</v>
      </c>
      <c r="I101" s="1189">
        <v>0</v>
      </c>
      <c r="J101" s="1205" t="s">
        <v>20</v>
      </c>
      <c r="K101" s="874" t="s">
        <v>15</v>
      </c>
      <c r="L101" s="1224" t="s">
        <v>17</v>
      </c>
    </row>
    <row r="102" spans="1:12" ht="246.5" x14ac:dyDescent="0.35">
      <c r="A102" s="1212">
        <v>43718</v>
      </c>
      <c r="B102" s="1213" t="s">
        <v>4042</v>
      </c>
      <c r="C102" s="819" t="s">
        <v>4134</v>
      </c>
      <c r="D102" s="1214">
        <v>43722</v>
      </c>
      <c r="E102" s="1215" t="s">
        <v>129</v>
      </c>
      <c r="F102" s="1216">
        <v>0.51041666666666663</v>
      </c>
      <c r="G102" s="1216">
        <v>0.53125</v>
      </c>
      <c r="H102" s="1216">
        <v>0.53125</v>
      </c>
      <c r="I102" s="1189">
        <f>85*125*65/1000+200+ 90*3*4.76+1.5*65</f>
        <v>2273.3249999999998</v>
      </c>
      <c r="J102" s="1194" t="s">
        <v>4135</v>
      </c>
      <c r="K102" s="826" t="s">
        <v>119</v>
      </c>
      <c r="L102" s="1190" t="s">
        <v>17</v>
      </c>
    </row>
    <row r="103" spans="1:12" ht="290" x14ac:dyDescent="0.35">
      <c r="A103" s="1202">
        <v>43718</v>
      </c>
      <c r="B103" s="1195" t="s">
        <v>4136</v>
      </c>
      <c r="C103" s="10" t="s">
        <v>4191</v>
      </c>
      <c r="D103" s="1196">
        <v>43722</v>
      </c>
      <c r="E103" s="823" t="s">
        <v>4175</v>
      </c>
      <c r="F103" s="1197">
        <v>0.72916666666666663</v>
      </c>
      <c r="G103" s="1197">
        <v>0.74305555555555547</v>
      </c>
      <c r="H103" s="1197">
        <v>0.74305555555555547</v>
      </c>
      <c r="I103" s="1199">
        <f>6.4*150+20*2*4.76</f>
        <v>1150.4000000000001</v>
      </c>
      <c r="J103" s="850" t="s">
        <v>4137</v>
      </c>
      <c r="K103" s="5" t="s">
        <v>119</v>
      </c>
      <c r="L103" s="1203" t="s">
        <v>17</v>
      </c>
    </row>
    <row r="104" spans="1:12" ht="87" x14ac:dyDescent="0.35">
      <c r="A104" s="1212">
        <v>43718</v>
      </c>
      <c r="B104" s="1213" t="s">
        <v>4124</v>
      </c>
      <c r="C104" s="1213" t="s">
        <v>4125</v>
      </c>
      <c r="D104" s="1214">
        <v>43723</v>
      </c>
      <c r="E104" s="867" t="s">
        <v>4204</v>
      </c>
      <c r="F104" s="1216">
        <v>0.5</v>
      </c>
      <c r="G104" s="1216">
        <v>0.5</v>
      </c>
      <c r="H104" s="1216">
        <v>0.5</v>
      </c>
      <c r="I104" s="1230">
        <v>312</v>
      </c>
      <c r="J104" s="826" t="s">
        <v>4203</v>
      </c>
      <c r="K104" s="1187" t="s">
        <v>15</v>
      </c>
      <c r="L104" s="1190" t="s">
        <v>17</v>
      </c>
    </row>
    <row r="105" spans="1:12" ht="87" x14ac:dyDescent="0.35">
      <c r="A105" s="1204">
        <v>43718</v>
      </c>
      <c r="B105" s="1205" t="s">
        <v>4051</v>
      </c>
      <c r="C105" s="828" t="s">
        <v>4218</v>
      </c>
      <c r="D105" s="1206">
        <v>43729</v>
      </c>
      <c r="E105" s="1205" t="s">
        <v>290</v>
      </c>
      <c r="F105" s="1208">
        <v>0.45833333333333331</v>
      </c>
      <c r="G105" s="1208">
        <v>0.52777777777777779</v>
      </c>
      <c r="H105" s="1208">
        <v>0.52777777777777779</v>
      </c>
      <c r="I105" s="828">
        <v>2620</v>
      </c>
      <c r="J105" s="1277" t="s">
        <v>4219</v>
      </c>
      <c r="K105" s="826" t="s">
        <v>140</v>
      </c>
      <c r="L105" s="1224" t="s">
        <v>22</v>
      </c>
    </row>
    <row r="106" spans="1:12" ht="246.5" x14ac:dyDescent="0.35">
      <c r="A106" s="1232">
        <v>43719</v>
      </c>
      <c r="B106" s="1187" t="s">
        <v>4158</v>
      </c>
      <c r="C106" s="1518" t="s">
        <v>4159</v>
      </c>
      <c r="D106" s="1233">
        <v>43722</v>
      </c>
      <c r="E106" s="872" t="s">
        <v>4160</v>
      </c>
      <c r="F106" s="1191">
        <v>0.625</v>
      </c>
      <c r="G106" s="1191">
        <v>0.64583333333333337</v>
      </c>
      <c r="H106" s="1191">
        <v>0.64583333333333337</v>
      </c>
      <c r="I106" s="1189">
        <v>2799</v>
      </c>
      <c r="J106" s="915" t="s">
        <v>4176</v>
      </c>
      <c r="K106" s="826" t="s">
        <v>119</v>
      </c>
      <c r="L106" s="829" t="s">
        <v>17</v>
      </c>
    </row>
    <row r="107" spans="1:12" ht="58" x14ac:dyDescent="0.35">
      <c r="A107" s="1232">
        <v>43719</v>
      </c>
      <c r="B107" s="826" t="s">
        <v>4054</v>
      </c>
      <c r="C107" s="1187" t="s">
        <v>4145</v>
      </c>
      <c r="D107" s="1233">
        <v>43724</v>
      </c>
      <c r="E107" s="1188" t="s">
        <v>4144</v>
      </c>
      <c r="F107" s="1191">
        <v>0.625</v>
      </c>
      <c r="G107" s="1191">
        <v>0.70833333333333337</v>
      </c>
      <c r="H107" s="1191">
        <v>0.70833333333333337</v>
      </c>
      <c r="I107" s="1230">
        <f>2*199*0.9</f>
        <v>358.2</v>
      </c>
      <c r="J107" s="1187" t="s">
        <v>4146</v>
      </c>
      <c r="K107" s="826" t="s">
        <v>140</v>
      </c>
      <c r="L107" s="1190" t="s">
        <v>17</v>
      </c>
    </row>
    <row r="108" spans="1:12" x14ac:dyDescent="0.35">
      <c r="A108" s="1391">
        <v>43719</v>
      </c>
      <c r="B108" s="1336" t="s">
        <v>20</v>
      </c>
      <c r="C108" s="1392" t="s">
        <v>4157</v>
      </c>
      <c r="D108" s="1395">
        <v>43743</v>
      </c>
      <c r="E108" s="1336" t="s">
        <v>20</v>
      </c>
      <c r="F108" s="1392" t="s">
        <v>15</v>
      </c>
      <c r="G108" s="1392" t="s">
        <v>15</v>
      </c>
      <c r="H108" s="1392" t="s">
        <v>15</v>
      </c>
      <c r="I108" s="1326">
        <v>0</v>
      </c>
      <c r="J108" s="1336" t="s">
        <v>20</v>
      </c>
      <c r="K108" s="1392" t="s">
        <v>15</v>
      </c>
      <c r="L108" s="1393" t="s">
        <v>17</v>
      </c>
    </row>
    <row r="109" spans="1:12" ht="87" x14ac:dyDescent="0.35">
      <c r="A109" s="1335">
        <v>43719</v>
      </c>
      <c r="B109" s="1336" t="s">
        <v>20</v>
      </c>
      <c r="C109" s="1329" t="s">
        <v>4156</v>
      </c>
      <c r="D109" s="1347">
        <v>43743</v>
      </c>
      <c r="E109" s="1336" t="s">
        <v>20</v>
      </c>
      <c r="F109" s="1336" t="s">
        <v>15</v>
      </c>
      <c r="G109" s="1336" t="s">
        <v>15</v>
      </c>
      <c r="H109" s="1336" t="s">
        <v>15</v>
      </c>
      <c r="I109" s="1332">
        <v>0</v>
      </c>
      <c r="J109" s="1336" t="s">
        <v>20</v>
      </c>
      <c r="K109" s="1336" t="s">
        <v>15</v>
      </c>
      <c r="L109" s="1348" t="s">
        <v>17</v>
      </c>
    </row>
    <row r="110" spans="1:12" ht="145" x14ac:dyDescent="0.35">
      <c r="A110" s="1338">
        <v>43719</v>
      </c>
      <c r="B110" s="1339" t="s">
        <v>4154</v>
      </c>
      <c r="C110" s="1339" t="s">
        <v>4455</v>
      </c>
      <c r="D110" s="1340">
        <v>43745</v>
      </c>
      <c r="E110" s="1422" t="s">
        <v>115</v>
      </c>
      <c r="F110" s="1339" t="s">
        <v>15</v>
      </c>
      <c r="G110" s="1341">
        <v>0.54166666666666663</v>
      </c>
      <c r="H110" s="1341">
        <v>0.54166666666666663</v>
      </c>
      <c r="I110" s="1326">
        <f>8*120</f>
        <v>960</v>
      </c>
      <c r="J110" s="1329" t="s">
        <v>4155</v>
      </c>
      <c r="K110" s="1324" t="s">
        <v>15</v>
      </c>
      <c r="L110" s="1328" t="s">
        <v>17</v>
      </c>
    </row>
    <row r="111" spans="1:12" ht="87" x14ac:dyDescent="0.35">
      <c r="A111" s="1232">
        <v>43720</v>
      </c>
      <c r="B111" s="826" t="s">
        <v>4163</v>
      </c>
      <c r="C111" s="826" t="s">
        <v>4168</v>
      </c>
      <c r="D111" s="1233">
        <v>43721</v>
      </c>
      <c r="E111" s="872" t="s">
        <v>4164</v>
      </c>
      <c r="F111" s="865" t="s">
        <v>3213</v>
      </c>
      <c r="G111" s="1191">
        <v>0.375</v>
      </c>
      <c r="H111" s="1191">
        <v>0.75</v>
      </c>
      <c r="I111" s="1189">
        <v>0</v>
      </c>
      <c r="J111" s="826" t="s">
        <v>4165</v>
      </c>
      <c r="K111" s="826" t="s">
        <v>119</v>
      </c>
      <c r="L111" s="829" t="s">
        <v>4166</v>
      </c>
    </row>
    <row r="112" spans="1:12" ht="43.5" x14ac:dyDescent="0.35">
      <c r="A112" s="825">
        <v>43720</v>
      </c>
      <c r="B112" s="826" t="s">
        <v>4052</v>
      </c>
      <c r="C112" s="826" t="s">
        <v>4171</v>
      </c>
      <c r="D112" s="827">
        <v>43721</v>
      </c>
      <c r="E112" s="872" t="s">
        <v>441</v>
      </c>
      <c r="F112" s="865">
        <v>0.47916666666666669</v>
      </c>
      <c r="G112" s="865">
        <v>0.54166666666666663</v>
      </c>
      <c r="H112" s="865">
        <v>0.6875</v>
      </c>
      <c r="I112" s="828">
        <v>0</v>
      </c>
      <c r="J112" s="826" t="s">
        <v>289</v>
      </c>
      <c r="K112" s="826" t="s">
        <v>119</v>
      </c>
      <c r="L112" s="829" t="s">
        <v>17</v>
      </c>
    </row>
    <row r="113" spans="1:12" ht="87" x14ac:dyDescent="0.35">
      <c r="A113" s="1247">
        <v>43721</v>
      </c>
      <c r="B113" s="1235" t="s">
        <v>4177</v>
      </c>
      <c r="C113" s="1235" t="s">
        <v>4178</v>
      </c>
      <c r="D113" s="1248">
        <v>43722</v>
      </c>
      <c r="E113" s="1249" t="s">
        <v>3567</v>
      </c>
      <c r="F113" s="1250">
        <v>0.51041666666666663</v>
      </c>
      <c r="G113" s="1250">
        <v>0.5625</v>
      </c>
      <c r="H113" s="1250">
        <v>0.5625</v>
      </c>
      <c r="I113" s="1236">
        <v>270</v>
      </c>
      <c r="J113" s="915" t="s">
        <v>4183</v>
      </c>
      <c r="K113" s="826" t="s">
        <v>119</v>
      </c>
      <c r="L113" s="1237" t="s">
        <v>17</v>
      </c>
    </row>
    <row r="114" spans="1:12" ht="174" x14ac:dyDescent="0.35">
      <c r="A114" s="1247">
        <v>43721</v>
      </c>
      <c r="B114" s="1235" t="s">
        <v>4188</v>
      </c>
      <c r="C114" s="1235" t="s">
        <v>4189</v>
      </c>
      <c r="D114" s="1248">
        <v>43722</v>
      </c>
      <c r="E114" s="1249" t="s">
        <v>4190</v>
      </c>
      <c r="F114" s="1250">
        <v>0.61458333333333337</v>
      </c>
      <c r="G114" s="1250">
        <v>0.61458333333333337</v>
      </c>
      <c r="H114" s="1250">
        <v>0.61458333333333337</v>
      </c>
      <c r="I114" s="1236">
        <v>0</v>
      </c>
      <c r="J114" s="1235" t="s">
        <v>289</v>
      </c>
      <c r="K114" s="1235" t="s">
        <v>15</v>
      </c>
      <c r="L114" s="1237" t="s">
        <v>17</v>
      </c>
    </row>
    <row r="115" spans="1:12" x14ac:dyDescent="0.35">
      <c r="A115" s="1523">
        <v>43721</v>
      </c>
      <c r="B115" s="1285" t="s">
        <v>20</v>
      </c>
      <c r="C115" s="1285" t="s">
        <v>4198</v>
      </c>
      <c r="D115" s="1286">
        <v>43723</v>
      </c>
      <c r="E115" s="1285" t="s">
        <v>20</v>
      </c>
      <c r="F115" s="1285" t="s">
        <v>15</v>
      </c>
      <c r="G115" s="1285" t="s">
        <v>15</v>
      </c>
      <c r="H115" s="1285" t="s">
        <v>15</v>
      </c>
      <c r="I115" s="1234">
        <v>0</v>
      </c>
      <c r="J115" s="1285" t="s">
        <v>20</v>
      </c>
      <c r="K115" s="1285" t="s">
        <v>15</v>
      </c>
      <c r="L115" s="1289" t="s">
        <v>17</v>
      </c>
    </row>
    <row r="116" spans="1:12" ht="58" x14ac:dyDescent="0.35">
      <c r="A116" s="1238">
        <v>43721</v>
      </c>
      <c r="B116" s="1239" t="s">
        <v>4212</v>
      </c>
      <c r="C116" s="1239" t="s">
        <v>4196</v>
      </c>
      <c r="D116" s="1240">
        <v>43724</v>
      </c>
      <c r="E116" s="1245" t="s">
        <v>4194</v>
      </c>
      <c r="F116" s="1246">
        <v>0.4375</v>
      </c>
      <c r="G116" s="1246">
        <v>0.45833333333333331</v>
      </c>
      <c r="H116" s="1246">
        <v>0.45833333333333331</v>
      </c>
      <c r="I116" s="1261">
        <f>120*3.5</f>
        <v>420</v>
      </c>
      <c r="J116" s="1235" t="s">
        <v>4195</v>
      </c>
      <c r="K116" s="1235" t="s">
        <v>140</v>
      </c>
      <c r="L116" s="1237" t="s">
        <v>17</v>
      </c>
    </row>
    <row r="117" spans="1:12" ht="43.5" x14ac:dyDescent="0.35">
      <c r="A117" s="1247">
        <v>43721</v>
      </c>
      <c r="B117" s="1235" t="s">
        <v>4181</v>
      </c>
      <c r="C117" s="1235" t="s">
        <v>4182</v>
      </c>
      <c r="D117" s="1248">
        <v>43724</v>
      </c>
      <c r="E117" s="1249" t="s">
        <v>4211</v>
      </c>
      <c r="F117" s="1250">
        <v>0.625</v>
      </c>
      <c r="G117" s="1250">
        <v>0.66666666666666663</v>
      </c>
      <c r="H117" s="1250">
        <v>0.66666666666666663</v>
      </c>
      <c r="I117" s="1236">
        <v>199</v>
      </c>
      <c r="J117" s="1235" t="s">
        <v>4209</v>
      </c>
      <c r="K117" s="1235" t="s">
        <v>140</v>
      </c>
      <c r="L117" s="1237" t="s">
        <v>17</v>
      </c>
    </row>
    <row r="118" spans="1:12" s="866" customFormat="1" ht="72.5" x14ac:dyDescent="0.35">
      <c r="A118" s="1255">
        <v>43721</v>
      </c>
      <c r="B118" s="1256" t="s">
        <v>4042</v>
      </c>
      <c r="C118" s="5" t="s">
        <v>4250</v>
      </c>
      <c r="D118" s="1257">
        <v>43725</v>
      </c>
      <c r="E118" s="1382" t="s">
        <v>129</v>
      </c>
      <c r="F118" s="1259">
        <v>0.5625</v>
      </c>
      <c r="G118" s="1259">
        <v>0.58333333333333337</v>
      </c>
      <c r="H118" s="1259">
        <v>0.58333333333333337</v>
      </c>
      <c r="I118" s="1234">
        <f>0.5*(200*125/1000*65)</f>
        <v>812.5</v>
      </c>
      <c r="J118" s="850" t="s">
        <v>4192</v>
      </c>
      <c r="K118" s="1256" t="s">
        <v>15</v>
      </c>
      <c r="L118" s="1260" t="s">
        <v>17</v>
      </c>
    </row>
    <row r="119" spans="1:12" ht="29" x14ac:dyDescent="0.35">
      <c r="A119" s="1241">
        <v>43721</v>
      </c>
      <c r="B119" s="1242" t="s">
        <v>20</v>
      </c>
      <c r="C119" s="1242" t="s">
        <v>4197</v>
      </c>
      <c r="D119" s="1243">
        <v>43727</v>
      </c>
      <c r="E119" s="1242" t="s">
        <v>20</v>
      </c>
      <c r="F119" s="1242" t="s">
        <v>15</v>
      </c>
      <c r="G119" s="1242" t="s">
        <v>15</v>
      </c>
      <c r="H119" s="1242" t="s">
        <v>15</v>
      </c>
      <c r="I119" s="1236">
        <v>0</v>
      </c>
      <c r="J119" s="1242" t="s">
        <v>20</v>
      </c>
      <c r="K119" s="1242" t="s">
        <v>15</v>
      </c>
      <c r="L119" s="1244" t="s">
        <v>17</v>
      </c>
    </row>
    <row r="120" spans="1:12" ht="29" x14ac:dyDescent="0.35">
      <c r="A120" s="1247">
        <v>43721</v>
      </c>
      <c r="B120" s="1235" t="s">
        <v>131</v>
      </c>
      <c r="C120" s="1235" t="s">
        <v>4199</v>
      </c>
      <c r="D120" s="1248">
        <v>43728</v>
      </c>
      <c r="E120" s="1249" t="s">
        <v>129</v>
      </c>
      <c r="F120" s="1250">
        <v>0.4861111111111111</v>
      </c>
      <c r="G120" s="1250">
        <v>0.51388888888888895</v>
      </c>
      <c r="H120" s="1250">
        <v>0.51388888888888895</v>
      </c>
      <c r="I120" s="1236">
        <v>0</v>
      </c>
      <c r="J120" s="1235" t="s">
        <v>289</v>
      </c>
      <c r="K120" s="1235" t="s">
        <v>15</v>
      </c>
      <c r="L120" s="1237" t="s">
        <v>17</v>
      </c>
    </row>
    <row r="121" spans="1:12" ht="101.5" x14ac:dyDescent="0.35">
      <c r="A121" s="1238">
        <v>43721</v>
      </c>
      <c r="B121" s="976" t="s">
        <v>4172</v>
      </c>
      <c r="C121" s="976" t="s">
        <v>4248</v>
      </c>
      <c r="D121" s="1275">
        <v>43728</v>
      </c>
      <c r="E121" s="976" t="s">
        <v>4249</v>
      </c>
      <c r="F121" s="1254">
        <v>0.64583333333333337</v>
      </c>
      <c r="G121" s="1016">
        <v>0.64583333333333337</v>
      </c>
      <c r="H121" s="1016">
        <v>0.70833333333333337</v>
      </c>
      <c r="I121" s="1299">
        <v>470</v>
      </c>
      <c r="J121" s="874" t="s">
        <v>4291</v>
      </c>
      <c r="K121" s="1242"/>
      <c r="L121" s="875" t="s">
        <v>22</v>
      </c>
    </row>
    <row r="122" spans="1:12" ht="29" x14ac:dyDescent="0.35">
      <c r="A122" s="1241">
        <v>43721</v>
      </c>
      <c r="B122" s="1242" t="s">
        <v>20</v>
      </c>
      <c r="C122" s="1242" t="s">
        <v>4174</v>
      </c>
      <c r="D122" s="1243">
        <v>43728</v>
      </c>
      <c r="E122" s="1242" t="s">
        <v>20</v>
      </c>
      <c r="F122" s="1242" t="s">
        <v>15</v>
      </c>
      <c r="G122" s="1242" t="s">
        <v>15</v>
      </c>
      <c r="H122" s="1242" t="s">
        <v>15</v>
      </c>
      <c r="I122" s="1236">
        <v>0</v>
      </c>
      <c r="J122" s="1242" t="s">
        <v>20</v>
      </c>
      <c r="K122" s="1242" t="s">
        <v>15</v>
      </c>
      <c r="L122" s="1244" t="s">
        <v>17</v>
      </c>
    </row>
    <row r="123" spans="1:12" ht="145" x14ac:dyDescent="0.35">
      <c r="A123" s="1238">
        <v>43721</v>
      </c>
      <c r="B123" s="819" t="s">
        <v>4052</v>
      </c>
      <c r="C123" s="819" t="s">
        <v>4288</v>
      </c>
      <c r="D123" s="1240">
        <v>43729</v>
      </c>
      <c r="E123" s="867" t="s">
        <v>441</v>
      </c>
      <c r="F123" s="1246">
        <v>0.58333333333333337</v>
      </c>
      <c r="G123" s="1246">
        <v>0.60416666666666663</v>
      </c>
      <c r="H123" s="1246">
        <v>0.61111111111111105</v>
      </c>
      <c r="I123" s="1236">
        <f>1000+35*75+0.85*4*90</f>
        <v>3931</v>
      </c>
      <c r="J123" s="915" t="s">
        <v>4297</v>
      </c>
      <c r="K123" s="826" t="s">
        <v>140</v>
      </c>
      <c r="L123" s="1237" t="s">
        <v>17</v>
      </c>
    </row>
    <row r="124" spans="1:12" ht="203" x14ac:dyDescent="0.35">
      <c r="A124" s="1238">
        <v>43721</v>
      </c>
      <c r="B124" s="819" t="s">
        <v>4321</v>
      </c>
      <c r="C124" s="819" t="s">
        <v>4267</v>
      </c>
      <c r="D124" s="1240">
        <v>43730</v>
      </c>
      <c r="E124" s="867" t="s">
        <v>4322</v>
      </c>
      <c r="F124" s="1246">
        <v>0.58333333333333337</v>
      </c>
      <c r="G124" s="1246">
        <v>0.625</v>
      </c>
      <c r="H124" s="1246">
        <v>0.625</v>
      </c>
      <c r="I124" s="1236">
        <f>30*4*4.76+300+5*120</f>
        <v>1471.1999999999998</v>
      </c>
      <c r="J124" s="1305" t="s">
        <v>4173</v>
      </c>
      <c r="K124" s="826" t="s">
        <v>140</v>
      </c>
      <c r="L124" s="1237" t="s">
        <v>17</v>
      </c>
    </row>
    <row r="125" spans="1:12" ht="72.5" x14ac:dyDescent="0.35">
      <c r="A125" s="1247">
        <v>43721</v>
      </c>
      <c r="B125" s="1235" t="s">
        <v>54</v>
      </c>
      <c r="C125" s="1235" t="s">
        <v>4184</v>
      </c>
      <c r="D125" s="1248">
        <v>43736</v>
      </c>
      <c r="E125" s="1249" t="s">
        <v>4185</v>
      </c>
      <c r="F125" s="1546">
        <v>0.36458333333333331</v>
      </c>
      <c r="G125" s="1250">
        <v>0.39583333333333331</v>
      </c>
      <c r="H125" s="1250">
        <v>0.39583333333333331</v>
      </c>
      <c r="I125" s="1236">
        <v>208.95</v>
      </c>
      <c r="J125" s="826" t="s">
        <v>4412</v>
      </c>
      <c r="K125" s="826" t="s">
        <v>119</v>
      </c>
      <c r="L125" s="1237" t="s">
        <v>17</v>
      </c>
    </row>
    <row r="126" spans="1:12" ht="290" x14ac:dyDescent="0.35">
      <c r="A126" s="1238">
        <v>43721</v>
      </c>
      <c r="B126" s="819" t="s">
        <v>4187</v>
      </c>
      <c r="C126" s="819" t="s">
        <v>4465</v>
      </c>
      <c r="D126" s="1240">
        <v>43737</v>
      </c>
      <c r="E126" s="1245" t="s">
        <v>4186</v>
      </c>
      <c r="F126" s="1246">
        <v>0.5</v>
      </c>
      <c r="G126" s="1246">
        <v>0.54166666666666663</v>
      </c>
      <c r="H126" s="1246">
        <v>0.54166666666666663</v>
      </c>
      <c r="I126" s="1236">
        <f>16*75+70*3*4.76+400</f>
        <v>2599.6</v>
      </c>
      <c r="J126" s="915" t="s">
        <v>4415</v>
      </c>
      <c r="K126" s="826" t="s">
        <v>119</v>
      </c>
      <c r="L126" s="1237" t="s">
        <v>17</v>
      </c>
    </row>
    <row r="127" spans="1:12" ht="58" x14ac:dyDescent="0.35">
      <c r="A127" s="1247">
        <v>43723</v>
      </c>
      <c r="B127" s="1235" t="s">
        <v>4210</v>
      </c>
      <c r="C127" s="1235" t="s">
        <v>4205</v>
      </c>
      <c r="D127" s="1248">
        <v>43724</v>
      </c>
      <c r="E127" s="1249" t="s">
        <v>4206</v>
      </c>
      <c r="F127" s="1250">
        <v>0.4375</v>
      </c>
      <c r="G127" s="1250">
        <v>0.5</v>
      </c>
      <c r="H127" s="1250">
        <v>0.5</v>
      </c>
      <c r="I127" s="1236">
        <v>0</v>
      </c>
      <c r="J127" s="1235" t="s">
        <v>911</v>
      </c>
      <c r="K127" s="1235" t="s">
        <v>140</v>
      </c>
      <c r="L127" s="1237" t="s">
        <v>17</v>
      </c>
    </row>
    <row r="128" spans="1:12" ht="43.5" x14ac:dyDescent="0.35">
      <c r="A128" s="1247">
        <v>43723</v>
      </c>
      <c r="B128" s="1235" t="s">
        <v>4207</v>
      </c>
      <c r="C128" s="1235" t="s">
        <v>4208</v>
      </c>
      <c r="D128" s="1248">
        <v>43724</v>
      </c>
      <c r="E128" s="1249" t="s">
        <v>126</v>
      </c>
      <c r="F128" s="1235" t="s">
        <v>15</v>
      </c>
      <c r="G128" s="1250">
        <v>0.54166666666666663</v>
      </c>
      <c r="H128" s="1250">
        <v>0.58333333333333337</v>
      </c>
      <c r="I128" s="1236">
        <v>0</v>
      </c>
      <c r="J128" s="1235" t="s">
        <v>4208</v>
      </c>
      <c r="K128" s="1235" t="s">
        <v>140</v>
      </c>
      <c r="L128" s="1237" t="s">
        <v>17</v>
      </c>
    </row>
    <row r="129" spans="1:12" ht="174" x14ac:dyDescent="0.35">
      <c r="A129" s="1238">
        <v>43723</v>
      </c>
      <c r="B129" s="1239" t="s">
        <v>25</v>
      </c>
      <c r="C129" s="819" t="s">
        <v>4296</v>
      </c>
      <c r="D129" s="1240">
        <v>43730</v>
      </c>
      <c r="E129" s="1245" t="s">
        <v>27</v>
      </c>
      <c r="F129" s="1246">
        <v>0.47222222222222227</v>
      </c>
      <c r="G129" s="1246">
        <v>0.54166666666666663</v>
      </c>
      <c r="H129" s="1246">
        <v>0.54166666666666663</v>
      </c>
      <c r="I129" s="1299">
        <v>357</v>
      </c>
      <c r="J129" s="826" t="s">
        <v>4226</v>
      </c>
      <c r="K129" s="826" t="s">
        <v>140</v>
      </c>
      <c r="L129" s="1237" t="s">
        <v>17</v>
      </c>
    </row>
    <row r="130" spans="1:12" ht="43.5" x14ac:dyDescent="0.35">
      <c r="A130" s="1247">
        <v>43724</v>
      </c>
      <c r="B130" s="1235" t="s">
        <v>4224</v>
      </c>
      <c r="C130" s="1235" t="s">
        <v>404</v>
      </c>
      <c r="D130" s="1248">
        <v>43725</v>
      </c>
      <c r="E130" s="1249" t="s">
        <v>4225</v>
      </c>
      <c r="F130" s="1250">
        <v>0.5625</v>
      </c>
      <c r="G130" s="1250">
        <v>0.60416666666666663</v>
      </c>
      <c r="H130" s="1250">
        <v>0.625</v>
      </c>
      <c r="I130" s="1236">
        <v>0</v>
      </c>
      <c r="J130" s="1235" t="s">
        <v>289</v>
      </c>
      <c r="K130" s="1235" t="s">
        <v>15</v>
      </c>
      <c r="L130" s="1237" t="s">
        <v>17</v>
      </c>
    </row>
    <row r="131" spans="1:12" ht="43.5" x14ac:dyDescent="0.35">
      <c r="A131" s="1247">
        <v>43724</v>
      </c>
      <c r="B131" s="1235" t="s">
        <v>4236</v>
      </c>
      <c r="C131" s="1235" t="s">
        <v>4237</v>
      </c>
      <c r="D131" s="1248">
        <v>43725</v>
      </c>
      <c r="E131" s="1249" t="s">
        <v>4235</v>
      </c>
      <c r="F131" s="1250">
        <v>0.76388888888888884</v>
      </c>
      <c r="G131" s="1250">
        <v>0.79166666666666663</v>
      </c>
      <c r="H131" s="1250">
        <v>0.79166666666666663</v>
      </c>
      <c r="I131" s="1261">
        <f>1.6*120</f>
        <v>192</v>
      </c>
      <c r="J131" s="1235" t="s">
        <v>294</v>
      </c>
      <c r="K131" s="1242" t="s">
        <v>15</v>
      </c>
      <c r="L131" s="1237" t="s">
        <v>17</v>
      </c>
    </row>
    <row r="132" spans="1:12" ht="130.5" x14ac:dyDescent="0.35">
      <c r="A132" s="1247">
        <v>43724</v>
      </c>
      <c r="B132" s="1235" t="s">
        <v>4216</v>
      </c>
      <c r="C132" s="1235" t="s">
        <v>4066</v>
      </c>
      <c r="D132" s="1248">
        <v>43726</v>
      </c>
      <c r="E132" s="872" t="s">
        <v>4217</v>
      </c>
      <c r="F132" s="865">
        <v>0.45833333333333331</v>
      </c>
      <c r="G132" s="1250">
        <v>0.52083333333333337</v>
      </c>
      <c r="H132" s="1250">
        <v>0.52083333333333337</v>
      </c>
      <c r="I132" s="1236">
        <v>0</v>
      </c>
      <c r="J132" s="1235" t="s">
        <v>289</v>
      </c>
      <c r="K132" s="1235" t="s">
        <v>15</v>
      </c>
      <c r="L132" s="1237" t="s">
        <v>17</v>
      </c>
    </row>
    <row r="133" spans="1:12" ht="43.5" x14ac:dyDescent="0.35">
      <c r="A133" s="1255">
        <v>43724</v>
      </c>
      <c r="B133" s="1285" t="s">
        <v>4232</v>
      </c>
      <c r="C133" s="1285" t="s">
        <v>4231</v>
      </c>
      <c r="D133" s="1286">
        <v>43726</v>
      </c>
      <c r="E133" s="1285" t="s">
        <v>4233</v>
      </c>
      <c r="F133" s="1552">
        <v>0.45833333333333331</v>
      </c>
      <c r="G133" s="6">
        <v>0.45833333333333331</v>
      </c>
      <c r="H133" s="6">
        <v>0.60416666666666663</v>
      </c>
      <c r="I133" s="1234">
        <v>0</v>
      </c>
      <c r="J133" s="1285" t="s">
        <v>911</v>
      </c>
      <c r="K133" s="1285" t="s">
        <v>15</v>
      </c>
      <c r="L133" s="1289" t="s">
        <v>17</v>
      </c>
    </row>
    <row r="134" spans="1:12" ht="43.5" x14ac:dyDescent="0.35">
      <c r="A134" s="1247">
        <v>43724</v>
      </c>
      <c r="B134" s="1242" t="s">
        <v>4232</v>
      </c>
      <c r="C134" s="1242" t="s">
        <v>4251</v>
      </c>
      <c r="D134" s="1243">
        <v>43726</v>
      </c>
      <c r="E134" s="1242" t="s">
        <v>4234</v>
      </c>
      <c r="F134" s="1254">
        <v>0.45833333333333331</v>
      </c>
      <c r="G134" s="865">
        <v>0.45833333333333331</v>
      </c>
      <c r="H134" s="865">
        <v>0.60416666666666663</v>
      </c>
      <c r="I134" s="1236">
        <v>0</v>
      </c>
      <c r="J134" s="1242" t="s">
        <v>911</v>
      </c>
      <c r="K134" s="1242" t="s">
        <v>15</v>
      </c>
      <c r="L134" s="1244" t="s">
        <v>17</v>
      </c>
    </row>
    <row r="135" spans="1:12" ht="58" x14ac:dyDescent="0.35">
      <c r="A135" s="1247">
        <v>43724</v>
      </c>
      <c r="B135" s="826" t="s">
        <v>4243</v>
      </c>
      <c r="C135" s="826" t="s">
        <v>4244</v>
      </c>
      <c r="D135" s="1248">
        <v>43726</v>
      </c>
      <c r="E135" s="872" t="s">
        <v>4245</v>
      </c>
      <c r="F135" s="1426">
        <v>0.63888888888888895</v>
      </c>
      <c r="G135" s="1250">
        <v>0.66319444444444442</v>
      </c>
      <c r="H135" s="1250">
        <v>0.66319444444444442</v>
      </c>
      <c r="I135" s="1236">
        <v>120</v>
      </c>
      <c r="J135" s="915" t="s">
        <v>4246</v>
      </c>
      <c r="K135" s="1236" t="s">
        <v>15</v>
      </c>
      <c r="L135" s="829" t="s">
        <v>22</v>
      </c>
    </row>
    <row r="136" spans="1:12" s="866" customFormat="1" ht="29" x14ac:dyDescent="0.35">
      <c r="A136" s="1255">
        <v>43724</v>
      </c>
      <c r="B136" s="5" t="s">
        <v>3798</v>
      </c>
      <c r="C136" s="5" t="s">
        <v>4247</v>
      </c>
      <c r="D136" s="1257">
        <v>43727</v>
      </c>
      <c r="E136" s="817" t="s">
        <v>20</v>
      </c>
      <c r="F136" s="1285" t="s">
        <v>15</v>
      </c>
      <c r="G136" s="1285" t="s">
        <v>15</v>
      </c>
      <c r="H136" s="1285" t="s">
        <v>15</v>
      </c>
      <c r="I136" s="1234">
        <v>0</v>
      </c>
      <c r="J136" s="817" t="s">
        <v>20</v>
      </c>
      <c r="K136" s="1285" t="s">
        <v>15</v>
      </c>
      <c r="L136" s="807" t="s">
        <v>22</v>
      </c>
    </row>
    <row r="137" spans="1:12" ht="29" x14ac:dyDescent="0.35">
      <c r="A137" s="1247">
        <v>43724</v>
      </c>
      <c r="B137" s="1242" t="s">
        <v>20</v>
      </c>
      <c r="C137" s="1242" t="s">
        <v>4230</v>
      </c>
      <c r="D137" s="1243">
        <v>43727</v>
      </c>
      <c r="E137" s="1242" t="s">
        <v>20</v>
      </c>
      <c r="F137" s="1242" t="s">
        <v>15</v>
      </c>
      <c r="G137" s="1242" t="s">
        <v>15</v>
      </c>
      <c r="H137" s="1242" t="s">
        <v>15</v>
      </c>
      <c r="I137" s="1236">
        <v>0</v>
      </c>
      <c r="J137" s="1242" t="s">
        <v>20</v>
      </c>
      <c r="K137" s="1242" t="s">
        <v>15</v>
      </c>
      <c r="L137" s="1244" t="s">
        <v>17</v>
      </c>
    </row>
    <row r="138" spans="1:12" ht="43.5" x14ac:dyDescent="0.35">
      <c r="A138" s="1247">
        <v>43724</v>
      </c>
      <c r="B138" s="1235" t="s">
        <v>4051</v>
      </c>
      <c r="C138" s="826" t="s">
        <v>4289</v>
      </c>
      <c r="D138" s="1248">
        <v>43728</v>
      </c>
      <c r="E138" s="872" t="s">
        <v>4290</v>
      </c>
      <c r="F138" s="1250">
        <v>0.41666666666666669</v>
      </c>
      <c r="G138" s="1250">
        <v>0.41666666666666669</v>
      </c>
      <c r="H138" s="1250">
        <v>0.41666666666666669</v>
      </c>
      <c r="I138" s="1236">
        <v>0</v>
      </c>
      <c r="J138" s="1235" t="s">
        <v>289</v>
      </c>
      <c r="K138" s="828" t="s">
        <v>22</v>
      </c>
      <c r="L138" s="829" t="s">
        <v>22</v>
      </c>
    </row>
    <row r="139" spans="1:12" ht="29" x14ac:dyDescent="0.35">
      <c r="A139" s="1241">
        <v>43724</v>
      </c>
      <c r="B139" s="873" t="s">
        <v>20</v>
      </c>
      <c r="C139" s="874" t="s">
        <v>4242</v>
      </c>
      <c r="D139" s="1243">
        <v>43728</v>
      </c>
      <c r="E139" s="874" t="s">
        <v>20</v>
      </c>
      <c r="F139" s="1242"/>
      <c r="G139" s="1242"/>
      <c r="H139" s="1242"/>
      <c r="I139" s="1236">
        <v>0</v>
      </c>
      <c r="J139" s="874" t="s">
        <v>20</v>
      </c>
      <c r="K139" s="1242" t="s">
        <v>15</v>
      </c>
      <c r="L139" s="875" t="s">
        <v>22</v>
      </c>
    </row>
    <row r="140" spans="1:12" ht="217.5" x14ac:dyDescent="0.35">
      <c r="A140" s="1238">
        <v>43724</v>
      </c>
      <c r="B140" s="1239" t="s">
        <v>4078</v>
      </c>
      <c r="C140" s="1239" t="s">
        <v>4229</v>
      </c>
      <c r="D140" s="1240">
        <v>43729</v>
      </c>
      <c r="E140" s="1245" t="s">
        <v>129</v>
      </c>
      <c r="F140" s="913">
        <v>0.45833333333333331</v>
      </c>
      <c r="G140" s="1246">
        <v>0.49305555555555558</v>
      </c>
      <c r="H140" s="1246">
        <v>0.49305555555555558</v>
      </c>
      <c r="I140" s="1299">
        <f>14 * 65+450+1285</f>
        <v>2645</v>
      </c>
      <c r="J140" s="915" t="s">
        <v>4315</v>
      </c>
      <c r="K140" s="826" t="s">
        <v>140</v>
      </c>
      <c r="L140" s="1237" t="s">
        <v>17</v>
      </c>
    </row>
    <row r="141" spans="1:12" ht="101.5" x14ac:dyDescent="0.35">
      <c r="A141" s="1238">
        <v>43724</v>
      </c>
      <c r="B141" s="819" t="s">
        <v>4238</v>
      </c>
      <c r="C141" s="819" t="s">
        <v>4241</v>
      </c>
      <c r="D141" s="1240">
        <v>43730</v>
      </c>
      <c r="E141" s="867" t="s">
        <v>4239</v>
      </c>
      <c r="F141" s="1246">
        <v>0.47222222222222227</v>
      </c>
      <c r="G141" s="1246">
        <v>0.4861111111111111</v>
      </c>
      <c r="H141" s="1246">
        <v>0.49305555555555558</v>
      </c>
      <c r="I141" s="1299">
        <v>600</v>
      </c>
      <c r="J141" s="828" t="s">
        <v>4240</v>
      </c>
      <c r="K141" s="828" t="s">
        <v>140</v>
      </c>
      <c r="L141" s="868" t="s">
        <v>22</v>
      </c>
    </row>
    <row r="142" spans="1:12" ht="304.5" x14ac:dyDescent="0.35">
      <c r="A142" s="1238">
        <v>43724</v>
      </c>
      <c r="B142" s="1239" t="s">
        <v>4193</v>
      </c>
      <c r="C142" s="1239" t="s">
        <v>4214</v>
      </c>
      <c r="D142" s="1240">
        <v>43750</v>
      </c>
      <c r="E142" s="1245" t="s">
        <v>4215</v>
      </c>
      <c r="F142" s="1239" t="s">
        <v>15</v>
      </c>
      <c r="G142" s="1246">
        <v>0.75</v>
      </c>
      <c r="H142" s="1246">
        <v>0.75</v>
      </c>
      <c r="I142" s="1236">
        <f>450*100/1000*75+400+200*3.5*4.76</f>
        <v>7107</v>
      </c>
      <c r="J142" s="1235" t="s">
        <v>4213</v>
      </c>
      <c r="K142" s="1235" t="s">
        <v>15</v>
      </c>
      <c r="L142" s="1237" t="s">
        <v>17</v>
      </c>
    </row>
    <row r="143" spans="1:12" ht="29" x14ac:dyDescent="0.35">
      <c r="A143" s="1247">
        <v>43724</v>
      </c>
      <c r="B143" s="1242" t="s">
        <v>20</v>
      </c>
      <c r="C143" s="1242" t="s">
        <v>4227</v>
      </c>
      <c r="D143" s="1243">
        <v>43755</v>
      </c>
      <c r="E143" s="1242" t="s">
        <v>20</v>
      </c>
      <c r="F143" s="1242" t="s">
        <v>15</v>
      </c>
      <c r="G143" s="1242" t="s">
        <v>15</v>
      </c>
      <c r="H143" s="1242" t="s">
        <v>15</v>
      </c>
      <c r="I143" s="1236">
        <v>0</v>
      </c>
      <c r="J143" s="1242" t="s">
        <v>20</v>
      </c>
      <c r="K143" s="1242" t="s">
        <v>15</v>
      </c>
      <c r="L143" s="1244" t="s">
        <v>17</v>
      </c>
    </row>
    <row r="144" spans="1:12" ht="29" x14ac:dyDescent="0.35">
      <c r="A144" s="1255">
        <v>43724</v>
      </c>
      <c r="B144" s="1242" t="s">
        <v>20</v>
      </c>
      <c r="C144" s="1285" t="s">
        <v>4228</v>
      </c>
      <c r="D144" s="1286">
        <v>43755</v>
      </c>
      <c r="E144" s="1285" t="s">
        <v>20</v>
      </c>
      <c r="F144" s="1285" t="s">
        <v>15</v>
      </c>
      <c r="G144" s="1285" t="s">
        <v>15</v>
      </c>
      <c r="H144" s="1285" t="s">
        <v>15</v>
      </c>
      <c r="I144" s="1234">
        <v>0</v>
      </c>
      <c r="J144" s="1285" t="s">
        <v>20</v>
      </c>
      <c r="K144" s="1285" t="s">
        <v>15</v>
      </c>
      <c r="L144" s="1289" t="s">
        <v>17</v>
      </c>
    </row>
    <row r="145" spans="1:12" ht="290" x14ac:dyDescent="0.35">
      <c r="A145" s="1282">
        <v>43724</v>
      </c>
      <c r="B145" s="1239" t="s">
        <v>4220</v>
      </c>
      <c r="C145" s="1283" t="s">
        <v>4221</v>
      </c>
      <c r="D145" s="1284">
        <v>43757</v>
      </c>
      <c r="E145" s="1245" t="s">
        <v>4222</v>
      </c>
      <c r="F145" s="1239" t="s">
        <v>15</v>
      </c>
      <c r="G145" s="1246">
        <v>0.77777777777777779</v>
      </c>
      <c r="H145" s="1246">
        <v>0.77777777777777779</v>
      </c>
      <c r="I145" s="1236">
        <f>120*65*100/1000+400+50*3*4.76+70*3.5*4.76</f>
        <v>3060.2</v>
      </c>
      <c r="J145" s="1235" t="s">
        <v>4223</v>
      </c>
      <c r="K145" s="1235" t="s">
        <v>15</v>
      </c>
      <c r="L145" s="1260" t="s">
        <v>17</v>
      </c>
    </row>
    <row r="146" spans="1:12" ht="87" x14ac:dyDescent="0.35">
      <c r="A146" s="825">
        <v>43725</v>
      </c>
      <c r="B146" s="826" t="s">
        <v>4263</v>
      </c>
      <c r="C146" s="826" t="s">
        <v>4264</v>
      </c>
      <c r="D146" s="827">
        <v>43726</v>
      </c>
      <c r="E146" s="872" t="s">
        <v>4265</v>
      </c>
      <c r="F146" s="865">
        <v>0.375</v>
      </c>
      <c r="G146" s="865">
        <v>0.39583333333333331</v>
      </c>
      <c r="H146" s="865">
        <v>0.39583333333333331</v>
      </c>
      <c r="I146" s="828">
        <v>0</v>
      </c>
      <c r="J146" s="826" t="s">
        <v>4266</v>
      </c>
      <c r="K146" s="826" t="s">
        <v>15</v>
      </c>
      <c r="L146" s="829" t="s">
        <v>2910</v>
      </c>
    </row>
    <row r="147" spans="1:12" ht="43.5" x14ac:dyDescent="0.35">
      <c r="A147" s="1453">
        <v>43725</v>
      </c>
      <c r="B147" s="826" t="s">
        <v>1877</v>
      </c>
      <c r="C147" s="5" t="s">
        <v>4260</v>
      </c>
      <c r="D147" s="908">
        <v>43726</v>
      </c>
      <c r="E147" s="872" t="s">
        <v>576</v>
      </c>
      <c r="F147" s="865">
        <v>0.45833333333333331</v>
      </c>
      <c r="G147" s="865">
        <v>0.48958333333333331</v>
      </c>
      <c r="H147" s="865">
        <v>0.48958333333333331</v>
      </c>
      <c r="I147" s="828">
        <v>0</v>
      </c>
      <c r="J147" s="826" t="s">
        <v>289</v>
      </c>
      <c r="K147" s="826" t="s">
        <v>15</v>
      </c>
      <c r="L147" s="807" t="s">
        <v>17</v>
      </c>
    </row>
    <row r="148" spans="1:12" ht="43.5" x14ac:dyDescent="0.35">
      <c r="A148" s="1247">
        <v>43725</v>
      </c>
      <c r="B148" s="1235" t="s">
        <v>4252</v>
      </c>
      <c r="C148" s="1235" t="s">
        <v>4253</v>
      </c>
      <c r="D148" s="1248">
        <v>43726</v>
      </c>
      <c r="E148" s="1249" t="s">
        <v>4254</v>
      </c>
      <c r="F148" s="1250">
        <v>0.63888888888888895</v>
      </c>
      <c r="G148" s="1250">
        <v>0.68055555555555547</v>
      </c>
      <c r="H148" s="1250">
        <v>0.68055555555555547</v>
      </c>
      <c r="I148" s="1261">
        <v>120</v>
      </c>
      <c r="J148" s="1235" t="s">
        <v>257</v>
      </c>
      <c r="K148" s="1235" t="s">
        <v>15</v>
      </c>
      <c r="L148" s="1237" t="s">
        <v>17</v>
      </c>
    </row>
    <row r="149" spans="1:12" ht="58" x14ac:dyDescent="0.35">
      <c r="A149" s="825">
        <v>43725</v>
      </c>
      <c r="B149" s="826" t="s">
        <v>4269</v>
      </c>
      <c r="C149" s="826" t="s">
        <v>4270</v>
      </c>
      <c r="D149" s="827">
        <v>43727</v>
      </c>
      <c r="E149" s="872" t="s">
        <v>4271</v>
      </c>
      <c r="F149" s="865">
        <v>0.52083333333333337</v>
      </c>
      <c r="G149" s="865">
        <v>0.55208333333333337</v>
      </c>
      <c r="H149" s="865">
        <v>0.55208333333333337</v>
      </c>
      <c r="I149" s="828">
        <v>0</v>
      </c>
      <c r="J149" s="826" t="s">
        <v>289</v>
      </c>
      <c r="K149" s="826" t="s">
        <v>15</v>
      </c>
      <c r="L149" s="829" t="s">
        <v>17</v>
      </c>
    </row>
    <row r="150" spans="1:12" ht="29" x14ac:dyDescent="0.35">
      <c r="A150" s="1255">
        <v>43725</v>
      </c>
      <c r="B150" s="5" t="s">
        <v>3798</v>
      </c>
      <c r="C150" s="5" t="s">
        <v>4268</v>
      </c>
      <c r="D150" s="1248">
        <v>43727</v>
      </c>
      <c r="E150" s="828" t="s">
        <v>20</v>
      </c>
      <c r="F150" s="836" t="s">
        <v>15</v>
      </c>
      <c r="G150" s="836" t="s">
        <v>15</v>
      </c>
      <c r="H150" s="836" t="s">
        <v>15</v>
      </c>
      <c r="I150" s="1234">
        <v>0</v>
      </c>
      <c r="J150" s="828" t="s">
        <v>20</v>
      </c>
      <c r="K150" s="7" t="s">
        <v>15</v>
      </c>
      <c r="L150" s="807" t="s">
        <v>22</v>
      </c>
    </row>
    <row r="151" spans="1:12" ht="87" x14ac:dyDescent="0.35">
      <c r="A151" s="825">
        <v>43725</v>
      </c>
      <c r="B151" s="826" t="s">
        <v>1877</v>
      </c>
      <c r="C151" s="826" t="s">
        <v>4282</v>
      </c>
      <c r="D151" s="827">
        <v>43728</v>
      </c>
      <c r="E151" s="872" t="s">
        <v>576</v>
      </c>
      <c r="F151" s="865">
        <v>0.4861111111111111</v>
      </c>
      <c r="G151" s="865">
        <v>0.54166666666666663</v>
      </c>
      <c r="H151" s="865">
        <v>0.54166666666666663</v>
      </c>
      <c r="I151" s="828">
        <v>0</v>
      </c>
      <c r="J151" s="826" t="s">
        <v>289</v>
      </c>
      <c r="K151" s="826" t="s">
        <v>15</v>
      </c>
      <c r="L151" s="829" t="s">
        <v>17</v>
      </c>
    </row>
    <row r="152" spans="1:12" x14ac:dyDescent="0.35">
      <c r="A152" s="806">
        <v>43726</v>
      </c>
      <c r="B152" s="10" t="s">
        <v>4283</v>
      </c>
      <c r="C152" s="10" t="s">
        <v>4283</v>
      </c>
      <c r="D152" s="8">
        <v>43727</v>
      </c>
      <c r="E152" s="823" t="s">
        <v>4284</v>
      </c>
      <c r="F152" s="913">
        <v>0.34722222222222227</v>
      </c>
      <c r="G152" s="12">
        <v>0.45833333333333331</v>
      </c>
      <c r="H152" s="12">
        <v>0.45833333333333331</v>
      </c>
      <c r="I152" s="7">
        <v>0</v>
      </c>
      <c r="J152" s="850" t="s">
        <v>4285</v>
      </c>
      <c r="K152" s="5" t="s">
        <v>119</v>
      </c>
      <c r="L152" s="807" t="s">
        <v>17</v>
      </c>
    </row>
    <row r="153" spans="1:12" ht="72.5" x14ac:dyDescent="0.35">
      <c r="A153" s="1300">
        <v>43726</v>
      </c>
      <c r="B153" s="10" t="s">
        <v>4286</v>
      </c>
      <c r="C153" s="1301" t="s">
        <v>4280</v>
      </c>
      <c r="D153" s="1531">
        <v>43727</v>
      </c>
      <c r="E153" s="1539" t="s">
        <v>4279</v>
      </c>
      <c r="F153" s="1303">
        <v>0.52083333333333337</v>
      </c>
      <c r="G153" s="1303">
        <v>0.63888888888888895</v>
      </c>
      <c r="H153" s="1303">
        <v>0.63888888888888895</v>
      </c>
      <c r="I153" s="1288">
        <v>168</v>
      </c>
      <c r="J153" s="1290" t="s">
        <v>4281</v>
      </c>
      <c r="K153" s="1290" t="s">
        <v>15</v>
      </c>
      <c r="L153" s="1292" t="s">
        <v>17</v>
      </c>
    </row>
    <row r="154" spans="1:12" ht="87" x14ac:dyDescent="0.35">
      <c r="A154" s="1302">
        <v>43726</v>
      </c>
      <c r="B154" s="1290" t="s">
        <v>4307</v>
      </c>
      <c r="C154" s="1290" t="s">
        <v>4274</v>
      </c>
      <c r="D154" s="1304">
        <v>43728</v>
      </c>
      <c r="E154" s="1291" t="s">
        <v>4306</v>
      </c>
      <c r="F154" s="1293">
        <v>0.35416666666666669</v>
      </c>
      <c r="G154" s="1293">
        <v>0.375</v>
      </c>
      <c r="H154" s="1293">
        <v>0.40625</v>
      </c>
      <c r="I154" s="1288">
        <v>0</v>
      </c>
      <c r="J154" s="1290" t="s">
        <v>4275</v>
      </c>
      <c r="K154" s="1290" t="s">
        <v>119</v>
      </c>
      <c r="L154" s="1292" t="s">
        <v>17</v>
      </c>
    </row>
    <row r="155" spans="1:12" ht="29" x14ac:dyDescent="0.35">
      <c r="A155" s="1302">
        <v>43726</v>
      </c>
      <c r="B155" s="1377" t="s">
        <v>20</v>
      </c>
      <c r="C155" s="1377" t="s">
        <v>4227</v>
      </c>
      <c r="D155" s="1381">
        <v>43728</v>
      </c>
      <c r="E155" s="1377" t="s">
        <v>20</v>
      </c>
      <c r="F155" s="1377" t="s">
        <v>15</v>
      </c>
      <c r="G155" s="1377" t="s">
        <v>15</v>
      </c>
      <c r="H155" s="1377" t="s">
        <v>15</v>
      </c>
      <c r="I155" s="1288">
        <v>0</v>
      </c>
      <c r="J155" s="1377" t="s">
        <v>20</v>
      </c>
      <c r="K155" s="1377" t="s">
        <v>15</v>
      </c>
      <c r="L155" s="1557" t="s">
        <v>17</v>
      </c>
    </row>
    <row r="156" spans="1:12" ht="43.5" x14ac:dyDescent="0.35">
      <c r="A156" s="1300">
        <v>43726</v>
      </c>
      <c r="B156" s="1301" t="s">
        <v>4276</v>
      </c>
      <c r="C156" s="1301" t="s">
        <v>4277</v>
      </c>
      <c r="D156" s="1531">
        <v>43730</v>
      </c>
      <c r="E156" s="1539" t="s">
        <v>4278</v>
      </c>
      <c r="F156" s="1303">
        <v>0.34722222222222227</v>
      </c>
      <c r="G156" s="1303">
        <v>0.41666666666666669</v>
      </c>
      <c r="H156" s="1303">
        <v>0.41666666666666669</v>
      </c>
      <c r="I156" s="1427">
        <v>150</v>
      </c>
      <c r="J156" s="1290" t="s">
        <v>369</v>
      </c>
      <c r="K156" s="1290" t="s">
        <v>140</v>
      </c>
      <c r="L156" s="1292" t="s">
        <v>17</v>
      </c>
    </row>
    <row r="157" spans="1:12" ht="29" x14ac:dyDescent="0.35">
      <c r="A157" s="1302">
        <v>43727</v>
      </c>
      <c r="B157" s="1290" t="s">
        <v>4310</v>
      </c>
      <c r="C157" s="1290" t="s">
        <v>4311</v>
      </c>
      <c r="D157" s="1304">
        <v>43728</v>
      </c>
      <c r="E157" s="1291" t="s">
        <v>4312</v>
      </c>
      <c r="F157" s="1293">
        <v>0.4861111111111111</v>
      </c>
      <c r="G157" s="1293">
        <v>0.5625</v>
      </c>
      <c r="H157" s="1293">
        <v>0.60416666666666663</v>
      </c>
      <c r="I157" s="1288">
        <v>0</v>
      </c>
      <c r="J157" s="1290" t="s">
        <v>911</v>
      </c>
      <c r="K157" s="1290" t="s">
        <v>15</v>
      </c>
      <c r="L157" s="1292" t="s">
        <v>17</v>
      </c>
    </row>
    <row r="158" spans="1:12" ht="29" x14ac:dyDescent="0.35">
      <c r="A158" s="1294">
        <v>43727</v>
      </c>
      <c r="B158" s="1267" t="s">
        <v>20</v>
      </c>
      <c r="C158" s="1262" t="s">
        <v>4308</v>
      </c>
      <c r="D158" s="1295">
        <v>43728</v>
      </c>
      <c r="E158" s="1267" t="s">
        <v>20</v>
      </c>
      <c r="F158" s="1267" t="s">
        <v>15</v>
      </c>
      <c r="G158" s="1267" t="s">
        <v>15</v>
      </c>
      <c r="H158" s="1267" t="s">
        <v>15</v>
      </c>
      <c r="I158" s="1264">
        <v>0</v>
      </c>
      <c r="J158" s="1267" t="s">
        <v>20</v>
      </c>
      <c r="K158" s="1267" t="s">
        <v>15</v>
      </c>
      <c r="L158" s="1269" t="s">
        <v>17</v>
      </c>
    </row>
    <row r="159" spans="1:12" ht="217.5" x14ac:dyDescent="0.35">
      <c r="A159" s="1270">
        <v>43727</v>
      </c>
      <c r="B159" s="819" t="s">
        <v>131</v>
      </c>
      <c r="C159" s="819" t="s">
        <v>4309</v>
      </c>
      <c r="D159" s="1272">
        <v>43730</v>
      </c>
      <c r="E159" s="1273" t="s">
        <v>129</v>
      </c>
      <c r="F159" s="1274">
        <v>0.58333333333333337</v>
      </c>
      <c r="G159" s="1274">
        <v>0.59722222222222221</v>
      </c>
      <c r="H159" s="1274">
        <v>0.60416666666666663</v>
      </c>
      <c r="I159" s="1264" t="str">
        <f>J160</f>
        <v>CUI 25793262 Asociația Grupul Studenților Mediciniști cu Activitate Științifică
--
factura op</v>
      </c>
      <c r="J159" s="915" t="s">
        <v>4320</v>
      </c>
      <c r="K159" s="1262" t="s">
        <v>140</v>
      </c>
      <c r="L159" s="1265" t="s">
        <v>17</v>
      </c>
    </row>
    <row r="160" spans="1:12" ht="101.5" x14ac:dyDescent="0.35">
      <c r="A160" s="1302">
        <v>43727</v>
      </c>
      <c r="B160" s="1262" t="s">
        <v>4124</v>
      </c>
      <c r="C160" s="826" t="s">
        <v>4348</v>
      </c>
      <c r="D160" s="1295">
        <v>43731</v>
      </c>
      <c r="E160" s="1263" t="s">
        <v>4325</v>
      </c>
      <c r="F160" s="1266">
        <v>0.41666666666666669</v>
      </c>
      <c r="G160" s="1266">
        <v>0.47916666666666669</v>
      </c>
      <c r="H160" s="1266">
        <v>0.47916666666666669</v>
      </c>
      <c r="I160" s="1264">
        <v>600</v>
      </c>
      <c r="J160" s="915" t="s">
        <v>4327</v>
      </c>
      <c r="K160" s="1262" t="s">
        <v>119</v>
      </c>
      <c r="L160" s="1265" t="s">
        <v>17</v>
      </c>
    </row>
    <row r="161" spans="1:12" ht="72.5" x14ac:dyDescent="0.35">
      <c r="A161" s="1302">
        <v>43727</v>
      </c>
      <c r="B161" s="1262" t="s">
        <v>4292</v>
      </c>
      <c r="C161" s="1262" t="s">
        <v>4293</v>
      </c>
      <c r="D161" s="1295">
        <v>43731</v>
      </c>
      <c r="E161" s="1263" t="s">
        <v>4294</v>
      </c>
      <c r="F161" s="1266">
        <v>0.59722222222222221</v>
      </c>
      <c r="G161" s="1266">
        <v>0.625</v>
      </c>
      <c r="H161" s="1266">
        <v>0.625</v>
      </c>
      <c r="I161" s="1297">
        <v>500</v>
      </c>
      <c r="J161" s="1276" t="s">
        <v>4295</v>
      </c>
      <c r="K161" s="1262" t="s">
        <v>119</v>
      </c>
      <c r="L161" s="1265" t="s">
        <v>22</v>
      </c>
    </row>
    <row r="162" spans="1:12" ht="116" x14ac:dyDescent="0.35">
      <c r="A162" s="1294">
        <v>43727</v>
      </c>
      <c r="B162" s="1267" t="s">
        <v>20</v>
      </c>
      <c r="C162" s="874" t="s">
        <v>4413</v>
      </c>
      <c r="D162" s="1268">
        <v>43735</v>
      </c>
      <c r="E162" s="1267" t="s">
        <v>20</v>
      </c>
      <c r="F162" s="1267" t="s">
        <v>15</v>
      </c>
      <c r="G162" s="1267" t="s">
        <v>15</v>
      </c>
      <c r="H162" s="1267" t="s">
        <v>15</v>
      </c>
      <c r="I162" s="1264">
        <v>0</v>
      </c>
      <c r="J162" s="1267" t="s">
        <v>20</v>
      </c>
      <c r="K162" s="1267" t="s">
        <v>15</v>
      </c>
      <c r="L162" s="1269" t="s">
        <v>17</v>
      </c>
    </row>
    <row r="163" spans="1:12" ht="29" x14ac:dyDescent="0.35">
      <c r="A163" s="1294">
        <v>43727</v>
      </c>
      <c r="B163" s="1267" t="s">
        <v>20</v>
      </c>
      <c r="C163" s="1267" t="s">
        <v>4300</v>
      </c>
      <c r="D163" s="1268">
        <v>43735</v>
      </c>
      <c r="E163" s="1267" t="s">
        <v>20</v>
      </c>
      <c r="F163" s="1267" t="s">
        <v>15</v>
      </c>
      <c r="G163" s="1267" t="s">
        <v>15</v>
      </c>
      <c r="H163" s="1267" t="s">
        <v>15</v>
      </c>
      <c r="I163" s="1264">
        <v>0</v>
      </c>
      <c r="J163" s="1267" t="s">
        <v>20</v>
      </c>
      <c r="K163" s="1267" t="s">
        <v>15</v>
      </c>
      <c r="L163" s="1269" t="s">
        <v>17</v>
      </c>
    </row>
    <row r="164" spans="1:12" ht="29" x14ac:dyDescent="0.35">
      <c r="A164" s="1294">
        <v>43727</v>
      </c>
      <c r="B164" s="1267" t="s">
        <v>20</v>
      </c>
      <c r="C164" s="874" t="s">
        <v>4302</v>
      </c>
      <c r="D164" s="1268">
        <v>43735</v>
      </c>
      <c r="E164" s="1267" t="s">
        <v>20</v>
      </c>
      <c r="F164" s="1267" t="s">
        <v>15</v>
      </c>
      <c r="G164" s="1267" t="s">
        <v>15</v>
      </c>
      <c r="H164" s="1267" t="s">
        <v>15</v>
      </c>
      <c r="I164" s="1264">
        <v>0</v>
      </c>
      <c r="J164" s="1267" t="s">
        <v>20</v>
      </c>
      <c r="K164" s="1267" t="s">
        <v>15</v>
      </c>
      <c r="L164" s="1269" t="s">
        <v>17</v>
      </c>
    </row>
    <row r="165" spans="1:12" ht="116" x14ac:dyDescent="0.35">
      <c r="A165" s="1300">
        <v>43727</v>
      </c>
      <c r="B165" s="1301" t="s">
        <v>4304</v>
      </c>
      <c r="C165" s="10" t="s">
        <v>4414</v>
      </c>
      <c r="D165" s="1531">
        <v>43737</v>
      </c>
      <c r="E165" s="1539" t="s">
        <v>4303</v>
      </c>
      <c r="F165" s="1303">
        <v>0.34722222222222227</v>
      </c>
      <c r="G165" s="1303">
        <v>0.40277777777777773</v>
      </c>
      <c r="H165" s="1303">
        <v>0.40277777777777773</v>
      </c>
      <c r="I165" s="1556">
        <v>450</v>
      </c>
      <c r="J165" s="1290" t="s">
        <v>4305</v>
      </c>
      <c r="K165" s="826" t="s">
        <v>119</v>
      </c>
      <c r="L165" s="1292" t="s">
        <v>17</v>
      </c>
    </row>
    <row r="166" spans="1:12" ht="261" x14ac:dyDescent="0.35">
      <c r="A166" s="1270">
        <v>43727</v>
      </c>
      <c r="B166" s="1271" t="s">
        <v>4298</v>
      </c>
      <c r="C166" s="819" t="s">
        <v>4410</v>
      </c>
      <c r="D166" s="1272">
        <v>43737</v>
      </c>
      <c r="E166" s="1273" t="s">
        <v>4299</v>
      </c>
      <c r="F166" s="1274">
        <v>0.34722222222222227</v>
      </c>
      <c r="G166" s="1274">
        <v>0.4375</v>
      </c>
      <c r="H166" s="1274">
        <v>0.4375</v>
      </c>
      <c r="I166" s="1264">
        <f>400+229*65*100/1000+60*3.5*4.76</f>
        <v>2888.1</v>
      </c>
      <c r="J166" s="915" t="s">
        <v>4411</v>
      </c>
      <c r="K166" s="826" t="s">
        <v>119</v>
      </c>
      <c r="L166" s="1265" t="s">
        <v>17</v>
      </c>
    </row>
    <row r="167" spans="1:12" ht="348" x14ac:dyDescent="0.35">
      <c r="A167" s="1270">
        <v>43727</v>
      </c>
      <c r="B167" s="819" t="s">
        <v>4439</v>
      </c>
      <c r="C167" s="819" t="s">
        <v>4313</v>
      </c>
      <c r="D167" s="1272">
        <v>43737</v>
      </c>
      <c r="E167" s="867" t="s">
        <v>4437</v>
      </c>
      <c r="F167" s="913">
        <v>0.59722222222222221</v>
      </c>
      <c r="G167" s="1274">
        <v>0.625</v>
      </c>
      <c r="H167" s="1274">
        <v>0.625</v>
      </c>
      <c r="I167" s="1264">
        <f>300+40*4*4.76+6.5*130</f>
        <v>1906.6</v>
      </c>
      <c r="J167" s="1276" t="s">
        <v>4301</v>
      </c>
      <c r="K167" s="826" t="s">
        <v>119</v>
      </c>
      <c r="L167" s="1265" t="s">
        <v>17</v>
      </c>
    </row>
    <row r="168" spans="1:12" ht="43.5" x14ac:dyDescent="0.35">
      <c r="A168" s="825">
        <v>43728</v>
      </c>
      <c r="B168" s="826" t="s">
        <v>4334</v>
      </c>
      <c r="C168" s="826" t="s">
        <v>4324</v>
      </c>
      <c r="D168" s="827">
        <v>43730</v>
      </c>
      <c r="E168" s="872" t="s">
        <v>3611</v>
      </c>
      <c r="F168" s="865">
        <v>0.34722222222222227</v>
      </c>
      <c r="G168" s="865">
        <v>0.36805555555555558</v>
      </c>
      <c r="H168" s="865">
        <v>0.36805555555555558</v>
      </c>
      <c r="I168" s="828">
        <v>0</v>
      </c>
      <c r="J168" s="826" t="s">
        <v>911</v>
      </c>
      <c r="K168" s="826" t="s">
        <v>140</v>
      </c>
      <c r="L168" s="829" t="s">
        <v>17</v>
      </c>
    </row>
    <row r="169" spans="1:12" x14ac:dyDescent="0.35">
      <c r="A169" s="825">
        <v>43728</v>
      </c>
      <c r="B169" s="826" t="s">
        <v>4319</v>
      </c>
      <c r="C169" s="826" t="s">
        <v>4323</v>
      </c>
      <c r="D169" s="827">
        <v>43732</v>
      </c>
      <c r="E169" s="872" t="s">
        <v>576</v>
      </c>
      <c r="F169" s="865">
        <v>0.39583333333333331</v>
      </c>
      <c r="G169" s="865">
        <v>0.47916666666666669</v>
      </c>
      <c r="H169" s="865">
        <v>0.5</v>
      </c>
      <c r="I169" s="828">
        <v>0</v>
      </c>
      <c r="J169" s="826" t="s">
        <v>911</v>
      </c>
      <c r="K169" s="826" t="s">
        <v>15</v>
      </c>
      <c r="L169" s="829" t="s">
        <v>17</v>
      </c>
    </row>
    <row r="170" spans="1:12" ht="145" x14ac:dyDescent="0.35">
      <c r="A170" s="1294">
        <v>43729</v>
      </c>
      <c r="B170" s="1262" t="s">
        <v>4331</v>
      </c>
      <c r="C170" s="1262" t="s">
        <v>4344</v>
      </c>
      <c r="D170" s="1295">
        <v>43737</v>
      </c>
      <c r="E170" s="1263" t="s">
        <v>4333</v>
      </c>
      <c r="F170" s="865">
        <v>0.58333333333333337</v>
      </c>
      <c r="G170" s="1266">
        <v>0.60416666666666663</v>
      </c>
      <c r="H170" s="1266">
        <v>0.60416666666666663</v>
      </c>
      <c r="I170" s="1297">
        <v>1904</v>
      </c>
      <c r="J170" s="1276" t="s">
        <v>4332</v>
      </c>
      <c r="K170" s="826" t="s">
        <v>17</v>
      </c>
      <c r="L170" s="1265" t="s">
        <v>17</v>
      </c>
    </row>
    <row r="171" spans="1:12" ht="58" x14ac:dyDescent="0.35">
      <c r="A171" s="1397">
        <v>43729</v>
      </c>
      <c r="B171" s="1329" t="s">
        <v>4468</v>
      </c>
      <c r="C171" s="1329" t="s">
        <v>4395</v>
      </c>
      <c r="D171" s="1330">
        <v>43737</v>
      </c>
      <c r="E171" s="1331" t="s">
        <v>3567</v>
      </c>
      <c r="F171" s="1334">
        <v>0.58333333333333337</v>
      </c>
      <c r="G171" s="1334">
        <v>0.625</v>
      </c>
      <c r="H171" s="1334">
        <v>0.625</v>
      </c>
      <c r="I171" s="1332">
        <f>3*4*9</f>
        <v>108</v>
      </c>
      <c r="J171" s="1329" t="s">
        <v>4396</v>
      </c>
      <c r="K171" s="1329" t="s">
        <v>17</v>
      </c>
      <c r="L171" s="1333" t="s">
        <v>17</v>
      </c>
    </row>
    <row r="172" spans="1:12" ht="58" x14ac:dyDescent="0.35">
      <c r="A172" s="1294">
        <v>43730</v>
      </c>
      <c r="B172" s="1262" t="s">
        <v>4347</v>
      </c>
      <c r="C172" s="1262" t="s">
        <v>4345</v>
      </c>
      <c r="D172" s="1295">
        <v>43731</v>
      </c>
      <c r="E172" s="1263" t="s">
        <v>4346</v>
      </c>
      <c r="F172" s="1266">
        <v>0.41666666666666669</v>
      </c>
      <c r="G172" s="1266">
        <v>0.45833333333333331</v>
      </c>
      <c r="H172" s="1266">
        <v>0.45833333333333331</v>
      </c>
      <c r="I172" s="1264">
        <v>0</v>
      </c>
      <c r="J172" s="1262" t="s">
        <v>4285</v>
      </c>
      <c r="K172" s="1262" t="s">
        <v>119</v>
      </c>
      <c r="L172" s="1265" t="s">
        <v>17</v>
      </c>
    </row>
    <row r="173" spans="1:12" ht="72.5" x14ac:dyDescent="0.35">
      <c r="A173" s="1525">
        <v>43730</v>
      </c>
      <c r="B173" s="1264" t="s">
        <v>911</v>
      </c>
      <c r="C173" s="1264" t="s">
        <v>4335</v>
      </c>
      <c r="D173" s="1536">
        <v>43731</v>
      </c>
      <c r="E173" s="1542" t="s">
        <v>4336</v>
      </c>
      <c r="F173" s="1551">
        <v>0.41666666666666669</v>
      </c>
      <c r="G173" s="1551">
        <v>0.5</v>
      </c>
      <c r="H173" s="1551">
        <v>0.52083333333333337</v>
      </c>
      <c r="I173" s="1264">
        <v>0</v>
      </c>
      <c r="J173" s="1264" t="s">
        <v>911</v>
      </c>
      <c r="K173" s="1264" t="s">
        <v>119</v>
      </c>
      <c r="L173" s="1559" t="s">
        <v>17</v>
      </c>
    </row>
    <row r="174" spans="1:12" ht="101.5" x14ac:dyDescent="0.35">
      <c r="A174" s="1294">
        <v>43730</v>
      </c>
      <c r="B174" s="1262" t="s">
        <v>4341</v>
      </c>
      <c r="C174" s="1262" t="s">
        <v>4342</v>
      </c>
      <c r="D174" s="1295">
        <v>43732</v>
      </c>
      <c r="E174" s="1263" t="s">
        <v>4343</v>
      </c>
      <c r="F174" s="1266">
        <v>0.52083333333333337</v>
      </c>
      <c r="G174" s="1266">
        <v>0.58333333333333337</v>
      </c>
      <c r="H174" s="1266">
        <v>0.58333333333333337</v>
      </c>
      <c r="I174" s="1264">
        <v>0</v>
      </c>
      <c r="J174" s="1262" t="s">
        <v>289</v>
      </c>
      <c r="K174" s="1262" t="s">
        <v>15</v>
      </c>
      <c r="L174" s="1265" t="s">
        <v>17</v>
      </c>
    </row>
    <row r="175" spans="1:12" ht="43.5" x14ac:dyDescent="0.35">
      <c r="A175" s="1294">
        <v>43730</v>
      </c>
      <c r="B175" s="826" t="s">
        <v>25</v>
      </c>
      <c r="C175" s="826" t="s">
        <v>4397</v>
      </c>
      <c r="D175" s="1295">
        <v>43734</v>
      </c>
      <c r="E175" s="872" t="s">
        <v>27</v>
      </c>
      <c r="F175" s="1266">
        <v>0.55555555555555558</v>
      </c>
      <c r="G175" s="1266">
        <v>0.61111111111111105</v>
      </c>
      <c r="H175" s="1266">
        <v>0.61111111111111105</v>
      </c>
      <c r="I175" s="1264">
        <v>238</v>
      </c>
      <c r="J175" s="915" t="s">
        <v>4441</v>
      </c>
      <c r="K175" s="1329" t="s">
        <v>140</v>
      </c>
      <c r="L175" s="1265" t="s">
        <v>17</v>
      </c>
    </row>
    <row r="176" spans="1:12" ht="43.5" x14ac:dyDescent="0.35">
      <c r="A176" s="1294">
        <v>43730</v>
      </c>
      <c r="B176" s="1262" t="s">
        <v>4349</v>
      </c>
      <c r="C176" s="826" t="s">
        <v>4474</v>
      </c>
      <c r="D176" s="1295">
        <v>43740</v>
      </c>
      <c r="E176" s="872" t="s">
        <v>4406</v>
      </c>
      <c r="F176" s="865" t="s">
        <v>15</v>
      </c>
      <c r="G176" s="865" t="s">
        <v>49</v>
      </c>
      <c r="H176" s="865" t="s">
        <v>49</v>
      </c>
      <c r="I176" s="1264">
        <v>192</v>
      </c>
      <c r="J176" s="915" t="s">
        <v>4401</v>
      </c>
      <c r="K176" s="826" t="s">
        <v>15</v>
      </c>
      <c r="L176" s="1265" t="s">
        <v>17</v>
      </c>
    </row>
    <row r="177" spans="1:12" ht="87" x14ac:dyDescent="0.35">
      <c r="A177" s="1294">
        <v>43730</v>
      </c>
      <c r="B177" s="826" t="s">
        <v>4339</v>
      </c>
      <c r="C177" s="1262" t="s">
        <v>4337</v>
      </c>
      <c r="D177" s="1295">
        <v>43748</v>
      </c>
      <c r="E177" s="1263" t="s">
        <v>4338</v>
      </c>
      <c r="F177" s="1262" t="s">
        <v>15</v>
      </c>
      <c r="G177" s="1262" t="s">
        <v>15</v>
      </c>
      <c r="H177" s="1262" t="s">
        <v>15</v>
      </c>
      <c r="I177" s="1264">
        <v>327.5</v>
      </c>
      <c r="J177" s="1262" t="s">
        <v>4340</v>
      </c>
      <c r="K177" s="1262" t="s">
        <v>15</v>
      </c>
      <c r="L177" s="1265" t="s">
        <v>17</v>
      </c>
    </row>
    <row r="178" spans="1:12" x14ac:dyDescent="0.35">
      <c r="A178" s="1294">
        <v>43730</v>
      </c>
      <c r="B178" s="1262" t="s">
        <v>20</v>
      </c>
      <c r="C178" s="1262" t="s">
        <v>4354</v>
      </c>
      <c r="D178" s="1295">
        <v>43749</v>
      </c>
      <c r="E178" s="1263" t="s">
        <v>15</v>
      </c>
      <c r="F178" s="1262" t="s">
        <v>15</v>
      </c>
      <c r="G178" s="1262" t="s">
        <v>98</v>
      </c>
      <c r="H178" s="1262" t="s">
        <v>15</v>
      </c>
      <c r="I178" s="1264" t="s">
        <v>15</v>
      </c>
      <c r="J178" s="1264" t="s">
        <v>15</v>
      </c>
      <c r="K178" s="1264" t="s">
        <v>15</v>
      </c>
      <c r="L178" s="1265" t="s">
        <v>17</v>
      </c>
    </row>
    <row r="179" spans="1:12" ht="43.5" x14ac:dyDescent="0.35">
      <c r="A179" s="1270">
        <v>43730</v>
      </c>
      <c r="B179" s="1271" t="s">
        <v>4350</v>
      </c>
      <c r="C179" s="1271" t="s">
        <v>4351</v>
      </c>
      <c r="D179" s="1272">
        <v>43751</v>
      </c>
      <c r="E179" s="1273" t="s">
        <v>4352</v>
      </c>
      <c r="F179" s="1262" t="s">
        <v>15</v>
      </c>
      <c r="G179" s="1262" t="s">
        <v>49</v>
      </c>
      <c r="H179" s="1262" t="s">
        <v>49</v>
      </c>
      <c r="I179" s="1264">
        <f>350+105</f>
        <v>455</v>
      </c>
      <c r="J179" s="1262" t="s">
        <v>4353</v>
      </c>
      <c r="K179" s="1262" t="s">
        <v>15</v>
      </c>
      <c r="L179" s="1265" t="s">
        <v>17</v>
      </c>
    </row>
    <row r="180" spans="1:12" ht="29" x14ac:dyDescent="0.35">
      <c r="A180" s="1294">
        <v>43730</v>
      </c>
      <c r="B180" s="826" t="s">
        <v>4356</v>
      </c>
      <c r="C180" s="826" t="s">
        <v>4355</v>
      </c>
      <c r="D180" s="1295">
        <v>43775</v>
      </c>
      <c r="E180" s="872" t="s">
        <v>49</v>
      </c>
      <c r="F180" s="1262" t="s">
        <v>15</v>
      </c>
      <c r="G180" s="1262" t="s">
        <v>49</v>
      </c>
      <c r="H180" s="1262" t="s">
        <v>49</v>
      </c>
      <c r="I180" s="1264">
        <v>192</v>
      </c>
      <c r="J180" s="1262" t="s">
        <v>257</v>
      </c>
      <c r="K180" s="1262" t="s">
        <v>15</v>
      </c>
      <c r="L180" s="1265" t="s">
        <v>17</v>
      </c>
    </row>
    <row r="181" spans="1:12" ht="29" x14ac:dyDescent="0.35">
      <c r="A181" s="1302">
        <v>43731</v>
      </c>
      <c r="B181" s="5" t="s">
        <v>4357</v>
      </c>
      <c r="C181" s="5" t="s">
        <v>4359</v>
      </c>
      <c r="D181" s="1304">
        <v>43732</v>
      </c>
      <c r="E181" s="824" t="s">
        <v>4358</v>
      </c>
      <c r="F181" s="6">
        <v>0.39583333333333331</v>
      </c>
      <c r="G181" s="1293">
        <v>0.44791666666666669</v>
      </c>
      <c r="H181" s="1293">
        <v>0.45833333333333331</v>
      </c>
      <c r="I181" s="1288">
        <v>0</v>
      </c>
      <c r="J181" s="1290">
        <v>0</v>
      </c>
      <c r="K181" s="5" t="s">
        <v>15</v>
      </c>
      <c r="L181" s="807" t="s">
        <v>4166</v>
      </c>
    </row>
    <row r="182" spans="1:12" ht="43.5" x14ac:dyDescent="0.35">
      <c r="A182" s="825">
        <v>43731</v>
      </c>
      <c r="B182" s="826" t="s">
        <v>4377</v>
      </c>
      <c r="C182" s="826" t="s">
        <v>4376</v>
      </c>
      <c r="D182" s="827">
        <v>43732</v>
      </c>
      <c r="E182" s="872" t="s">
        <v>4378</v>
      </c>
      <c r="F182" s="865">
        <v>0.39583333333333331</v>
      </c>
      <c r="G182" s="865">
        <v>0.52083333333333337</v>
      </c>
      <c r="H182" s="865">
        <v>0.52083333333333337</v>
      </c>
      <c r="I182" s="828">
        <v>0</v>
      </c>
      <c r="J182" s="826" t="s">
        <v>4379</v>
      </c>
      <c r="K182" s="826" t="s">
        <v>15</v>
      </c>
      <c r="L182" s="829" t="s">
        <v>17</v>
      </c>
    </row>
    <row r="183" spans="1:12" ht="58" x14ac:dyDescent="0.35">
      <c r="A183" s="825">
        <v>43731</v>
      </c>
      <c r="B183" s="826" t="s">
        <v>697</v>
      </c>
      <c r="C183" s="826" t="s">
        <v>4375</v>
      </c>
      <c r="D183" s="827">
        <v>43732</v>
      </c>
      <c r="E183" s="872" t="s">
        <v>126</v>
      </c>
      <c r="F183" s="865">
        <v>0.52083333333333337</v>
      </c>
      <c r="G183" s="865">
        <v>0.54166666666666663</v>
      </c>
      <c r="H183" s="865">
        <v>0.54166666666666663</v>
      </c>
      <c r="I183" s="1322">
        <f>4*3*12</f>
        <v>144</v>
      </c>
      <c r="J183" s="915" t="s">
        <v>4002</v>
      </c>
      <c r="K183" s="826" t="s">
        <v>15</v>
      </c>
      <c r="L183" s="829" t="s">
        <v>17</v>
      </c>
    </row>
    <row r="184" spans="1:12" ht="58" x14ac:dyDescent="0.35">
      <c r="A184" s="825">
        <v>43731</v>
      </c>
      <c r="B184" s="826" t="s">
        <v>3642</v>
      </c>
      <c r="C184" s="826" t="s">
        <v>4374</v>
      </c>
      <c r="D184" s="827">
        <v>43732</v>
      </c>
      <c r="E184" s="872" t="s">
        <v>1554</v>
      </c>
      <c r="F184" s="865">
        <v>0.73958333333333337</v>
      </c>
      <c r="G184" s="865">
        <v>0.76388888888888884</v>
      </c>
      <c r="H184" s="865">
        <v>0.76388888888888884</v>
      </c>
      <c r="I184" s="1322">
        <f>4*3*12</f>
        <v>144</v>
      </c>
      <c r="J184" s="915" t="s">
        <v>4002</v>
      </c>
      <c r="K184" s="826" t="s">
        <v>15</v>
      </c>
      <c r="L184" s="829" t="s">
        <v>17</v>
      </c>
    </row>
    <row r="185" spans="1:12" ht="58" x14ac:dyDescent="0.35">
      <c r="A185" s="825">
        <v>43731</v>
      </c>
      <c r="B185" s="826" t="s">
        <v>929</v>
      </c>
      <c r="C185" s="826" t="s">
        <v>4373</v>
      </c>
      <c r="D185" s="827">
        <v>43732</v>
      </c>
      <c r="E185" s="872" t="s">
        <v>1043</v>
      </c>
      <c r="F185" s="865">
        <v>0.73958333333333337</v>
      </c>
      <c r="G185" s="865">
        <v>0.79166666666666663</v>
      </c>
      <c r="H185" s="865">
        <v>0.79166666666666663</v>
      </c>
      <c r="I185" s="1322">
        <f>4*4*12</f>
        <v>192</v>
      </c>
      <c r="J185" s="915" t="s">
        <v>4002</v>
      </c>
      <c r="K185" s="826" t="s">
        <v>15</v>
      </c>
      <c r="L185" s="829" t="s">
        <v>17</v>
      </c>
    </row>
    <row r="186" spans="1:12" ht="58" x14ac:dyDescent="0.35">
      <c r="A186" s="825">
        <v>43731</v>
      </c>
      <c r="B186" s="826" t="s">
        <v>4405</v>
      </c>
      <c r="C186" s="826" t="s">
        <v>4403</v>
      </c>
      <c r="D186" s="827">
        <v>43733</v>
      </c>
      <c r="E186" s="872" t="s">
        <v>129</v>
      </c>
      <c r="F186" s="865">
        <v>0.58333333333333337</v>
      </c>
      <c r="G186" s="865">
        <v>0.60416666666666663</v>
      </c>
      <c r="H186" s="865">
        <v>0.60416666666666663</v>
      </c>
      <c r="I186" s="828">
        <v>0</v>
      </c>
      <c r="J186" s="826" t="s">
        <v>4404</v>
      </c>
      <c r="K186" s="1312" t="s">
        <v>119</v>
      </c>
      <c r="L186" s="829" t="s">
        <v>17</v>
      </c>
    </row>
    <row r="187" spans="1:12" ht="58" x14ac:dyDescent="0.35">
      <c r="A187" s="1294">
        <v>43731</v>
      </c>
      <c r="B187" s="1205" t="s">
        <v>4051</v>
      </c>
      <c r="C187" s="826" t="s">
        <v>4368</v>
      </c>
      <c r="D187" s="1295">
        <v>43734</v>
      </c>
      <c r="E187" s="872" t="s">
        <v>290</v>
      </c>
      <c r="F187" s="1266">
        <v>0.41666666666666669</v>
      </c>
      <c r="G187" s="1266">
        <v>0.5</v>
      </c>
      <c r="H187" s="1266">
        <v>0.5</v>
      </c>
      <c r="I187" s="1264">
        <v>480</v>
      </c>
      <c r="J187" s="915" t="s">
        <v>4029</v>
      </c>
      <c r="K187" s="1329" t="s">
        <v>140</v>
      </c>
      <c r="L187" s="829" t="s">
        <v>22</v>
      </c>
    </row>
    <row r="188" spans="1:12" ht="29" x14ac:dyDescent="0.35">
      <c r="A188" s="1294">
        <v>43731</v>
      </c>
      <c r="B188" s="1267" t="s">
        <v>20</v>
      </c>
      <c r="C188" s="826" t="s">
        <v>4365</v>
      </c>
      <c r="D188" s="1295">
        <v>43734</v>
      </c>
      <c r="E188" s="1267" t="s">
        <v>20</v>
      </c>
      <c r="F188" s="1267" t="s">
        <v>15</v>
      </c>
      <c r="G188" s="1267" t="s">
        <v>15</v>
      </c>
      <c r="H188" s="1267" t="s">
        <v>15</v>
      </c>
      <c r="I188" s="1264">
        <v>0</v>
      </c>
      <c r="J188" s="1267" t="s">
        <v>20</v>
      </c>
      <c r="K188" s="1267" t="s">
        <v>15</v>
      </c>
      <c r="L188" s="829" t="s">
        <v>22</v>
      </c>
    </row>
    <row r="189" spans="1:12" ht="29" x14ac:dyDescent="0.35">
      <c r="A189" s="1311">
        <v>43731</v>
      </c>
      <c r="B189" s="22" t="s">
        <v>667</v>
      </c>
      <c r="C189" s="826" t="s">
        <v>4385</v>
      </c>
      <c r="D189" s="1313">
        <v>43735</v>
      </c>
      <c r="E189" s="874" t="s">
        <v>4386</v>
      </c>
      <c r="F189" s="1319">
        <v>0.375</v>
      </c>
      <c r="G189" s="1319">
        <v>0.41666666666666669</v>
      </c>
      <c r="H189" s="1319">
        <v>0.41666666666666669</v>
      </c>
      <c r="I189" s="1394">
        <v>198</v>
      </c>
      <c r="J189" s="874" t="s">
        <v>4389</v>
      </c>
      <c r="K189" s="874" t="s">
        <v>119</v>
      </c>
      <c r="L189" s="829" t="s">
        <v>22</v>
      </c>
    </row>
    <row r="190" spans="1:12" ht="101.5" x14ac:dyDescent="0.35">
      <c r="A190" s="1311">
        <v>43731</v>
      </c>
      <c r="B190" s="22" t="s">
        <v>667</v>
      </c>
      <c r="C190" s="826" t="s">
        <v>4387</v>
      </c>
      <c r="D190" s="1313">
        <v>43735</v>
      </c>
      <c r="E190" s="874" t="s">
        <v>4388</v>
      </c>
      <c r="F190" s="1319">
        <v>0.70833333333333337</v>
      </c>
      <c r="G190" s="1016">
        <v>0.73958333333333337</v>
      </c>
      <c r="H190" s="1319">
        <v>0.73958333333333337</v>
      </c>
      <c r="I190" s="1394">
        <v>99</v>
      </c>
      <c r="J190" s="874" t="s">
        <v>4389</v>
      </c>
      <c r="K190" s="874" t="s">
        <v>119</v>
      </c>
      <c r="L190" s="829" t="s">
        <v>22</v>
      </c>
    </row>
    <row r="191" spans="1:12" ht="165.65" customHeight="1" x14ac:dyDescent="0.35">
      <c r="A191" s="1311">
        <v>43731</v>
      </c>
      <c r="B191" s="22" t="s">
        <v>667</v>
      </c>
      <c r="C191" s="22" t="s">
        <v>4383</v>
      </c>
      <c r="D191" s="1313">
        <v>43735</v>
      </c>
      <c r="E191" s="1318" t="s">
        <v>4384</v>
      </c>
      <c r="F191" s="1319">
        <v>0.70833333333333337</v>
      </c>
      <c r="G191" s="1319">
        <v>0.77083333333333337</v>
      </c>
      <c r="H191" s="1319">
        <v>0.77083333333333337</v>
      </c>
      <c r="I191" s="1394">
        <v>184</v>
      </c>
      <c r="J191" s="874" t="s">
        <v>4389</v>
      </c>
      <c r="K191" s="874" t="s">
        <v>119</v>
      </c>
      <c r="L191" s="829" t="s">
        <v>22</v>
      </c>
    </row>
    <row r="192" spans="1:12" s="866" customFormat="1" ht="54" customHeight="1" x14ac:dyDescent="0.35">
      <c r="A192" s="1302">
        <v>43731</v>
      </c>
      <c r="B192" s="1377" t="s">
        <v>20</v>
      </c>
      <c r="C192" s="5" t="s">
        <v>4364</v>
      </c>
      <c r="D192" s="1304">
        <v>43735</v>
      </c>
      <c r="E192" s="1377" t="s">
        <v>20</v>
      </c>
      <c r="F192" s="1377" t="s">
        <v>15</v>
      </c>
      <c r="G192" s="1377" t="s">
        <v>15</v>
      </c>
      <c r="H192" s="1377" t="s">
        <v>15</v>
      </c>
      <c r="I192" s="1288">
        <v>0</v>
      </c>
      <c r="J192" s="1267" t="s">
        <v>20</v>
      </c>
      <c r="K192" s="1377" t="s">
        <v>15</v>
      </c>
      <c r="L192" s="807" t="s">
        <v>22</v>
      </c>
    </row>
    <row r="193" spans="1:21" s="866" customFormat="1" ht="203.9" customHeight="1" x14ac:dyDescent="0.35">
      <c r="A193" s="1300">
        <v>43731</v>
      </c>
      <c r="B193" s="1412" t="s">
        <v>4360</v>
      </c>
      <c r="C193" s="1412" t="s">
        <v>4363</v>
      </c>
      <c r="D193" s="1417">
        <v>43736</v>
      </c>
      <c r="E193" s="1412" t="s">
        <v>4426</v>
      </c>
      <c r="F193" s="1425">
        <v>0.36458333333333331</v>
      </c>
      <c r="G193" s="1425">
        <v>0.4375</v>
      </c>
      <c r="H193" s="1425">
        <v>0.4375</v>
      </c>
      <c r="I193" s="1427">
        <v>721</v>
      </c>
      <c r="J193" s="1277" t="s">
        <v>4448</v>
      </c>
      <c r="K193" s="817" t="s">
        <v>119</v>
      </c>
      <c r="L193" s="839" t="s">
        <v>22</v>
      </c>
    </row>
    <row r="194" spans="1:21" ht="87" x14ac:dyDescent="0.35">
      <c r="A194" s="1300">
        <v>43731</v>
      </c>
      <c r="B194" s="1225" t="s">
        <v>4051</v>
      </c>
      <c r="C194" s="7" t="s">
        <v>4369</v>
      </c>
      <c r="D194" s="1226">
        <v>43736</v>
      </c>
      <c r="E194" s="817" t="s">
        <v>290</v>
      </c>
      <c r="F194" s="1425">
        <v>0.36458333333333331</v>
      </c>
      <c r="G194" s="1258">
        <v>0.4375</v>
      </c>
      <c r="H194" s="1258">
        <v>0.4375</v>
      </c>
      <c r="I194" s="7">
        <v>2291</v>
      </c>
      <c r="J194" s="1431" t="s">
        <v>4370</v>
      </c>
      <c r="K194" s="5" t="s">
        <v>119</v>
      </c>
      <c r="L194" s="1231" t="s">
        <v>22</v>
      </c>
    </row>
    <row r="195" spans="1:21" ht="87" x14ac:dyDescent="0.35">
      <c r="A195" s="1300">
        <v>43731</v>
      </c>
      <c r="B195" s="1225" t="s">
        <v>4051</v>
      </c>
      <c r="C195" s="7" t="s">
        <v>4371</v>
      </c>
      <c r="D195" s="1226">
        <v>43737</v>
      </c>
      <c r="E195" s="1225" t="s">
        <v>290</v>
      </c>
      <c r="F195" s="1154">
        <v>0.34722222222222227</v>
      </c>
      <c r="G195" s="1258">
        <v>0.45833333333333331</v>
      </c>
      <c r="H195" s="1258">
        <v>0.45833333333333331</v>
      </c>
      <c r="I195" s="7">
        <v>967.5</v>
      </c>
      <c r="J195" s="1431" t="s">
        <v>4372</v>
      </c>
      <c r="K195" s="5" t="s">
        <v>119</v>
      </c>
      <c r="L195" s="1231" t="s">
        <v>22</v>
      </c>
    </row>
    <row r="196" spans="1:21" ht="116" x14ac:dyDescent="0.35">
      <c r="A196" s="1270">
        <v>43731</v>
      </c>
      <c r="B196" s="819" t="s">
        <v>4361</v>
      </c>
      <c r="C196" s="819" t="s">
        <v>4424</v>
      </c>
      <c r="D196" s="1272">
        <v>43737</v>
      </c>
      <c r="E196" s="867" t="s">
        <v>4239</v>
      </c>
      <c r="F196" s="913">
        <v>0.5</v>
      </c>
      <c r="G196" s="1274">
        <v>0.52083333333333337</v>
      </c>
      <c r="H196" s="1274">
        <v>0.52083333333333337</v>
      </c>
      <c r="I196" s="1297">
        <v>715</v>
      </c>
      <c r="J196" s="826" t="s">
        <v>4425</v>
      </c>
      <c r="K196" s="5" t="s">
        <v>17</v>
      </c>
      <c r="L196" s="829" t="s">
        <v>22</v>
      </c>
    </row>
    <row r="197" spans="1:21" ht="145" x14ac:dyDescent="0.35">
      <c r="A197" s="1346">
        <v>43731</v>
      </c>
      <c r="B197" s="1336" t="s">
        <v>4051</v>
      </c>
      <c r="C197" s="1378" t="s">
        <v>4493</v>
      </c>
      <c r="D197" s="1347">
        <v>43743</v>
      </c>
      <c r="E197" s="1336" t="s">
        <v>290</v>
      </c>
      <c r="F197" s="1383"/>
      <c r="G197" s="1383">
        <v>0.5</v>
      </c>
      <c r="H197" s="1383" t="s">
        <v>539</v>
      </c>
      <c r="I197" s="1332"/>
      <c r="J197" s="1389" t="s">
        <v>4492</v>
      </c>
      <c r="K197" s="1324"/>
      <c r="L197" s="1348" t="s">
        <v>22</v>
      </c>
    </row>
    <row r="198" spans="1:21" ht="72.5" x14ac:dyDescent="0.35">
      <c r="A198" s="1453">
        <v>43732</v>
      </c>
      <c r="B198" s="5" t="s">
        <v>4380</v>
      </c>
      <c r="C198" s="5" t="s">
        <v>4382</v>
      </c>
      <c r="D198" s="908">
        <v>43732</v>
      </c>
      <c r="E198" s="824" t="s">
        <v>4381</v>
      </c>
      <c r="F198" s="6">
        <v>0.39583333333333331</v>
      </c>
      <c r="G198" s="6">
        <v>0.41666666666666669</v>
      </c>
      <c r="H198" s="6">
        <v>0.42708333333333331</v>
      </c>
      <c r="I198" s="7">
        <v>0</v>
      </c>
      <c r="J198" s="5" t="s">
        <v>16</v>
      </c>
      <c r="K198" s="5" t="s">
        <v>15</v>
      </c>
      <c r="L198" s="807" t="s">
        <v>17</v>
      </c>
    </row>
    <row r="199" spans="1:21" ht="58" x14ac:dyDescent="0.35">
      <c r="A199" s="1306">
        <v>43732</v>
      </c>
      <c r="B199" s="1308" t="s">
        <v>152</v>
      </c>
      <c r="C199" s="1308" t="s">
        <v>4395</v>
      </c>
      <c r="D199" s="1307">
        <v>43733</v>
      </c>
      <c r="E199" s="1537" t="s">
        <v>3567</v>
      </c>
      <c r="F199" s="1320">
        <v>0.58333333333333337</v>
      </c>
      <c r="G199" s="1320">
        <v>0.625</v>
      </c>
      <c r="H199" s="1320">
        <v>0.625</v>
      </c>
      <c r="I199" s="1309">
        <f>4*3*9</f>
        <v>108</v>
      </c>
      <c r="J199" s="1323" t="s">
        <v>4396</v>
      </c>
      <c r="K199" s="1308" t="s">
        <v>119</v>
      </c>
      <c r="L199" s="1310" t="s">
        <v>17</v>
      </c>
    </row>
    <row r="200" spans="1:21" ht="87" x14ac:dyDescent="0.35">
      <c r="A200" s="1306">
        <v>43732</v>
      </c>
      <c r="B200" s="1308" t="s">
        <v>4400</v>
      </c>
      <c r="C200" s="1308" t="s">
        <v>4399</v>
      </c>
      <c r="D200" s="1307">
        <v>43733</v>
      </c>
      <c r="E200" s="1537" t="s">
        <v>4398</v>
      </c>
      <c r="F200" s="1308" t="s">
        <v>15</v>
      </c>
      <c r="G200" s="1308" t="s">
        <v>3213</v>
      </c>
      <c r="H200" s="1308" t="s">
        <v>3213</v>
      </c>
      <c r="I200" s="1309" t="s">
        <v>4402</v>
      </c>
      <c r="J200" s="1308" t="s">
        <v>15</v>
      </c>
      <c r="K200" s="1308" t="s">
        <v>119</v>
      </c>
      <c r="L200" s="1310" t="s">
        <v>17</v>
      </c>
    </row>
    <row r="201" spans="1:21" ht="58" x14ac:dyDescent="0.35">
      <c r="A201" s="1306">
        <v>43732</v>
      </c>
      <c r="B201" s="1308" t="s">
        <v>131</v>
      </c>
      <c r="C201" s="1308" t="s">
        <v>4391</v>
      </c>
      <c r="D201" s="1307">
        <v>43734</v>
      </c>
      <c r="E201" s="1537" t="s">
        <v>129</v>
      </c>
      <c r="F201" s="1320">
        <v>0.55555555555555558</v>
      </c>
      <c r="G201" s="1320">
        <v>0.58333333333333337</v>
      </c>
      <c r="H201" s="1320">
        <v>0.58333333333333337</v>
      </c>
      <c r="I201" s="1406">
        <f>70*125/1000*65</f>
        <v>568.75</v>
      </c>
      <c r="J201" s="1323" t="s">
        <v>4392</v>
      </c>
      <c r="K201" s="1324" t="s">
        <v>140</v>
      </c>
      <c r="L201" s="1310" t="s">
        <v>17</v>
      </c>
    </row>
    <row r="202" spans="1:21" ht="29" x14ac:dyDescent="0.35">
      <c r="A202" s="1306">
        <v>43732</v>
      </c>
      <c r="B202" s="1529" t="s">
        <v>20</v>
      </c>
      <c r="C202" s="1529" t="s">
        <v>4394</v>
      </c>
      <c r="D202" s="1535">
        <v>43734</v>
      </c>
      <c r="E202" s="1529" t="s">
        <v>20</v>
      </c>
      <c r="F202" s="1529" t="s">
        <v>15</v>
      </c>
      <c r="G202" s="1529" t="s">
        <v>15</v>
      </c>
      <c r="H202" s="1529" t="s">
        <v>15</v>
      </c>
      <c r="I202" s="1309">
        <v>0</v>
      </c>
      <c r="J202" s="1529" t="s">
        <v>20</v>
      </c>
      <c r="K202" s="1529" t="s">
        <v>15</v>
      </c>
      <c r="L202" s="1558" t="s">
        <v>17</v>
      </c>
    </row>
    <row r="203" spans="1:21" ht="72.5" x14ac:dyDescent="0.35">
      <c r="A203" s="1311">
        <v>43732</v>
      </c>
      <c r="B203" s="1312" t="s">
        <v>25</v>
      </c>
      <c r="C203" s="826" t="s">
        <v>4433</v>
      </c>
      <c r="D203" s="1313">
        <v>43735</v>
      </c>
      <c r="E203" s="1314" t="s">
        <v>27</v>
      </c>
      <c r="F203" s="1317">
        <v>0.45833333333333331</v>
      </c>
      <c r="G203" s="1317">
        <v>0.54166666666666663</v>
      </c>
      <c r="H203" s="1317">
        <v>0.54166666666666663</v>
      </c>
      <c r="I203" s="1315">
        <v>200</v>
      </c>
      <c r="J203" s="915" t="s">
        <v>4501</v>
      </c>
      <c r="K203" s="874" t="s">
        <v>119</v>
      </c>
      <c r="L203" s="1316" t="s">
        <v>17</v>
      </c>
    </row>
    <row r="204" spans="1:21" ht="87" x14ac:dyDescent="0.35">
      <c r="A204" s="1311">
        <v>43732</v>
      </c>
      <c r="B204" s="1312" t="s">
        <v>25</v>
      </c>
      <c r="C204" s="826" t="s">
        <v>4434</v>
      </c>
      <c r="D204" s="1313">
        <v>43736</v>
      </c>
      <c r="E204" s="872" t="s">
        <v>4435</v>
      </c>
      <c r="F204" s="1317">
        <v>0.5625</v>
      </c>
      <c r="G204" s="1317">
        <v>0.58333333333333337</v>
      </c>
      <c r="H204" s="1317">
        <v>0.58333333333333337</v>
      </c>
      <c r="I204" s="1315">
        <v>300</v>
      </c>
      <c r="J204" s="915" t="s">
        <v>4436</v>
      </c>
      <c r="K204" s="826" t="s">
        <v>315</v>
      </c>
      <c r="L204" s="1316" t="s">
        <v>17</v>
      </c>
    </row>
    <row r="205" spans="1:21" ht="232" x14ac:dyDescent="0.35">
      <c r="A205" s="1524">
        <v>43732</v>
      </c>
      <c r="B205" s="1528" t="s">
        <v>131</v>
      </c>
      <c r="C205" s="1528" t="s">
        <v>4393</v>
      </c>
      <c r="D205" s="1534">
        <v>43736</v>
      </c>
      <c r="E205" s="1541" t="s">
        <v>129</v>
      </c>
      <c r="F205" s="1550">
        <v>0.5625</v>
      </c>
      <c r="G205" s="1317">
        <v>0.60416666666666663</v>
      </c>
      <c r="H205" s="1317">
        <v>0.60416666666666663</v>
      </c>
      <c r="I205" s="1407">
        <f>200+150*125/1000*65+140*3*4.76</f>
        <v>3417.95</v>
      </c>
      <c r="J205" s="1321" t="s">
        <v>4392</v>
      </c>
      <c r="K205" s="826" t="s">
        <v>119</v>
      </c>
      <c r="L205" s="1316" t="s">
        <v>17</v>
      </c>
    </row>
    <row r="206" spans="1:21" ht="29" x14ac:dyDescent="0.35">
      <c r="A206" s="1335">
        <v>43733</v>
      </c>
      <c r="B206" s="1329" t="s">
        <v>1877</v>
      </c>
      <c r="C206" s="1329" t="s">
        <v>4409</v>
      </c>
      <c r="D206" s="1330">
        <v>43734</v>
      </c>
      <c r="E206" s="1331" t="s">
        <v>576</v>
      </c>
      <c r="F206" s="1334">
        <v>0.41666666666666669</v>
      </c>
      <c r="G206" s="1334">
        <v>0.45833333333333331</v>
      </c>
      <c r="H206" s="1334">
        <v>0.45833333333333331</v>
      </c>
      <c r="I206" s="1332">
        <v>0</v>
      </c>
      <c r="J206" s="1329" t="s">
        <v>289</v>
      </c>
      <c r="K206" s="1329" t="s">
        <v>140</v>
      </c>
      <c r="L206" s="1333" t="s">
        <v>17</v>
      </c>
    </row>
    <row r="207" spans="1:21" ht="29.5" thickBot="1" x14ac:dyDescent="0.4">
      <c r="A207" s="1335">
        <v>43733</v>
      </c>
      <c r="B207" s="874" t="s">
        <v>4407</v>
      </c>
      <c r="C207" s="826" t="s">
        <v>4408</v>
      </c>
      <c r="D207" s="1330">
        <v>43734</v>
      </c>
      <c r="E207" s="872" t="s">
        <v>311</v>
      </c>
      <c r="F207" s="1334">
        <v>0.625</v>
      </c>
      <c r="G207" s="1334">
        <v>0.625</v>
      </c>
      <c r="H207" s="1334">
        <v>0.625</v>
      </c>
      <c r="I207" s="1396">
        <v>175</v>
      </c>
      <c r="J207" s="915" t="s">
        <v>257</v>
      </c>
      <c r="K207" s="1329" t="s">
        <v>140</v>
      </c>
      <c r="L207" s="829" t="s">
        <v>22</v>
      </c>
    </row>
    <row r="208" spans="1:21" ht="29.5" thickBot="1" x14ac:dyDescent="0.4">
      <c r="A208" s="1335">
        <v>43733</v>
      </c>
      <c r="B208" s="1329" t="s">
        <v>1877</v>
      </c>
      <c r="C208" s="1329" t="s">
        <v>4409</v>
      </c>
      <c r="D208" s="1330">
        <v>43735</v>
      </c>
      <c r="E208" s="1331" t="s">
        <v>576</v>
      </c>
      <c r="F208" s="1334">
        <v>0.45833333333333331</v>
      </c>
      <c r="G208" s="1334">
        <v>0.5</v>
      </c>
      <c r="H208" s="1334">
        <v>0.5</v>
      </c>
      <c r="I208" s="1332">
        <v>0</v>
      </c>
      <c r="J208" s="1329" t="s">
        <v>289</v>
      </c>
      <c r="K208" s="874" t="s">
        <v>119</v>
      </c>
      <c r="L208" s="1333" t="s">
        <v>17</v>
      </c>
      <c r="S208" s="1278"/>
      <c r="T208" s="1279"/>
      <c r="U208" s="1279"/>
    </row>
    <row r="209" spans="1:21" ht="200.9" customHeight="1" thickBot="1" x14ac:dyDescent="0.4">
      <c r="A209" s="1335">
        <v>43733</v>
      </c>
      <c r="B209" s="1336" t="s">
        <v>4431</v>
      </c>
      <c r="C209" s="1329" t="s">
        <v>4432</v>
      </c>
      <c r="D209" s="1330">
        <v>43735</v>
      </c>
      <c r="E209" s="1331" t="s">
        <v>441</v>
      </c>
      <c r="F209" s="1334">
        <v>0.625</v>
      </c>
      <c r="G209" s="1334">
        <v>0.65625</v>
      </c>
      <c r="H209" s="1334">
        <v>0.65625</v>
      </c>
      <c r="I209" s="1332" t="s">
        <v>15</v>
      </c>
      <c r="J209" s="1337" t="s">
        <v>15</v>
      </c>
      <c r="K209" s="874" t="s">
        <v>119</v>
      </c>
      <c r="L209" s="1333" t="s">
        <v>17</v>
      </c>
      <c r="S209" s="1279"/>
      <c r="T209" s="1280"/>
      <c r="U209" s="1279"/>
    </row>
    <row r="210" spans="1:21" ht="29.5" thickBot="1" x14ac:dyDescent="0.4">
      <c r="A210" s="1335">
        <v>43734</v>
      </c>
      <c r="B210" s="826" t="s">
        <v>4108</v>
      </c>
      <c r="C210" s="826" t="s">
        <v>4422</v>
      </c>
      <c r="D210" s="1233">
        <v>43735</v>
      </c>
      <c r="E210" s="1188" t="s">
        <v>4109</v>
      </c>
      <c r="F210" s="1191">
        <v>0.45833333333333331</v>
      </c>
      <c r="G210" s="1191">
        <v>0.47916666666666669</v>
      </c>
      <c r="H210" s="1191">
        <v>0.47916666666666669</v>
      </c>
      <c r="I210" s="1296">
        <v>150</v>
      </c>
      <c r="J210" s="826" t="s">
        <v>4423</v>
      </c>
      <c r="K210" s="874" t="s">
        <v>119</v>
      </c>
      <c r="L210" s="829" t="s">
        <v>22</v>
      </c>
      <c r="S210" s="1279"/>
      <c r="T210" s="1280"/>
      <c r="U210" s="1279"/>
    </row>
    <row r="211" spans="1:21" ht="15" thickBot="1" x14ac:dyDescent="0.4">
      <c r="A211" s="1335">
        <v>43734</v>
      </c>
      <c r="B211" s="1329" t="s">
        <v>20</v>
      </c>
      <c r="C211" s="1329" t="s">
        <v>4416</v>
      </c>
      <c r="D211" s="1330">
        <v>43735</v>
      </c>
      <c r="E211" s="1331" t="s">
        <v>20</v>
      </c>
      <c r="F211" s="1329" t="s">
        <v>15</v>
      </c>
      <c r="G211" s="1334" t="s">
        <v>15</v>
      </c>
      <c r="H211" s="1334" t="s">
        <v>15</v>
      </c>
      <c r="I211" s="1332" t="s">
        <v>15</v>
      </c>
      <c r="J211" s="1329" t="s">
        <v>15</v>
      </c>
      <c r="K211" s="1329" t="s">
        <v>15</v>
      </c>
      <c r="L211" s="1333" t="s">
        <v>15</v>
      </c>
      <c r="S211" s="1279"/>
      <c r="T211" s="1280"/>
      <c r="U211" s="1279"/>
    </row>
    <row r="212" spans="1:21" ht="29.5" thickBot="1" x14ac:dyDescent="0.4">
      <c r="A212" s="1335">
        <v>43734</v>
      </c>
      <c r="B212" s="1329" t="s">
        <v>3798</v>
      </c>
      <c r="C212" s="1329" t="s">
        <v>4420</v>
      </c>
      <c r="D212" s="1330">
        <v>43735</v>
      </c>
      <c r="E212" s="1331" t="s">
        <v>15</v>
      </c>
      <c r="F212" s="1329" t="s">
        <v>20</v>
      </c>
      <c r="G212" s="1329" t="s">
        <v>15</v>
      </c>
      <c r="H212" s="1329" t="s">
        <v>15</v>
      </c>
      <c r="I212" s="1332" t="s">
        <v>15</v>
      </c>
      <c r="J212" s="1329" t="s">
        <v>15</v>
      </c>
      <c r="K212" s="1329" t="s">
        <v>15</v>
      </c>
      <c r="L212" s="1333" t="s">
        <v>17</v>
      </c>
      <c r="S212" s="1279"/>
      <c r="T212" s="1280"/>
      <c r="U212" s="1279"/>
    </row>
    <row r="213" spans="1:21" ht="29.5" thickBot="1" x14ac:dyDescent="0.4">
      <c r="A213" s="1335">
        <v>43734</v>
      </c>
      <c r="B213" s="1329" t="s">
        <v>4417</v>
      </c>
      <c r="C213" s="1329" t="s">
        <v>4418</v>
      </c>
      <c r="D213" s="1330">
        <v>43736</v>
      </c>
      <c r="E213" s="1331" t="s">
        <v>210</v>
      </c>
      <c r="F213" s="1329" t="s">
        <v>15</v>
      </c>
      <c r="G213" s="1329" t="s">
        <v>49</v>
      </c>
      <c r="H213" s="1329" t="s">
        <v>49</v>
      </c>
      <c r="I213" s="1332">
        <f>4*96</f>
        <v>384</v>
      </c>
      <c r="J213" s="1329" t="s">
        <v>4419</v>
      </c>
      <c r="K213" s="1329" t="s">
        <v>15</v>
      </c>
      <c r="L213" s="1333" t="s">
        <v>17</v>
      </c>
      <c r="S213" s="1278"/>
      <c r="T213" s="1279"/>
      <c r="U213" s="1279"/>
    </row>
    <row r="214" spans="1:21" ht="108" customHeight="1" thickBot="1" x14ac:dyDescent="0.4">
      <c r="A214" s="1338">
        <v>43734</v>
      </c>
      <c r="B214" s="10" t="s">
        <v>4428</v>
      </c>
      <c r="C214" s="1390" t="s">
        <v>4429</v>
      </c>
      <c r="D214" s="1340">
        <v>43740</v>
      </c>
      <c r="E214" s="823" t="s">
        <v>229</v>
      </c>
      <c r="F214" s="1339"/>
      <c r="G214" s="1341">
        <v>0.66666666666666663</v>
      </c>
      <c r="H214" s="1341">
        <v>0.66666666666666663</v>
      </c>
      <c r="I214" s="1326">
        <v>0</v>
      </c>
      <c r="J214" s="5" t="s">
        <v>15</v>
      </c>
      <c r="K214" s="1324"/>
      <c r="L214" s="807" t="s">
        <v>22</v>
      </c>
      <c r="S214" s="1278"/>
      <c r="T214" s="1279"/>
      <c r="U214" s="1279"/>
    </row>
    <row r="215" spans="1:21" ht="29.5" thickBot="1" x14ac:dyDescent="0.4">
      <c r="A215" s="1335">
        <v>43734</v>
      </c>
      <c r="B215" s="1336" t="s">
        <v>20</v>
      </c>
      <c r="C215" s="1329" t="s">
        <v>4499</v>
      </c>
      <c r="D215" s="1330">
        <v>43741</v>
      </c>
      <c r="E215" s="1336" t="s">
        <v>20</v>
      </c>
      <c r="F215" s="1336" t="s">
        <v>15</v>
      </c>
      <c r="G215" s="1336" t="s">
        <v>15</v>
      </c>
      <c r="H215" s="1336" t="s">
        <v>15</v>
      </c>
      <c r="I215" s="1332">
        <v>0</v>
      </c>
      <c r="J215" s="1336" t="s">
        <v>20</v>
      </c>
      <c r="K215" s="1336">
        <v>0</v>
      </c>
      <c r="L215" s="1348"/>
      <c r="S215" s="1279"/>
      <c r="T215" s="1280"/>
      <c r="U215" s="1279"/>
    </row>
    <row r="216" spans="1:21" ht="87.5" thickBot="1" x14ac:dyDescent="0.4">
      <c r="A216" s="1349">
        <v>43734</v>
      </c>
      <c r="B216" s="1350" t="s">
        <v>4500</v>
      </c>
      <c r="C216" s="918" t="s">
        <v>4491</v>
      </c>
      <c r="D216" s="1351">
        <v>43743</v>
      </c>
      <c r="E216" s="867" t="s">
        <v>4430</v>
      </c>
      <c r="F216" s="1350"/>
      <c r="G216" s="1385">
        <v>0.4375</v>
      </c>
      <c r="H216" s="1385">
        <v>0.47916666666666669</v>
      </c>
      <c r="I216" s="1332">
        <v>750</v>
      </c>
      <c r="J216" s="1329"/>
      <c r="K216" s="1329"/>
      <c r="L216" s="829" t="s">
        <v>22</v>
      </c>
      <c r="S216" s="1279"/>
      <c r="T216" s="1280"/>
      <c r="U216" s="1279"/>
    </row>
    <row r="217" spans="1:21" ht="44" thickBot="1" x14ac:dyDescent="0.4">
      <c r="A217" s="1403">
        <v>43735</v>
      </c>
      <c r="B217" s="828" t="s">
        <v>4487</v>
      </c>
      <c r="C217" s="828" t="s">
        <v>4445</v>
      </c>
      <c r="D217" s="1404">
        <v>43739</v>
      </c>
      <c r="E217" s="1420" t="s">
        <v>4444</v>
      </c>
      <c r="F217" s="1424">
        <v>0.45833333333333331</v>
      </c>
      <c r="G217" s="1424">
        <v>0.47916666666666669</v>
      </c>
      <c r="H217" s="1424">
        <v>0.47916666666666669</v>
      </c>
      <c r="I217" s="1332">
        <v>0</v>
      </c>
      <c r="J217" s="1187" t="s">
        <v>15</v>
      </c>
      <c r="K217" s="826" t="s">
        <v>119</v>
      </c>
      <c r="L217" s="868" t="s">
        <v>22</v>
      </c>
      <c r="S217" s="1279"/>
      <c r="T217" s="1280"/>
      <c r="U217" s="1279"/>
    </row>
    <row r="218" spans="1:21" ht="44" thickBot="1" x14ac:dyDescent="0.4">
      <c r="A218" s="1342">
        <v>43735</v>
      </c>
      <c r="B218" s="7" t="s">
        <v>4488</v>
      </c>
      <c r="C218" s="7" t="s">
        <v>4446</v>
      </c>
      <c r="D218" s="1343">
        <v>43739</v>
      </c>
      <c r="E218" s="1344" t="s">
        <v>4443</v>
      </c>
      <c r="F218" s="1345">
        <v>0.45833333333333331</v>
      </c>
      <c r="G218" s="1345">
        <v>0.5</v>
      </c>
      <c r="H218" s="1345">
        <v>0.5</v>
      </c>
      <c r="I218" s="1326">
        <v>0</v>
      </c>
      <c r="J218" s="1200" t="s">
        <v>15</v>
      </c>
      <c r="K218" s="5" t="s">
        <v>119</v>
      </c>
      <c r="L218" s="809" t="s">
        <v>22</v>
      </c>
      <c r="S218" s="1279"/>
      <c r="T218" s="1279"/>
      <c r="U218" s="1279"/>
    </row>
    <row r="219" spans="1:21" ht="44" thickBot="1" x14ac:dyDescent="0.4">
      <c r="A219" s="1397">
        <v>43736</v>
      </c>
      <c r="B219" s="1324" t="s">
        <v>4469</v>
      </c>
      <c r="C219" s="1324" t="s">
        <v>4470</v>
      </c>
      <c r="D219" s="1398">
        <v>43737</v>
      </c>
      <c r="E219" s="1327" t="s">
        <v>4471</v>
      </c>
      <c r="F219" s="1324" t="s">
        <v>15</v>
      </c>
      <c r="G219" s="1324" t="s">
        <v>3213</v>
      </c>
      <c r="H219" s="1324" t="s">
        <v>3213</v>
      </c>
      <c r="I219" s="1326">
        <v>0</v>
      </c>
      <c r="J219" s="1324" t="s">
        <v>16</v>
      </c>
      <c r="K219" s="1324" t="s">
        <v>22</v>
      </c>
      <c r="L219" s="1328" t="s">
        <v>17</v>
      </c>
      <c r="S219" s="1279"/>
      <c r="T219" s="1281"/>
      <c r="U219" s="1279"/>
    </row>
    <row r="220" spans="1:21" ht="87" x14ac:dyDescent="0.35">
      <c r="A220" s="1408">
        <v>43736</v>
      </c>
      <c r="B220" s="1411" t="s">
        <v>4449</v>
      </c>
      <c r="C220" s="1411" t="s">
        <v>4479</v>
      </c>
      <c r="D220" s="1416">
        <v>43743</v>
      </c>
      <c r="E220" s="1419" t="s">
        <v>576</v>
      </c>
      <c r="F220" s="1324" t="s">
        <v>15</v>
      </c>
      <c r="G220" s="1324" t="s">
        <v>49</v>
      </c>
      <c r="H220" s="1324" t="s">
        <v>49</v>
      </c>
      <c r="I220" s="1326">
        <f>42.2 *65+750</f>
        <v>3493</v>
      </c>
      <c r="J220" s="1324" t="s">
        <v>4480</v>
      </c>
      <c r="K220" s="1324" t="s">
        <v>15</v>
      </c>
      <c r="L220" s="1328" t="s">
        <v>17</v>
      </c>
    </row>
    <row r="221" spans="1:21" ht="72.5" x14ac:dyDescent="0.35">
      <c r="A221" s="1335">
        <v>43736</v>
      </c>
      <c r="B221" s="1329" t="s">
        <v>4451</v>
      </c>
      <c r="C221" s="1329" t="s">
        <v>4452</v>
      </c>
      <c r="D221" s="1330">
        <v>43743</v>
      </c>
      <c r="E221" s="1331" t="s">
        <v>4453</v>
      </c>
      <c r="F221" s="1329" t="s">
        <v>15</v>
      </c>
      <c r="G221" s="1334">
        <v>0.41666666666666669</v>
      </c>
      <c r="H221" s="1334">
        <v>0.41666666666666669</v>
      </c>
      <c r="I221" s="1396">
        <v>100</v>
      </c>
      <c r="J221" s="1337" t="s">
        <v>4489</v>
      </c>
      <c r="K221" s="1329" t="s">
        <v>15</v>
      </c>
      <c r="L221" s="1333" t="s">
        <v>17</v>
      </c>
    </row>
    <row r="222" spans="1:21" ht="145" x14ac:dyDescent="0.35">
      <c r="A222" s="1335">
        <v>43736</v>
      </c>
      <c r="B222" s="826" t="s">
        <v>4466</v>
      </c>
      <c r="C222" s="826" t="s">
        <v>4467</v>
      </c>
      <c r="D222" s="1330">
        <v>43743</v>
      </c>
      <c r="E222" s="1331" t="s">
        <v>4454</v>
      </c>
      <c r="F222" s="1329" t="s">
        <v>15</v>
      </c>
      <c r="G222" s="1329" t="s">
        <v>49</v>
      </c>
      <c r="H222" s="1329" t="s">
        <v>49</v>
      </c>
      <c r="I222" s="1332">
        <f>45*4*4.76+300</f>
        <v>1156.8</v>
      </c>
      <c r="J222" s="1329" t="s">
        <v>4456</v>
      </c>
      <c r="K222" s="1329" t="s">
        <v>15</v>
      </c>
      <c r="L222" s="1333" t="s">
        <v>17</v>
      </c>
    </row>
    <row r="223" spans="1:21" ht="72.5" x14ac:dyDescent="0.35">
      <c r="A223" s="1335">
        <v>43737</v>
      </c>
      <c r="B223" s="1329" t="s">
        <v>911</v>
      </c>
      <c r="C223" s="1329" t="s">
        <v>4482</v>
      </c>
      <c r="D223" s="1330">
        <v>43738</v>
      </c>
      <c r="E223" s="1331" t="s">
        <v>4481</v>
      </c>
      <c r="F223" s="1334">
        <v>0.375</v>
      </c>
      <c r="G223" s="1334">
        <v>0.41666666666666669</v>
      </c>
      <c r="H223" s="1334">
        <v>0.41666666666666669</v>
      </c>
      <c r="I223" s="1332">
        <v>0</v>
      </c>
      <c r="J223" s="1329" t="s">
        <v>4285</v>
      </c>
      <c r="K223" s="1329" t="s">
        <v>15</v>
      </c>
      <c r="L223" s="1333" t="s">
        <v>17</v>
      </c>
    </row>
    <row r="224" spans="1:21" ht="72.5" x14ac:dyDescent="0.35">
      <c r="A224" s="1335">
        <v>43737</v>
      </c>
      <c r="B224" s="1329" t="s">
        <v>4483</v>
      </c>
      <c r="C224" s="1329" t="s">
        <v>4485</v>
      </c>
      <c r="D224" s="1330">
        <v>43738</v>
      </c>
      <c r="E224" s="1331" t="s">
        <v>4484</v>
      </c>
      <c r="F224" s="1334">
        <v>0.41666666666666669</v>
      </c>
      <c r="G224" s="1334">
        <v>0.54166666666666663</v>
      </c>
      <c r="H224" s="1334">
        <v>0.54166666666666663</v>
      </c>
      <c r="I224" s="1332">
        <v>0</v>
      </c>
      <c r="J224" s="1329" t="s">
        <v>4285</v>
      </c>
      <c r="K224" s="1329" t="s">
        <v>15</v>
      </c>
      <c r="L224" s="1333" t="s">
        <v>17</v>
      </c>
    </row>
    <row r="225" spans="1:12" ht="58" x14ac:dyDescent="0.35">
      <c r="A225" s="1397">
        <v>43737</v>
      </c>
      <c r="B225" s="1324" t="s">
        <v>25</v>
      </c>
      <c r="C225" s="1324" t="s">
        <v>4477</v>
      </c>
      <c r="D225" s="1398">
        <v>43739</v>
      </c>
      <c r="E225" s="1327" t="s">
        <v>4478</v>
      </c>
      <c r="F225" s="1325">
        <v>0.45833333333333331</v>
      </c>
      <c r="G225" s="1325">
        <v>0.54166666666666663</v>
      </c>
      <c r="H225" s="1325">
        <v>0.54166666666666663</v>
      </c>
      <c r="I225" s="1326">
        <v>0</v>
      </c>
      <c r="J225" s="1324" t="s">
        <v>16</v>
      </c>
      <c r="K225" s="5" t="s">
        <v>119</v>
      </c>
      <c r="L225" s="1328" t="s">
        <v>17</v>
      </c>
    </row>
    <row r="226" spans="1:12" x14ac:dyDescent="0.35">
      <c r="A226" s="1335">
        <v>43737</v>
      </c>
      <c r="B226" s="1329" t="s">
        <v>4483</v>
      </c>
      <c r="C226" s="1329" t="s">
        <v>4486</v>
      </c>
      <c r="D226" s="1330">
        <v>43739</v>
      </c>
      <c r="E226" s="1331" t="s">
        <v>576</v>
      </c>
      <c r="F226" s="1334">
        <v>0.45833333333333331</v>
      </c>
      <c r="G226" s="1334">
        <v>0.58333333333333337</v>
      </c>
      <c r="H226" s="1334">
        <v>0.58333333333333337</v>
      </c>
      <c r="I226" s="1332">
        <v>0</v>
      </c>
      <c r="J226" s="1329" t="s">
        <v>4285</v>
      </c>
      <c r="K226" s="826" t="s">
        <v>15</v>
      </c>
      <c r="L226" s="1333" t="s">
        <v>17</v>
      </c>
    </row>
    <row r="227" spans="1:12" ht="174" x14ac:dyDescent="0.35">
      <c r="A227" s="1335">
        <v>43737</v>
      </c>
      <c r="B227" s="1329" t="s">
        <v>262</v>
      </c>
      <c r="C227" s="1329" t="s">
        <v>4475</v>
      </c>
      <c r="D227" s="1330">
        <v>43740</v>
      </c>
      <c r="E227" s="1331" t="s">
        <v>576</v>
      </c>
      <c r="F227" s="1329" t="s">
        <v>15</v>
      </c>
      <c r="G227" s="1334">
        <v>0.45833333333333331</v>
      </c>
      <c r="H227" s="1334">
        <v>0.45833333333333331</v>
      </c>
      <c r="I227" s="1332">
        <f>16.5*65+64*3*4.76</f>
        <v>1986.42</v>
      </c>
      <c r="J227" s="1329" t="s">
        <v>4472</v>
      </c>
      <c r="K227" s="1329" t="s">
        <v>15</v>
      </c>
      <c r="L227" s="1333" t="s">
        <v>17</v>
      </c>
    </row>
    <row r="228" spans="1:12" ht="145" x14ac:dyDescent="0.35">
      <c r="A228" s="1335">
        <v>43737</v>
      </c>
      <c r="B228" s="1329" t="s">
        <v>262</v>
      </c>
      <c r="C228" s="1329" t="s">
        <v>4476</v>
      </c>
      <c r="D228" s="1330">
        <v>43741</v>
      </c>
      <c r="E228" s="1331" t="s">
        <v>576</v>
      </c>
      <c r="F228" s="1329" t="s">
        <v>15</v>
      </c>
      <c r="G228" s="1334">
        <v>0.45833333333333331</v>
      </c>
      <c r="H228" s="1334">
        <v>0.45833333333333331</v>
      </c>
      <c r="I228" s="1332">
        <f>64*3*4.76</f>
        <v>913.92</v>
      </c>
      <c r="J228" s="1329" t="s">
        <v>4473</v>
      </c>
      <c r="K228" s="1329" t="s">
        <v>15</v>
      </c>
      <c r="L228" s="1333" t="s">
        <v>17</v>
      </c>
    </row>
    <row r="229" spans="1:12" ht="72.5" x14ac:dyDescent="0.35">
      <c r="A229" s="1335">
        <v>43738</v>
      </c>
      <c r="B229" s="1329" t="s">
        <v>4494</v>
      </c>
      <c r="C229" s="1329" t="s">
        <v>4495</v>
      </c>
      <c r="D229" s="1330">
        <v>43745</v>
      </c>
      <c r="E229" s="1331" t="s">
        <v>4496</v>
      </c>
      <c r="F229" s="1329"/>
      <c r="G229" s="1334">
        <v>0.45833333333333331</v>
      </c>
      <c r="H229" s="1334">
        <v>0.47916666666666669</v>
      </c>
      <c r="I229" s="1332">
        <v>240</v>
      </c>
      <c r="J229" s="1329" t="s">
        <v>545</v>
      </c>
      <c r="K229" s="1329"/>
      <c r="L229" s="1333" t="s">
        <v>22</v>
      </c>
    </row>
    <row r="230" spans="1:12" ht="29" x14ac:dyDescent="0.35">
      <c r="A230" s="1335">
        <v>43738</v>
      </c>
      <c r="B230" s="1336" t="s">
        <v>4497</v>
      </c>
      <c r="C230" s="1336" t="s">
        <v>4498</v>
      </c>
      <c r="D230" s="1347">
        <v>43757</v>
      </c>
      <c r="E230" s="1336"/>
      <c r="F230" s="1336"/>
      <c r="G230" s="1336"/>
      <c r="H230" s="1336"/>
      <c r="I230" s="1332"/>
      <c r="J230" s="1336"/>
      <c r="K230" s="1336"/>
      <c r="L230" s="1348" t="s">
        <v>22</v>
      </c>
    </row>
  </sheetData>
  <conditionalFormatting sqref="B1:L1">
    <cfRule type="cellIs" dxfId="1383" priority="1069" operator="equal">
      <formula>TODAY()</formula>
    </cfRule>
    <cfRule type="cellIs" dxfId="1382" priority="1070" operator="equal">
      <formula>TODAY()</formula>
    </cfRule>
  </conditionalFormatting>
  <conditionalFormatting sqref="Q8">
    <cfRule type="cellIs" dxfId="1381" priority="495" operator="equal">
      <formula>TODAY()</formula>
    </cfRule>
    <cfRule type="cellIs" dxfId="1380" priority="496" operator="equal">
      <formula>TODAY()</formula>
    </cfRule>
  </conditionalFormatting>
  <conditionalFormatting sqref="B3">
    <cfRule type="cellIs" dxfId="1379" priority="485" operator="equal">
      <formula>TODAY()</formula>
    </cfRule>
    <cfRule type="cellIs" dxfId="1378" priority="486" operator="equal">
      <formula>TODAY()</formula>
    </cfRule>
  </conditionalFormatting>
  <conditionalFormatting sqref="K3">
    <cfRule type="cellIs" dxfId="1377" priority="471" operator="equal">
      <formula>TODAY()</formula>
    </cfRule>
    <cfRule type="cellIs" dxfId="1376" priority="472" operator="equal">
      <formula>TODAY()</formula>
    </cfRule>
  </conditionalFormatting>
  <conditionalFormatting sqref="J3">
    <cfRule type="cellIs" dxfId="1375" priority="473" operator="equal">
      <formula>TODAY()</formula>
    </cfRule>
    <cfRule type="cellIs" dxfId="1374" priority="474" operator="equal">
      <formula>TODAY()</formula>
    </cfRule>
  </conditionalFormatting>
  <conditionalFormatting sqref="C3">
    <cfRule type="cellIs" dxfId="1373" priority="483" operator="equal">
      <formula>TODAY()</formula>
    </cfRule>
    <cfRule type="cellIs" dxfId="1372" priority="484" operator="equal">
      <formula>TODAY()</formula>
    </cfRule>
  </conditionalFormatting>
  <conditionalFormatting sqref="E3">
    <cfRule type="cellIs" dxfId="1371" priority="481" operator="equal">
      <formula>TODAY()</formula>
    </cfRule>
    <cfRule type="cellIs" dxfId="1370" priority="482" operator="equal">
      <formula>TODAY()</formula>
    </cfRule>
  </conditionalFormatting>
  <conditionalFormatting sqref="F3">
    <cfRule type="cellIs" dxfId="1369" priority="479" operator="equal">
      <formula>TODAY()</formula>
    </cfRule>
    <cfRule type="cellIs" dxfId="1368" priority="480" operator="equal">
      <formula>TODAY()</formula>
    </cfRule>
  </conditionalFormatting>
  <conditionalFormatting sqref="G3:H3">
    <cfRule type="cellIs" dxfId="1367" priority="477" operator="equal">
      <formula>TODAY()</formula>
    </cfRule>
    <cfRule type="cellIs" dxfId="1366" priority="478" operator="equal">
      <formula>TODAY()</formula>
    </cfRule>
  </conditionalFormatting>
  <conditionalFormatting sqref="I3">
    <cfRule type="cellIs" dxfId="1365" priority="475" operator="equal">
      <formula>TODAY()</formula>
    </cfRule>
    <cfRule type="cellIs" dxfId="1364" priority="476" operator="equal">
      <formula>TODAY()</formula>
    </cfRule>
  </conditionalFormatting>
  <conditionalFormatting sqref="L3">
    <cfRule type="cellIs" dxfId="1363" priority="469" operator="equal">
      <formula>TODAY()</formula>
    </cfRule>
    <cfRule type="cellIs" dxfId="1362" priority="470" operator="equal">
      <formula>TODAY()</formula>
    </cfRule>
  </conditionalFormatting>
  <conditionalFormatting sqref="B4">
    <cfRule type="cellIs" dxfId="1361" priority="467" operator="equal">
      <formula>TODAY()</formula>
    </cfRule>
    <cfRule type="cellIs" dxfId="1360" priority="468" operator="equal">
      <formula>TODAY()</formula>
    </cfRule>
  </conditionalFormatting>
  <conditionalFormatting sqref="C4">
    <cfRule type="cellIs" dxfId="1359" priority="465" operator="equal">
      <formula>TODAY()</formula>
    </cfRule>
    <cfRule type="cellIs" dxfId="1358" priority="466" operator="equal">
      <formula>TODAY()</formula>
    </cfRule>
  </conditionalFormatting>
  <conditionalFormatting sqref="K4">
    <cfRule type="cellIs" dxfId="1357" priority="463" operator="equal">
      <formula>TODAY()</formula>
    </cfRule>
    <cfRule type="cellIs" dxfId="1356" priority="464" operator="equal">
      <formula>TODAY()</formula>
    </cfRule>
  </conditionalFormatting>
  <conditionalFormatting sqref="B8">
    <cfRule type="cellIs" dxfId="1355" priority="461" operator="equal">
      <formula>TODAY()</formula>
    </cfRule>
    <cfRule type="cellIs" dxfId="1354" priority="462" operator="equal">
      <formula>TODAY()</formula>
    </cfRule>
  </conditionalFormatting>
  <conditionalFormatting sqref="K8">
    <cfRule type="cellIs" dxfId="1353" priority="447" operator="equal">
      <formula>TODAY()</formula>
    </cfRule>
    <cfRule type="cellIs" dxfId="1352" priority="448" operator="equal">
      <formula>TODAY()</formula>
    </cfRule>
  </conditionalFormatting>
  <conditionalFormatting sqref="J8">
    <cfRule type="cellIs" dxfId="1351" priority="449" operator="equal">
      <formula>TODAY()</formula>
    </cfRule>
    <cfRule type="cellIs" dxfId="1350" priority="450" operator="equal">
      <formula>TODAY()</formula>
    </cfRule>
  </conditionalFormatting>
  <conditionalFormatting sqref="C8">
    <cfRule type="cellIs" dxfId="1349" priority="459" operator="equal">
      <formula>TODAY()</formula>
    </cfRule>
    <cfRule type="cellIs" dxfId="1348" priority="460" operator="equal">
      <formula>TODAY()</formula>
    </cfRule>
  </conditionalFormatting>
  <conditionalFormatting sqref="E8">
    <cfRule type="cellIs" dxfId="1347" priority="457" operator="equal">
      <formula>TODAY()</formula>
    </cfRule>
    <cfRule type="cellIs" dxfId="1346" priority="458" operator="equal">
      <formula>TODAY()</formula>
    </cfRule>
  </conditionalFormatting>
  <conditionalFormatting sqref="F8">
    <cfRule type="cellIs" dxfId="1345" priority="455" operator="equal">
      <formula>TODAY()</formula>
    </cfRule>
    <cfRule type="cellIs" dxfId="1344" priority="456" operator="equal">
      <formula>TODAY()</formula>
    </cfRule>
  </conditionalFormatting>
  <conditionalFormatting sqref="G8:H8">
    <cfRule type="cellIs" dxfId="1343" priority="453" operator="equal">
      <formula>TODAY()</formula>
    </cfRule>
    <cfRule type="cellIs" dxfId="1342" priority="454" operator="equal">
      <formula>TODAY()</formula>
    </cfRule>
  </conditionalFormatting>
  <conditionalFormatting sqref="I8">
    <cfRule type="cellIs" dxfId="1341" priority="451" operator="equal">
      <formula>TODAY()</formula>
    </cfRule>
    <cfRule type="cellIs" dxfId="1340" priority="452" operator="equal">
      <formula>TODAY()</formula>
    </cfRule>
  </conditionalFormatting>
  <conditionalFormatting sqref="L8">
    <cfRule type="cellIs" dxfId="1339" priority="445" operator="equal">
      <formula>TODAY()</formula>
    </cfRule>
    <cfRule type="cellIs" dxfId="1338" priority="446" operator="equal">
      <formula>TODAY()</formula>
    </cfRule>
  </conditionalFormatting>
  <conditionalFormatting sqref="B21">
    <cfRule type="cellIs" dxfId="1337" priority="443" operator="equal">
      <formula>TODAY()</formula>
    </cfRule>
    <cfRule type="cellIs" dxfId="1336" priority="444" operator="equal">
      <formula>TODAY()</formula>
    </cfRule>
  </conditionalFormatting>
  <conditionalFormatting sqref="K21">
    <cfRule type="cellIs" dxfId="1335" priority="429" operator="equal">
      <formula>TODAY()</formula>
    </cfRule>
    <cfRule type="cellIs" dxfId="1334" priority="430" operator="equal">
      <formula>TODAY()</formula>
    </cfRule>
  </conditionalFormatting>
  <conditionalFormatting sqref="C21">
    <cfRule type="cellIs" dxfId="1333" priority="441" operator="equal">
      <formula>TODAY()</formula>
    </cfRule>
    <cfRule type="cellIs" dxfId="1332" priority="442" operator="equal">
      <formula>TODAY()</formula>
    </cfRule>
  </conditionalFormatting>
  <conditionalFormatting sqref="E21">
    <cfRule type="cellIs" dxfId="1331" priority="439" operator="equal">
      <formula>TODAY()</formula>
    </cfRule>
    <cfRule type="cellIs" dxfId="1330" priority="440" operator="equal">
      <formula>TODAY()</formula>
    </cfRule>
  </conditionalFormatting>
  <conditionalFormatting sqref="F21">
    <cfRule type="cellIs" dxfId="1329" priority="437" operator="equal">
      <formula>TODAY()</formula>
    </cfRule>
    <cfRule type="cellIs" dxfId="1328" priority="438" operator="equal">
      <formula>TODAY()</formula>
    </cfRule>
  </conditionalFormatting>
  <conditionalFormatting sqref="G21:H21">
    <cfRule type="cellIs" dxfId="1327" priority="435" operator="equal">
      <formula>TODAY()</formula>
    </cfRule>
    <cfRule type="cellIs" dxfId="1326" priority="436" operator="equal">
      <formula>TODAY()</formula>
    </cfRule>
  </conditionalFormatting>
  <conditionalFormatting sqref="I21">
    <cfRule type="cellIs" dxfId="1325" priority="433" operator="equal">
      <formula>TODAY()</formula>
    </cfRule>
    <cfRule type="cellIs" dxfId="1324" priority="434" operator="equal">
      <formula>TODAY()</formula>
    </cfRule>
  </conditionalFormatting>
  <conditionalFormatting sqref="L21">
    <cfRule type="cellIs" dxfId="1323" priority="427" operator="equal">
      <formula>TODAY()</formula>
    </cfRule>
    <cfRule type="cellIs" dxfId="1322" priority="428" operator="equal">
      <formula>TODAY()</formula>
    </cfRule>
  </conditionalFormatting>
  <conditionalFormatting sqref="L35">
    <cfRule type="cellIs" dxfId="1321" priority="373" operator="equal">
      <formula>TODAY()</formula>
    </cfRule>
    <cfRule type="cellIs" dxfId="1320" priority="374" operator="equal">
      <formula>TODAY()</formula>
    </cfRule>
  </conditionalFormatting>
  <conditionalFormatting sqref="B27:B30">
    <cfRule type="cellIs" dxfId="1319" priority="425" operator="equal">
      <formula>TODAY()</formula>
    </cfRule>
    <cfRule type="cellIs" dxfId="1318" priority="426" operator="equal">
      <formula>TODAY()</formula>
    </cfRule>
  </conditionalFormatting>
  <conditionalFormatting sqref="K27:K30">
    <cfRule type="cellIs" dxfId="1317" priority="411" operator="equal">
      <formula>TODAY()</formula>
    </cfRule>
    <cfRule type="cellIs" dxfId="1316" priority="412" operator="equal">
      <formula>TODAY()</formula>
    </cfRule>
  </conditionalFormatting>
  <conditionalFormatting sqref="J27:J30">
    <cfRule type="cellIs" dxfId="1315" priority="413" operator="equal">
      <formula>TODAY()</formula>
    </cfRule>
    <cfRule type="cellIs" dxfId="1314" priority="414" operator="equal">
      <formula>TODAY()</formula>
    </cfRule>
  </conditionalFormatting>
  <conditionalFormatting sqref="C27:C30">
    <cfRule type="cellIs" dxfId="1313" priority="423" operator="equal">
      <formula>TODAY()</formula>
    </cfRule>
    <cfRule type="cellIs" dxfId="1312" priority="424" operator="equal">
      <formula>TODAY()</formula>
    </cfRule>
  </conditionalFormatting>
  <conditionalFormatting sqref="E27:E30">
    <cfRule type="cellIs" dxfId="1311" priority="421" operator="equal">
      <formula>TODAY()</formula>
    </cfRule>
    <cfRule type="cellIs" dxfId="1310" priority="422" operator="equal">
      <formula>TODAY()</formula>
    </cfRule>
  </conditionalFormatting>
  <conditionalFormatting sqref="F27:F30">
    <cfRule type="cellIs" dxfId="1309" priority="419" operator="equal">
      <formula>TODAY()</formula>
    </cfRule>
    <cfRule type="cellIs" dxfId="1308" priority="420" operator="equal">
      <formula>TODAY()</formula>
    </cfRule>
  </conditionalFormatting>
  <conditionalFormatting sqref="G27:H30">
    <cfRule type="cellIs" dxfId="1307" priority="417" operator="equal">
      <formula>TODAY()</formula>
    </cfRule>
    <cfRule type="cellIs" dxfId="1306" priority="418" operator="equal">
      <formula>TODAY()</formula>
    </cfRule>
  </conditionalFormatting>
  <conditionalFormatting sqref="I27:I30">
    <cfRule type="cellIs" dxfId="1305" priority="415" operator="equal">
      <formula>TODAY()</formula>
    </cfRule>
    <cfRule type="cellIs" dxfId="1304" priority="416" operator="equal">
      <formula>TODAY()</formula>
    </cfRule>
  </conditionalFormatting>
  <conditionalFormatting sqref="L27:L30">
    <cfRule type="cellIs" dxfId="1303" priority="409" operator="equal">
      <formula>TODAY()</formula>
    </cfRule>
    <cfRule type="cellIs" dxfId="1302" priority="410" operator="equal">
      <formula>TODAY()</formula>
    </cfRule>
  </conditionalFormatting>
  <conditionalFormatting sqref="B33">
    <cfRule type="cellIs" dxfId="1301" priority="407" operator="equal">
      <formula>TODAY()</formula>
    </cfRule>
    <cfRule type="cellIs" dxfId="1300" priority="408" operator="equal">
      <formula>TODAY()</formula>
    </cfRule>
  </conditionalFormatting>
  <conditionalFormatting sqref="K33">
    <cfRule type="cellIs" dxfId="1299" priority="393" operator="equal">
      <formula>TODAY()</formula>
    </cfRule>
    <cfRule type="cellIs" dxfId="1298" priority="394" operator="equal">
      <formula>TODAY()</formula>
    </cfRule>
  </conditionalFormatting>
  <conditionalFormatting sqref="J33">
    <cfRule type="cellIs" dxfId="1297" priority="395" operator="equal">
      <formula>TODAY()</formula>
    </cfRule>
    <cfRule type="cellIs" dxfId="1296" priority="396" operator="equal">
      <formula>TODAY()</formula>
    </cfRule>
  </conditionalFormatting>
  <conditionalFormatting sqref="C33">
    <cfRule type="cellIs" dxfId="1295" priority="405" operator="equal">
      <formula>TODAY()</formula>
    </cfRule>
    <cfRule type="cellIs" dxfId="1294" priority="406" operator="equal">
      <formula>TODAY()</formula>
    </cfRule>
  </conditionalFormatting>
  <conditionalFormatting sqref="E33">
    <cfRule type="cellIs" dxfId="1293" priority="403" operator="equal">
      <formula>TODAY()</formula>
    </cfRule>
    <cfRule type="cellIs" dxfId="1292" priority="404" operator="equal">
      <formula>TODAY()</formula>
    </cfRule>
  </conditionalFormatting>
  <conditionalFormatting sqref="F33">
    <cfRule type="cellIs" dxfId="1291" priority="401" operator="equal">
      <formula>TODAY()</formula>
    </cfRule>
    <cfRule type="cellIs" dxfId="1290" priority="402" operator="equal">
      <formula>TODAY()</formula>
    </cfRule>
  </conditionalFormatting>
  <conditionalFormatting sqref="G33:H33">
    <cfRule type="cellIs" dxfId="1289" priority="399" operator="equal">
      <formula>TODAY()</formula>
    </cfRule>
    <cfRule type="cellIs" dxfId="1288" priority="400" operator="equal">
      <formula>TODAY()</formula>
    </cfRule>
  </conditionalFormatting>
  <conditionalFormatting sqref="I33">
    <cfRule type="cellIs" dxfId="1287" priority="397" operator="equal">
      <formula>TODAY()</formula>
    </cfRule>
    <cfRule type="cellIs" dxfId="1286" priority="398" operator="equal">
      <formula>TODAY()</formula>
    </cfRule>
  </conditionalFormatting>
  <conditionalFormatting sqref="L33">
    <cfRule type="cellIs" dxfId="1285" priority="391" operator="equal">
      <formula>TODAY()</formula>
    </cfRule>
    <cfRule type="cellIs" dxfId="1284" priority="392" operator="equal">
      <formula>TODAY()</formula>
    </cfRule>
  </conditionalFormatting>
  <conditionalFormatting sqref="B35">
    <cfRule type="cellIs" dxfId="1283" priority="389" operator="equal">
      <formula>TODAY()</formula>
    </cfRule>
    <cfRule type="cellIs" dxfId="1282" priority="390" operator="equal">
      <formula>TODAY()</formula>
    </cfRule>
  </conditionalFormatting>
  <conditionalFormatting sqref="K35">
    <cfRule type="cellIs" dxfId="1281" priority="375" operator="equal">
      <formula>TODAY()</formula>
    </cfRule>
    <cfRule type="cellIs" dxfId="1280" priority="376" operator="equal">
      <formula>TODAY()</formula>
    </cfRule>
  </conditionalFormatting>
  <conditionalFormatting sqref="J35">
    <cfRule type="cellIs" dxfId="1279" priority="377" operator="equal">
      <formula>TODAY()</formula>
    </cfRule>
    <cfRule type="cellIs" dxfId="1278" priority="378" operator="equal">
      <formula>TODAY()</formula>
    </cfRule>
  </conditionalFormatting>
  <conditionalFormatting sqref="C35">
    <cfRule type="cellIs" dxfId="1277" priority="387" operator="equal">
      <formula>TODAY()</formula>
    </cfRule>
    <cfRule type="cellIs" dxfId="1276" priority="388" operator="equal">
      <formula>TODAY()</formula>
    </cfRule>
  </conditionalFormatting>
  <conditionalFormatting sqref="E35">
    <cfRule type="cellIs" dxfId="1275" priority="385" operator="equal">
      <formula>TODAY()</formula>
    </cfRule>
    <cfRule type="cellIs" dxfId="1274" priority="386" operator="equal">
      <formula>TODAY()</formula>
    </cfRule>
  </conditionalFormatting>
  <conditionalFormatting sqref="F35">
    <cfRule type="cellIs" dxfId="1273" priority="383" operator="equal">
      <formula>TODAY()</formula>
    </cfRule>
    <cfRule type="cellIs" dxfId="1272" priority="384" operator="equal">
      <formula>TODAY()</formula>
    </cfRule>
  </conditionalFormatting>
  <conditionalFormatting sqref="G35:H35">
    <cfRule type="cellIs" dxfId="1271" priority="381" operator="equal">
      <formula>TODAY()</formula>
    </cfRule>
    <cfRule type="cellIs" dxfId="1270" priority="382" operator="equal">
      <formula>TODAY()</formula>
    </cfRule>
  </conditionalFormatting>
  <conditionalFormatting sqref="I35">
    <cfRule type="cellIs" dxfId="1269" priority="379" operator="equal">
      <formula>TODAY()</formula>
    </cfRule>
    <cfRule type="cellIs" dxfId="1268" priority="380" operator="equal">
      <formula>TODAY()</formula>
    </cfRule>
  </conditionalFormatting>
  <conditionalFormatting sqref="L45">
    <cfRule type="cellIs" dxfId="1267" priority="355" operator="equal">
      <formula>TODAY()</formula>
    </cfRule>
    <cfRule type="cellIs" dxfId="1266" priority="356" operator="equal">
      <formula>TODAY()</formula>
    </cfRule>
  </conditionalFormatting>
  <conditionalFormatting sqref="B45">
    <cfRule type="cellIs" dxfId="1265" priority="371" operator="equal">
      <formula>TODAY()</formula>
    </cfRule>
    <cfRule type="cellIs" dxfId="1264" priority="372" operator="equal">
      <formula>TODAY()</formula>
    </cfRule>
  </conditionalFormatting>
  <conditionalFormatting sqref="J45">
    <cfRule type="cellIs" dxfId="1263" priority="359" operator="equal">
      <formula>TODAY()</formula>
    </cfRule>
    <cfRule type="cellIs" dxfId="1262" priority="360" operator="equal">
      <formula>TODAY()</formula>
    </cfRule>
  </conditionalFormatting>
  <conditionalFormatting sqref="C45">
    <cfRule type="cellIs" dxfId="1261" priority="369" operator="equal">
      <formula>TODAY()</formula>
    </cfRule>
    <cfRule type="cellIs" dxfId="1260" priority="370" operator="equal">
      <formula>TODAY()</formula>
    </cfRule>
  </conditionalFormatting>
  <conditionalFormatting sqref="E45">
    <cfRule type="cellIs" dxfId="1259" priority="367" operator="equal">
      <formula>TODAY()</formula>
    </cfRule>
    <cfRule type="cellIs" dxfId="1258" priority="368" operator="equal">
      <formula>TODAY()</formula>
    </cfRule>
  </conditionalFormatting>
  <conditionalFormatting sqref="F45">
    <cfRule type="cellIs" dxfId="1257" priority="365" operator="equal">
      <formula>TODAY()</formula>
    </cfRule>
    <cfRule type="cellIs" dxfId="1256" priority="366" operator="equal">
      <formula>TODAY()</formula>
    </cfRule>
  </conditionalFormatting>
  <conditionalFormatting sqref="G45:H45">
    <cfRule type="cellIs" dxfId="1255" priority="363" operator="equal">
      <formula>TODAY()</formula>
    </cfRule>
    <cfRule type="cellIs" dxfId="1254" priority="364" operator="equal">
      <formula>TODAY()</formula>
    </cfRule>
  </conditionalFormatting>
  <conditionalFormatting sqref="I45">
    <cfRule type="cellIs" dxfId="1253" priority="361" operator="equal">
      <formula>TODAY()</formula>
    </cfRule>
    <cfRule type="cellIs" dxfId="1252" priority="362" operator="equal">
      <formula>TODAY()</formula>
    </cfRule>
  </conditionalFormatting>
  <conditionalFormatting sqref="B56">
    <cfRule type="cellIs" dxfId="1251" priority="353" operator="equal">
      <formula>TODAY()</formula>
    </cfRule>
    <cfRule type="cellIs" dxfId="1250" priority="354" operator="equal">
      <formula>TODAY()</formula>
    </cfRule>
  </conditionalFormatting>
  <conditionalFormatting sqref="J56">
    <cfRule type="cellIs" dxfId="1249" priority="341" operator="equal">
      <formula>TODAY()</formula>
    </cfRule>
    <cfRule type="cellIs" dxfId="1248" priority="342" operator="equal">
      <formula>TODAY()</formula>
    </cfRule>
  </conditionalFormatting>
  <conditionalFormatting sqref="C56">
    <cfRule type="cellIs" dxfId="1247" priority="351" operator="equal">
      <formula>TODAY()</formula>
    </cfRule>
    <cfRule type="cellIs" dxfId="1246" priority="352" operator="equal">
      <formula>TODAY()</formula>
    </cfRule>
  </conditionalFormatting>
  <conditionalFormatting sqref="E56">
    <cfRule type="cellIs" dxfId="1245" priority="349" operator="equal">
      <formula>TODAY()</formula>
    </cfRule>
    <cfRule type="cellIs" dxfId="1244" priority="350" operator="equal">
      <formula>TODAY()</formula>
    </cfRule>
  </conditionalFormatting>
  <conditionalFormatting sqref="F56">
    <cfRule type="cellIs" dxfId="1243" priority="347" operator="equal">
      <formula>TODAY()</formula>
    </cfRule>
    <cfRule type="cellIs" dxfId="1242" priority="348" operator="equal">
      <formula>TODAY()</formula>
    </cfRule>
  </conditionalFormatting>
  <conditionalFormatting sqref="G56:H56">
    <cfRule type="cellIs" dxfId="1241" priority="345" operator="equal">
      <formula>TODAY()</formula>
    </cfRule>
    <cfRule type="cellIs" dxfId="1240" priority="346" operator="equal">
      <formula>TODAY()</formula>
    </cfRule>
  </conditionalFormatting>
  <conditionalFormatting sqref="I56">
    <cfRule type="cellIs" dxfId="1239" priority="343" operator="equal">
      <formula>TODAY()</formula>
    </cfRule>
    <cfRule type="cellIs" dxfId="1238" priority="344" operator="equal">
      <formula>TODAY()</formula>
    </cfRule>
  </conditionalFormatting>
  <conditionalFormatting sqref="L56">
    <cfRule type="cellIs" dxfId="1237" priority="337" operator="equal">
      <formula>TODAY()</formula>
    </cfRule>
    <cfRule type="cellIs" dxfId="1236" priority="338" operator="equal">
      <formula>TODAY()</formula>
    </cfRule>
  </conditionalFormatting>
  <conditionalFormatting sqref="B59">
    <cfRule type="cellIs" dxfId="1235" priority="335" operator="equal">
      <formula>TODAY()</formula>
    </cfRule>
    <cfRule type="cellIs" dxfId="1234" priority="336" operator="equal">
      <formula>TODAY()</formula>
    </cfRule>
  </conditionalFormatting>
  <conditionalFormatting sqref="K59">
    <cfRule type="cellIs" dxfId="1233" priority="321" operator="equal">
      <formula>TODAY()</formula>
    </cfRule>
    <cfRule type="cellIs" dxfId="1232" priority="322" operator="equal">
      <formula>TODAY()</formula>
    </cfRule>
  </conditionalFormatting>
  <conditionalFormatting sqref="J59">
    <cfRule type="cellIs" dxfId="1231" priority="323" operator="equal">
      <formula>TODAY()</formula>
    </cfRule>
    <cfRule type="cellIs" dxfId="1230" priority="324" operator="equal">
      <formula>TODAY()</formula>
    </cfRule>
  </conditionalFormatting>
  <conditionalFormatting sqref="C59">
    <cfRule type="cellIs" dxfId="1229" priority="333" operator="equal">
      <formula>TODAY()</formula>
    </cfRule>
    <cfRule type="cellIs" dxfId="1228" priority="334" operator="equal">
      <formula>TODAY()</formula>
    </cfRule>
  </conditionalFormatting>
  <conditionalFormatting sqref="E59">
    <cfRule type="cellIs" dxfId="1227" priority="331" operator="equal">
      <formula>TODAY()</formula>
    </cfRule>
    <cfRule type="cellIs" dxfId="1226" priority="332" operator="equal">
      <formula>TODAY()</formula>
    </cfRule>
  </conditionalFormatting>
  <conditionalFormatting sqref="F59">
    <cfRule type="cellIs" dxfId="1225" priority="329" operator="equal">
      <formula>TODAY()</formula>
    </cfRule>
    <cfRule type="cellIs" dxfId="1224" priority="330" operator="equal">
      <formula>TODAY()</formula>
    </cfRule>
  </conditionalFormatting>
  <conditionalFormatting sqref="G59:H59">
    <cfRule type="cellIs" dxfId="1223" priority="327" operator="equal">
      <formula>TODAY()</formula>
    </cfRule>
    <cfRule type="cellIs" dxfId="1222" priority="328" operator="equal">
      <formula>TODAY()</formula>
    </cfRule>
  </conditionalFormatting>
  <conditionalFormatting sqref="I59">
    <cfRule type="cellIs" dxfId="1221" priority="325" operator="equal">
      <formula>TODAY()</formula>
    </cfRule>
    <cfRule type="cellIs" dxfId="1220" priority="326" operator="equal">
      <formula>TODAY()</formula>
    </cfRule>
  </conditionalFormatting>
  <conditionalFormatting sqref="B63:B64">
    <cfRule type="cellIs" dxfId="1219" priority="317" operator="equal">
      <formula>TODAY()</formula>
    </cfRule>
    <cfRule type="cellIs" dxfId="1218" priority="318" operator="equal">
      <formula>TODAY()</formula>
    </cfRule>
  </conditionalFormatting>
  <conditionalFormatting sqref="K63:K64">
    <cfRule type="cellIs" dxfId="1217" priority="303" operator="equal">
      <formula>TODAY()</formula>
    </cfRule>
    <cfRule type="cellIs" dxfId="1216" priority="304" operator="equal">
      <formula>TODAY()</formula>
    </cfRule>
  </conditionalFormatting>
  <conditionalFormatting sqref="J63:J64">
    <cfRule type="cellIs" dxfId="1215" priority="305" operator="equal">
      <formula>TODAY()</formula>
    </cfRule>
    <cfRule type="cellIs" dxfId="1214" priority="306" operator="equal">
      <formula>TODAY()</formula>
    </cfRule>
  </conditionalFormatting>
  <conditionalFormatting sqref="C63:C64">
    <cfRule type="cellIs" dxfId="1213" priority="315" operator="equal">
      <formula>TODAY()</formula>
    </cfRule>
    <cfRule type="cellIs" dxfId="1212" priority="316" operator="equal">
      <formula>TODAY()</formula>
    </cfRule>
  </conditionalFormatting>
  <conditionalFormatting sqref="E63:E64">
    <cfRule type="cellIs" dxfId="1211" priority="313" operator="equal">
      <formula>TODAY()</formula>
    </cfRule>
    <cfRule type="cellIs" dxfId="1210" priority="314" operator="equal">
      <formula>TODAY()</formula>
    </cfRule>
  </conditionalFormatting>
  <conditionalFormatting sqref="F63:F64">
    <cfRule type="cellIs" dxfId="1209" priority="311" operator="equal">
      <formula>TODAY()</formula>
    </cfRule>
    <cfRule type="cellIs" dxfId="1208" priority="312" operator="equal">
      <formula>TODAY()</formula>
    </cfRule>
  </conditionalFormatting>
  <conditionalFormatting sqref="G63:H64">
    <cfRule type="cellIs" dxfId="1207" priority="309" operator="equal">
      <formula>TODAY()</formula>
    </cfRule>
    <cfRule type="cellIs" dxfId="1206" priority="310" operator="equal">
      <formula>TODAY()</formula>
    </cfRule>
  </conditionalFormatting>
  <conditionalFormatting sqref="I63:I64">
    <cfRule type="cellIs" dxfId="1205" priority="307" operator="equal">
      <formula>TODAY()</formula>
    </cfRule>
    <cfRule type="cellIs" dxfId="1204" priority="308" operator="equal">
      <formula>TODAY()</formula>
    </cfRule>
  </conditionalFormatting>
  <conditionalFormatting sqref="B70">
    <cfRule type="cellIs" dxfId="1203" priority="295" operator="equal">
      <formula>TODAY()</formula>
    </cfRule>
    <cfRule type="cellIs" dxfId="1202" priority="296" operator="equal">
      <formula>TODAY()</formula>
    </cfRule>
  </conditionalFormatting>
  <conditionalFormatting sqref="J70">
    <cfRule type="cellIs" dxfId="1201" priority="283" operator="equal">
      <formula>TODAY()</formula>
    </cfRule>
    <cfRule type="cellIs" dxfId="1200" priority="284" operator="equal">
      <formula>TODAY()</formula>
    </cfRule>
  </conditionalFormatting>
  <conditionalFormatting sqref="C70">
    <cfRule type="cellIs" dxfId="1199" priority="293" operator="equal">
      <formula>TODAY()</formula>
    </cfRule>
    <cfRule type="cellIs" dxfId="1198" priority="294" operator="equal">
      <formula>TODAY()</formula>
    </cfRule>
  </conditionalFormatting>
  <conditionalFormatting sqref="E70">
    <cfRule type="cellIs" dxfId="1197" priority="291" operator="equal">
      <formula>TODAY()</formula>
    </cfRule>
    <cfRule type="cellIs" dxfId="1196" priority="292" operator="equal">
      <formula>TODAY()</formula>
    </cfRule>
  </conditionalFormatting>
  <conditionalFormatting sqref="F70">
    <cfRule type="cellIs" dxfId="1195" priority="289" operator="equal">
      <formula>TODAY()</formula>
    </cfRule>
    <cfRule type="cellIs" dxfId="1194" priority="290" operator="equal">
      <formula>TODAY()</formula>
    </cfRule>
  </conditionalFormatting>
  <conditionalFormatting sqref="G70:H70">
    <cfRule type="cellIs" dxfId="1193" priority="287" operator="equal">
      <formula>TODAY()</formula>
    </cfRule>
    <cfRule type="cellIs" dxfId="1192" priority="288" operator="equal">
      <formula>TODAY()</formula>
    </cfRule>
  </conditionalFormatting>
  <conditionalFormatting sqref="I70">
    <cfRule type="cellIs" dxfId="1191" priority="285" operator="equal">
      <formula>TODAY()</formula>
    </cfRule>
    <cfRule type="cellIs" dxfId="1190" priority="286" operator="equal">
      <formula>TODAY()</formula>
    </cfRule>
  </conditionalFormatting>
  <conditionalFormatting sqref="L70">
    <cfRule type="cellIs" dxfId="1189" priority="279" operator="equal">
      <formula>TODAY()</formula>
    </cfRule>
    <cfRule type="cellIs" dxfId="1188" priority="280" operator="equal">
      <formula>TODAY()</formula>
    </cfRule>
  </conditionalFormatting>
  <conditionalFormatting sqref="B69">
    <cfRule type="cellIs" dxfId="1187" priority="277" operator="equal">
      <formula>TODAY()</formula>
    </cfRule>
    <cfRule type="cellIs" dxfId="1186" priority="278" operator="equal">
      <formula>TODAY()</formula>
    </cfRule>
  </conditionalFormatting>
  <conditionalFormatting sqref="K69">
    <cfRule type="cellIs" dxfId="1185" priority="263" operator="equal">
      <formula>TODAY()</formula>
    </cfRule>
    <cfRule type="cellIs" dxfId="1184" priority="264" operator="equal">
      <formula>TODAY()</formula>
    </cfRule>
  </conditionalFormatting>
  <conditionalFormatting sqref="J69">
    <cfRule type="cellIs" dxfId="1183" priority="265" operator="equal">
      <formula>TODAY()</formula>
    </cfRule>
    <cfRule type="cellIs" dxfId="1182" priority="266" operator="equal">
      <formula>TODAY()</formula>
    </cfRule>
  </conditionalFormatting>
  <conditionalFormatting sqref="C69">
    <cfRule type="cellIs" dxfId="1181" priority="275" operator="equal">
      <formula>TODAY()</formula>
    </cfRule>
    <cfRule type="cellIs" dxfId="1180" priority="276" operator="equal">
      <formula>TODAY()</formula>
    </cfRule>
  </conditionalFormatting>
  <conditionalFormatting sqref="E69">
    <cfRule type="cellIs" dxfId="1179" priority="273" operator="equal">
      <formula>TODAY()</formula>
    </cfRule>
    <cfRule type="cellIs" dxfId="1178" priority="274" operator="equal">
      <formula>TODAY()</formula>
    </cfRule>
  </conditionalFormatting>
  <conditionalFormatting sqref="F69">
    <cfRule type="cellIs" dxfId="1177" priority="271" operator="equal">
      <formula>TODAY()</formula>
    </cfRule>
    <cfRule type="cellIs" dxfId="1176" priority="272" operator="equal">
      <formula>TODAY()</formula>
    </cfRule>
  </conditionalFormatting>
  <conditionalFormatting sqref="G69:H69">
    <cfRule type="cellIs" dxfId="1175" priority="269" operator="equal">
      <formula>TODAY()</formula>
    </cfRule>
    <cfRule type="cellIs" dxfId="1174" priority="270" operator="equal">
      <formula>TODAY()</formula>
    </cfRule>
  </conditionalFormatting>
  <conditionalFormatting sqref="I69">
    <cfRule type="cellIs" dxfId="1173" priority="267" operator="equal">
      <formula>TODAY()</formula>
    </cfRule>
    <cfRule type="cellIs" dxfId="1172" priority="268" operator="equal">
      <formula>TODAY()</formula>
    </cfRule>
  </conditionalFormatting>
  <conditionalFormatting sqref="L69">
    <cfRule type="cellIs" dxfId="1171" priority="261" operator="equal">
      <formula>TODAY()</formula>
    </cfRule>
    <cfRule type="cellIs" dxfId="1170" priority="262" operator="equal">
      <formula>TODAY()</formula>
    </cfRule>
  </conditionalFormatting>
  <conditionalFormatting sqref="B73:B75">
    <cfRule type="cellIs" dxfId="1169" priority="259" operator="equal">
      <formula>TODAY()</formula>
    </cfRule>
    <cfRule type="cellIs" dxfId="1168" priority="260" operator="equal">
      <formula>TODAY()</formula>
    </cfRule>
  </conditionalFormatting>
  <conditionalFormatting sqref="J73:J75">
    <cfRule type="cellIs" dxfId="1167" priority="247" operator="equal">
      <formula>TODAY()</formula>
    </cfRule>
    <cfRule type="cellIs" dxfId="1166" priority="248" operator="equal">
      <formula>TODAY()</formula>
    </cfRule>
  </conditionalFormatting>
  <conditionalFormatting sqref="C73:C75">
    <cfRule type="cellIs" dxfId="1165" priority="257" operator="equal">
      <formula>TODAY()</formula>
    </cfRule>
    <cfRule type="cellIs" dxfId="1164" priority="258" operator="equal">
      <formula>TODAY()</formula>
    </cfRule>
  </conditionalFormatting>
  <conditionalFormatting sqref="E73:E75">
    <cfRule type="cellIs" dxfId="1163" priority="255" operator="equal">
      <formula>TODAY()</formula>
    </cfRule>
    <cfRule type="cellIs" dxfId="1162" priority="256" operator="equal">
      <formula>TODAY()</formula>
    </cfRule>
  </conditionalFormatting>
  <conditionalFormatting sqref="F73:F75">
    <cfRule type="cellIs" dxfId="1161" priority="253" operator="equal">
      <formula>TODAY()</formula>
    </cfRule>
    <cfRule type="cellIs" dxfId="1160" priority="254" operator="equal">
      <formula>TODAY()</formula>
    </cfRule>
  </conditionalFormatting>
  <conditionalFormatting sqref="G73:H75">
    <cfRule type="cellIs" dxfId="1159" priority="251" operator="equal">
      <formula>TODAY()</formula>
    </cfRule>
    <cfRule type="cellIs" dxfId="1158" priority="252" operator="equal">
      <formula>TODAY()</formula>
    </cfRule>
  </conditionalFormatting>
  <conditionalFormatting sqref="I73:I75">
    <cfRule type="cellIs" dxfId="1157" priority="249" operator="equal">
      <formula>TODAY()</formula>
    </cfRule>
    <cfRule type="cellIs" dxfId="1156" priority="250" operator="equal">
      <formula>TODAY()</formula>
    </cfRule>
  </conditionalFormatting>
  <conditionalFormatting sqref="L73:L75">
    <cfRule type="cellIs" dxfId="1155" priority="243" operator="equal">
      <formula>TODAY()</formula>
    </cfRule>
    <cfRule type="cellIs" dxfId="1154" priority="244" operator="equal">
      <formula>TODAY()</formula>
    </cfRule>
  </conditionalFormatting>
  <conditionalFormatting sqref="R2">
    <cfRule type="cellIs" dxfId="1153" priority="241" operator="equal">
      <formula>TODAY()</formula>
    </cfRule>
    <cfRule type="cellIs" dxfId="1152" priority="242" operator="equal">
      <formula>TODAY()</formula>
    </cfRule>
  </conditionalFormatting>
  <conditionalFormatting sqref="AA2">
    <cfRule type="cellIs" dxfId="1151" priority="227" operator="equal">
      <formula>TODAY()</formula>
    </cfRule>
    <cfRule type="cellIs" dxfId="1150" priority="228" operator="equal">
      <formula>TODAY()</formula>
    </cfRule>
  </conditionalFormatting>
  <conditionalFormatting sqref="Z2">
    <cfRule type="cellIs" dxfId="1149" priority="229" operator="equal">
      <formula>TODAY()</formula>
    </cfRule>
    <cfRule type="cellIs" dxfId="1148" priority="230" operator="equal">
      <formula>TODAY()</formula>
    </cfRule>
  </conditionalFormatting>
  <conditionalFormatting sqref="S2">
    <cfRule type="cellIs" dxfId="1147" priority="239" operator="equal">
      <formula>TODAY()</formula>
    </cfRule>
    <cfRule type="cellIs" dxfId="1146" priority="240" operator="equal">
      <formula>TODAY()</formula>
    </cfRule>
  </conditionalFormatting>
  <conditionalFormatting sqref="U2">
    <cfRule type="cellIs" dxfId="1145" priority="237" operator="equal">
      <formula>TODAY()</formula>
    </cfRule>
    <cfRule type="cellIs" dxfId="1144" priority="238" operator="equal">
      <formula>TODAY()</formula>
    </cfRule>
  </conditionalFormatting>
  <conditionalFormatting sqref="V2">
    <cfRule type="cellIs" dxfId="1143" priority="235" operator="equal">
      <formula>TODAY()</formula>
    </cfRule>
    <cfRule type="cellIs" dxfId="1142" priority="236" operator="equal">
      <formula>TODAY()</formula>
    </cfRule>
  </conditionalFormatting>
  <conditionalFormatting sqref="W2:X2">
    <cfRule type="cellIs" dxfId="1141" priority="233" operator="equal">
      <formula>TODAY()</formula>
    </cfRule>
    <cfRule type="cellIs" dxfId="1140" priority="234" operator="equal">
      <formula>TODAY()</formula>
    </cfRule>
  </conditionalFormatting>
  <conditionalFormatting sqref="Y2">
    <cfRule type="cellIs" dxfId="1139" priority="231" operator="equal">
      <formula>TODAY()</formula>
    </cfRule>
    <cfRule type="cellIs" dxfId="1138" priority="232" operator="equal">
      <formula>TODAY()</formula>
    </cfRule>
  </conditionalFormatting>
  <conditionalFormatting sqref="AB2">
    <cfRule type="cellIs" dxfId="1137" priority="225" operator="equal">
      <formula>TODAY()</formula>
    </cfRule>
    <cfRule type="cellIs" dxfId="1136" priority="226" operator="equal">
      <formula>TODAY()</formula>
    </cfRule>
  </conditionalFormatting>
  <conditionalFormatting sqref="R3">
    <cfRule type="cellIs" dxfId="1135" priority="223" operator="equal">
      <formula>TODAY()</formula>
    </cfRule>
    <cfRule type="cellIs" dxfId="1134" priority="224" operator="equal">
      <formula>TODAY()</formula>
    </cfRule>
  </conditionalFormatting>
  <conditionalFormatting sqref="AA3">
    <cfRule type="cellIs" dxfId="1133" priority="209" operator="equal">
      <formula>TODAY()</formula>
    </cfRule>
    <cfRule type="cellIs" dxfId="1132" priority="210" operator="equal">
      <formula>TODAY()</formula>
    </cfRule>
  </conditionalFormatting>
  <conditionalFormatting sqref="Z3">
    <cfRule type="cellIs" dxfId="1131" priority="211" operator="equal">
      <formula>TODAY()</formula>
    </cfRule>
    <cfRule type="cellIs" dxfId="1130" priority="212" operator="equal">
      <formula>TODAY()</formula>
    </cfRule>
  </conditionalFormatting>
  <conditionalFormatting sqref="S3">
    <cfRule type="cellIs" dxfId="1129" priority="221" operator="equal">
      <formula>TODAY()</formula>
    </cfRule>
    <cfRule type="cellIs" dxfId="1128" priority="222" operator="equal">
      <formula>TODAY()</formula>
    </cfRule>
  </conditionalFormatting>
  <conditionalFormatting sqref="U3">
    <cfRule type="cellIs" dxfId="1127" priority="219" operator="equal">
      <formula>TODAY()</formula>
    </cfRule>
    <cfRule type="cellIs" dxfId="1126" priority="220" operator="equal">
      <formula>TODAY()</formula>
    </cfRule>
  </conditionalFormatting>
  <conditionalFormatting sqref="V3">
    <cfRule type="cellIs" dxfId="1125" priority="217" operator="equal">
      <formula>TODAY()</formula>
    </cfRule>
    <cfRule type="cellIs" dxfId="1124" priority="218" operator="equal">
      <formula>TODAY()</formula>
    </cfRule>
  </conditionalFormatting>
  <conditionalFormatting sqref="W3:X3">
    <cfRule type="cellIs" dxfId="1123" priority="215" operator="equal">
      <formula>TODAY()</formula>
    </cfRule>
    <cfRule type="cellIs" dxfId="1122" priority="216" operator="equal">
      <formula>TODAY()</formula>
    </cfRule>
  </conditionalFormatting>
  <conditionalFormatting sqref="Y3">
    <cfRule type="cellIs" dxfId="1121" priority="213" operator="equal">
      <formula>TODAY()</formula>
    </cfRule>
    <cfRule type="cellIs" dxfId="1120" priority="214" operator="equal">
      <formula>TODAY()</formula>
    </cfRule>
  </conditionalFormatting>
  <conditionalFormatting sqref="AB3">
    <cfRule type="cellIs" dxfId="1119" priority="207" operator="equal">
      <formula>TODAY()</formula>
    </cfRule>
    <cfRule type="cellIs" dxfId="1118" priority="208" operator="equal">
      <formula>TODAY()</formula>
    </cfRule>
  </conditionalFormatting>
  <conditionalFormatting sqref="K31">
    <cfRule type="cellIs" dxfId="1117" priority="205" operator="equal">
      <formula>TODAY()</formula>
    </cfRule>
    <cfRule type="cellIs" dxfId="1116" priority="206" operator="equal">
      <formula>TODAY()</formula>
    </cfRule>
  </conditionalFormatting>
  <conditionalFormatting sqref="K32">
    <cfRule type="cellIs" dxfId="1115" priority="203" operator="equal">
      <formula>TODAY()</formula>
    </cfRule>
    <cfRule type="cellIs" dxfId="1114" priority="204" operator="equal">
      <formula>TODAY()</formula>
    </cfRule>
  </conditionalFormatting>
  <conditionalFormatting sqref="K36">
    <cfRule type="cellIs" dxfId="1113" priority="201" operator="equal">
      <formula>TODAY()</formula>
    </cfRule>
    <cfRule type="cellIs" dxfId="1112" priority="202" operator="equal">
      <formula>TODAY()</formula>
    </cfRule>
  </conditionalFormatting>
  <conditionalFormatting sqref="L101">
    <cfRule type="cellIs" dxfId="1111" priority="165" operator="equal">
      <formula>TODAY()</formula>
    </cfRule>
    <cfRule type="cellIs" dxfId="1110" priority="166" operator="equal">
      <formula>TODAY()</formula>
    </cfRule>
  </conditionalFormatting>
  <conditionalFormatting sqref="B98:B99">
    <cfRule type="cellIs" dxfId="1109" priority="199" operator="equal">
      <formula>TODAY()</formula>
    </cfRule>
    <cfRule type="cellIs" dxfId="1108" priority="200" operator="equal">
      <formula>TODAY()</formula>
    </cfRule>
  </conditionalFormatting>
  <conditionalFormatting sqref="K98:K99">
    <cfRule type="cellIs" dxfId="1107" priority="185" operator="equal">
      <formula>TODAY()</formula>
    </cfRule>
    <cfRule type="cellIs" dxfId="1106" priority="186" operator="equal">
      <formula>TODAY()</formula>
    </cfRule>
  </conditionalFormatting>
  <conditionalFormatting sqref="J98">
    <cfRule type="cellIs" dxfId="1105" priority="187" operator="equal">
      <formula>TODAY()</formula>
    </cfRule>
    <cfRule type="cellIs" dxfId="1104" priority="188" operator="equal">
      <formula>TODAY()</formula>
    </cfRule>
  </conditionalFormatting>
  <conditionalFormatting sqref="C98:C99">
    <cfRule type="cellIs" dxfId="1103" priority="197" operator="equal">
      <formula>TODAY()</formula>
    </cfRule>
    <cfRule type="cellIs" dxfId="1102" priority="198" operator="equal">
      <formula>TODAY()</formula>
    </cfRule>
  </conditionalFormatting>
  <conditionalFormatting sqref="E98">
    <cfRule type="cellIs" dxfId="1101" priority="195" operator="equal">
      <formula>TODAY()</formula>
    </cfRule>
    <cfRule type="cellIs" dxfId="1100" priority="196" operator="equal">
      <formula>TODAY()</formula>
    </cfRule>
  </conditionalFormatting>
  <conditionalFormatting sqref="F98:F99">
    <cfRule type="cellIs" dxfId="1099" priority="193" operator="equal">
      <formula>TODAY()</formula>
    </cfRule>
    <cfRule type="cellIs" dxfId="1098" priority="194" operator="equal">
      <formula>TODAY()</formula>
    </cfRule>
  </conditionalFormatting>
  <conditionalFormatting sqref="G98:H99">
    <cfRule type="cellIs" dxfId="1097" priority="191" operator="equal">
      <formula>TODAY()</formula>
    </cfRule>
    <cfRule type="cellIs" dxfId="1096" priority="192" operator="equal">
      <formula>TODAY()</formula>
    </cfRule>
  </conditionalFormatting>
  <conditionalFormatting sqref="I98:I99">
    <cfRule type="cellIs" dxfId="1095" priority="189" operator="equal">
      <formula>TODAY()</formula>
    </cfRule>
    <cfRule type="cellIs" dxfId="1094" priority="190" operator="equal">
      <formula>TODAY()</formula>
    </cfRule>
  </conditionalFormatting>
  <conditionalFormatting sqref="L98:L99">
    <cfRule type="cellIs" dxfId="1093" priority="183" operator="equal">
      <formula>TODAY()</formula>
    </cfRule>
    <cfRule type="cellIs" dxfId="1092" priority="184" operator="equal">
      <formula>TODAY()</formula>
    </cfRule>
  </conditionalFormatting>
  <conditionalFormatting sqref="B101">
    <cfRule type="cellIs" dxfId="1091" priority="181" operator="equal">
      <formula>TODAY()</formula>
    </cfRule>
    <cfRule type="cellIs" dxfId="1090" priority="182" operator="equal">
      <formula>TODAY()</formula>
    </cfRule>
  </conditionalFormatting>
  <conditionalFormatting sqref="K101">
    <cfRule type="cellIs" dxfId="1089" priority="167" operator="equal">
      <formula>TODAY()</formula>
    </cfRule>
    <cfRule type="cellIs" dxfId="1088" priority="168" operator="equal">
      <formula>TODAY()</formula>
    </cfRule>
  </conditionalFormatting>
  <conditionalFormatting sqref="J101">
    <cfRule type="cellIs" dxfId="1087" priority="169" operator="equal">
      <formula>TODAY()</formula>
    </cfRule>
    <cfRule type="cellIs" dxfId="1086" priority="170" operator="equal">
      <formula>TODAY()</formula>
    </cfRule>
  </conditionalFormatting>
  <conditionalFormatting sqref="C101">
    <cfRule type="cellIs" dxfId="1085" priority="179" operator="equal">
      <formula>TODAY()</formula>
    </cfRule>
    <cfRule type="cellIs" dxfId="1084" priority="180" operator="equal">
      <formula>TODAY()</formula>
    </cfRule>
  </conditionalFormatting>
  <conditionalFormatting sqref="E101">
    <cfRule type="cellIs" dxfId="1083" priority="177" operator="equal">
      <formula>TODAY()</formula>
    </cfRule>
    <cfRule type="cellIs" dxfId="1082" priority="178" operator="equal">
      <formula>TODAY()</formula>
    </cfRule>
  </conditionalFormatting>
  <conditionalFormatting sqref="F101">
    <cfRule type="cellIs" dxfId="1081" priority="175" operator="equal">
      <formula>TODAY()</formula>
    </cfRule>
    <cfRule type="cellIs" dxfId="1080" priority="176" operator="equal">
      <formula>TODAY()</formula>
    </cfRule>
  </conditionalFormatting>
  <conditionalFormatting sqref="G101:H101">
    <cfRule type="cellIs" dxfId="1079" priority="173" operator="equal">
      <formula>TODAY()</formula>
    </cfRule>
    <cfRule type="cellIs" dxfId="1078" priority="174" operator="equal">
      <formula>TODAY()</formula>
    </cfRule>
  </conditionalFormatting>
  <conditionalFormatting sqref="I101">
    <cfRule type="cellIs" dxfId="1077" priority="171" operator="equal">
      <formula>TODAY()</formula>
    </cfRule>
    <cfRule type="cellIs" dxfId="1076" priority="172" operator="equal">
      <formula>TODAY()</formula>
    </cfRule>
  </conditionalFormatting>
  <conditionalFormatting sqref="B104">
    <cfRule type="cellIs" dxfId="1075" priority="163" operator="equal">
      <formula>TODAY()</formula>
    </cfRule>
    <cfRule type="cellIs" dxfId="1074" priority="164" operator="equal">
      <formula>TODAY()</formula>
    </cfRule>
  </conditionalFormatting>
  <conditionalFormatting sqref="C104">
    <cfRule type="cellIs" dxfId="1073" priority="161" operator="equal">
      <formula>TODAY()</formula>
    </cfRule>
    <cfRule type="cellIs" dxfId="1072" priority="162" operator="equal">
      <formula>TODAY()</formula>
    </cfRule>
  </conditionalFormatting>
  <conditionalFormatting sqref="E104">
    <cfRule type="cellIs" dxfId="1071" priority="159" operator="equal">
      <formula>TODAY()</formula>
    </cfRule>
    <cfRule type="cellIs" dxfId="1070" priority="160" operator="equal">
      <formula>TODAY()</formula>
    </cfRule>
  </conditionalFormatting>
  <conditionalFormatting sqref="F104">
    <cfRule type="cellIs" dxfId="1069" priority="157" operator="equal">
      <formula>TODAY()</formula>
    </cfRule>
    <cfRule type="cellIs" dxfId="1068" priority="158" operator="equal">
      <formula>TODAY()</formula>
    </cfRule>
  </conditionalFormatting>
  <conditionalFormatting sqref="G104:H104">
    <cfRule type="cellIs" dxfId="1067" priority="155" operator="equal">
      <formula>TODAY()</formula>
    </cfRule>
    <cfRule type="cellIs" dxfId="1066" priority="156" operator="equal">
      <formula>TODAY()</formula>
    </cfRule>
  </conditionalFormatting>
  <conditionalFormatting sqref="L104">
    <cfRule type="cellIs" dxfId="1065" priority="149" operator="equal">
      <formula>TODAY()</formula>
    </cfRule>
    <cfRule type="cellIs" dxfId="1064" priority="150" operator="equal">
      <formula>TODAY()</formula>
    </cfRule>
  </conditionalFormatting>
  <conditionalFormatting sqref="K104">
    <cfRule type="cellIs" dxfId="1063" priority="151" operator="equal">
      <formula>TODAY()</formula>
    </cfRule>
    <cfRule type="cellIs" dxfId="1062" priority="152" operator="equal">
      <formula>TODAY()</formula>
    </cfRule>
  </conditionalFormatting>
  <conditionalFormatting sqref="J104">
    <cfRule type="cellIs" dxfId="1061" priority="153" operator="equal">
      <formula>TODAY()</formula>
    </cfRule>
    <cfRule type="cellIs" dxfId="1060" priority="154" operator="equal">
      <formula>TODAY()</formula>
    </cfRule>
  </conditionalFormatting>
  <conditionalFormatting sqref="K58">
    <cfRule type="cellIs" dxfId="1059" priority="139" operator="equal">
      <formula>TODAY()</formula>
    </cfRule>
    <cfRule type="cellIs" dxfId="1058" priority="140" operator="equal">
      <formula>TODAY()</formula>
    </cfRule>
  </conditionalFormatting>
  <conditionalFormatting sqref="J58">
    <cfRule type="cellIs" dxfId="1057" priority="141" operator="equal">
      <formula>TODAY()</formula>
    </cfRule>
    <cfRule type="cellIs" dxfId="1056" priority="142" operator="equal">
      <formula>TODAY()</formula>
    </cfRule>
  </conditionalFormatting>
  <conditionalFormatting sqref="F58">
    <cfRule type="cellIs" dxfId="1055" priority="147" operator="equal">
      <formula>TODAY()</formula>
    </cfRule>
    <cfRule type="cellIs" dxfId="1054" priority="148" operator="equal">
      <formula>TODAY()</formula>
    </cfRule>
  </conditionalFormatting>
  <conditionalFormatting sqref="G58:H58">
    <cfRule type="cellIs" dxfId="1053" priority="145" operator="equal">
      <formula>TODAY()</formula>
    </cfRule>
    <cfRule type="cellIs" dxfId="1052" priority="146" operator="equal">
      <formula>TODAY()</formula>
    </cfRule>
  </conditionalFormatting>
  <conditionalFormatting sqref="I58">
    <cfRule type="cellIs" dxfId="1051" priority="143" operator="equal">
      <formula>TODAY()</formula>
    </cfRule>
    <cfRule type="cellIs" dxfId="1050" priority="144" operator="equal">
      <formula>TODAY()</formula>
    </cfRule>
  </conditionalFormatting>
  <conditionalFormatting sqref="B141">
    <cfRule type="cellIs" dxfId="1049" priority="137" operator="equal">
      <formula>TODAY()</formula>
    </cfRule>
    <cfRule type="cellIs" dxfId="1048" priority="138" operator="equal">
      <formula>TODAY()</formula>
    </cfRule>
  </conditionalFormatting>
  <conditionalFormatting sqref="J141">
    <cfRule type="cellIs" dxfId="1047" priority="125" operator="equal">
      <formula>TODAY()</formula>
    </cfRule>
    <cfRule type="cellIs" dxfId="1046" priority="126" operator="equal">
      <formula>TODAY()</formula>
    </cfRule>
  </conditionalFormatting>
  <conditionalFormatting sqref="C141">
    <cfRule type="cellIs" dxfId="1045" priority="135" operator="equal">
      <formula>TODAY()</formula>
    </cfRule>
    <cfRule type="cellIs" dxfId="1044" priority="136" operator="equal">
      <formula>TODAY()</formula>
    </cfRule>
  </conditionalFormatting>
  <conditionalFormatting sqref="E141">
    <cfRule type="cellIs" dxfId="1043" priority="133" operator="equal">
      <formula>TODAY()</formula>
    </cfRule>
    <cfRule type="cellIs" dxfId="1042" priority="134" operator="equal">
      <formula>TODAY()</formula>
    </cfRule>
  </conditionalFormatting>
  <conditionalFormatting sqref="F141">
    <cfRule type="cellIs" dxfId="1041" priority="131" operator="equal">
      <formula>TODAY()</formula>
    </cfRule>
    <cfRule type="cellIs" dxfId="1040" priority="132" operator="equal">
      <formula>TODAY()</formula>
    </cfRule>
  </conditionalFormatting>
  <conditionalFormatting sqref="G141:H141">
    <cfRule type="cellIs" dxfId="1039" priority="129" operator="equal">
      <formula>TODAY()</formula>
    </cfRule>
    <cfRule type="cellIs" dxfId="1038" priority="130" operator="equal">
      <formula>TODAY()</formula>
    </cfRule>
  </conditionalFormatting>
  <conditionalFormatting sqref="I141">
    <cfRule type="cellIs" dxfId="1037" priority="127" operator="equal">
      <formula>TODAY()</formula>
    </cfRule>
    <cfRule type="cellIs" dxfId="1036" priority="128" operator="equal">
      <formula>TODAY()</formula>
    </cfRule>
  </conditionalFormatting>
  <conditionalFormatting sqref="L141">
    <cfRule type="cellIs" dxfId="1035" priority="121" operator="equal">
      <formula>TODAY()</formula>
    </cfRule>
    <cfRule type="cellIs" dxfId="1034" priority="122" operator="equal">
      <formula>TODAY()</formula>
    </cfRule>
  </conditionalFormatting>
  <conditionalFormatting sqref="B142">
    <cfRule type="cellIs" dxfId="1033" priority="119" operator="equal">
      <formula>TODAY()</formula>
    </cfRule>
    <cfRule type="cellIs" dxfId="1032" priority="120" operator="equal">
      <formula>TODAY()</formula>
    </cfRule>
  </conditionalFormatting>
  <conditionalFormatting sqref="K142">
    <cfRule type="cellIs" dxfId="1031" priority="105" operator="equal">
      <formula>TODAY()</formula>
    </cfRule>
    <cfRule type="cellIs" dxfId="1030" priority="106" operator="equal">
      <formula>TODAY()</formula>
    </cfRule>
  </conditionalFormatting>
  <conditionalFormatting sqref="J142">
    <cfRule type="cellIs" dxfId="1029" priority="107" operator="equal">
      <formula>TODAY()</formula>
    </cfRule>
    <cfRule type="cellIs" dxfId="1028" priority="108" operator="equal">
      <formula>TODAY()</formula>
    </cfRule>
  </conditionalFormatting>
  <conditionalFormatting sqref="C142">
    <cfRule type="cellIs" dxfId="1027" priority="117" operator="equal">
      <formula>TODAY()</formula>
    </cfRule>
    <cfRule type="cellIs" dxfId="1026" priority="118" operator="equal">
      <formula>TODAY()</formula>
    </cfRule>
  </conditionalFormatting>
  <conditionalFormatting sqref="E142">
    <cfRule type="cellIs" dxfId="1025" priority="115" operator="equal">
      <formula>TODAY()</formula>
    </cfRule>
    <cfRule type="cellIs" dxfId="1024" priority="116" operator="equal">
      <formula>TODAY()</formula>
    </cfRule>
  </conditionalFormatting>
  <conditionalFormatting sqref="F142">
    <cfRule type="cellIs" dxfId="1023" priority="113" operator="equal">
      <formula>TODAY()</formula>
    </cfRule>
    <cfRule type="cellIs" dxfId="1022" priority="114" operator="equal">
      <formula>TODAY()</formula>
    </cfRule>
  </conditionalFormatting>
  <conditionalFormatting sqref="G142:H142">
    <cfRule type="cellIs" dxfId="1021" priority="111" operator="equal">
      <formula>TODAY()</formula>
    </cfRule>
    <cfRule type="cellIs" dxfId="1020" priority="112" operator="equal">
      <formula>TODAY()</formula>
    </cfRule>
  </conditionalFormatting>
  <conditionalFormatting sqref="I142">
    <cfRule type="cellIs" dxfId="1019" priority="109" operator="equal">
      <formula>TODAY()</formula>
    </cfRule>
    <cfRule type="cellIs" dxfId="1018" priority="110" operator="equal">
      <formula>TODAY()</formula>
    </cfRule>
  </conditionalFormatting>
  <conditionalFormatting sqref="L142">
    <cfRule type="cellIs" dxfId="1017" priority="103" operator="equal">
      <formula>TODAY()</formula>
    </cfRule>
    <cfRule type="cellIs" dxfId="1016" priority="104" operator="equal">
      <formula>TODAY()</formula>
    </cfRule>
  </conditionalFormatting>
  <conditionalFormatting sqref="B146">
    <cfRule type="cellIs" dxfId="1015" priority="101" operator="equal">
      <formula>TODAY()</formula>
    </cfRule>
    <cfRule type="cellIs" dxfId="1014" priority="102" operator="equal">
      <formula>TODAY()</formula>
    </cfRule>
  </conditionalFormatting>
  <conditionalFormatting sqref="K146">
    <cfRule type="cellIs" dxfId="1013" priority="87" operator="equal">
      <formula>TODAY()</formula>
    </cfRule>
    <cfRule type="cellIs" dxfId="1012" priority="88" operator="equal">
      <formula>TODAY()</formula>
    </cfRule>
  </conditionalFormatting>
  <conditionalFormatting sqref="J146">
    <cfRule type="cellIs" dxfId="1011" priority="89" operator="equal">
      <formula>TODAY()</formula>
    </cfRule>
    <cfRule type="cellIs" dxfId="1010" priority="90" operator="equal">
      <formula>TODAY()</formula>
    </cfRule>
  </conditionalFormatting>
  <conditionalFormatting sqref="C146:C147">
    <cfRule type="cellIs" dxfId="1009" priority="99" operator="equal">
      <formula>TODAY()</formula>
    </cfRule>
    <cfRule type="cellIs" dxfId="1008" priority="100" operator="equal">
      <formula>TODAY()</formula>
    </cfRule>
  </conditionalFormatting>
  <conditionalFormatting sqref="E146">
    <cfRule type="cellIs" dxfId="1007" priority="97" operator="equal">
      <formula>TODAY()</formula>
    </cfRule>
    <cfRule type="cellIs" dxfId="1006" priority="98" operator="equal">
      <formula>TODAY()</formula>
    </cfRule>
  </conditionalFormatting>
  <conditionalFormatting sqref="F146">
    <cfRule type="cellIs" dxfId="1005" priority="95" operator="equal">
      <formula>TODAY()</formula>
    </cfRule>
    <cfRule type="cellIs" dxfId="1004" priority="96" operator="equal">
      <formula>TODAY()</formula>
    </cfRule>
  </conditionalFormatting>
  <conditionalFormatting sqref="G146:H146">
    <cfRule type="cellIs" dxfId="1003" priority="93" operator="equal">
      <formula>TODAY()</formula>
    </cfRule>
    <cfRule type="cellIs" dxfId="1002" priority="94" operator="equal">
      <formula>TODAY()</formula>
    </cfRule>
  </conditionalFormatting>
  <conditionalFormatting sqref="I146">
    <cfRule type="cellIs" dxfId="1001" priority="91" operator="equal">
      <formula>TODAY()</formula>
    </cfRule>
    <cfRule type="cellIs" dxfId="1000" priority="92" operator="equal">
      <formula>TODAY()</formula>
    </cfRule>
  </conditionalFormatting>
  <conditionalFormatting sqref="L146:L147">
    <cfRule type="cellIs" dxfId="999" priority="85" operator="equal">
      <formula>TODAY()</formula>
    </cfRule>
    <cfRule type="cellIs" dxfId="998" priority="86" operator="equal">
      <formula>TODAY()</formula>
    </cfRule>
  </conditionalFormatting>
  <conditionalFormatting sqref="B148">
    <cfRule type="cellIs" dxfId="997" priority="83" operator="equal">
      <formula>TODAY()</formula>
    </cfRule>
    <cfRule type="cellIs" dxfId="996" priority="84" operator="equal">
      <formula>TODAY()</formula>
    </cfRule>
  </conditionalFormatting>
  <conditionalFormatting sqref="J148">
    <cfRule type="cellIs" dxfId="995" priority="71" operator="equal">
      <formula>TODAY()</formula>
    </cfRule>
    <cfRule type="cellIs" dxfId="994" priority="72" operator="equal">
      <formula>TODAY()</formula>
    </cfRule>
  </conditionalFormatting>
  <conditionalFormatting sqref="C148">
    <cfRule type="cellIs" dxfId="993" priority="81" operator="equal">
      <formula>TODAY()</formula>
    </cfRule>
    <cfRule type="cellIs" dxfId="992" priority="82" operator="equal">
      <formula>TODAY()</formula>
    </cfRule>
  </conditionalFormatting>
  <conditionalFormatting sqref="E148">
    <cfRule type="cellIs" dxfId="991" priority="79" operator="equal">
      <formula>TODAY()</formula>
    </cfRule>
    <cfRule type="cellIs" dxfId="990" priority="80" operator="equal">
      <formula>TODAY()</formula>
    </cfRule>
  </conditionalFormatting>
  <conditionalFormatting sqref="F148">
    <cfRule type="cellIs" dxfId="989" priority="77" operator="equal">
      <formula>TODAY()</formula>
    </cfRule>
    <cfRule type="cellIs" dxfId="988" priority="78" operator="equal">
      <formula>TODAY()</formula>
    </cfRule>
  </conditionalFormatting>
  <conditionalFormatting sqref="G148:H148">
    <cfRule type="cellIs" dxfId="987" priority="75" operator="equal">
      <formula>TODAY()</formula>
    </cfRule>
    <cfRule type="cellIs" dxfId="986" priority="76" operator="equal">
      <formula>TODAY()</formula>
    </cfRule>
  </conditionalFormatting>
  <conditionalFormatting sqref="I148">
    <cfRule type="cellIs" dxfId="985" priority="73" operator="equal">
      <formula>TODAY()</formula>
    </cfRule>
    <cfRule type="cellIs" dxfId="984" priority="74" operator="equal">
      <formula>TODAY()</formula>
    </cfRule>
  </conditionalFormatting>
  <conditionalFormatting sqref="L148">
    <cfRule type="cellIs" dxfId="983" priority="67" operator="equal">
      <formula>TODAY()</formula>
    </cfRule>
    <cfRule type="cellIs" dxfId="982" priority="68" operator="equal">
      <formula>TODAY()</formula>
    </cfRule>
  </conditionalFormatting>
  <conditionalFormatting sqref="B149:B150">
    <cfRule type="cellIs" dxfId="981" priority="65" operator="equal">
      <formula>TODAY()</formula>
    </cfRule>
    <cfRule type="cellIs" dxfId="980" priority="66" operator="equal">
      <formula>TODAY()</formula>
    </cfRule>
  </conditionalFormatting>
  <conditionalFormatting sqref="J149:J150">
    <cfRule type="cellIs" dxfId="979" priority="53" operator="equal">
      <formula>TODAY()</formula>
    </cfRule>
    <cfRule type="cellIs" dxfId="978" priority="54" operator="equal">
      <formula>TODAY()</formula>
    </cfRule>
  </conditionalFormatting>
  <conditionalFormatting sqref="C149:C150">
    <cfRule type="cellIs" dxfId="977" priority="63" operator="equal">
      <formula>TODAY()</formula>
    </cfRule>
    <cfRule type="cellIs" dxfId="976" priority="64" operator="equal">
      <formula>TODAY()</formula>
    </cfRule>
  </conditionalFormatting>
  <conditionalFormatting sqref="E149:E150">
    <cfRule type="cellIs" dxfId="975" priority="61" operator="equal">
      <formula>TODAY()</formula>
    </cfRule>
    <cfRule type="cellIs" dxfId="974" priority="62" operator="equal">
      <formula>TODAY()</formula>
    </cfRule>
  </conditionalFormatting>
  <conditionalFormatting sqref="F149:F150">
    <cfRule type="cellIs" dxfId="973" priority="59" operator="equal">
      <formula>TODAY()</formula>
    </cfRule>
    <cfRule type="cellIs" dxfId="972" priority="60" operator="equal">
      <formula>TODAY()</formula>
    </cfRule>
  </conditionalFormatting>
  <conditionalFormatting sqref="G149:H150">
    <cfRule type="cellIs" dxfId="971" priority="57" operator="equal">
      <formula>TODAY()</formula>
    </cfRule>
    <cfRule type="cellIs" dxfId="970" priority="58" operator="equal">
      <formula>TODAY()</formula>
    </cfRule>
  </conditionalFormatting>
  <conditionalFormatting sqref="I149:I150">
    <cfRule type="cellIs" dxfId="969" priority="55" operator="equal">
      <formula>TODAY()</formula>
    </cfRule>
    <cfRule type="cellIs" dxfId="968" priority="56" operator="equal">
      <formula>TODAY()</formula>
    </cfRule>
  </conditionalFormatting>
  <conditionalFormatting sqref="L149:L150">
    <cfRule type="cellIs" dxfId="967" priority="49" operator="equal">
      <formula>TODAY()</formula>
    </cfRule>
    <cfRule type="cellIs" dxfId="966" priority="50" operator="equal">
      <formula>TODAY()</formula>
    </cfRule>
  </conditionalFormatting>
  <conditionalFormatting sqref="K150">
    <cfRule type="cellIs" dxfId="965" priority="45" operator="equal">
      <formula>TODAY()</formula>
    </cfRule>
    <cfRule type="cellIs" dxfId="964" priority="46" operator="equal">
      <formula>TODAY()</formula>
    </cfRule>
  </conditionalFormatting>
  <conditionalFormatting sqref="K151:K157">
    <cfRule type="cellIs" dxfId="963" priority="43" operator="equal">
      <formula>TODAY()</formula>
    </cfRule>
    <cfRule type="cellIs" dxfId="962" priority="44" operator="equal">
      <formula>TODAY()</formula>
    </cfRule>
  </conditionalFormatting>
  <conditionalFormatting sqref="E99">
    <cfRule type="cellIs" dxfId="961" priority="41" operator="equal">
      <formula>TODAY()</formula>
    </cfRule>
    <cfRule type="cellIs" dxfId="960" priority="42" operator="equal">
      <formula>TODAY()</formula>
    </cfRule>
  </conditionalFormatting>
  <conditionalFormatting sqref="J99">
    <cfRule type="cellIs" dxfId="959" priority="39" operator="equal">
      <formula>TODAY()</formula>
    </cfRule>
    <cfRule type="cellIs" dxfId="958" priority="40" operator="equal">
      <formula>TODAY()</formula>
    </cfRule>
  </conditionalFormatting>
  <conditionalFormatting sqref="B147">
    <cfRule type="cellIs" dxfId="957" priority="37" operator="equal">
      <formula>TODAY()</formula>
    </cfRule>
    <cfRule type="cellIs" dxfId="956" priority="38" operator="equal">
      <formula>TODAY()</formula>
    </cfRule>
  </conditionalFormatting>
  <conditionalFormatting sqref="E147">
    <cfRule type="cellIs" dxfId="955" priority="35" operator="equal">
      <formula>TODAY()</formula>
    </cfRule>
    <cfRule type="cellIs" dxfId="954" priority="36" operator="equal">
      <formula>TODAY()</formula>
    </cfRule>
  </conditionalFormatting>
  <conditionalFormatting sqref="J147">
    <cfRule type="cellIs" dxfId="953" priority="27" operator="equal">
      <formula>TODAY()</formula>
    </cfRule>
    <cfRule type="cellIs" dxfId="952" priority="28" operator="equal">
      <formula>TODAY()</formula>
    </cfRule>
  </conditionalFormatting>
  <conditionalFormatting sqref="F147">
    <cfRule type="cellIs" dxfId="951" priority="33" operator="equal">
      <formula>TODAY()</formula>
    </cfRule>
    <cfRule type="cellIs" dxfId="950" priority="34" operator="equal">
      <formula>TODAY()</formula>
    </cfRule>
  </conditionalFormatting>
  <conditionalFormatting sqref="G147:H147">
    <cfRule type="cellIs" dxfId="949" priority="31" operator="equal">
      <formula>TODAY()</formula>
    </cfRule>
    <cfRule type="cellIs" dxfId="948" priority="32" operator="equal">
      <formula>TODAY()</formula>
    </cfRule>
  </conditionalFormatting>
  <conditionalFormatting sqref="I147">
    <cfRule type="cellIs" dxfId="947" priority="29" operator="equal">
      <formula>TODAY()</formula>
    </cfRule>
    <cfRule type="cellIs" dxfId="946" priority="30" operator="equal">
      <formula>TODAY()</formula>
    </cfRule>
  </conditionalFormatting>
  <conditionalFormatting sqref="K147">
    <cfRule type="cellIs" dxfId="945" priority="25" operator="equal">
      <formula>TODAY()</formula>
    </cfRule>
    <cfRule type="cellIs" dxfId="944" priority="26" operator="equal">
      <formula>TODAY()</formula>
    </cfRule>
  </conditionalFormatting>
  <conditionalFormatting sqref="B145">
    <cfRule type="cellIs" dxfId="943" priority="23" operator="equal">
      <formula>TODAY()</formula>
    </cfRule>
    <cfRule type="cellIs" dxfId="942" priority="24" operator="equal">
      <formula>TODAY()</formula>
    </cfRule>
  </conditionalFormatting>
  <conditionalFormatting sqref="L145">
    <cfRule type="cellIs" dxfId="941" priority="21" operator="equal">
      <formula>TODAY()</formula>
    </cfRule>
    <cfRule type="cellIs" dxfId="940" priority="22" operator="equal">
      <formula>TODAY()</formula>
    </cfRule>
  </conditionalFormatting>
  <conditionalFormatting sqref="E145">
    <cfRule type="cellIs" dxfId="939" priority="19" operator="equal">
      <formula>TODAY()</formula>
    </cfRule>
    <cfRule type="cellIs" dxfId="938" priority="20" operator="equal">
      <formula>TODAY()</formula>
    </cfRule>
  </conditionalFormatting>
  <conditionalFormatting sqref="J145">
    <cfRule type="cellIs" dxfId="937" priority="11" operator="equal">
      <formula>TODAY()</formula>
    </cfRule>
    <cfRule type="cellIs" dxfId="936" priority="12" operator="equal">
      <formula>TODAY()</formula>
    </cfRule>
  </conditionalFormatting>
  <conditionalFormatting sqref="F145">
    <cfRule type="cellIs" dxfId="935" priority="17" operator="equal">
      <formula>TODAY()</formula>
    </cfRule>
    <cfRule type="cellIs" dxfId="934" priority="18" operator="equal">
      <formula>TODAY()</formula>
    </cfRule>
  </conditionalFormatting>
  <conditionalFormatting sqref="G145:H145">
    <cfRule type="cellIs" dxfId="933" priority="15" operator="equal">
      <formula>TODAY()</formula>
    </cfRule>
    <cfRule type="cellIs" dxfId="932" priority="16" operator="equal">
      <formula>TODAY()</formula>
    </cfRule>
  </conditionalFormatting>
  <conditionalFormatting sqref="I145">
    <cfRule type="cellIs" dxfId="931" priority="13" operator="equal">
      <formula>TODAY()</formula>
    </cfRule>
    <cfRule type="cellIs" dxfId="930" priority="14" operator="equal">
      <formula>TODAY()</formula>
    </cfRule>
  </conditionalFormatting>
  <conditionalFormatting sqref="K145">
    <cfRule type="cellIs" dxfId="929" priority="9" operator="equal">
      <formula>TODAY()</formula>
    </cfRule>
    <cfRule type="cellIs" dxfId="928" priority="10" operator="equal">
      <formula>TODAY()</formula>
    </cfRule>
  </conditionalFormatting>
  <conditionalFormatting sqref="E202">
    <cfRule type="cellIs" dxfId="927" priority="7" operator="equal">
      <formula>TODAY()</formula>
    </cfRule>
    <cfRule type="cellIs" dxfId="926" priority="8" operator="equal">
      <formula>TODAY()</formula>
    </cfRule>
  </conditionalFormatting>
  <conditionalFormatting sqref="E203">
    <cfRule type="cellIs" dxfId="925" priority="5" operator="equal">
      <formula>TODAY()</formula>
    </cfRule>
    <cfRule type="cellIs" dxfId="924" priority="6" operator="equal">
      <formula>TODAY()</formula>
    </cfRule>
  </conditionalFormatting>
  <conditionalFormatting sqref="B153:B157">
    <cfRule type="cellIs" dxfId="923" priority="3" operator="equal">
      <formula>TODAY()</formula>
    </cfRule>
    <cfRule type="cellIs" dxfId="922" priority="4" operator="equal">
      <formula>TODAY()</formula>
    </cfRule>
  </conditionalFormatting>
  <conditionalFormatting sqref="E201">
    <cfRule type="cellIs" dxfId="921" priority="1" operator="equal">
      <formula>TODAY()</formula>
    </cfRule>
    <cfRule type="cellIs" dxfId="920" priority="2" operator="equal">
      <formula>TODAY()</formula>
    </cfRule>
  </conditionalFormatting>
  <pageMargins left="0" right="0" top="0" bottom="0" header="0" footer="0"/>
  <pageSetup paperSize="9" scale="10" orientation="portrait" horizontalDpi="4294967293"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pageSetUpPr fitToPage="1"/>
  </sheetPr>
  <dimension ref="A1:W205"/>
  <sheetViews>
    <sheetView zoomScale="40" zoomScaleNormal="40" workbookViewId="0">
      <pane ySplit="1" topLeftCell="A107" activePane="bottomLeft" state="frozen"/>
      <selection pane="bottomLeft" activeCell="B111" sqref="B111"/>
    </sheetView>
  </sheetViews>
  <sheetFormatPr defaultRowHeight="14.5" x14ac:dyDescent="0.35"/>
  <cols>
    <col min="1" max="1" width="14.453125" customWidth="1"/>
    <col min="2" max="2" width="28.54296875" customWidth="1"/>
    <col min="3" max="3" width="48" style="3" customWidth="1"/>
    <col min="4" max="4" width="13.453125" style="1" customWidth="1"/>
    <col min="5" max="5" width="21.54296875" style="2" customWidth="1"/>
    <col min="6" max="6" width="8.453125" customWidth="1"/>
    <col min="7" max="7" width="7.453125" customWidth="1"/>
    <col min="8" max="8" width="7.54296875" customWidth="1"/>
    <col min="9" max="9" width="15.54296875" customWidth="1"/>
    <col min="10" max="10" width="24.453125" customWidth="1"/>
    <col min="11" max="11" width="11.453125" customWidth="1"/>
    <col min="12" max="12" width="17.453125" customWidth="1"/>
  </cols>
  <sheetData>
    <row r="1" spans="1:23" x14ac:dyDescent="0.35">
      <c r="A1" s="810" t="s">
        <v>0</v>
      </c>
      <c r="B1" s="811" t="s">
        <v>1</v>
      </c>
      <c r="C1" s="812" t="s">
        <v>2</v>
      </c>
      <c r="D1" s="813" t="s">
        <v>3</v>
      </c>
      <c r="E1" s="814" t="s">
        <v>110</v>
      </c>
      <c r="F1" s="814" t="s">
        <v>5</v>
      </c>
      <c r="G1" s="812" t="s">
        <v>6</v>
      </c>
      <c r="H1" s="812" t="s">
        <v>7</v>
      </c>
      <c r="I1" s="812" t="s">
        <v>8</v>
      </c>
      <c r="J1" s="812" t="s">
        <v>9</v>
      </c>
      <c r="K1" s="812" t="s">
        <v>10</v>
      </c>
      <c r="L1" s="815" t="s">
        <v>11</v>
      </c>
    </row>
    <row r="2" spans="1:23" ht="29" x14ac:dyDescent="0.35">
      <c r="A2" s="907">
        <v>43663</v>
      </c>
      <c r="B2" s="4" t="s">
        <v>20</v>
      </c>
      <c r="C2" s="5" t="s">
        <v>21</v>
      </c>
      <c r="D2" s="908">
        <v>43678</v>
      </c>
      <c r="E2" s="5" t="s">
        <v>20</v>
      </c>
      <c r="F2" s="5" t="s">
        <v>15</v>
      </c>
      <c r="G2" s="5" t="s">
        <v>15</v>
      </c>
      <c r="H2" s="5" t="s">
        <v>15</v>
      </c>
      <c r="I2" s="5">
        <v>0</v>
      </c>
      <c r="J2" s="5" t="s">
        <v>20</v>
      </c>
      <c r="K2" s="5" t="s">
        <v>15</v>
      </c>
      <c r="L2" s="807" t="s">
        <v>22</v>
      </c>
      <c r="N2">
        <f>SUM(I1:I35)/4.76</f>
        <v>1265.2310924369749</v>
      </c>
      <c r="P2">
        <f>SUM(I:I)/4.76</f>
        <v>16747.784663865546</v>
      </c>
    </row>
    <row r="3" spans="1:23" ht="29" x14ac:dyDescent="0.35">
      <c r="A3" s="907">
        <v>43663</v>
      </c>
      <c r="B3" s="4" t="s">
        <v>20</v>
      </c>
      <c r="C3" s="5" t="s">
        <v>24</v>
      </c>
      <c r="D3" s="908">
        <v>43678</v>
      </c>
      <c r="E3" s="5" t="s">
        <v>20</v>
      </c>
      <c r="F3" s="5" t="s">
        <v>15</v>
      </c>
      <c r="G3" s="5" t="s">
        <v>15</v>
      </c>
      <c r="H3" s="5" t="s">
        <v>15</v>
      </c>
      <c r="I3" s="5">
        <v>0</v>
      </c>
      <c r="J3" s="5" t="s">
        <v>20</v>
      </c>
      <c r="K3" s="5" t="s">
        <v>15</v>
      </c>
      <c r="L3" s="807" t="s">
        <v>22</v>
      </c>
      <c r="N3">
        <f>SUM(I36:I61)/4.76</f>
        <v>1757.3634453781513</v>
      </c>
    </row>
    <row r="4" spans="1:23" ht="29" x14ac:dyDescent="0.35">
      <c r="A4" s="907">
        <v>43674</v>
      </c>
      <c r="B4" s="4" t="s">
        <v>20</v>
      </c>
      <c r="C4" s="5" t="s">
        <v>23</v>
      </c>
      <c r="D4" s="908">
        <v>43678</v>
      </c>
      <c r="E4" s="5" t="s">
        <v>20</v>
      </c>
      <c r="F4" s="5" t="s">
        <v>15</v>
      </c>
      <c r="G4" s="5" t="s">
        <v>15</v>
      </c>
      <c r="H4" s="5" t="s">
        <v>15</v>
      </c>
      <c r="I4" s="5">
        <v>0</v>
      </c>
      <c r="J4" s="5" t="s">
        <v>20</v>
      </c>
      <c r="K4" s="5" t="s">
        <v>15</v>
      </c>
      <c r="L4" s="807" t="s">
        <v>22</v>
      </c>
      <c r="N4">
        <f>SUM(I62:I85)/4.76</f>
        <v>1565.5987394957983</v>
      </c>
    </row>
    <row r="5" spans="1:23" ht="145" x14ac:dyDescent="0.35">
      <c r="A5" s="1127">
        <v>43676</v>
      </c>
      <c r="B5" s="5" t="s">
        <v>3563</v>
      </c>
      <c r="C5" s="822" t="s">
        <v>13</v>
      </c>
      <c r="D5" s="929">
        <v>43678</v>
      </c>
      <c r="E5" s="930" t="s">
        <v>3564</v>
      </c>
      <c r="F5" s="836">
        <v>0.625</v>
      </c>
      <c r="G5" s="933">
        <v>0.68055555555555547</v>
      </c>
      <c r="H5" s="933">
        <v>0.69791666666666663</v>
      </c>
      <c r="I5" s="935">
        <v>0</v>
      </c>
      <c r="J5" s="822" t="s">
        <v>289</v>
      </c>
      <c r="K5" s="822" t="s">
        <v>136</v>
      </c>
      <c r="L5" s="1173" t="s">
        <v>17</v>
      </c>
      <c r="N5">
        <f>SUM(I86:I158)/4.76</f>
        <v>8717.5105042016803</v>
      </c>
      <c r="P5" t="s">
        <v>3804</v>
      </c>
      <c r="V5" t="s">
        <v>3805</v>
      </c>
    </row>
    <row r="6" spans="1:23" ht="29" x14ac:dyDescent="0.35">
      <c r="A6" s="923">
        <v>43676</v>
      </c>
      <c r="B6" s="816" t="s">
        <v>20</v>
      </c>
      <c r="C6" s="817" t="s">
        <v>3557</v>
      </c>
      <c r="D6" s="818">
        <v>43678</v>
      </c>
      <c r="E6" s="817" t="s">
        <v>20</v>
      </c>
      <c r="F6" s="817" t="s">
        <v>15</v>
      </c>
      <c r="G6" s="817" t="s">
        <v>15</v>
      </c>
      <c r="H6" s="817" t="s">
        <v>15</v>
      </c>
      <c r="I6" s="817">
        <v>0</v>
      </c>
      <c r="J6" s="817" t="s">
        <v>20</v>
      </c>
      <c r="K6" s="817" t="s">
        <v>15</v>
      </c>
      <c r="L6" s="839" t="s">
        <v>17</v>
      </c>
      <c r="N6">
        <f>SUM(N2:N5)</f>
        <v>13305.703781512606</v>
      </c>
    </row>
    <row r="7" spans="1:23" ht="58" x14ac:dyDescent="0.35">
      <c r="A7" s="840">
        <v>43678</v>
      </c>
      <c r="B7" s="5" t="s">
        <v>152</v>
      </c>
      <c r="C7" s="841" t="s">
        <v>3566</v>
      </c>
      <c r="D7" s="842">
        <v>43678</v>
      </c>
      <c r="E7" s="841" t="s">
        <v>3567</v>
      </c>
      <c r="F7" s="843">
        <v>0.625</v>
      </c>
      <c r="G7" s="843">
        <v>0.64583333333333337</v>
      </c>
      <c r="H7" s="843">
        <v>0.65625</v>
      </c>
      <c r="I7" s="844">
        <v>153</v>
      </c>
      <c r="J7" s="841" t="s">
        <v>3568</v>
      </c>
      <c r="K7" s="841" t="s">
        <v>136</v>
      </c>
      <c r="L7" s="845" t="s">
        <v>17</v>
      </c>
    </row>
    <row r="8" spans="1:23" ht="29" x14ac:dyDescent="0.35">
      <c r="A8" s="852">
        <v>43678</v>
      </c>
      <c r="B8" s="816" t="s">
        <v>20</v>
      </c>
      <c r="C8" s="817" t="s">
        <v>3572</v>
      </c>
      <c r="D8" s="818">
        <v>43678</v>
      </c>
      <c r="E8" s="817" t="s">
        <v>20</v>
      </c>
      <c r="F8" s="817" t="s">
        <v>15</v>
      </c>
      <c r="G8" s="817" t="s">
        <v>15</v>
      </c>
      <c r="H8" s="817" t="s">
        <v>15</v>
      </c>
      <c r="I8" s="817">
        <v>0</v>
      </c>
      <c r="J8" s="817" t="s">
        <v>20</v>
      </c>
      <c r="K8" s="817">
        <v>0</v>
      </c>
      <c r="L8" s="839" t="s">
        <v>17</v>
      </c>
    </row>
    <row r="9" spans="1:23" ht="29" x14ac:dyDescent="0.35">
      <c r="A9" s="852">
        <v>43700</v>
      </c>
      <c r="B9" s="817" t="s">
        <v>3819</v>
      </c>
      <c r="C9" s="817" t="s">
        <v>3821</v>
      </c>
      <c r="D9" s="818">
        <v>43678</v>
      </c>
      <c r="E9" s="817" t="s">
        <v>3820</v>
      </c>
      <c r="F9" s="817" t="s">
        <v>15</v>
      </c>
      <c r="G9" s="1154">
        <v>0.41666666666666669</v>
      </c>
      <c r="H9" s="1154">
        <v>0.45833333333333331</v>
      </c>
      <c r="I9" s="817">
        <v>0</v>
      </c>
      <c r="J9" s="817" t="s">
        <v>911</v>
      </c>
      <c r="K9" s="817">
        <v>0</v>
      </c>
      <c r="L9" s="839" t="s">
        <v>17</v>
      </c>
    </row>
    <row r="10" spans="1:23" ht="145" x14ac:dyDescent="0.35">
      <c r="A10" s="907">
        <v>43669</v>
      </c>
      <c r="B10" s="5" t="s">
        <v>3558</v>
      </c>
      <c r="C10" s="5" t="s">
        <v>13</v>
      </c>
      <c r="D10" s="908">
        <v>43679</v>
      </c>
      <c r="E10" s="5" t="s">
        <v>3559</v>
      </c>
      <c r="F10" s="6">
        <v>0.4861111111111111</v>
      </c>
      <c r="G10" s="6">
        <v>0.54166666666666663</v>
      </c>
      <c r="H10" s="6">
        <v>0.55555555555555558</v>
      </c>
      <c r="I10" s="5">
        <v>0</v>
      </c>
      <c r="J10" s="5" t="s">
        <v>16</v>
      </c>
      <c r="K10" s="5" t="s">
        <v>15</v>
      </c>
      <c r="L10" s="807" t="s">
        <v>17</v>
      </c>
      <c r="W10">
        <v>1265.2310924369749</v>
      </c>
    </row>
    <row r="11" spans="1:23" ht="72.5" x14ac:dyDescent="0.35">
      <c r="A11" s="907">
        <v>43674</v>
      </c>
      <c r="B11" s="5" t="s">
        <v>25</v>
      </c>
      <c r="C11" s="5" t="s">
        <v>26</v>
      </c>
      <c r="D11" s="908">
        <v>43679</v>
      </c>
      <c r="E11" s="5" t="s">
        <v>27</v>
      </c>
      <c r="F11" s="6">
        <v>0.65277777777777779</v>
      </c>
      <c r="G11" s="6">
        <v>0.6875</v>
      </c>
      <c r="H11" s="6">
        <v>0.6875</v>
      </c>
      <c r="I11" s="7">
        <v>250</v>
      </c>
      <c r="J11" s="850" t="s">
        <v>29</v>
      </c>
      <c r="K11" s="5" t="s">
        <v>15</v>
      </c>
      <c r="L11" s="807" t="s">
        <v>17</v>
      </c>
      <c r="W11">
        <v>1757.3634453781513</v>
      </c>
    </row>
    <row r="12" spans="1:23" ht="29" x14ac:dyDescent="0.35">
      <c r="A12" s="907">
        <v>43677</v>
      </c>
      <c r="B12" s="5" t="s">
        <v>131</v>
      </c>
      <c r="C12" s="5" t="s">
        <v>3565</v>
      </c>
      <c r="D12" s="908">
        <v>43679</v>
      </c>
      <c r="E12" s="824" t="s">
        <v>129</v>
      </c>
      <c r="F12" s="6">
        <v>0.4861111111111111</v>
      </c>
      <c r="G12" s="6">
        <v>0.51388888888888895</v>
      </c>
      <c r="H12" s="6">
        <v>0.52083333333333337</v>
      </c>
      <c r="I12" s="7">
        <v>0</v>
      </c>
      <c r="J12" s="5" t="s">
        <v>16</v>
      </c>
      <c r="K12" s="5" t="s">
        <v>15</v>
      </c>
      <c r="L12" s="807" t="s">
        <v>17</v>
      </c>
      <c r="W12">
        <v>1565.5987394957983</v>
      </c>
    </row>
    <row r="13" spans="1:23" ht="43.5" x14ac:dyDescent="0.35">
      <c r="A13" s="907">
        <v>43678</v>
      </c>
      <c r="B13" s="4" t="s">
        <v>20</v>
      </c>
      <c r="C13" s="5" t="s">
        <v>3580</v>
      </c>
      <c r="D13" s="908">
        <v>43679</v>
      </c>
      <c r="E13" s="5" t="s">
        <v>20</v>
      </c>
      <c r="F13" s="5" t="s">
        <v>15</v>
      </c>
      <c r="G13" s="5" t="s">
        <v>15</v>
      </c>
      <c r="H13" s="5" t="s">
        <v>15</v>
      </c>
      <c r="I13" s="5">
        <v>0</v>
      </c>
      <c r="J13" s="5" t="s">
        <v>20</v>
      </c>
      <c r="K13" s="5" t="s">
        <v>15</v>
      </c>
      <c r="L13" s="807" t="s">
        <v>22</v>
      </c>
      <c r="W13">
        <v>8717.5105042016803</v>
      </c>
    </row>
    <row r="14" spans="1:23" ht="232" x14ac:dyDescent="0.35">
      <c r="A14" s="806">
        <v>43628</v>
      </c>
      <c r="B14" s="9" t="s">
        <v>36</v>
      </c>
      <c r="C14" s="9" t="s">
        <v>111</v>
      </c>
      <c r="D14" s="8">
        <v>43680</v>
      </c>
      <c r="E14" s="9" t="s">
        <v>3581</v>
      </c>
      <c r="F14" s="12">
        <v>0.59375</v>
      </c>
      <c r="G14" s="11">
        <v>0.70138888888888884</v>
      </c>
      <c r="H14" s="11">
        <v>0.70833333333333337</v>
      </c>
      <c r="I14" s="870">
        <v>900</v>
      </c>
      <c r="J14" s="5" t="s">
        <v>40</v>
      </c>
      <c r="K14" s="841" t="s">
        <v>119</v>
      </c>
      <c r="L14" s="808" t="s">
        <v>22</v>
      </c>
    </row>
    <row r="15" spans="1:23" ht="43.5" x14ac:dyDescent="0.35">
      <c r="A15" s="840">
        <v>43647</v>
      </c>
      <c r="B15" s="841" t="s">
        <v>3578</v>
      </c>
      <c r="C15" s="841" t="s">
        <v>3576</v>
      </c>
      <c r="D15" s="842">
        <v>43680</v>
      </c>
      <c r="E15" s="847" t="s">
        <v>3577</v>
      </c>
      <c r="F15" s="843">
        <v>0.375</v>
      </c>
      <c r="G15" s="843">
        <v>0.375</v>
      </c>
      <c r="H15" s="843">
        <v>0.39583333333333331</v>
      </c>
      <c r="I15" s="869">
        <v>120</v>
      </c>
      <c r="J15" s="841" t="s">
        <v>369</v>
      </c>
      <c r="K15" s="841" t="s">
        <v>119</v>
      </c>
      <c r="L15" s="845" t="s">
        <v>17</v>
      </c>
    </row>
    <row r="16" spans="1:23" ht="29" x14ac:dyDescent="0.35">
      <c r="A16" s="840">
        <v>43647</v>
      </c>
      <c r="B16" s="841" t="s">
        <v>54</v>
      </c>
      <c r="C16" s="841" t="s">
        <v>3571</v>
      </c>
      <c r="D16" s="842">
        <v>43680</v>
      </c>
      <c r="E16" s="847" t="s">
        <v>3569</v>
      </c>
      <c r="F16" s="843">
        <v>0.375</v>
      </c>
      <c r="G16" s="843">
        <v>0.4375</v>
      </c>
      <c r="H16" s="843">
        <v>0.44444444444444442</v>
      </c>
      <c r="I16" s="869">
        <v>140</v>
      </c>
      <c r="J16" s="841" t="s">
        <v>3570</v>
      </c>
      <c r="K16" s="841" t="s">
        <v>119</v>
      </c>
      <c r="L16" s="845" t="s">
        <v>17</v>
      </c>
    </row>
    <row r="17" spans="1:12" ht="72.5" x14ac:dyDescent="0.35">
      <c r="A17" s="840">
        <v>43648</v>
      </c>
      <c r="B17" s="841" t="s">
        <v>152</v>
      </c>
      <c r="C17" s="841" t="s">
        <v>3587</v>
      </c>
      <c r="D17" s="842">
        <v>43680</v>
      </c>
      <c r="E17" s="5" t="s">
        <v>3567</v>
      </c>
      <c r="F17" s="843">
        <v>0.375</v>
      </c>
      <c r="G17" s="843">
        <v>0.40972222222222227</v>
      </c>
      <c r="H17" s="843">
        <v>0.41666666666666669</v>
      </c>
      <c r="I17" s="844">
        <v>225</v>
      </c>
      <c r="J17" s="851" t="s">
        <v>3588</v>
      </c>
      <c r="K17" s="841" t="s">
        <v>119</v>
      </c>
      <c r="L17" s="845" t="s">
        <v>17</v>
      </c>
    </row>
    <row r="18" spans="1:12" ht="87" x14ac:dyDescent="0.35">
      <c r="A18" s="806">
        <v>43663</v>
      </c>
      <c r="B18" s="853" t="s">
        <v>41</v>
      </c>
      <c r="C18" s="853" t="s">
        <v>42</v>
      </c>
      <c r="D18" s="8">
        <v>43680</v>
      </c>
      <c r="E18" s="853" t="s">
        <v>43</v>
      </c>
      <c r="F18" s="12">
        <v>0.59375</v>
      </c>
      <c r="G18" s="854">
        <v>0.73611111111111116</v>
      </c>
      <c r="H18" s="854">
        <v>0.75</v>
      </c>
      <c r="I18" s="870">
        <v>360</v>
      </c>
      <c r="J18" s="7" t="s">
        <v>45</v>
      </c>
      <c r="K18" s="841" t="s">
        <v>119</v>
      </c>
      <c r="L18" s="809" t="s">
        <v>22</v>
      </c>
    </row>
    <row r="19" spans="1:12" ht="116" x14ac:dyDescent="0.35">
      <c r="A19" s="806">
        <v>43674</v>
      </c>
      <c r="B19" s="10" t="s">
        <v>32</v>
      </c>
      <c r="C19" s="10" t="s">
        <v>33</v>
      </c>
      <c r="D19" s="8">
        <v>43680</v>
      </c>
      <c r="E19" s="10" t="s">
        <v>34</v>
      </c>
      <c r="F19" s="12">
        <v>0.59375</v>
      </c>
      <c r="G19" s="12">
        <v>0.64583333333333337</v>
      </c>
      <c r="H19" s="12">
        <v>0.65277777777777779</v>
      </c>
      <c r="I19" s="870">
        <v>390</v>
      </c>
      <c r="J19" s="5" t="s">
        <v>35</v>
      </c>
      <c r="K19" s="841" t="s">
        <v>119</v>
      </c>
      <c r="L19" s="807" t="s">
        <v>22</v>
      </c>
    </row>
    <row r="20" spans="1:12" ht="145" x14ac:dyDescent="0.35">
      <c r="A20" s="907">
        <v>43674</v>
      </c>
      <c r="B20" s="5" t="s">
        <v>30</v>
      </c>
      <c r="C20" s="5" t="s">
        <v>13</v>
      </c>
      <c r="D20" s="908">
        <v>43680</v>
      </c>
      <c r="E20" s="5" t="s">
        <v>31</v>
      </c>
      <c r="F20" s="5" t="s">
        <v>15</v>
      </c>
      <c r="G20" s="6">
        <v>0.54166666666666663</v>
      </c>
      <c r="H20" s="6">
        <v>0.5625</v>
      </c>
      <c r="I20" s="7">
        <v>0</v>
      </c>
      <c r="J20" s="5" t="s">
        <v>16</v>
      </c>
      <c r="K20" s="5" t="s">
        <v>15</v>
      </c>
      <c r="L20" s="807" t="s">
        <v>17</v>
      </c>
    </row>
    <row r="21" spans="1:12" ht="145" x14ac:dyDescent="0.35">
      <c r="A21" s="834">
        <v>43676</v>
      </c>
      <c r="B21" s="832" t="s">
        <v>131</v>
      </c>
      <c r="C21" s="832" t="s">
        <v>3555</v>
      </c>
      <c r="D21" s="834">
        <v>43680</v>
      </c>
      <c r="E21" s="835" t="s">
        <v>129</v>
      </c>
      <c r="F21" s="12">
        <v>0.59375</v>
      </c>
      <c r="G21" s="837">
        <v>0.61458333333333337</v>
      </c>
      <c r="H21" s="837">
        <v>0.625</v>
      </c>
      <c r="I21" s="838">
        <v>1472.5</v>
      </c>
      <c r="J21" s="850" t="s">
        <v>3556</v>
      </c>
      <c r="K21" s="841" t="s">
        <v>119</v>
      </c>
      <c r="L21" s="1172" t="s">
        <v>17</v>
      </c>
    </row>
    <row r="22" spans="1:12" ht="159.5" x14ac:dyDescent="0.35">
      <c r="A22" s="848">
        <v>43677</v>
      </c>
      <c r="B22" s="10" t="s">
        <v>3573</v>
      </c>
      <c r="C22" s="10" t="s">
        <v>3574</v>
      </c>
      <c r="D22" s="849">
        <v>43680</v>
      </c>
      <c r="E22" s="10" t="s">
        <v>3575</v>
      </c>
      <c r="F22" s="12">
        <v>0.47916666666666669</v>
      </c>
      <c r="G22" s="846">
        <v>0.48958333333333331</v>
      </c>
      <c r="H22" s="846">
        <v>0.5</v>
      </c>
      <c r="I22" s="869">
        <v>702</v>
      </c>
      <c r="J22" s="7" t="s">
        <v>3628</v>
      </c>
      <c r="K22" s="841" t="s">
        <v>119</v>
      </c>
      <c r="L22" s="809" t="s">
        <v>22</v>
      </c>
    </row>
    <row r="23" spans="1:12" ht="159.5" x14ac:dyDescent="0.35">
      <c r="A23" s="840">
        <v>43647</v>
      </c>
      <c r="B23" s="841" t="s">
        <v>131</v>
      </c>
      <c r="C23" s="5" t="s">
        <v>3582</v>
      </c>
      <c r="D23" s="842">
        <v>43682</v>
      </c>
      <c r="E23" s="847" t="s">
        <v>129</v>
      </c>
      <c r="F23" s="843">
        <v>0.4861111111111111</v>
      </c>
      <c r="G23" s="843">
        <v>0.51041666666666663</v>
      </c>
      <c r="H23" s="843">
        <v>0.52083333333333337</v>
      </c>
      <c r="I23" s="844">
        <v>0</v>
      </c>
      <c r="J23" s="841" t="s">
        <v>16</v>
      </c>
      <c r="K23" s="841" t="s">
        <v>15</v>
      </c>
      <c r="L23" s="845" t="s">
        <v>17</v>
      </c>
    </row>
    <row r="24" spans="1:12" ht="72.5" x14ac:dyDescent="0.35">
      <c r="A24" s="831">
        <v>43676</v>
      </c>
      <c r="B24" s="10" t="s">
        <v>3560</v>
      </c>
      <c r="C24" s="10" t="s">
        <v>3561</v>
      </c>
      <c r="D24" s="820">
        <v>43682</v>
      </c>
      <c r="E24" s="823" t="s">
        <v>3562</v>
      </c>
      <c r="F24" s="12">
        <v>0.39583333333333331</v>
      </c>
      <c r="G24" s="821">
        <v>0.41666666666666669</v>
      </c>
      <c r="H24" s="821">
        <v>0.42708333333333331</v>
      </c>
      <c r="I24" s="871">
        <v>360</v>
      </c>
      <c r="J24" s="5" t="s">
        <v>35</v>
      </c>
      <c r="K24" s="822" t="s">
        <v>15</v>
      </c>
      <c r="L24" s="807" t="s">
        <v>22</v>
      </c>
    </row>
    <row r="25" spans="1:12" ht="43.5" x14ac:dyDescent="0.35">
      <c r="A25" s="840">
        <v>43680</v>
      </c>
      <c r="B25" s="841" t="s">
        <v>3589</v>
      </c>
      <c r="C25" s="841" t="s">
        <v>3591</v>
      </c>
      <c r="D25" s="842">
        <v>43682</v>
      </c>
      <c r="E25" s="847" t="s">
        <v>3590</v>
      </c>
      <c r="F25" s="843">
        <v>0.39583333333333331</v>
      </c>
      <c r="G25" s="843">
        <v>0.44791666666666669</v>
      </c>
      <c r="H25" s="843">
        <v>0.45833333333333331</v>
      </c>
      <c r="I25" s="869">
        <v>100</v>
      </c>
      <c r="J25" s="841" t="s">
        <v>257</v>
      </c>
      <c r="K25" s="841" t="s">
        <v>15</v>
      </c>
      <c r="L25" s="845" t="s">
        <v>17</v>
      </c>
    </row>
    <row r="26" spans="1:12" ht="72.5" x14ac:dyDescent="0.35">
      <c r="A26" s="840">
        <v>43681</v>
      </c>
      <c r="B26" s="841" t="s">
        <v>3594</v>
      </c>
      <c r="C26" s="841" t="s">
        <v>3595</v>
      </c>
      <c r="D26" s="842">
        <v>43682</v>
      </c>
      <c r="E26" s="847" t="s">
        <v>493</v>
      </c>
      <c r="F26" s="843">
        <v>0.4861111111111111</v>
      </c>
      <c r="G26" s="843">
        <v>0.57291666666666663</v>
      </c>
      <c r="H26" s="843">
        <v>0.58333333333333337</v>
      </c>
      <c r="I26" s="844">
        <v>0</v>
      </c>
      <c r="J26" s="841" t="s">
        <v>16</v>
      </c>
      <c r="K26" s="841" t="s">
        <v>15</v>
      </c>
      <c r="L26" s="845" t="s">
        <v>17</v>
      </c>
    </row>
    <row r="27" spans="1:12" ht="43.5" x14ac:dyDescent="0.35">
      <c r="A27" s="840">
        <v>43681</v>
      </c>
      <c r="B27" s="841" t="s">
        <v>697</v>
      </c>
      <c r="C27" s="841" t="s">
        <v>3596</v>
      </c>
      <c r="D27" s="842">
        <v>43682</v>
      </c>
      <c r="E27" s="847" t="s">
        <v>493</v>
      </c>
      <c r="F27" s="843">
        <v>0.5625</v>
      </c>
      <c r="G27" s="843">
        <v>0.54166666666666663</v>
      </c>
      <c r="H27" s="843">
        <v>0.55555555555555558</v>
      </c>
      <c r="I27" s="844">
        <v>0</v>
      </c>
      <c r="J27" s="841" t="s">
        <v>16</v>
      </c>
      <c r="K27" s="841" t="s">
        <v>15</v>
      </c>
      <c r="L27" s="845" t="s">
        <v>17</v>
      </c>
    </row>
    <row r="28" spans="1:12" ht="72.5" x14ac:dyDescent="0.35">
      <c r="A28" s="840">
        <v>43682</v>
      </c>
      <c r="B28" s="841" t="s">
        <v>152</v>
      </c>
      <c r="C28" s="841" t="s">
        <v>3587</v>
      </c>
      <c r="D28" s="842">
        <v>43682</v>
      </c>
      <c r="E28" s="841" t="s">
        <v>3567</v>
      </c>
      <c r="F28" s="843">
        <v>0.375</v>
      </c>
      <c r="G28" s="843">
        <v>0.40972222222222227</v>
      </c>
      <c r="H28" s="843">
        <v>0.41666666666666669</v>
      </c>
      <c r="I28" s="844">
        <v>225</v>
      </c>
      <c r="J28" s="851" t="s">
        <v>3588</v>
      </c>
      <c r="K28" s="841" t="s">
        <v>119</v>
      </c>
      <c r="L28" s="845" t="s">
        <v>17</v>
      </c>
    </row>
    <row r="29" spans="1:12" s="866" customFormat="1" x14ac:dyDescent="0.35">
      <c r="A29" s="858">
        <v>43682</v>
      </c>
      <c r="B29" s="859" t="s">
        <v>20</v>
      </c>
      <c r="C29" s="859" t="s">
        <v>3597</v>
      </c>
      <c r="D29" s="860">
        <v>43682</v>
      </c>
      <c r="E29" s="817" t="s">
        <v>20</v>
      </c>
      <c r="F29" s="817" t="s">
        <v>15</v>
      </c>
      <c r="G29" s="817" t="s">
        <v>15</v>
      </c>
      <c r="H29" s="817" t="s">
        <v>15</v>
      </c>
      <c r="I29" s="817">
        <v>0</v>
      </c>
      <c r="J29" s="817" t="s">
        <v>20</v>
      </c>
      <c r="K29" s="817">
        <v>0</v>
      </c>
      <c r="L29" s="936" t="s">
        <v>22</v>
      </c>
    </row>
    <row r="30" spans="1:12" ht="29" x14ac:dyDescent="0.35">
      <c r="A30" s="840">
        <v>43647</v>
      </c>
      <c r="B30" s="841" t="s">
        <v>131</v>
      </c>
      <c r="C30" s="841" t="s">
        <v>3579</v>
      </c>
      <c r="D30" s="842">
        <v>43683</v>
      </c>
      <c r="E30" s="847" t="s">
        <v>129</v>
      </c>
      <c r="F30" s="843">
        <v>0.45833333333333331</v>
      </c>
      <c r="G30" s="843">
        <v>0.47916666666666669</v>
      </c>
      <c r="H30" s="843">
        <v>0.48958333333333331</v>
      </c>
      <c r="I30" s="844">
        <v>0</v>
      </c>
      <c r="J30" s="841" t="s">
        <v>16</v>
      </c>
      <c r="K30" s="5" t="s">
        <v>119</v>
      </c>
      <c r="L30" s="845" t="s">
        <v>17</v>
      </c>
    </row>
    <row r="31" spans="1:12" ht="29" x14ac:dyDescent="0.35">
      <c r="A31" s="848">
        <v>43679</v>
      </c>
      <c r="B31" s="10" t="s">
        <v>3583</v>
      </c>
      <c r="C31" s="10" t="s">
        <v>3584</v>
      </c>
      <c r="D31" s="849">
        <v>43683</v>
      </c>
      <c r="E31" s="823" t="s">
        <v>3585</v>
      </c>
      <c r="F31" s="846">
        <v>0.54166666666666663</v>
      </c>
      <c r="G31" s="846">
        <v>0.5625</v>
      </c>
      <c r="H31" s="846">
        <v>0.57291666666666663</v>
      </c>
      <c r="I31" s="940">
        <v>218</v>
      </c>
      <c r="J31" s="5" t="s">
        <v>3586</v>
      </c>
      <c r="K31" s="5" t="s">
        <v>119</v>
      </c>
      <c r="L31" s="807" t="s">
        <v>22</v>
      </c>
    </row>
    <row r="32" spans="1:12" ht="87" x14ac:dyDescent="0.35">
      <c r="A32" s="848">
        <v>43680</v>
      </c>
      <c r="B32" s="10" t="s">
        <v>3623</v>
      </c>
      <c r="C32" s="10" t="s">
        <v>3624</v>
      </c>
      <c r="D32" s="849">
        <v>43683</v>
      </c>
      <c r="E32" s="823" t="s">
        <v>3620</v>
      </c>
      <c r="F32" s="846">
        <v>0.54166666666666663</v>
      </c>
      <c r="G32" s="846">
        <v>0.59375</v>
      </c>
      <c r="H32" s="846">
        <v>0.60416666666666663</v>
      </c>
      <c r="I32" s="844">
        <v>0</v>
      </c>
      <c r="J32" s="5" t="s">
        <v>3619</v>
      </c>
      <c r="K32" s="5" t="s">
        <v>119</v>
      </c>
      <c r="L32" s="845" t="s">
        <v>22</v>
      </c>
    </row>
    <row r="33" spans="1:12" ht="29" x14ac:dyDescent="0.35">
      <c r="A33" s="862">
        <v>43680</v>
      </c>
      <c r="B33" s="855" t="s">
        <v>20</v>
      </c>
      <c r="C33" s="855" t="s">
        <v>3593</v>
      </c>
      <c r="D33" s="863">
        <v>43683</v>
      </c>
      <c r="E33" s="864" t="s">
        <v>20</v>
      </c>
      <c r="F33" s="855" t="s">
        <v>15</v>
      </c>
      <c r="G33" s="1029" t="s">
        <v>15</v>
      </c>
      <c r="H33" s="1029" t="s">
        <v>15</v>
      </c>
      <c r="I33" s="856">
        <v>0</v>
      </c>
      <c r="J33" s="855" t="s">
        <v>20</v>
      </c>
      <c r="K33" s="826" t="s">
        <v>15</v>
      </c>
      <c r="L33" s="857" t="s">
        <v>17</v>
      </c>
    </row>
    <row r="34" spans="1:12" ht="29" x14ac:dyDescent="0.35">
      <c r="A34" s="911">
        <v>43682</v>
      </c>
      <c r="B34" s="828" t="s">
        <v>3601</v>
      </c>
      <c r="C34" s="828" t="s">
        <v>3602</v>
      </c>
      <c r="D34" s="912">
        <v>43683</v>
      </c>
      <c r="E34" s="828" t="s">
        <v>19</v>
      </c>
      <c r="F34" s="902">
        <v>0.33333333333333331</v>
      </c>
      <c r="G34" s="914">
        <v>0.33333333333333331</v>
      </c>
      <c r="H34" s="914">
        <v>0.33333333333333331</v>
      </c>
      <c r="I34" s="939">
        <v>200</v>
      </c>
      <c r="J34" s="828" t="s">
        <v>257</v>
      </c>
      <c r="K34" s="828" t="s">
        <v>15</v>
      </c>
      <c r="L34" s="1176" t="s">
        <v>22</v>
      </c>
    </row>
    <row r="35" spans="1:12" ht="72.5" x14ac:dyDescent="0.35">
      <c r="A35" s="825">
        <v>43682</v>
      </c>
      <c r="B35" s="5" t="s">
        <v>152</v>
      </c>
      <c r="C35" s="5" t="s">
        <v>3629</v>
      </c>
      <c r="D35" s="908">
        <v>43683</v>
      </c>
      <c r="E35" s="5" t="s">
        <v>3567</v>
      </c>
      <c r="F35" s="865">
        <v>0.39583333333333331</v>
      </c>
      <c r="G35" s="6">
        <v>0.41666666666666669</v>
      </c>
      <c r="H35" s="6">
        <v>0.42708333333333331</v>
      </c>
      <c r="I35" s="7">
        <v>207</v>
      </c>
      <c r="J35" s="850" t="s">
        <v>3588</v>
      </c>
      <c r="K35" s="5" t="s">
        <v>119</v>
      </c>
      <c r="L35" s="5" t="s">
        <v>17</v>
      </c>
    </row>
    <row r="36" spans="1:12" s="866" customFormat="1" ht="29" x14ac:dyDescent="0.35">
      <c r="A36" s="848">
        <v>43680</v>
      </c>
      <c r="B36" s="1131" t="s">
        <v>3589</v>
      </c>
      <c r="C36" s="1131" t="s">
        <v>3592</v>
      </c>
      <c r="D36" s="849">
        <v>43685</v>
      </c>
      <c r="E36" s="1150" t="s">
        <v>19</v>
      </c>
      <c r="F36" s="1131" t="s">
        <v>15</v>
      </c>
      <c r="G36" s="846">
        <v>0.66666666666666663</v>
      </c>
      <c r="H36" s="846">
        <v>0.66666666666666663</v>
      </c>
      <c r="I36" s="940">
        <v>130</v>
      </c>
      <c r="J36" s="841" t="s">
        <v>257</v>
      </c>
      <c r="K36" s="841" t="s">
        <v>15</v>
      </c>
      <c r="L36" s="845" t="s">
        <v>17</v>
      </c>
    </row>
    <row r="37" spans="1:12" s="866" customFormat="1" ht="58" x14ac:dyDescent="0.35">
      <c r="A37" s="917">
        <v>43684</v>
      </c>
      <c r="B37" s="889" t="s">
        <v>280</v>
      </c>
      <c r="C37" s="889" t="s">
        <v>3635</v>
      </c>
      <c r="D37" s="890">
        <v>43685</v>
      </c>
      <c r="E37" s="892" t="s">
        <v>278</v>
      </c>
      <c r="F37" s="894">
        <v>0.44444444444444442</v>
      </c>
      <c r="G37" s="894">
        <v>0.47916666666666669</v>
      </c>
      <c r="H37" s="894">
        <v>0.5</v>
      </c>
      <c r="I37" s="1161">
        <v>120</v>
      </c>
      <c r="J37" s="889" t="s">
        <v>392</v>
      </c>
      <c r="K37" s="889" t="s">
        <v>15</v>
      </c>
      <c r="L37" s="895" t="s">
        <v>17</v>
      </c>
    </row>
    <row r="38" spans="1:12" s="866" customFormat="1" ht="43.5" x14ac:dyDescent="0.35">
      <c r="A38" s="916">
        <v>43684</v>
      </c>
      <c r="B38" s="5" t="s">
        <v>3642</v>
      </c>
      <c r="C38" s="885" t="s">
        <v>3643</v>
      </c>
      <c r="D38" s="904">
        <v>43686</v>
      </c>
      <c r="E38" s="824" t="s">
        <v>1554</v>
      </c>
      <c r="F38" s="887">
        <v>0.69791666666666663</v>
      </c>
      <c r="G38" s="887">
        <v>0.72222222222222221</v>
      </c>
      <c r="H38" s="887">
        <v>0.73611111111111116</v>
      </c>
      <c r="I38" s="1102">
        <v>150</v>
      </c>
      <c r="J38" s="885" t="s">
        <v>369</v>
      </c>
      <c r="K38" s="885" t="s">
        <v>15</v>
      </c>
      <c r="L38" s="920" t="s">
        <v>17</v>
      </c>
    </row>
    <row r="39" spans="1:12" ht="43.5" x14ac:dyDescent="0.35">
      <c r="A39" s="896">
        <v>43685</v>
      </c>
      <c r="B39" s="876" t="s">
        <v>152</v>
      </c>
      <c r="C39" s="876" t="s">
        <v>3649</v>
      </c>
      <c r="D39" s="897">
        <v>43686</v>
      </c>
      <c r="E39" s="898" t="s">
        <v>3567</v>
      </c>
      <c r="F39" s="899">
        <v>0.58333333333333337</v>
      </c>
      <c r="G39" s="899">
        <v>0.60416666666666663</v>
      </c>
      <c r="H39" s="899">
        <v>0.61458333333333337</v>
      </c>
      <c r="I39" s="877">
        <v>0</v>
      </c>
      <c r="J39" s="876" t="s">
        <v>289</v>
      </c>
      <c r="K39" s="876" t="s">
        <v>15</v>
      </c>
      <c r="L39" s="878" t="s">
        <v>17</v>
      </c>
    </row>
    <row r="40" spans="1:12" s="866" customFormat="1" ht="29" x14ac:dyDescent="0.35">
      <c r="A40" s="882">
        <v>43685</v>
      </c>
      <c r="B40" s="7" t="s">
        <v>20</v>
      </c>
      <c r="C40" s="7" t="s">
        <v>3654</v>
      </c>
      <c r="D40" s="883">
        <v>43686</v>
      </c>
      <c r="E40" s="5" t="s">
        <v>20</v>
      </c>
      <c r="F40" s="5" t="s">
        <v>15</v>
      </c>
      <c r="G40" s="5" t="s">
        <v>15</v>
      </c>
      <c r="H40" s="5" t="s">
        <v>15</v>
      </c>
      <c r="I40" s="5">
        <v>0</v>
      </c>
      <c r="J40" s="5" t="s">
        <v>20</v>
      </c>
      <c r="K40" s="826" t="s">
        <v>15</v>
      </c>
      <c r="L40" s="807" t="s">
        <v>22</v>
      </c>
    </row>
    <row r="41" spans="1:12" s="866" customFormat="1" ht="29" x14ac:dyDescent="0.35">
      <c r="A41" s="882">
        <v>43685</v>
      </c>
      <c r="B41" s="7" t="s">
        <v>20</v>
      </c>
      <c r="C41" s="7" t="s">
        <v>3651</v>
      </c>
      <c r="D41" s="883">
        <v>43686</v>
      </c>
      <c r="E41" s="5" t="s">
        <v>20</v>
      </c>
      <c r="F41" s="5" t="s">
        <v>15</v>
      </c>
      <c r="G41" s="5" t="s">
        <v>15</v>
      </c>
      <c r="H41" s="5" t="s">
        <v>15</v>
      </c>
      <c r="I41" s="5">
        <v>0</v>
      </c>
      <c r="J41" s="5" t="s">
        <v>20</v>
      </c>
      <c r="K41" s="5" t="s">
        <v>15</v>
      </c>
      <c r="L41" s="807" t="s">
        <v>22</v>
      </c>
    </row>
    <row r="42" spans="1:12" s="866" customFormat="1" ht="29" x14ac:dyDescent="0.35">
      <c r="A42" s="882">
        <v>43685</v>
      </c>
      <c r="B42" s="7" t="s">
        <v>20</v>
      </c>
      <c r="C42" s="7" t="s">
        <v>3653</v>
      </c>
      <c r="D42" s="883">
        <v>43686</v>
      </c>
      <c r="E42" s="5" t="s">
        <v>20</v>
      </c>
      <c r="F42" s="5" t="s">
        <v>15</v>
      </c>
      <c r="G42" s="5" t="s">
        <v>15</v>
      </c>
      <c r="H42" s="5" t="s">
        <v>15</v>
      </c>
      <c r="I42" s="5">
        <v>0</v>
      </c>
      <c r="J42" s="5" t="s">
        <v>20</v>
      </c>
      <c r="K42" s="5" t="s">
        <v>15</v>
      </c>
      <c r="L42" s="807" t="s">
        <v>22</v>
      </c>
    </row>
    <row r="43" spans="1:12" ht="343.4" customHeight="1" x14ac:dyDescent="0.35">
      <c r="A43" s="861">
        <v>43649</v>
      </c>
      <c r="B43" s="819" t="s">
        <v>3625</v>
      </c>
      <c r="C43" s="819" t="s">
        <v>3627</v>
      </c>
      <c r="D43" s="1010">
        <v>43687</v>
      </c>
      <c r="E43" s="867" t="s">
        <v>3655</v>
      </c>
      <c r="F43" s="1026">
        <v>0.64583333333333337</v>
      </c>
      <c r="G43" s="1026">
        <v>0.65625</v>
      </c>
      <c r="H43" s="1026">
        <v>0.66666666666666663</v>
      </c>
      <c r="I43" s="939">
        <v>714</v>
      </c>
      <c r="J43" s="826" t="s">
        <v>3626</v>
      </c>
      <c r="K43" s="855" t="s">
        <v>15</v>
      </c>
      <c r="L43" s="857" t="s">
        <v>17</v>
      </c>
    </row>
    <row r="44" spans="1:12" ht="304.5" x14ac:dyDescent="0.35">
      <c r="A44" s="830">
        <v>43665</v>
      </c>
      <c r="B44" s="819" t="s">
        <v>3663</v>
      </c>
      <c r="C44" s="1137" t="s">
        <v>4506</v>
      </c>
      <c r="D44" s="833">
        <v>43687</v>
      </c>
      <c r="E44" s="819" t="s">
        <v>3656</v>
      </c>
      <c r="F44" s="913">
        <v>0.64583333333333337</v>
      </c>
      <c r="G44" s="913">
        <v>0.71875</v>
      </c>
      <c r="H44" s="913">
        <v>0.72222222222222221</v>
      </c>
      <c r="I44" s="942">
        <v>2548.4</v>
      </c>
      <c r="J44" s="915" t="s">
        <v>3632</v>
      </c>
      <c r="K44" s="826" t="s">
        <v>15</v>
      </c>
      <c r="L44" s="829" t="s">
        <v>17</v>
      </c>
    </row>
    <row r="45" spans="1:12" s="866" customFormat="1" ht="98.15" customHeight="1" x14ac:dyDescent="0.35">
      <c r="A45" s="1017">
        <v>43678</v>
      </c>
      <c r="B45" s="17" t="s">
        <v>292</v>
      </c>
      <c r="C45" s="7" t="s">
        <v>3603</v>
      </c>
      <c r="D45" s="1022">
        <v>43687</v>
      </c>
      <c r="E45" s="26" t="s">
        <v>290</v>
      </c>
      <c r="F45" s="1025">
        <v>0.64583333333333337</v>
      </c>
      <c r="G45" s="1025">
        <v>0.77083333333333337</v>
      </c>
      <c r="H45" s="1025">
        <v>0.79166666666666663</v>
      </c>
      <c r="I45" s="844">
        <v>641.25</v>
      </c>
      <c r="J45" s="42" t="s">
        <v>3604</v>
      </c>
      <c r="K45" s="5" t="s">
        <v>15</v>
      </c>
      <c r="L45" s="809" t="s">
        <v>22</v>
      </c>
    </row>
    <row r="46" spans="1:12" s="866" customFormat="1" ht="43.5" x14ac:dyDescent="0.35">
      <c r="A46" s="840">
        <v>43682</v>
      </c>
      <c r="B46" s="841" t="s">
        <v>3598</v>
      </c>
      <c r="C46" s="841" t="s">
        <v>3599</v>
      </c>
      <c r="D46" s="842">
        <v>43687</v>
      </c>
      <c r="E46" s="824" t="s">
        <v>3600</v>
      </c>
      <c r="F46" s="843">
        <v>0.45833333333333331</v>
      </c>
      <c r="G46" s="843">
        <v>0.52083333333333337</v>
      </c>
      <c r="H46" s="843">
        <v>0.54166666666666663</v>
      </c>
      <c r="I46" s="940">
        <v>134.4</v>
      </c>
      <c r="J46" s="5" t="s">
        <v>1493</v>
      </c>
      <c r="K46" s="5" t="s">
        <v>15</v>
      </c>
      <c r="L46" s="807" t="s">
        <v>17</v>
      </c>
    </row>
    <row r="47" spans="1:12" s="866" customFormat="1" ht="43.5" x14ac:dyDescent="0.35">
      <c r="A47" s="905">
        <v>43683</v>
      </c>
      <c r="B47" s="7" t="s">
        <v>3644</v>
      </c>
      <c r="C47" s="7" t="s">
        <v>3657</v>
      </c>
      <c r="D47" s="906">
        <v>43687</v>
      </c>
      <c r="E47" s="881" t="s">
        <v>3645</v>
      </c>
      <c r="F47" s="880">
        <v>0.45833333333333331</v>
      </c>
      <c r="G47" s="880">
        <v>0.45833333333333331</v>
      </c>
      <c r="H47" s="880">
        <v>0.5</v>
      </c>
      <c r="I47" s="879" t="s">
        <v>3650</v>
      </c>
      <c r="J47" s="850" t="s">
        <v>3646</v>
      </c>
      <c r="K47" s="879"/>
      <c r="L47" s="809" t="s">
        <v>22</v>
      </c>
    </row>
    <row r="48" spans="1:12" ht="99" customHeight="1" x14ac:dyDescent="0.35">
      <c r="A48" s="888">
        <v>43683</v>
      </c>
      <c r="B48" s="828" t="s">
        <v>3644</v>
      </c>
      <c r="C48" s="828" t="s">
        <v>3657</v>
      </c>
      <c r="D48" s="891">
        <v>43687</v>
      </c>
      <c r="E48" s="919" t="s">
        <v>3645</v>
      </c>
      <c r="F48" s="901">
        <v>0.64583333333333337</v>
      </c>
      <c r="G48" s="901">
        <v>0.6875</v>
      </c>
      <c r="H48" s="901">
        <v>0.69791666666666663</v>
      </c>
      <c r="I48" s="877" t="s">
        <v>3650</v>
      </c>
      <c r="J48" s="915" t="s">
        <v>3646</v>
      </c>
      <c r="K48" s="877"/>
      <c r="L48" s="868" t="s">
        <v>22</v>
      </c>
    </row>
    <row r="49" spans="1:12" ht="72.5" x14ac:dyDescent="0.35">
      <c r="A49" s="896">
        <v>43685</v>
      </c>
      <c r="B49" s="876" t="s">
        <v>3644</v>
      </c>
      <c r="C49" s="876" t="s">
        <v>3664</v>
      </c>
      <c r="D49" s="897">
        <v>43688</v>
      </c>
      <c r="E49" s="898" t="s">
        <v>3665</v>
      </c>
      <c r="F49" s="899">
        <v>0.45833333333333331</v>
      </c>
      <c r="G49" s="899">
        <v>0.41666666666666669</v>
      </c>
      <c r="H49" s="899">
        <v>0.625</v>
      </c>
      <c r="I49" s="877">
        <v>1049</v>
      </c>
      <c r="J49" s="903" t="s">
        <v>3666</v>
      </c>
      <c r="K49" s="876" t="s">
        <v>140</v>
      </c>
      <c r="L49" s="878" t="s">
        <v>17</v>
      </c>
    </row>
    <row r="50" spans="1:12" ht="87" x14ac:dyDescent="0.35">
      <c r="A50" s="888">
        <v>43685</v>
      </c>
      <c r="B50" s="828" t="s">
        <v>3647</v>
      </c>
      <c r="C50" s="828" t="s">
        <v>3660</v>
      </c>
      <c r="D50" s="891">
        <v>43688</v>
      </c>
      <c r="E50" s="893" t="s">
        <v>3667</v>
      </c>
      <c r="F50" s="901">
        <v>0.45833333333333331</v>
      </c>
      <c r="G50" s="902">
        <v>0.60416666666666663</v>
      </c>
      <c r="H50" s="902">
        <v>0.625</v>
      </c>
      <c r="I50" s="942">
        <v>499</v>
      </c>
      <c r="J50" s="900" t="s">
        <v>3661</v>
      </c>
      <c r="K50" s="876" t="s">
        <v>140</v>
      </c>
      <c r="L50" s="868" t="s">
        <v>22</v>
      </c>
    </row>
    <row r="51" spans="1:12" ht="43.5" x14ac:dyDescent="0.35">
      <c r="A51" s="888">
        <v>43685</v>
      </c>
      <c r="B51" s="828" t="s">
        <v>3647</v>
      </c>
      <c r="C51" s="828" t="s">
        <v>3652</v>
      </c>
      <c r="D51" s="891">
        <v>43688</v>
      </c>
      <c r="E51" s="893" t="s">
        <v>3667</v>
      </c>
      <c r="F51" s="901">
        <v>0.45833333333333331</v>
      </c>
      <c r="G51" s="902">
        <v>0.60416666666666663</v>
      </c>
      <c r="H51" s="902">
        <v>0.625</v>
      </c>
      <c r="I51" s="941">
        <v>420</v>
      </c>
      <c r="J51" s="900" t="s">
        <v>3662</v>
      </c>
      <c r="K51" s="876" t="s">
        <v>140</v>
      </c>
      <c r="L51" s="868" t="s">
        <v>22</v>
      </c>
    </row>
    <row r="52" spans="1:12" ht="116" x14ac:dyDescent="0.35">
      <c r="A52" s="916">
        <v>43687</v>
      </c>
      <c r="B52" s="885" t="s">
        <v>152</v>
      </c>
      <c r="C52" s="885" t="s">
        <v>3658</v>
      </c>
      <c r="D52" s="904">
        <v>43688</v>
      </c>
      <c r="E52" s="886" t="s">
        <v>3659</v>
      </c>
      <c r="F52" s="887">
        <v>0.6875</v>
      </c>
      <c r="G52" s="887">
        <v>0.70833333333333337</v>
      </c>
      <c r="H52" s="887">
        <v>0.75</v>
      </c>
      <c r="I52" s="879">
        <v>270</v>
      </c>
      <c r="J52" s="1168" t="s">
        <v>3588</v>
      </c>
      <c r="K52" s="885" t="s">
        <v>140</v>
      </c>
      <c r="L52" s="878" t="s">
        <v>17</v>
      </c>
    </row>
    <row r="53" spans="1:12" ht="43.5" x14ac:dyDescent="0.35">
      <c r="A53" s="907">
        <v>43683</v>
      </c>
      <c r="B53" s="826" t="s">
        <v>3630</v>
      </c>
      <c r="C53" s="5" t="s">
        <v>3631</v>
      </c>
      <c r="D53" s="908">
        <v>43690</v>
      </c>
      <c r="E53" s="824" t="s">
        <v>836</v>
      </c>
      <c r="F53" s="6">
        <v>0.71527777777777779</v>
      </c>
      <c r="G53" s="6">
        <v>0.73958333333333337</v>
      </c>
      <c r="H53" s="6">
        <v>0.75</v>
      </c>
      <c r="I53" s="965">
        <v>150</v>
      </c>
      <c r="J53" s="5" t="s">
        <v>257</v>
      </c>
      <c r="K53" s="5" t="s">
        <v>15</v>
      </c>
      <c r="L53" s="807" t="s">
        <v>17</v>
      </c>
    </row>
    <row r="54" spans="1:12" ht="58" x14ac:dyDescent="0.35">
      <c r="A54" s="907">
        <v>43689</v>
      </c>
      <c r="B54" s="5" t="s">
        <v>20</v>
      </c>
      <c r="C54" s="5" t="s">
        <v>3697</v>
      </c>
      <c r="D54" s="908">
        <v>43690</v>
      </c>
      <c r="E54" s="817" t="s">
        <v>20</v>
      </c>
      <c r="F54" s="817" t="s">
        <v>15</v>
      </c>
      <c r="G54" s="817" t="s">
        <v>15</v>
      </c>
      <c r="H54" s="817" t="s">
        <v>15</v>
      </c>
      <c r="I54" s="817">
        <v>0</v>
      </c>
      <c r="J54" s="817" t="s">
        <v>20</v>
      </c>
      <c r="K54" s="817">
        <v>0</v>
      </c>
      <c r="L54" s="807" t="s">
        <v>17</v>
      </c>
    </row>
    <row r="55" spans="1:12" ht="29" x14ac:dyDescent="0.35">
      <c r="A55" s="907">
        <v>43689</v>
      </c>
      <c r="B55" s="816" t="s">
        <v>20</v>
      </c>
      <c r="C55" s="5" t="s">
        <v>3693</v>
      </c>
      <c r="D55" s="908">
        <v>43690</v>
      </c>
      <c r="E55" s="824" t="s">
        <v>3691</v>
      </c>
      <c r="F55" s="5" t="s">
        <v>15</v>
      </c>
      <c r="G55" s="6" t="s">
        <v>972</v>
      </c>
      <c r="H55" s="6" t="s">
        <v>972</v>
      </c>
      <c r="I55" s="817">
        <v>0</v>
      </c>
      <c r="J55" s="817" t="s">
        <v>20</v>
      </c>
      <c r="K55" s="5" t="s">
        <v>15</v>
      </c>
      <c r="L55" s="807" t="s">
        <v>22</v>
      </c>
    </row>
    <row r="56" spans="1:12" x14ac:dyDescent="0.35">
      <c r="A56" s="907">
        <v>43689</v>
      </c>
      <c r="B56" s="5" t="s">
        <v>15</v>
      </c>
      <c r="C56" s="5" t="s">
        <v>3701</v>
      </c>
      <c r="D56" s="908">
        <v>43690</v>
      </c>
      <c r="E56" s="824" t="s">
        <v>126</v>
      </c>
      <c r="F56" s="5" t="s">
        <v>15</v>
      </c>
      <c r="G56" s="5" t="s">
        <v>3213</v>
      </c>
      <c r="H56" s="5" t="s">
        <v>3213</v>
      </c>
      <c r="I56" s="7" t="s">
        <v>15</v>
      </c>
      <c r="J56" s="5" t="s">
        <v>15</v>
      </c>
      <c r="K56" s="5" t="s">
        <v>15</v>
      </c>
      <c r="L56" s="807" t="s">
        <v>17</v>
      </c>
    </row>
    <row r="57" spans="1:12" ht="29" x14ac:dyDescent="0.35">
      <c r="A57" s="937">
        <v>43689</v>
      </c>
      <c r="B57" s="5" t="s">
        <v>3702</v>
      </c>
      <c r="C57" s="5" t="s">
        <v>3703</v>
      </c>
      <c r="D57" s="938">
        <v>43690</v>
      </c>
      <c r="E57" s="824" t="s">
        <v>3704</v>
      </c>
      <c r="F57" s="928"/>
      <c r="G57" s="5" t="s">
        <v>3213</v>
      </c>
      <c r="H57" s="5" t="s">
        <v>3213</v>
      </c>
      <c r="I57" s="7" t="s">
        <v>15</v>
      </c>
      <c r="J57" s="5" t="s">
        <v>15</v>
      </c>
      <c r="K57" s="5" t="s">
        <v>15</v>
      </c>
      <c r="L57" s="807" t="s">
        <v>22</v>
      </c>
    </row>
    <row r="58" spans="1:12" ht="29" x14ac:dyDescent="0.35">
      <c r="A58" s="896">
        <v>43688</v>
      </c>
      <c r="B58" s="826" t="s">
        <v>402</v>
      </c>
      <c r="C58" s="826" t="s">
        <v>3668</v>
      </c>
      <c r="D58" s="897">
        <v>43691</v>
      </c>
      <c r="E58" s="872" t="s">
        <v>3669</v>
      </c>
      <c r="F58" s="826" t="s">
        <v>15</v>
      </c>
      <c r="G58" s="899">
        <v>0.625</v>
      </c>
      <c r="H58" s="899">
        <v>0.75</v>
      </c>
      <c r="I58" s="828" t="s">
        <v>3671</v>
      </c>
      <c r="J58" s="826" t="s">
        <v>3672</v>
      </c>
      <c r="K58" s="826" t="s">
        <v>136</v>
      </c>
      <c r="L58" s="829" t="s">
        <v>22</v>
      </c>
    </row>
    <row r="59" spans="1:12" ht="43.5" x14ac:dyDescent="0.35">
      <c r="A59" s="909">
        <v>43689</v>
      </c>
      <c r="B59" s="826" t="s">
        <v>3686</v>
      </c>
      <c r="C59" s="826" t="s">
        <v>3694</v>
      </c>
      <c r="D59" s="910">
        <v>43691</v>
      </c>
      <c r="E59" s="872" t="s">
        <v>3687</v>
      </c>
      <c r="F59" s="865">
        <v>0.54166666666666663</v>
      </c>
      <c r="G59" s="932">
        <v>0.58333333333333337</v>
      </c>
      <c r="H59" s="932">
        <v>0.625</v>
      </c>
      <c r="I59" s="934">
        <v>550</v>
      </c>
      <c r="J59" s="915" t="s">
        <v>3688</v>
      </c>
      <c r="K59" s="826" t="s">
        <v>119</v>
      </c>
      <c r="L59" s="829" t="s">
        <v>22</v>
      </c>
    </row>
    <row r="60" spans="1:12" s="866" customFormat="1" ht="87" x14ac:dyDescent="0.35">
      <c r="A60" s="907">
        <v>43689</v>
      </c>
      <c r="B60" s="5" t="s">
        <v>3642</v>
      </c>
      <c r="C60" s="5" t="s">
        <v>3698</v>
      </c>
      <c r="D60" s="908">
        <v>43691</v>
      </c>
      <c r="E60" s="824" t="s">
        <v>3699</v>
      </c>
      <c r="F60" s="6">
        <v>0.54166666666666663</v>
      </c>
      <c r="G60" s="6">
        <v>0.66666666666666663</v>
      </c>
      <c r="H60" s="6">
        <v>0.6875</v>
      </c>
      <c r="I60" s="965">
        <v>839</v>
      </c>
      <c r="J60" s="5" t="s">
        <v>3700</v>
      </c>
      <c r="K60" s="5" t="s">
        <v>119</v>
      </c>
      <c r="L60" s="807" t="s">
        <v>17</v>
      </c>
    </row>
    <row r="61" spans="1:12" ht="29" x14ac:dyDescent="0.35">
      <c r="A61" s="907">
        <v>43689</v>
      </c>
      <c r="B61" s="5" t="s">
        <v>3689</v>
      </c>
      <c r="C61" s="5" t="s">
        <v>3690</v>
      </c>
      <c r="D61" s="908">
        <v>43691</v>
      </c>
      <c r="E61" s="824" t="s">
        <v>3691</v>
      </c>
      <c r="F61" s="5" t="s">
        <v>15</v>
      </c>
      <c r="G61" s="6" t="s">
        <v>972</v>
      </c>
      <c r="H61" s="6" t="s">
        <v>972</v>
      </c>
      <c r="I61" s="7">
        <v>150</v>
      </c>
      <c r="J61" s="5" t="s">
        <v>3692</v>
      </c>
      <c r="K61" s="5" t="s">
        <v>15</v>
      </c>
      <c r="L61" s="807" t="s">
        <v>22</v>
      </c>
    </row>
    <row r="62" spans="1:12" ht="29" x14ac:dyDescent="0.35">
      <c r="A62" s="925">
        <v>43663</v>
      </c>
      <c r="B62" s="873" t="s">
        <v>20</v>
      </c>
      <c r="C62" s="874" t="s">
        <v>3634</v>
      </c>
      <c r="D62" s="981">
        <v>43692</v>
      </c>
      <c r="E62" s="817" t="s">
        <v>20</v>
      </c>
      <c r="F62" s="817" t="s">
        <v>15</v>
      </c>
      <c r="G62" s="817" t="s">
        <v>15</v>
      </c>
      <c r="H62" s="817" t="s">
        <v>15</v>
      </c>
      <c r="I62" s="817">
        <v>0</v>
      </c>
      <c r="J62" s="817" t="s">
        <v>20</v>
      </c>
      <c r="K62" s="817">
        <v>0</v>
      </c>
      <c r="L62" s="875"/>
    </row>
    <row r="63" spans="1:12" ht="29" x14ac:dyDescent="0.35">
      <c r="A63" s="907">
        <v>43689</v>
      </c>
      <c r="B63" s="5" t="s">
        <v>3677</v>
      </c>
      <c r="C63" s="5" t="s">
        <v>3679</v>
      </c>
      <c r="D63" s="908">
        <v>43692</v>
      </c>
      <c r="E63" s="824" t="s">
        <v>3678</v>
      </c>
      <c r="F63" s="6">
        <v>0.4375</v>
      </c>
      <c r="G63" s="6">
        <v>0.45833333333333331</v>
      </c>
      <c r="H63" s="6">
        <v>0.5</v>
      </c>
      <c r="I63" s="965">
        <v>300</v>
      </c>
      <c r="J63" s="5" t="s">
        <v>257</v>
      </c>
      <c r="K63" s="5" t="s">
        <v>15</v>
      </c>
      <c r="L63" s="807" t="s">
        <v>17</v>
      </c>
    </row>
    <row r="64" spans="1:12" ht="29" x14ac:dyDescent="0.35">
      <c r="A64" s="907">
        <v>43689</v>
      </c>
      <c r="B64" s="816" t="s">
        <v>20</v>
      </c>
      <c r="C64" s="5" t="s">
        <v>3708</v>
      </c>
      <c r="D64" s="908">
        <v>43692</v>
      </c>
      <c r="E64" s="824" t="s">
        <v>3691</v>
      </c>
      <c r="F64" s="5" t="s">
        <v>15</v>
      </c>
      <c r="G64" s="6" t="s">
        <v>972</v>
      </c>
      <c r="H64" s="6" t="s">
        <v>972</v>
      </c>
      <c r="I64" s="817">
        <v>0</v>
      </c>
      <c r="J64" s="817" t="s">
        <v>20</v>
      </c>
      <c r="K64" s="5" t="s">
        <v>15</v>
      </c>
      <c r="L64" s="5" t="s">
        <v>22</v>
      </c>
    </row>
    <row r="65" spans="1:12" ht="29" x14ac:dyDescent="0.35">
      <c r="A65" s="937">
        <v>43690</v>
      </c>
      <c r="B65" s="816" t="s">
        <v>20</v>
      </c>
      <c r="C65" s="817" t="s">
        <v>3713</v>
      </c>
      <c r="D65" s="818">
        <v>43692</v>
      </c>
      <c r="E65" s="817" t="s">
        <v>20</v>
      </c>
      <c r="F65" s="817" t="s">
        <v>15</v>
      </c>
      <c r="G65" s="817" t="s">
        <v>15</v>
      </c>
      <c r="H65" s="817" t="s">
        <v>15</v>
      </c>
      <c r="I65" s="817">
        <v>0</v>
      </c>
      <c r="J65" s="817" t="s">
        <v>20</v>
      </c>
      <c r="K65" s="817">
        <v>0</v>
      </c>
      <c r="L65" s="839"/>
    </row>
    <row r="66" spans="1:12" ht="58" x14ac:dyDescent="0.35">
      <c r="A66" s="945">
        <v>43689</v>
      </c>
      <c r="B66" s="10" t="s">
        <v>3705</v>
      </c>
      <c r="C66" s="10" t="s">
        <v>3707</v>
      </c>
      <c r="D66" s="946">
        <v>43693</v>
      </c>
      <c r="E66" s="823" t="s">
        <v>3706</v>
      </c>
      <c r="F66" s="819" t="s">
        <v>15</v>
      </c>
      <c r="G66" s="12">
        <v>0.75</v>
      </c>
      <c r="H66" s="12">
        <v>0.75</v>
      </c>
      <c r="I66" s="828" t="s">
        <v>15</v>
      </c>
      <c r="J66" s="828" t="s">
        <v>15</v>
      </c>
      <c r="K66" s="828" t="s">
        <v>15</v>
      </c>
      <c r="L66" s="807" t="s">
        <v>22</v>
      </c>
    </row>
    <row r="67" spans="1:12" ht="58" x14ac:dyDescent="0.35">
      <c r="A67" s="937">
        <v>43690</v>
      </c>
      <c r="B67" s="5" t="s">
        <v>292</v>
      </c>
      <c r="C67" s="5" t="s">
        <v>3716</v>
      </c>
      <c r="D67" s="938">
        <v>43693</v>
      </c>
      <c r="E67" s="824" t="s">
        <v>290</v>
      </c>
      <c r="F67" s="928" t="s">
        <v>15</v>
      </c>
      <c r="G67" s="6">
        <v>0.625</v>
      </c>
      <c r="H67" s="6">
        <v>0.83333333333333337</v>
      </c>
      <c r="I67" s="928">
        <v>0</v>
      </c>
      <c r="J67" s="5" t="s">
        <v>289</v>
      </c>
      <c r="K67" s="5" t="s">
        <v>119</v>
      </c>
      <c r="L67" s="807" t="s">
        <v>22</v>
      </c>
    </row>
    <row r="68" spans="1:12" ht="43.5" x14ac:dyDescent="0.35">
      <c r="A68" s="950">
        <v>43693</v>
      </c>
      <c r="B68" s="826" t="s">
        <v>22</v>
      </c>
      <c r="C68" s="826" t="s">
        <v>3725</v>
      </c>
      <c r="D68" s="952">
        <v>43693</v>
      </c>
      <c r="E68" s="872" t="s">
        <v>3726</v>
      </c>
      <c r="F68" s="951"/>
      <c r="G68" s="865" t="s">
        <v>972</v>
      </c>
      <c r="H68" s="865" t="s">
        <v>972</v>
      </c>
      <c r="I68" s="954">
        <v>240</v>
      </c>
      <c r="J68" s="826" t="s">
        <v>648</v>
      </c>
      <c r="K68" s="951"/>
      <c r="L68" s="829" t="s">
        <v>22</v>
      </c>
    </row>
    <row r="69" spans="1:12" ht="246.5" x14ac:dyDescent="0.35">
      <c r="A69" s="8">
        <v>43687</v>
      </c>
      <c r="B69" s="10" t="s">
        <v>3633</v>
      </c>
      <c r="C69" s="10" t="s">
        <v>3676</v>
      </c>
      <c r="D69" s="8">
        <v>43694</v>
      </c>
      <c r="E69" s="867" t="s">
        <v>3733</v>
      </c>
      <c r="F69" s="12">
        <v>0.65625</v>
      </c>
      <c r="G69" s="12">
        <v>0.73611111111111116</v>
      </c>
      <c r="H69" s="12">
        <v>0.75</v>
      </c>
      <c r="I69" s="7">
        <v>3802</v>
      </c>
      <c r="J69" s="850" t="s">
        <v>3732</v>
      </c>
      <c r="K69" s="5" t="s">
        <v>119</v>
      </c>
      <c r="L69" s="5" t="s">
        <v>17</v>
      </c>
    </row>
    <row r="70" spans="1:12" ht="130.5" x14ac:dyDescent="0.35">
      <c r="A70" s="825">
        <v>43689</v>
      </c>
      <c r="B70" s="826" t="s">
        <v>25</v>
      </c>
      <c r="C70" s="5" t="s">
        <v>3695</v>
      </c>
      <c r="D70" s="908">
        <v>43694</v>
      </c>
      <c r="E70" s="824" t="s">
        <v>27</v>
      </c>
      <c r="F70" s="6">
        <v>0.48958333333333331</v>
      </c>
      <c r="G70" s="6">
        <v>0.51041666666666663</v>
      </c>
      <c r="H70" s="6">
        <v>0.52430555555555558</v>
      </c>
      <c r="I70" s="7">
        <v>714</v>
      </c>
      <c r="J70" s="850" t="s">
        <v>3696</v>
      </c>
      <c r="K70" s="5" t="s">
        <v>15</v>
      </c>
      <c r="L70" s="807" t="s">
        <v>17</v>
      </c>
    </row>
    <row r="71" spans="1:12" ht="130.5" x14ac:dyDescent="0.35">
      <c r="A71" s="943">
        <v>43690</v>
      </c>
      <c r="B71" s="944" t="s">
        <v>3711</v>
      </c>
      <c r="C71" s="819" t="s">
        <v>3712</v>
      </c>
      <c r="D71" s="980">
        <v>43694</v>
      </c>
      <c r="E71" s="867" t="s">
        <v>3734</v>
      </c>
      <c r="F71" s="12">
        <v>0.48958333333333331</v>
      </c>
      <c r="G71" s="982">
        <v>0.54513888888888895</v>
      </c>
      <c r="H71" s="982">
        <v>0.55902777777777779</v>
      </c>
      <c r="I71" s="1162">
        <v>100</v>
      </c>
      <c r="J71" s="826" t="s">
        <v>257</v>
      </c>
      <c r="K71" s="947" t="s">
        <v>119</v>
      </c>
      <c r="L71" s="829" t="s">
        <v>17</v>
      </c>
    </row>
    <row r="72" spans="1:12" s="866" customFormat="1" ht="72.5" x14ac:dyDescent="0.35">
      <c r="A72" s="945">
        <v>43690</v>
      </c>
      <c r="B72" s="1104" t="s">
        <v>131</v>
      </c>
      <c r="C72" s="1104" t="s">
        <v>3710</v>
      </c>
      <c r="D72" s="946">
        <v>43694</v>
      </c>
      <c r="E72" s="1152" t="s">
        <v>129</v>
      </c>
      <c r="F72" s="12">
        <v>0.48958333333333331</v>
      </c>
      <c r="G72" s="956">
        <v>0.58333333333333337</v>
      </c>
      <c r="H72" s="956">
        <v>0.60416666666666663</v>
      </c>
      <c r="I72" s="1166">
        <v>1832.25</v>
      </c>
      <c r="J72" s="1169" t="s">
        <v>3709</v>
      </c>
      <c r="K72" s="947" t="s">
        <v>119</v>
      </c>
      <c r="L72" s="1177" t="s">
        <v>17</v>
      </c>
    </row>
    <row r="73" spans="1:12" ht="29" x14ac:dyDescent="0.35">
      <c r="A73" s="907">
        <v>43692</v>
      </c>
      <c r="B73" s="5" t="s">
        <v>131</v>
      </c>
      <c r="C73" s="5" t="s">
        <v>3717</v>
      </c>
      <c r="D73" s="908">
        <v>43694</v>
      </c>
      <c r="E73" s="824" t="s">
        <v>19</v>
      </c>
      <c r="F73" s="5" t="s">
        <v>15</v>
      </c>
      <c r="G73" s="6">
        <v>0.5</v>
      </c>
      <c r="H73" s="6">
        <v>0.58333333333333337</v>
      </c>
      <c r="I73" s="965">
        <v>128</v>
      </c>
      <c r="J73" s="5" t="s">
        <v>3718</v>
      </c>
      <c r="K73" s="5" t="s">
        <v>15</v>
      </c>
      <c r="L73" s="807" t="s">
        <v>17</v>
      </c>
    </row>
    <row r="74" spans="1:12" ht="116" x14ac:dyDescent="0.35">
      <c r="A74" s="1092">
        <v>43693</v>
      </c>
      <c r="B74" s="1095" t="s">
        <v>585</v>
      </c>
      <c r="C74" s="1095" t="s">
        <v>3735</v>
      </c>
      <c r="D74" s="1096">
        <v>43694</v>
      </c>
      <c r="E74" s="123" t="s">
        <v>441</v>
      </c>
      <c r="F74" s="957">
        <v>0.65625</v>
      </c>
      <c r="G74" s="1157">
        <v>0.68055555555555547</v>
      </c>
      <c r="H74" s="1157">
        <v>0.6875</v>
      </c>
      <c r="I74" s="954">
        <v>0</v>
      </c>
      <c r="J74" s="951" t="s">
        <v>289</v>
      </c>
      <c r="K74" s="951" t="s">
        <v>119</v>
      </c>
      <c r="L74" s="955" t="s">
        <v>17</v>
      </c>
    </row>
    <row r="75" spans="1:12" ht="58" x14ac:dyDescent="0.35">
      <c r="A75" s="1126">
        <v>43693</v>
      </c>
      <c r="B75" s="7" t="s">
        <v>3736</v>
      </c>
      <c r="C75" s="7" t="s">
        <v>3738</v>
      </c>
      <c r="D75" s="1143">
        <v>43694</v>
      </c>
      <c r="E75" s="881" t="s">
        <v>3737</v>
      </c>
      <c r="F75" s="1107">
        <v>0.65625</v>
      </c>
      <c r="G75" s="1158">
        <v>0.70833333333333337</v>
      </c>
      <c r="H75" s="1158">
        <v>0.71875</v>
      </c>
      <c r="I75" s="1163">
        <v>336</v>
      </c>
      <c r="J75" s="850" t="s">
        <v>3739</v>
      </c>
      <c r="K75" s="954"/>
      <c r="L75" s="809" t="s">
        <v>22</v>
      </c>
    </row>
    <row r="76" spans="1:12" ht="72.5" x14ac:dyDescent="0.35">
      <c r="A76" s="888">
        <v>43689</v>
      </c>
      <c r="B76" s="828" t="s">
        <v>402</v>
      </c>
      <c r="C76" s="828" t="s">
        <v>3740</v>
      </c>
      <c r="D76" s="891">
        <v>43696</v>
      </c>
      <c r="E76" s="919" t="s">
        <v>3670</v>
      </c>
      <c r="F76" s="901">
        <v>0.5</v>
      </c>
      <c r="G76" s="901">
        <v>0.5</v>
      </c>
      <c r="H76" s="901">
        <v>0.625</v>
      </c>
      <c r="I76" s="828" t="s">
        <v>3671</v>
      </c>
      <c r="J76" s="828" t="s">
        <v>3672</v>
      </c>
      <c r="K76" s="828" t="s">
        <v>140</v>
      </c>
      <c r="L76" s="868" t="s">
        <v>22</v>
      </c>
    </row>
    <row r="77" spans="1:12" ht="29" x14ac:dyDescent="0.35">
      <c r="A77" s="925">
        <v>43663</v>
      </c>
      <c r="B77" s="873" t="s">
        <v>262</v>
      </c>
      <c r="C77" s="1138" t="s">
        <v>3731</v>
      </c>
      <c r="D77" s="1141">
        <v>43697</v>
      </c>
      <c r="E77" s="1147" t="s">
        <v>73</v>
      </c>
      <c r="F77" s="1153">
        <v>0.52083333333333337</v>
      </c>
      <c r="G77" s="1153">
        <v>0.58333333333333337</v>
      </c>
      <c r="H77" s="1153">
        <v>0.625</v>
      </c>
      <c r="I77" s="1138">
        <v>0</v>
      </c>
      <c r="J77" s="874" t="s">
        <v>911</v>
      </c>
      <c r="K77" s="874">
        <v>0</v>
      </c>
      <c r="L77" s="875" t="s">
        <v>17</v>
      </c>
    </row>
    <row r="78" spans="1:12" ht="58" x14ac:dyDescent="0.35">
      <c r="A78" s="921">
        <v>43689</v>
      </c>
      <c r="B78" s="828" t="s">
        <v>2164</v>
      </c>
      <c r="C78" s="828" t="s">
        <v>3714</v>
      </c>
      <c r="D78" s="922">
        <v>43697</v>
      </c>
      <c r="E78" s="919" t="s">
        <v>229</v>
      </c>
      <c r="F78" s="865">
        <v>0.79166666666666663</v>
      </c>
      <c r="G78" s="931">
        <v>0.79166666666666663</v>
      </c>
      <c r="H78" s="931">
        <v>0.79166666666666663</v>
      </c>
      <c r="I78" s="828" t="s">
        <v>15</v>
      </c>
      <c r="J78" s="828" t="s">
        <v>16</v>
      </c>
      <c r="K78" s="826" t="s">
        <v>15</v>
      </c>
      <c r="L78" s="868" t="s">
        <v>22</v>
      </c>
    </row>
    <row r="79" spans="1:12" ht="29" x14ac:dyDescent="0.35">
      <c r="A79" s="950">
        <v>43693</v>
      </c>
      <c r="B79" s="951" t="s">
        <v>3727</v>
      </c>
      <c r="C79" s="951" t="s">
        <v>3728</v>
      </c>
      <c r="D79" s="952">
        <v>43697</v>
      </c>
      <c r="E79" s="953" t="s">
        <v>126</v>
      </c>
      <c r="F79" s="972">
        <v>0.52083333333333337</v>
      </c>
      <c r="G79" s="972">
        <v>0.54166666666666663</v>
      </c>
      <c r="H79" s="972">
        <v>0.58333333333333337</v>
      </c>
      <c r="I79" s="954">
        <v>0</v>
      </c>
      <c r="J79" s="951" t="s">
        <v>289</v>
      </c>
      <c r="K79" s="951" t="s">
        <v>15</v>
      </c>
      <c r="L79" s="955" t="s">
        <v>17</v>
      </c>
    </row>
    <row r="80" spans="1:12" ht="29" x14ac:dyDescent="0.35">
      <c r="A80" s="1125">
        <v>43693</v>
      </c>
      <c r="B80" s="951" t="s">
        <v>3727</v>
      </c>
      <c r="C80" s="947" t="s">
        <v>3729</v>
      </c>
      <c r="D80" s="952">
        <v>43698</v>
      </c>
      <c r="E80" s="953" t="s">
        <v>126</v>
      </c>
      <c r="F80" s="865">
        <v>0.5625</v>
      </c>
      <c r="G80" s="865">
        <v>0.63888888888888895</v>
      </c>
      <c r="H80" s="865">
        <v>0.65277777777777779</v>
      </c>
      <c r="I80" s="954">
        <v>0</v>
      </c>
      <c r="J80" s="951" t="s">
        <v>289</v>
      </c>
      <c r="K80" s="951" t="s">
        <v>15</v>
      </c>
      <c r="L80" s="955" t="s">
        <v>17</v>
      </c>
    </row>
    <row r="81" spans="1:12" ht="188.5" x14ac:dyDescent="0.35">
      <c r="A81" s="907">
        <v>43696</v>
      </c>
      <c r="B81" s="826" t="s">
        <v>3750</v>
      </c>
      <c r="C81" s="5" t="s">
        <v>3751</v>
      </c>
      <c r="D81" s="908">
        <v>43698</v>
      </c>
      <c r="E81" s="973" t="s">
        <v>3752</v>
      </c>
      <c r="F81" s="865">
        <v>0.5625</v>
      </c>
      <c r="G81" s="865">
        <v>0.58333333333333337</v>
      </c>
      <c r="H81" s="865">
        <v>0.59375</v>
      </c>
      <c r="I81" s="828">
        <v>0</v>
      </c>
      <c r="J81" s="826" t="s">
        <v>16</v>
      </c>
      <c r="K81" s="826" t="s">
        <v>15</v>
      </c>
      <c r="L81" s="807" t="s">
        <v>17</v>
      </c>
    </row>
    <row r="82" spans="1:12" ht="29" x14ac:dyDescent="0.35">
      <c r="A82" s="1093">
        <v>43696</v>
      </c>
      <c r="B82" s="4" t="s">
        <v>20</v>
      </c>
      <c r="C82" s="5" t="s">
        <v>3745</v>
      </c>
      <c r="D82" s="1097">
        <v>43698</v>
      </c>
      <c r="E82" s="5" t="s">
        <v>20</v>
      </c>
      <c r="F82" s="5" t="s">
        <v>15</v>
      </c>
      <c r="G82" s="5" t="s">
        <v>15</v>
      </c>
      <c r="H82" s="5" t="s">
        <v>15</v>
      </c>
      <c r="I82" s="5" t="s">
        <v>15</v>
      </c>
      <c r="J82" s="5" t="s">
        <v>20</v>
      </c>
      <c r="K82" s="5" t="s">
        <v>15</v>
      </c>
      <c r="L82" s="807" t="s">
        <v>22</v>
      </c>
    </row>
    <row r="83" spans="1:12" ht="72.5" x14ac:dyDescent="0.35">
      <c r="A83" s="1124">
        <v>43696</v>
      </c>
      <c r="B83" s="4" t="s">
        <v>20</v>
      </c>
      <c r="C83" s="5" t="s">
        <v>3757</v>
      </c>
      <c r="D83" s="1097">
        <v>43698</v>
      </c>
      <c r="E83" s="5" t="s">
        <v>20</v>
      </c>
      <c r="F83" s="5" t="s">
        <v>15</v>
      </c>
      <c r="G83" s="5" t="s">
        <v>15</v>
      </c>
      <c r="H83" s="5" t="s">
        <v>15</v>
      </c>
      <c r="I83" s="5" t="s">
        <v>15</v>
      </c>
      <c r="J83" s="5" t="s">
        <v>20</v>
      </c>
      <c r="K83" s="5" t="s">
        <v>15</v>
      </c>
      <c r="L83" s="807" t="s">
        <v>22</v>
      </c>
    </row>
    <row r="84" spans="1:12" ht="29" x14ac:dyDescent="0.35">
      <c r="A84" s="825">
        <v>43697</v>
      </c>
      <c r="B84" s="826" t="s">
        <v>262</v>
      </c>
      <c r="C84" s="826" t="s">
        <v>3776</v>
      </c>
      <c r="D84" s="827">
        <v>43698</v>
      </c>
      <c r="E84" s="872" t="s">
        <v>262</v>
      </c>
      <c r="F84" s="865">
        <v>0.41666666666666669</v>
      </c>
      <c r="G84" s="865">
        <v>0.47916666666666669</v>
      </c>
      <c r="H84" s="865">
        <v>0.5</v>
      </c>
      <c r="I84" s="828">
        <v>0</v>
      </c>
      <c r="J84" s="979" t="s">
        <v>16</v>
      </c>
      <c r="K84" s="979" t="s">
        <v>15</v>
      </c>
      <c r="L84" s="983" t="s">
        <v>17</v>
      </c>
    </row>
    <row r="85" spans="1:12" ht="72.5" x14ac:dyDescent="0.35">
      <c r="A85" s="978">
        <v>43697</v>
      </c>
      <c r="B85" s="979" t="s">
        <v>3758</v>
      </c>
      <c r="C85" s="979" t="s">
        <v>3759</v>
      </c>
      <c r="D85" s="1105">
        <v>43698</v>
      </c>
      <c r="E85" s="1098" t="s">
        <v>3760</v>
      </c>
      <c r="F85" s="1099">
        <v>0.5625</v>
      </c>
      <c r="G85" s="1099">
        <v>0.61458333333333337</v>
      </c>
      <c r="H85" s="1099">
        <v>0.625</v>
      </c>
      <c r="I85" s="974">
        <v>0</v>
      </c>
      <c r="J85" s="979" t="s">
        <v>16</v>
      </c>
      <c r="K85" s="979" t="s">
        <v>15</v>
      </c>
      <c r="L85" s="983" t="s">
        <v>17</v>
      </c>
    </row>
    <row r="86" spans="1:12" ht="29" x14ac:dyDescent="0.35">
      <c r="A86" s="925">
        <v>43663</v>
      </c>
      <c r="B86" s="874" t="s">
        <v>20</v>
      </c>
      <c r="C86" s="874" t="s">
        <v>3723</v>
      </c>
      <c r="D86" s="981">
        <v>43699</v>
      </c>
      <c r="E86" s="874" t="s">
        <v>20</v>
      </c>
      <c r="F86" s="874" t="s">
        <v>15</v>
      </c>
      <c r="G86" s="874" t="s">
        <v>15</v>
      </c>
      <c r="H86" s="874" t="s">
        <v>15</v>
      </c>
      <c r="I86" s="828">
        <v>0</v>
      </c>
      <c r="J86" s="874" t="s">
        <v>20</v>
      </c>
      <c r="K86" s="826" t="s">
        <v>15</v>
      </c>
      <c r="L86" s="875" t="s">
        <v>17</v>
      </c>
    </row>
    <row r="87" spans="1:12" ht="72.5" x14ac:dyDescent="0.35">
      <c r="A87" s="907">
        <v>43664</v>
      </c>
      <c r="B87" s="4" t="s">
        <v>20</v>
      </c>
      <c r="C87" s="5" t="s">
        <v>53</v>
      </c>
      <c r="D87" s="908">
        <v>43699</v>
      </c>
      <c r="E87" s="5" t="s">
        <v>20</v>
      </c>
      <c r="F87" s="5" t="s">
        <v>15</v>
      </c>
      <c r="G87" s="5" t="s">
        <v>15</v>
      </c>
      <c r="H87" s="5" t="s">
        <v>15</v>
      </c>
      <c r="I87" s="7">
        <v>0</v>
      </c>
      <c r="J87" s="826" t="s">
        <v>20</v>
      </c>
      <c r="K87" s="5" t="s">
        <v>15</v>
      </c>
      <c r="L87" s="807" t="s">
        <v>17</v>
      </c>
    </row>
    <row r="88" spans="1:12" ht="29" x14ac:dyDescent="0.35">
      <c r="A88" s="948">
        <v>43693</v>
      </c>
      <c r="B88" s="947" t="s">
        <v>3727</v>
      </c>
      <c r="C88" s="947" t="s">
        <v>3730</v>
      </c>
      <c r="D88" s="948">
        <v>43699</v>
      </c>
      <c r="E88" s="985" t="s">
        <v>126</v>
      </c>
      <c r="F88" s="1108">
        <v>0.54166666666666663</v>
      </c>
      <c r="G88" s="1108">
        <v>0.58333333333333337</v>
      </c>
      <c r="H88" s="1108">
        <v>0.59722222222222221</v>
      </c>
      <c r="I88" s="949">
        <v>0</v>
      </c>
      <c r="J88" s="947" t="s">
        <v>289</v>
      </c>
      <c r="K88" s="951" t="s">
        <v>15</v>
      </c>
      <c r="L88" s="947" t="s">
        <v>17</v>
      </c>
    </row>
    <row r="89" spans="1:12" ht="116" x14ac:dyDescent="0.35">
      <c r="A89" s="908">
        <v>43696</v>
      </c>
      <c r="B89" s="5" t="s">
        <v>3747</v>
      </c>
      <c r="C89" s="5" t="s">
        <v>3748</v>
      </c>
      <c r="D89" s="908">
        <v>43699</v>
      </c>
      <c r="E89" s="824" t="s">
        <v>3749</v>
      </c>
      <c r="F89" s="6">
        <v>0.39583333333333331</v>
      </c>
      <c r="G89" s="6">
        <v>0.39583333333333331</v>
      </c>
      <c r="H89" s="6">
        <v>0.39583333333333331</v>
      </c>
      <c r="I89" s="7">
        <v>0</v>
      </c>
      <c r="J89" s="5" t="s">
        <v>16</v>
      </c>
      <c r="K89" s="826" t="s">
        <v>15</v>
      </c>
      <c r="L89" s="5" t="s">
        <v>17</v>
      </c>
    </row>
    <row r="90" spans="1:12" ht="29" x14ac:dyDescent="0.35">
      <c r="A90" s="970">
        <v>43696</v>
      </c>
      <c r="B90" s="927" t="s">
        <v>20</v>
      </c>
      <c r="C90" s="826" t="s">
        <v>3755</v>
      </c>
      <c r="D90" s="971">
        <v>43699</v>
      </c>
      <c r="E90" s="826" t="s">
        <v>20</v>
      </c>
      <c r="F90" s="826" t="s">
        <v>15</v>
      </c>
      <c r="G90" s="826" t="s">
        <v>15</v>
      </c>
      <c r="H90" s="826" t="s">
        <v>15</v>
      </c>
      <c r="I90" s="826" t="s">
        <v>15</v>
      </c>
      <c r="J90" s="826" t="s">
        <v>20</v>
      </c>
      <c r="K90" s="826" t="s">
        <v>15</v>
      </c>
      <c r="L90" s="829" t="s">
        <v>22</v>
      </c>
    </row>
    <row r="91" spans="1:12" ht="29" x14ac:dyDescent="0.35">
      <c r="A91" s="907">
        <v>43697</v>
      </c>
      <c r="B91" s="5" t="s">
        <v>262</v>
      </c>
      <c r="C91" s="5" t="s">
        <v>3776</v>
      </c>
      <c r="D91" s="908">
        <v>43699</v>
      </c>
      <c r="E91" s="824" t="s">
        <v>262</v>
      </c>
      <c r="F91" s="6">
        <v>0.39583333333333331</v>
      </c>
      <c r="G91" s="6">
        <v>0.44791666666666669</v>
      </c>
      <c r="H91" s="6">
        <v>0.45833333333333331</v>
      </c>
      <c r="I91" s="7">
        <v>0</v>
      </c>
      <c r="J91" s="5" t="s">
        <v>16</v>
      </c>
      <c r="K91" s="826" t="s">
        <v>119</v>
      </c>
      <c r="L91" s="807" t="s">
        <v>17</v>
      </c>
    </row>
    <row r="92" spans="1:12" ht="58" x14ac:dyDescent="0.35">
      <c r="A92" s="884">
        <v>43697</v>
      </c>
      <c r="B92" s="828" t="s">
        <v>131</v>
      </c>
      <c r="C92" s="828" t="s">
        <v>3774</v>
      </c>
      <c r="D92" s="1023">
        <v>43699</v>
      </c>
      <c r="E92" s="919" t="s">
        <v>129</v>
      </c>
      <c r="F92" s="902">
        <v>0.54166666666666663</v>
      </c>
      <c r="G92" s="902">
        <v>0.55902777777777779</v>
      </c>
      <c r="H92" s="902">
        <v>0.56944444444444442</v>
      </c>
      <c r="I92" s="828">
        <v>520</v>
      </c>
      <c r="J92" s="915" t="s">
        <v>3775</v>
      </c>
      <c r="K92" s="826" t="s">
        <v>119</v>
      </c>
      <c r="L92" s="829" t="s">
        <v>17</v>
      </c>
    </row>
    <row r="93" spans="1:12" ht="29" x14ac:dyDescent="0.35">
      <c r="A93" s="1093">
        <v>43697</v>
      </c>
      <c r="B93" s="4" t="s">
        <v>20</v>
      </c>
      <c r="C93" s="5" t="s">
        <v>3765</v>
      </c>
      <c r="D93" s="1097">
        <v>43699</v>
      </c>
      <c r="E93" s="5" t="s">
        <v>20</v>
      </c>
      <c r="F93" s="5" t="s">
        <v>15</v>
      </c>
      <c r="G93" s="5" t="s">
        <v>15</v>
      </c>
      <c r="H93" s="5" t="s">
        <v>15</v>
      </c>
      <c r="I93" s="5" t="s">
        <v>15</v>
      </c>
      <c r="J93" s="5" t="s">
        <v>20</v>
      </c>
      <c r="K93" s="5" t="s">
        <v>15</v>
      </c>
      <c r="L93" s="807" t="s">
        <v>22</v>
      </c>
    </row>
    <row r="94" spans="1:12" ht="72.5" x14ac:dyDescent="0.35">
      <c r="A94" s="1002">
        <v>43698</v>
      </c>
      <c r="B94" s="999" t="s">
        <v>152</v>
      </c>
      <c r="C94" s="999" t="s">
        <v>3790</v>
      </c>
      <c r="D94" s="1002">
        <v>43699</v>
      </c>
      <c r="E94" s="1004" t="s">
        <v>3567</v>
      </c>
      <c r="F94" s="1003">
        <v>0.39583333333333331</v>
      </c>
      <c r="G94" s="1003">
        <v>0.41666666666666669</v>
      </c>
      <c r="H94" s="1003">
        <v>0.42708333333333331</v>
      </c>
      <c r="I94" s="998">
        <v>225</v>
      </c>
      <c r="J94" s="999" t="s">
        <v>3588</v>
      </c>
      <c r="K94" s="999" t="s">
        <v>15</v>
      </c>
      <c r="L94" s="999" t="s">
        <v>17</v>
      </c>
    </row>
    <row r="95" spans="1:12" ht="58" x14ac:dyDescent="0.35">
      <c r="A95" s="825">
        <v>43698</v>
      </c>
      <c r="B95" s="826" t="s">
        <v>3642</v>
      </c>
      <c r="C95" s="826" t="s">
        <v>3785</v>
      </c>
      <c r="D95" s="827">
        <v>43699</v>
      </c>
      <c r="E95" s="872" t="s">
        <v>3786</v>
      </c>
      <c r="F95" s="865">
        <v>0.54166666666666663</v>
      </c>
      <c r="G95" s="865">
        <v>0.625</v>
      </c>
      <c r="H95" s="865">
        <v>0.63888888888888895</v>
      </c>
      <c r="I95" s="965">
        <v>168</v>
      </c>
      <c r="J95" s="5" t="s">
        <v>3787</v>
      </c>
      <c r="K95" s="826" t="s">
        <v>119</v>
      </c>
      <c r="L95" s="829" t="s">
        <v>17</v>
      </c>
    </row>
    <row r="96" spans="1:12" ht="29" x14ac:dyDescent="0.35">
      <c r="A96" s="986">
        <v>43698</v>
      </c>
      <c r="B96" s="987" t="s">
        <v>3780</v>
      </c>
      <c r="C96" s="987" t="s">
        <v>3781</v>
      </c>
      <c r="D96" s="988">
        <v>43699</v>
      </c>
      <c r="E96" s="989" t="s">
        <v>3795</v>
      </c>
      <c r="F96" s="992">
        <v>0.54166666666666663</v>
      </c>
      <c r="G96" s="992">
        <v>0.64583333333333337</v>
      </c>
      <c r="H96" s="992">
        <v>0.6875</v>
      </c>
      <c r="I96" s="990">
        <v>0</v>
      </c>
      <c r="J96" s="987" t="s">
        <v>911</v>
      </c>
      <c r="K96" s="826" t="s">
        <v>119</v>
      </c>
      <c r="L96" s="991" t="s">
        <v>17</v>
      </c>
    </row>
    <row r="97" spans="1:12" ht="29" x14ac:dyDescent="0.35">
      <c r="A97" s="852">
        <v>43666</v>
      </c>
      <c r="B97" s="816" t="s">
        <v>20</v>
      </c>
      <c r="C97" s="817" t="s">
        <v>3773</v>
      </c>
      <c r="D97" s="818">
        <v>43700</v>
      </c>
      <c r="E97" s="817" t="s">
        <v>20</v>
      </c>
      <c r="F97" s="817" t="s">
        <v>15</v>
      </c>
      <c r="G97" s="817" t="s">
        <v>15</v>
      </c>
      <c r="H97" s="817" t="s">
        <v>15</v>
      </c>
      <c r="I97" s="817" t="s">
        <v>15</v>
      </c>
      <c r="J97" s="817" t="s">
        <v>20</v>
      </c>
      <c r="K97" s="817">
        <v>0</v>
      </c>
      <c r="L97" s="839" t="s">
        <v>17</v>
      </c>
    </row>
    <row r="98" spans="1:12" ht="58" x14ac:dyDescent="0.35">
      <c r="A98" s="1006">
        <v>43696</v>
      </c>
      <c r="B98" s="874" t="s">
        <v>292</v>
      </c>
      <c r="C98" s="874" t="s">
        <v>3746</v>
      </c>
      <c r="D98" s="1007">
        <v>43700</v>
      </c>
      <c r="E98" s="874" t="s">
        <v>290</v>
      </c>
      <c r="F98" s="1008">
        <v>0.4375</v>
      </c>
      <c r="G98" s="1008">
        <v>0.56944444444444442</v>
      </c>
      <c r="H98" s="1008">
        <v>0.58333333333333337</v>
      </c>
      <c r="I98" s="969">
        <v>0</v>
      </c>
      <c r="J98" s="951" t="s">
        <v>289</v>
      </c>
      <c r="K98" s="1009"/>
      <c r="L98" s="875" t="s">
        <v>22</v>
      </c>
    </row>
    <row r="99" spans="1:12" ht="72.5" x14ac:dyDescent="0.35">
      <c r="A99" s="825">
        <v>43697</v>
      </c>
      <c r="B99" s="826" t="s">
        <v>262</v>
      </c>
      <c r="C99" s="826" t="s">
        <v>3815</v>
      </c>
      <c r="D99" s="827">
        <v>43700</v>
      </c>
      <c r="E99" s="872" t="s">
        <v>262</v>
      </c>
      <c r="F99" s="865">
        <v>0.4375</v>
      </c>
      <c r="G99" s="865">
        <v>0.48958333333333331</v>
      </c>
      <c r="H99" s="865">
        <v>0.49305555555555558</v>
      </c>
      <c r="I99" s="828">
        <v>0</v>
      </c>
      <c r="J99" s="826" t="s">
        <v>16</v>
      </c>
      <c r="K99" s="826" t="s">
        <v>15</v>
      </c>
      <c r="L99" s="829" t="s">
        <v>17</v>
      </c>
    </row>
    <row r="100" spans="1:12" ht="43.5" x14ac:dyDescent="0.35">
      <c r="A100" s="825">
        <v>43697</v>
      </c>
      <c r="B100" s="826" t="s">
        <v>3769</v>
      </c>
      <c r="C100" s="826" t="s">
        <v>3768</v>
      </c>
      <c r="D100" s="827">
        <v>43700</v>
      </c>
      <c r="E100" s="872" t="s">
        <v>3770</v>
      </c>
      <c r="F100" s="865">
        <v>0.4375</v>
      </c>
      <c r="G100" s="865">
        <v>0.61458333333333337</v>
      </c>
      <c r="H100" s="865">
        <v>0.625</v>
      </c>
      <c r="I100" s="942">
        <v>204</v>
      </c>
      <c r="J100" s="826" t="s">
        <v>3771</v>
      </c>
      <c r="K100" s="826" t="s">
        <v>15</v>
      </c>
      <c r="L100" s="829" t="s">
        <v>17</v>
      </c>
    </row>
    <row r="101" spans="1:12" ht="116" x14ac:dyDescent="0.35">
      <c r="A101" s="986">
        <v>43698</v>
      </c>
      <c r="B101" s="987" t="s">
        <v>3801</v>
      </c>
      <c r="C101" s="987" t="s">
        <v>3803</v>
      </c>
      <c r="D101" s="988">
        <v>43700</v>
      </c>
      <c r="E101" s="989" t="s">
        <v>3802</v>
      </c>
      <c r="F101" s="992">
        <v>0.4375</v>
      </c>
      <c r="G101" s="992">
        <v>0.52083333333333337</v>
      </c>
      <c r="H101" s="992">
        <v>0.53125</v>
      </c>
      <c r="I101" s="1045">
        <f>2*199+269+2.4*120</f>
        <v>955</v>
      </c>
      <c r="J101" s="987" t="s">
        <v>294</v>
      </c>
      <c r="K101" s="987" t="s">
        <v>15</v>
      </c>
      <c r="L101" s="991" t="s">
        <v>17</v>
      </c>
    </row>
    <row r="102" spans="1:12" ht="29" x14ac:dyDescent="0.35">
      <c r="A102" s="986">
        <v>43698</v>
      </c>
      <c r="B102" s="826" t="s">
        <v>3798</v>
      </c>
      <c r="C102" s="826" t="s">
        <v>3799</v>
      </c>
      <c r="D102" s="981">
        <v>43700</v>
      </c>
      <c r="E102" s="874" t="s">
        <v>20</v>
      </c>
      <c r="F102" s="874" t="s">
        <v>15</v>
      </c>
      <c r="G102" s="874" t="s">
        <v>15</v>
      </c>
      <c r="H102" s="874" t="s">
        <v>15</v>
      </c>
      <c r="I102" s="874" t="s">
        <v>15</v>
      </c>
      <c r="J102" s="874" t="s">
        <v>20</v>
      </c>
      <c r="K102" s="874">
        <v>0</v>
      </c>
      <c r="L102" s="875" t="s">
        <v>22</v>
      </c>
    </row>
    <row r="103" spans="1:12" ht="29" x14ac:dyDescent="0.35">
      <c r="A103" s="986">
        <v>43699</v>
      </c>
      <c r="B103" s="987" t="s">
        <v>3808</v>
      </c>
      <c r="C103" s="987" t="s">
        <v>3806</v>
      </c>
      <c r="D103" s="988">
        <v>43700</v>
      </c>
      <c r="E103" s="1004" t="s">
        <v>3807</v>
      </c>
      <c r="F103" s="1003">
        <v>0.4375</v>
      </c>
      <c r="G103" s="1003">
        <v>0.4513888888888889</v>
      </c>
      <c r="H103" s="1003">
        <v>0.46527777777777773</v>
      </c>
      <c r="I103" s="1044">
        <v>297</v>
      </c>
      <c r="J103" s="999" t="s">
        <v>257</v>
      </c>
      <c r="K103" s="999" t="s">
        <v>15</v>
      </c>
      <c r="L103" s="991" t="s">
        <v>17</v>
      </c>
    </row>
    <row r="104" spans="1:12" ht="174" x14ac:dyDescent="0.35">
      <c r="A104" s="830">
        <v>43660</v>
      </c>
      <c r="B104" s="1132" t="s">
        <v>3830</v>
      </c>
      <c r="C104" s="1132" t="s">
        <v>3831</v>
      </c>
      <c r="D104" s="833">
        <v>43701</v>
      </c>
      <c r="E104" s="1132" t="s">
        <v>3837</v>
      </c>
      <c r="F104" s="913">
        <v>0.64583333333333337</v>
      </c>
      <c r="G104" s="1159">
        <v>0.66666666666666663</v>
      </c>
      <c r="H104" s="1159">
        <v>0.67361111111111116</v>
      </c>
      <c r="I104" s="918">
        <v>234</v>
      </c>
      <c r="J104" s="826" t="s">
        <v>3832</v>
      </c>
      <c r="K104" s="5" t="s">
        <v>140</v>
      </c>
      <c r="L104" s="829" t="s">
        <v>17</v>
      </c>
    </row>
    <row r="105" spans="1:12" ht="319" x14ac:dyDescent="0.35">
      <c r="A105" s="8">
        <v>43664</v>
      </c>
      <c r="B105" s="10" t="s">
        <v>3834</v>
      </c>
      <c r="C105" s="10" t="s">
        <v>3833</v>
      </c>
      <c r="D105" s="8">
        <v>43701</v>
      </c>
      <c r="E105" s="10" t="s">
        <v>3835</v>
      </c>
      <c r="F105" s="12">
        <v>0.64583333333333337</v>
      </c>
      <c r="G105" s="12">
        <v>0.75</v>
      </c>
      <c r="H105" s="12">
        <v>0.75694444444444453</v>
      </c>
      <c r="I105" s="7">
        <v>4818.5</v>
      </c>
      <c r="J105" s="850" t="s">
        <v>62</v>
      </c>
      <c r="K105" s="5" t="s">
        <v>140</v>
      </c>
      <c r="L105" s="5" t="s">
        <v>17</v>
      </c>
    </row>
    <row r="106" spans="1:12" ht="58" x14ac:dyDescent="0.35">
      <c r="A106" s="830">
        <v>43682</v>
      </c>
      <c r="B106" s="819" t="s">
        <v>3836</v>
      </c>
      <c r="C106" s="819" t="s">
        <v>3766</v>
      </c>
      <c r="D106" s="833">
        <v>43701</v>
      </c>
      <c r="E106" s="867" t="s">
        <v>73</v>
      </c>
      <c r="F106" s="913">
        <v>0.4375</v>
      </c>
      <c r="G106" s="913">
        <v>0.49305555555555558</v>
      </c>
      <c r="H106" s="913">
        <v>0.50694444444444442</v>
      </c>
      <c r="I106" s="828">
        <v>1700</v>
      </c>
      <c r="J106" s="915" t="s">
        <v>3621</v>
      </c>
      <c r="K106" s="5" t="s">
        <v>140</v>
      </c>
      <c r="L106" s="829" t="s">
        <v>17</v>
      </c>
    </row>
    <row r="107" spans="1:12" ht="43.5" x14ac:dyDescent="0.35">
      <c r="A107" s="896">
        <v>43689</v>
      </c>
      <c r="B107" s="826" t="s">
        <v>402</v>
      </c>
      <c r="C107" s="828" t="s">
        <v>3724</v>
      </c>
      <c r="D107" s="897">
        <v>43701</v>
      </c>
      <c r="E107" s="826" t="s">
        <v>3669</v>
      </c>
      <c r="F107" s="826" t="s">
        <v>15</v>
      </c>
      <c r="G107" s="865" t="s">
        <v>15</v>
      </c>
      <c r="H107" s="865" t="s">
        <v>15</v>
      </c>
      <c r="I107" s="1160">
        <v>1017</v>
      </c>
      <c r="J107" s="826" t="s">
        <v>3673</v>
      </c>
      <c r="K107" s="5" t="s">
        <v>136</v>
      </c>
      <c r="L107" s="829" t="s">
        <v>22</v>
      </c>
    </row>
    <row r="108" spans="1:12" ht="58" x14ac:dyDescent="0.35">
      <c r="A108" s="830">
        <v>43692</v>
      </c>
      <c r="B108" s="819" t="s">
        <v>3838</v>
      </c>
      <c r="C108" s="819" t="s">
        <v>3720</v>
      </c>
      <c r="D108" s="833">
        <v>43701</v>
      </c>
      <c r="E108" s="867" t="s">
        <v>3719</v>
      </c>
      <c r="F108" s="913">
        <v>0.6875</v>
      </c>
      <c r="G108" s="913">
        <v>0.68402777777777779</v>
      </c>
      <c r="H108" s="913">
        <v>0.69097222222222221</v>
      </c>
      <c r="I108" s="942">
        <v>410</v>
      </c>
      <c r="J108" s="826" t="s">
        <v>3721</v>
      </c>
      <c r="K108" s="5" t="s">
        <v>3223</v>
      </c>
      <c r="L108" s="829" t="s">
        <v>3722</v>
      </c>
    </row>
    <row r="109" spans="1:12" ht="159.5" x14ac:dyDescent="0.35">
      <c r="A109" s="1128">
        <v>43696</v>
      </c>
      <c r="B109" s="1133" t="s">
        <v>25</v>
      </c>
      <c r="C109" s="1133" t="s">
        <v>3741</v>
      </c>
      <c r="D109" s="1144">
        <v>43701</v>
      </c>
      <c r="E109" s="824" t="s">
        <v>27</v>
      </c>
      <c r="F109" s="1155">
        <v>0.4375</v>
      </c>
      <c r="G109" s="1155">
        <v>0.45833333333333331</v>
      </c>
      <c r="H109" s="1155">
        <v>0.47222222222222227</v>
      </c>
      <c r="I109" s="1164">
        <v>1190</v>
      </c>
      <c r="J109" s="850" t="s">
        <v>3839</v>
      </c>
      <c r="K109" s="5" t="s">
        <v>140</v>
      </c>
      <c r="L109" s="1174" t="s">
        <v>17</v>
      </c>
    </row>
    <row r="110" spans="1:12" ht="72.5" x14ac:dyDescent="0.35">
      <c r="A110" s="966">
        <v>43696</v>
      </c>
      <c r="B110" s="819" t="s">
        <v>292</v>
      </c>
      <c r="C110" s="123" t="s">
        <v>3743</v>
      </c>
      <c r="D110" s="967">
        <v>43701</v>
      </c>
      <c r="E110" s="867" t="s">
        <v>290</v>
      </c>
      <c r="F110" s="968">
        <v>0.4375</v>
      </c>
      <c r="G110" s="968">
        <v>0.53125</v>
      </c>
      <c r="H110" s="968">
        <v>0.54166666666666663</v>
      </c>
      <c r="I110" s="969">
        <v>825</v>
      </c>
      <c r="J110" s="915" t="s">
        <v>3744</v>
      </c>
      <c r="K110" s="5" t="s">
        <v>140</v>
      </c>
      <c r="L110" s="829" t="s">
        <v>22</v>
      </c>
    </row>
    <row r="111" spans="1:12" ht="116" x14ac:dyDescent="0.35">
      <c r="A111" s="830">
        <v>43696</v>
      </c>
      <c r="B111" s="819" t="s">
        <v>131</v>
      </c>
      <c r="C111" s="819" t="s">
        <v>3754</v>
      </c>
      <c r="D111" s="833">
        <v>43701</v>
      </c>
      <c r="E111" s="867" t="s">
        <v>129</v>
      </c>
      <c r="F111" s="913">
        <v>0.4375</v>
      </c>
      <c r="G111" s="913">
        <v>0.57291666666666663</v>
      </c>
      <c r="H111" s="913">
        <v>0.59027777777777779</v>
      </c>
      <c r="I111" s="828">
        <v>866.25</v>
      </c>
      <c r="J111" s="915" t="s">
        <v>3753</v>
      </c>
      <c r="K111" s="5" t="s">
        <v>140</v>
      </c>
      <c r="L111" s="829" t="s">
        <v>17</v>
      </c>
    </row>
    <row r="112" spans="1:12" ht="232" x14ac:dyDescent="0.35">
      <c r="A112" s="993">
        <v>43698</v>
      </c>
      <c r="B112" s="994" t="s">
        <v>3822</v>
      </c>
      <c r="C112" s="994" t="s">
        <v>3783</v>
      </c>
      <c r="D112" s="995">
        <v>43701</v>
      </c>
      <c r="E112" s="996" t="s">
        <v>3782</v>
      </c>
      <c r="F112" s="997">
        <v>0.64583333333333337</v>
      </c>
      <c r="G112" s="997">
        <v>0.70138888888888884</v>
      </c>
      <c r="H112" s="997">
        <v>0.71527777777777779</v>
      </c>
      <c r="I112" s="990">
        <v>2696</v>
      </c>
      <c r="J112" s="1167" t="s">
        <v>3818</v>
      </c>
      <c r="K112" s="5" t="s">
        <v>140</v>
      </c>
      <c r="L112" s="991" t="s">
        <v>17</v>
      </c>
    </row>
    <row r="113" spans="1:12" ht="58" x14ac:dyDescent="0.35">
      <c r="A113" s="830">
        <v>43622</v>
      </c>
      <c r="B113" s="819" t="s">
        <v>63</v>
      </c>
      <c r="C113" s="819" t="s">
        <v>3814</v>
      </c>
      <c r="D113" s="833">
        <v>43702</v>
      </c>
      <c r="E113" s="819" t="s">
        <v>65</v>
      </c>
      <c r="F113" s="913">
        <v>0.60416666666666663</v>
      </c>
      <c r="G113" s="913">
        <v>0.65625</v>
      </c>
      <c r="H113" s="913">
        <v>0.66666666666666663</v>
      </c>
      <c r="I113" s="942">
        <v>1296</v>
      </c>
      <c r="J113" s="826" t="s">
        <v>3784</v>
      </c>
      <c r="K113" s="826" t="s">
        <v>140</v>
      </c>
      <c r="L113" s="829" t="s">
        <v>17</v>
      </c>
    </row>
    <row r="114" spans="1:12" ht="101.5" x14ac:dyDescent="0.35">
      <c r="A114" s="958">
        <v>43696</v>
      </c>
      <c r="B114" s="959" t="s">
        <v>25</v>
      </c>
      <c r="C114" s="959" t="s">
        <v>3742</v>
      </c>
      <c r="D114" s="960">
        <v>43702</v>
      </c>
      <c r="E114" s="961" t="s">
        <v>27</v>
      </c>
      <c r="F114" s="964">
        <v>0.47916666666666669</v>
      </c>
      <c r="G114" s="964">
        <v>0.49305555555555558</v>
      </c>
      <c r="H114" s="964">
        <v>0.5</v>
      </c>
      <c r="I114" s="962">
        <v>0</v>
      </c>
      <c r="J114" s="826" t="s">
        <v>3840</v>
      </c>
      <c r="K114" s="826" t="s">
        <v>140</v>
      </c>
      <c r="L114" s="963" t="s">
        <v>17</v>
      </c>
    </row>
    <row r="115" spans="1:12" ht="362.5" x14ac:dyDescent="0.35">
      <c r="A115" s="975">
        <v>43696</v>
      </c>
      <c r="B115" s="976" t="s">
        <v>3756</v>
      </c>
      <c r="C115" s="976" t="s">
        <v>3817</v>
      </c>
      <c r="D115" s="977">
        <v>43702</v>
      </c>
      <c r="E115" s="976" t="s">
        <v>3767</v>
      </c>
      <c r="F115" s="1011">
        <v>0.47916666666666669</v>
      </c>
      <c r="G115" s="1011">
        <v>0.53125</v>
      </c>
      <c r="H115" s="1011">
        <v>0.53472222222222221</v>
      </c>
      <c r="I115" s="1046">
        <v>1278</v>
      </c>
      <c r="J115" s="915" t="s">
        <v>3816</v>
      </c>
      <c r="K115" s="826" t="s">
        <v>140</v>
      </c>
      <c r="L115" s="868" t="s">
        <v>22</v>
      </c>
    </row>
    <row r="116" spans="1:12" ht="116" x14ac:dyDescent="0.35">
      <c r="A116" s="830">
        <v>43697</v>
      </c>
      <c r="B116" s="819" t="s">
        <v>131</v>
      </c>
      <c r="C116" s="819" t="s">
        <v>3794</v>
      </c>
      <c r="D116" s="833">
        <v>43702</v>
      </c>
      <c r="E116" s="867" t="s">
        <v>129</v>
      </c>
      <c r="F116" s="913">
        <v>0.60416666666666663</v>
      </c>
      <c r="G116" s="913">
        <v>0.61805555555555558</v>
      </c>
      <c r="H116" s="913">
        <v>0.63194444444444442</v>
      </c>
      <c r="I116" s="828">
        <v>1319.35</v>
      </c>
      <c r="J116" s="915" t="s">
        <v>3772</v>
      </c>
      <c r="K116" s="826" t="s">
        <v>140</v>
      </c>
      <c r="L116" s="829" t="s">
        <v>17</v>
      </c>
    </row>
    <row r="117" spans="1:12" ht="87" x14ac:dyDescent="0.35">
      <c r="A117" s="993">
        <v>43698</v>
      </c>
      <c r="B117" s="819" t="s">
        <v>3797</v>
      </c>
      <c r="C117" s="819" t="s">
        <v>3796</v>
      </c>
      <c r="D117" s="995">
        <v>43702</v>
      </c>
      <c r="E117" s="994" t="s">
        <v>3842</v>
      </c>
      <c r="F117" s="997">
        <v>0.60416666666666663</v>
      </c>
      <c r="G117" s="997">
        <v>0.6875</v>
      </c>
      <c r="H117" s="997">
        <v>0.69791666666666663</v>
      </c>
      <c r="I117" s="1045">
        <v>375</v>
      </c>
      <c r="J117" s="826" t="s">
        <v>45</v>
      </c>
      <c r="K117" s="826" t="s">
        <v>140</v>
      </c>
      <c r="L117" s="829" t="s">
        <v>22</v>
      </c>
    </row>
    <row r="118" spans="1:12" ht="29" x14ac:dyDescent="0.35">
      <c r="A118" s="1013">
        <v>43702</v>
      </c>
      <c r="B118" s="1020" t="s">
        <v>15</v>
      </c>
      <c r="C118" s="828" t="s">
        <v>911</v>
      </c>
      <c r="D118" s="1023">
        <v>43703</v>
      </c>
      <c r="E118" s="828" t="s">
        <v>3852</v>
      </c>
      <c r="F118" s="902">
        <v>0.4375</v>
      </c>
      <c r="G118" s="902">
        <v>0.45833333333333331</v>
      </c>
      <c r="H118" s="902">
        <v>0.66666666666666663</v>
      </c>
      <c r="I118" s="974">
        <v>0</v>
      </c>
      <c r="J118" s="915" t="s">
        <v>15</v>
      </c>
      <c r="K118" s="826" t="s">
        <v>119</v>
      </c>
      <c r="L118" s="868" t="s">
        <v>17</v>
      </c>
    </row>
    <row r="119" spans="1:12" ht="29" x14ac:dyDescent="0.35">
      <c r="A119" s="1001">
        <v>43702</v>
      </c>
      <c r="B119" s="999" t="s">
        <v>3854</v>
      </c>
      <c r="C119" s="999" t="s">
        <v>3853</v>
      </c>
      <c r="D119" s="1002">
        <v>43703</v>
      </c>
      <c r="E119" s="1004" t="s">
        <v>493</v>
      </c>
      <c r="F119" s="1003">
        <v>0.4375</v>
      </c>
      <c r="G119" s="1003">
        <v>0.45833333333333331</v>
      </c>
      <c r="H119" s="1003">
        <v>0.54166666666666663</v>
      </c>
      <c r="I119" s="998">
        <v>0</v>
      </c>
      <c r="J119" s="999" t="s">
        <v>15</v>
      </c>
      <c r="K119" s="999" t="s">
        <v>119</v>
      </c>
      <c r="L119" s="1000" t="s">
        <v>17</v>
      </c>
    </row>
    <row r="120" spans="1:12" ht="29" x14ac:dyDescent="0.35">
      <c r="A120" s="986">
        <v>43702</v>
      </c>
      <c r="B120" s="873" t="s">
        <v>20</v>
      </c>
      <c r="C120" s="874" t="s">
        <v>3851</v>
      </c>
      <c r="D120" s="981">
        <v>43703</v>
      </c>
      <c r="E120" s="874" t="s">
        <v>20</v>
      </c>
      <c r="F120" s="874" t="s">
        <v>15</v>
      </c>
      <c r="G120" s="874" t="s">
        <v>15</v>
      </c>
      <c r="H120" s="874" t="s">
        <v>15</v>
      </c>
      <c r="I120" s="874">
        <v>0</v>
      </c>
      <c r="J120" s="874" t="s">
        <v>20</v>
      </c>
      <c r="K120" s="874" t="s">
        <v>15</v>
      </c>
      <c r="L120" s="875" t="s">
        <v>17</v>
      </c>
    </row>
    <row r="121" spans="1:12" ht="101.5" x14ac:dyDescent="0.35">
      <c r="A121" s="1001">
        <v>43698</v>
      </c>
      <c r="B121" s="987" t="s">
        <v>3777</v>
      </c>
      <c r="C121" s="5" t="s">
        <v>3887</v>
      </c>
      <c r="D121" s="1002">
        <v>43704</v>
      </c>
      <c r="E121" s="989" t="s">
        <v>3779</v>
      </c>
      <c r="F121" s="992">
        <v>0.47916666666666669</v>
      </c>
      <c r="G121" s="992">
        <v>0.54166666666666663</v>
      </c>
      <c r="H121" s="992">
        <v>0.55555555555555558</v>
      </c>
      <c r="I121" s="1045">
        <v>496</v>
      </c>
      <c r="J121" s="826" t="s">
        <v>3885</v>
      </c>
      <c r="K121" s="987" t="s">
        <v>15</v>
      </c>
      <c r="L121" s="1000" t="s">
        <v>17</v>
      </c>
    </row>
    <row r="122" spans="1:12" ht="275.5" x14ac:dyDescent="0.35">
      <c r="A122" s="986">
        <v>43698</v>
      </c>
      <c r="B122" s="987" t="s">
        <v>3855</v>
      </c>
      <c r="C122" s="826" t="s">
        <v>3888</v>
      </c>
      <c r="D122" s="988">
        <v>43704</v>
      </c>
      <c r="E122" s="989" t="s">
        <v>3778</v>
      </c>
      <c r="F122" s="992">
        <v>0.47916666666666669</v>
      </c>
      <c r="G122" s="992">
        <v>0.58333333333333337</v>
      </c>
      <c r="H122" s="992">
        <v>0.59722222222222221</v>
      </c>
      <c r="I122" s="990">
        <v>0</v>
      </c>
      <c r="J122" s="826" t="s">
        <v>3886</v>
      </c>
      <c r="K122" s="987" t="s">
        <v>15</v>
      </c>
      <c r="L122" s="991" t="s">
        <v>17</v>
      </c>
    </row>
    <row r="123" spans="1:12" ht="58" x14ac:dyDescent="0.35">
      <c r="A123" s="986">
        <v>43698</v>
      </c>
      <c r="B123" s="987" t="s">
        <v>3788</v>
      </c>
      <c r="C123" s="987" t="s">
        <v>3789</v>
      </c>
      <c r="D123" s="988">
        <v>43704</v>
      </c>
      <c r="E123" s="872" t="s">
        <v>3865</v>
      </c>
      <c r="F123" s="865">
        <v>0.60416666666666663</v>
      </c>
      <c r="G123" s="992">
        <v>0.60416666666666663</v>
      </c>
      <c r="H123" s="992">
        <v>0.60416666666666663</v>
      </c>
      <c r="I123" s="990">
        <v>0</v>
      </c>
      <c r="J123" s="987" t="s">
        <v>289</v>
      </c>
      <c r="K123" s="987" t="s">
        <v>15</v>
      </c>
      <c r="L123" s="991" t="s">
        <v>17</v>
      </c>
    </row>
    <row r="124" spans="1:12" ht="58" x14ac:dyDescent="0.35">
      <c r="A124" s="1001">
        <v>43700</v>
      </c>
      <c r="B124" s="5" t="s">
        <v>3890</v>
      </c>
      <c r="C124" s="999" t="s">
        <v>3829</v>
      </c>
      <c r="D124" s="1002">
        <v>43704</v>
      </c>
      <c r="E124" s="1004" t="s">
        <v>27</v>
      </c>
      <c r="F124" s="1003">
        <v>0.47916666666666669</v>
      </c>
      <c r="G124" s="1003">
        <v>0.66666666666666663</v>
      </c>
      <c r="H124" s="1003">
        <v>0.66666666666666663</v>
      </c>
      <c r="I124" s="998">
        <v>0</v>
      </c>
      <c r="J124" s="999" t="s">
        <v>289</v>
      </c>
      <c r="K124" s="817" t="s">
        <v>15</v>
      </c>
      <c r="L124" s="817" t="s">
        <v>17</v>
      </c>
    </row>
    <row r="125" spans="1:12" ht="58" x14ac:dyDescent="0.35">
      <c r="A125" s="993">
        <v>43702</v>
      </c>
      <c r="B125" s="994" t="s">
        <v>3848</v>
      </c>
      <c r="C125" s="994" t="s">
        <v>3849</v>
      </c>
      <c r="D125" s="995">
        <v>43704</v>
      </c>
      <c r="E125" s="867" t="s">
        <v>3850</v>
      </c>
      <c r="F125" s="997">
        <v>0.47916666666666669</v>
      </c>
      <c r="G125" s="997">
        <v>0.63194444444444442</v>
      </c>
      <c r="H125" s="997">
        <v>0.64583333333333337</v>
      </c>
      <c r="I125" s="1045">
        <v>360</v>
      </c>
      <c r="J125" s="987" t="s">
        <v>257</v>
      </c>
      <c r="K125" s="987" t="s">
        <v>15</v>
      </c>
      <c r="L125" s="991" t="s">
        <v>17</v>
      </c>
    </row>
    <row r="126" spans="1:12" s="866" customFormat="1" ht="43.5" x14ac:dyDescent="0.35">
      <c r="A126" s="907">
        <v>43703</v>
      </c>
      <c r="B126" s="817" t="s">
        <v>262</v>
      </c>
      <c r="C126" s="817" t="s">
        <v>3876</v>
      </c>
      <c r="D126" s="818">
        <v>43704</v>
      </c>
      <c r="E126" s="1015" t="s">
        <v>262</v>
      </c>
      <c r="F126" s="1016">
        <v>0.47916666666666669</v>
      </c>
      <c r="G126" s="1016">
        <v>0.51388888888888895</v>
      </c>
      <c r="H126" s="1016">
        <v>0.52777777777777779</v>
      </c>
      <c r="I126" s="874">
        <v>0</v>
      </c>
      <c r="J126" s="874" t="s">
        <v>16</v>
      </c>
      <c r="K126" s="874" t="s">
        <v>15</v>
      </c>
      <c r="L126" s="839" t="s">
        <v>17</v>
      </c>
    </row>
    <row r="127" spans="1:12" ht="130.5" x14ac:dyDescent="0.35">
      <c r="A127" s="986">
        <v>43701</v>
      </c>
      <c r="B127" s="987" t="s">
        <v>3841</v>
      </c>
      <c r="C127" s="826" t="s">
        <v>3903</v>
      </c>
      <c r="D127" s="988">
        <v>43705</v>
      </c>
      <c r="E127" s="872" t="s">
        <v>3908</v>
      </c>
      <c r="F127" s="992">
        <v>0.54166666666666663</v>
      </c>
      <c r="G127" s="992">
        <v>0.5625</v>
      </c>
      <c r="H127" s="992">
        <v>0.57291666666666663</v>
      </c>
      <c r="I127" s="990">
        <v>0</v>
      </c>
      <c r="J127" s="826" t="s">
        <v>16</v>
      </c>
      <c r="K127" s="987" t="s">
        <v>15</v>
      </c>
      <c r="L127" s="991" t="s">
        <v>17</v>
      </c>
    </row>
    <row r="128" spans="1:12" ht="116" x14ac:dyDescent="0.35">
      <c r="A128" s="907">
        <v>43703</v>
      </c>
      <c r="B128" s="5" t="s">
        <v>3866</v>
      </c>
      <c r="C128" s="5" t="s">
        <v>3868</v>
      </c>
      <c r="D128" s="827">
        <v>43705</v>
      </c>
      <c r="E128" s="824" t="s">
        <v>3867</v>
      </c>
      <c r="F128" s="6">
        <v>0.54166666666666663</v>
      </c>
      <c r="G128" s="6">
        <v>0.59722222222222221</v>
      </c>
      <c r="H128" s="6">
        <v>0.61111111111111105</v>
      </c>
      <c r="I128" s="7">
        <v>0</v>
      </c>
      <c r="J128" s="826" t="s">
        <v>16</v>
      </c>
      <c r="K128" s="5" t="s">
        <v>15</v>
      </c>
      <c r="L128" s="807" t="s">
        <v>17</v>
      </c>
    </row>
    <row r="129" spans="1:12" ht="245.9" customHeight="1" x14ac:dyDescent="0.35">
      <c r="A129" s="8">
        <v>43703</v>
      </c>
      <c r="B129" s="10" t="s">
        <v>3911</v>
      </c>
      <c r="C129" s="10" t="s">
        <v>3909</v>
      </c>
      <c r="D129" s="8">
        <v>43705</v>
      </c>
      <c r="E129" s="823" t="s">
        <v>3910</v>
      </c>
      <c r="F129" s="12">
        <v>0.69791666666666663</v>
      </c>
      <c r="G129" s="12">
        <v>0.72569444444444453</v>
      </c>
      <c r="H129" s="12">
        <v>0.73263888888888884</v>
      </c>
      <c r="I129" s="965">
        <v>300</v>
      </c>
      <c r="J129" s="5" t="s">
        <v>3923</v>
      </c>
      <c r="K129" s="5" t="s">
        <v>15</v>
      </c>
      <c r="L129" s="5" t="s">
        <v>17</v>
      </c>
    </row>
    <row r="130" spans="1:12" ht="29" x14ac:dyDescent="0.35">
      <c r="A130" s="884">
        <v>43697</v>
      </c>
      <c r="B130" s="828" t="s">
        <v>20</v>
      </c>
      <c r="C130" s="828" t="s">
        <v>3764</v>
      </c>
      <c r="D130" s="1023">
        <v>43706</v>
      </c>
      <c r="E130" s="919" t="s">
        <v>20</v>
      </c>
      <c r="F130" s="828" t="s">
        <v>15</v>
      </c>
      <c r="G130" s="828" t="s">
        <v>15</v>
      </c>
      <c r="H130" s="828" t="s">
        <v>15</v>
      </c>
      <c r="I130" s="828">
        <v>0</v>
      </c>
      <c r="J130" s="828" t="s">
        <v>20</v>
      </c>
      <c r="K130" s="828">
        <v>0</v>
      </c>
      <c r="L130" s="868" t="s">
        <v>17</v>
      </c>
    </row>
    <row r="131" spans="1:12" ht="43.5" x14ac:dyDescent="0.35">
      <c r="A131" s="907">
        <v>43703</v>
      </c>
      <c r="B131" s="817" t="s">
        <v>262</v>
      </c>
      <c r="C131" s="817" t="s">
        <v>3876</v>
      </c>
      <c r="D131" s="981">
        <v>43706</v>
      </c>
      <c r="E131" s="1149" t="s">
        <v>262</v>
      </c>
      <c r="F131" s="1154">
        <v>0.47916666666666669</v>
      </c>
      <c r="G131" s="1154">
        <v>0.52777777777777779</v>
      </c>
      <c r="H131" s="1154">
        <v>0.54166666666666663</v>
      </c>
      <c r="I131" s="7">
        <v>0</v>
      </c>
      <c r="J131" s="874" t="s">
        <v>3924</v>
      </c>
      <c r="K131" s="817" t="s">
        <v>15</v>
      </c>
      <c r="L131" s="839" t="s">
        <v>17</v>
      </c>
    </row>
    <row r="132" spans="1:12" ht="29" x14ac:dyDescent="0.35">
      <c r="A132" s="1094">
        <v>43703</v>
      </c>
      <c r="B132" s="828" t="s">
        <v>3798</v>
      </c>
      <c r="C132" s="828" t="s">
        <v>3895</v>
      </c>
      <c r="D132" s="1023">
        <v>43706</v>
      </c>
      <c r="E132" s="828" t="s">
        <v>15</v>
      </c>
      <c r="F132" s="828" t="s">
        <v>15</v>
      </c>
      <c r="G132" s="828" t="s">
        <v>15</v>
      </c>
      <c r="H132" s="828" t="s">
        <v>15</v>
      </c>
      <c r="I132" s="828" t="s">
        <v>15</v>
      </c>
      <c r="J132" s="828" t="s">
        <v>15</v>
      </c>
      <c r="K132" s="828" t="s">
        <v>15</v>
      </c>
      <c r="L132" s="868" t="s">
        <v>22</v>
      </c>
    </row>
    <row r="133" spans="1:12" ht="116" x14ac:dyDescent="0.35">
      <c r="A133" s="1036">
        <v>43704</v>
      </c>
      <c r="B133" s="1037" t="s">
        <v>3914</v>
      </c>
      <c r="C133" s="826" t="s">
        <v>3943</v>
      </c>
      <c r="D133" s="1038">
        <v>43706</v>
      </c>
      <c r="E133" s="1039" t="s">
        <v>129</v>
      </c>
      <c r="F133" s="1042">
        <v>0.47916666666666669</v>
      </c>
      <c r="G133" s="865">
        <v>0.5</v>
      </c>
      <c r="H133" s="1042">
        <v>0.50694444444444442</v>
      </c>
      <c r="I133" s="1040">
        <v>0</v>
      </c>
      <c r="J133" s="1037" t="s">
        <v>289</v>
      </c>
      <c r="K133" s="1037" t="s">
        <v>15</v>
      </c>
      <c r="L133" s="1041" t="s">
        <v>17</v>
      </c>
    </row>
    <row r="134" spans="1:12" ht="29" x14ac:dyDescent="0.35">
      <c r="A134" s="1123">
        <v>43704</v>
      </c>
      <c r="B134" s="1037" t="s">
        <v>3915</v>
      </c>
      <c r="C134" s="1091" t="s">
        <v>3917</v>
      </c>
      <c r="D134" s="1140">
        <v>43706</v>
      </c>
      <c r="E134" s="824" t="s">
        <v>3916</v>
      </c>
      <c r="F134" s="865">
        <v>0.47916666666666669</v>
      </c>
      <c r="G134" s="1042">
        <v>0.66666666666666663</v>
      </c>
      <c r="H134" s="1042">
        <v>0.67708333333333337</v>
      </c>
      <c r="I134" s="1040">
        <v>0</v>
      </c>
      <c r="J134" s="1091" t="s">
        <v>289</v>
      </c>
      <c r="K134" s="1037" t="s">
        <v>15</v>
      </c>
      <c r="L134" s="1171" t="s">
        <v>17</v>
      </c>
    </row>
    <row r="135" spans="1:12" ht="29" x14ac:dyDescent="0.35">
      <c r="A135" s="1047">
        <v>43704</v>
      </c>
      <c r="B135" s="828" t="s">
        <v>20</v>
      </c>
      <c r="C135" s="826" t="s">
        <v>3930</v>
      </c>
      <c r="D135" s="1051">
        <v>43706</v>
      </c>
      <c r="E135" s="872" t="s">
        <v>3798</v>
      </c>
      <c r="F135" s="1037" t="s">
        <v>15</v>
      </c>
      <c r="G135" s="1037" t="s">
        <v>15</v>
      </c>
      <c r="H135" s="1037" t="s">
        <v>15</v>
      </c>
      <c r="I135" s="1037" t="s">
        <v>15</v>
      </c>
      <c r="J135" s="826" t="s">
        <v>3798</v>
      </c>
      <c r="K135" s="1037" t="s">
        <v>15</v>
      </c>
      <c r="L135" s="829" t="s">
        <v>22</v>
      </c>
    </row>
    <row r="136" spans="1:12" ht="87" x14ac:dyDescent="0.35">
      <c r="A136" s="907">
        <v>43705</v>
      </c>
      <c r="B136" s="817" t="s">
        <v>3911</v>
      </c>
      <c r="C136" s="817" t="s">
        <v>911</v>
      </c>
      <c r="D136" s="818">
        <v>43706</v>
      </c>
      <c r="E136" s="817" t="s">
        <v>3910</v>
      </c>
      <c r="F136" s="1154">
        <v>0.47916666666666669</v>
      </c>
      <c r="G136" s="1154">
        <v>0.55555555555555558</v>
      </c>
      <c r="H136" s="1154">
        <v>0.5625</v>
      </c>
      <c r="I136" s="817">
        <v>0</v>
      </c>
      <c r="J136" s="817" t="s">
        <v>911</v>
      </c>
      <c r="K136" s="817">
        <v>0</v>
      </c>
      <c r="L136" s="839" t="s">
        <v>17</v>
      </c>
    </row>
    <row r="137" spans="1:12" ht="43.5" x14ac:dyDescent="0.35">
      <c r="A137" s="825">
        <v>43705</v>
      </c>
      <c r="B137" s="826" t="s">
        <v>3931</v>
      </c>
      <c r="C137" s="826" t="s">
        <v>3932</v>
      </c>
      <c r="D137" s="827">
        <v>43706</v>
      </c>
      <c r="E137" s="872" t="s">
        <v>441</v>
      </c>
      <c r="F137" s="865">
        <v>0.47916666666666669</v>
      </c>
      <c r="G137" s="865">
        <v>0.59722222222222221</v>
      </c>
      <c r="H137" s="865">
        <v>0.60416666666666663</v>
      </c>
      <c r="I137" s="942">
        <v>180</v>
      </c>
      <c r="J137" s="826" t="s">
        <v>257</v>
      </c>
      <c r="K137" s="826" t="s">
        <v>15</v>
      </c>
      <c r="L137" s="829" t="s">
        <v>17</v>
      </c>
    </row>
    <row r="138" spans="1:12" ht="29" x14ac:dyDescent="0.35">
      <c r="A138" s="825">
        <v>43705</v>
      </c>
      <c r="B138" s="826" t="s">
        <v>3933</v>
      </c>
      <c r="C138" s="826" t="s">
        <v>3934</v>
      </c>
      <c r="D138" s="827">
        <v>43706</v>
      </c>
      <c r="E138" s="872" t="s">
        <v>126</v>
      </c>
      <c r="F138" s="865">
        <v>0.47916666666666669</v>
      </c>
      <c r="G138" s="865">
        <v>0.625</v>
      </c>
      <c r="H138" s="865">
        <v>0.63888888888888895</v>
      </c>
      <c r="I138" s="828">
        <v>0</v>
      </c>
      <c r="J138" s="826" t="s">
        <v>289</v>
      </c>
      <c r="K138" s="826" t="s">
        <v>15</v>
      </c>
      <c r="L138" s="829" t="s">
        <v>17</v>
      </c>
    </row>
    <row r="139" spans="1:12" ht="29" x14ac:dyDescent="0.35">
      <c r="A139" s="907">
        <v>43705</v>
      </c>
      <c r="B139" s="816" t="s">
        <v>20</v>
      </c>
      <c r="C139" s="817" t="s">
        <v>3938</v>
      </c>
      <c r="D139" s="818">
        <v>43706</v>
      </c>
      <c r="E139" s="817" t="s">
        <v>20</v>
      </c>
      <c r="F139" s="817" t="s">
        <v>15</v>
      </c>
      <c r="G139" s="817" t="s">
        <v>15</v>
      </c>
      <c r="H139" s="817" t="s">
        <v>15</v>
      </c>
      <c r="I139" s="817">
        <v>0</v>
      </c>
      <c r="J139" s="817" t="s">
        <v>20</v>
      </c>
      <c r="K139" s="817" t="s">
        <v>15</v>
      </c>
      <c r="L139" s="839" t="s">
        <v>17</v>
      </c>
    </row>
    <row r="140" spans="1:12" ht="29" x14ac:dyDescent="0.35">
      <c r="A140" s="907">
        <v>43705</v>
      </c>
      <c r="B140" s="816" t="s">
        <v>20</v>
      </c>
      <c r="C140" s="817" t="s">
        <v>3942</v>
      </c>
      <c r="D140" s="818">
        <v>43706</v>
      </c>
      <c r="E140" s="817" t="s">
        <v>20</v>
      </c>
      <c r="F140" s="817" t="s">
        <v>15</v>
      </c>
      <c r="G140" s="817" t="s">
        <v>15</v>
      </c>
      <c r="H140" s="817" t="s">
        <v>15</v>
      </c>
      <c r="I140" s="817">
        <v>0</v>
      </c>
      <c r="J140" s="817" t="s">
        <v>20</v>
      </c>
      <c r="K140" s="817" t="s">
        <v>15</v>
      </c>
      <c r="L140" s="839" t="s">
        <v>17</v>
      </c>
    </row>
    <row r="141" spans="1:12" ht="43.5" x14ac:dyDescent="0.35">
      <c r="A141" s="825">
        <v>43653</v>
      </c>
      <c r="B141" s="826" t="s">
        <v>68</v>
      </c>
      <c r="C141" s="826" t="s">
        <v>69</v>
      </c>
      <c r="D141" s="827">
        <v>43707</v>
      </c>
      <c r="E141" s="826" t="s">
        <v>48</v>
      </c>
      <c r="F141" s="865">
        <v>0.5</v>
      </c>
      <c r="G141" s="865">
        <v>0.63194444444444442</v>
      </c>
      <c r="H141" s="865">
        <v>0.63888888888888895</v>
      </c>
      <c r="I141" s="828">
        <v>450</v>
      </c>
      <c r="J141" s="915" t="s">
        <v>70</v>
      </c>
      <c r="K141" s="826" t="s">
        <v>119</v>
      </c>
      <c r="L141" s="829" t="s">
        <v>17</v>
      </c>
    </row>
    <row r="142" spans="1:12" ht="58" x14ac:dyDescent="0.35">
      <c r="A142" s="1018">
        <v>43703</v>
      </c>
      <c r="B142" s="1021" t="s">
        <v>292</v>
      </c>
      <c r="C142" s="1021" t="s">
        <v>3891</v>
      </c>
      <c r="D142" s="827">
        <v>43707</v>
      </c>
      <c r="E142" s="826" t="s">
        <v>290</v>
      </c>
      <c r="F142" s="1030">
        <v>0.5</v>
      </c>
      <c r="G142" s="1030">
        <v>0.65972222222222221</v>
      </c>
      <c r="H142" s="1030">
        <v>0.66666666666666663</v>
      </c>
      <c r="I142" s="1031">
        <v>640</v>
      </c>
      <c r="J142" s="915" t="s">
        <v>3892</v>
      </c>
      <c r="K142" s="826" t="s">
        <v>119</v>
      </c>
      <c r="L142" s="829" t="s">
        <v>22</v>
      </c>
    </row>
    <row r="143" spans="1:12" ht="116" x14ac:dyDescent="0.35">
      <c r="A143" s="825">
        <v>43704</v>
      </c>
      <c r="B143" s="826" t="s">
        <v>25</v>
      </c>
      <c r="C143" s="826" t="s">
        <v>3906</v>
      </c>
      <c r="D143" s="827">
        <v>43707</v>
      </c>
      <c r="E143" s="872" t="s">
        <v>27</v>
      </c>
      <c r="F143" s="865">
        <v>0.5</v>
      </c>
      <c r="G143" s="865">
        <v>0.57638888888888895</v>
      </c>
      <c r="H143" s="865">
        <v>0.58333333333333337</v>
      </c>
      <c r="I143" s="828">
        <v>238</v>
      </c>
      <c r="J143" s="915" t="s">
        <v>3905</v>
      </c>
      <c r="K143" s="826" t="s">
        <v>119</v>
      </c>
      <c r="L143" s="829" t="s">
        <v>17</v>
      </c>
    </row>
    <row r="144" spans="1:12" ht="29" x14ac:dyDescent="0.35">
      <c r="A144" s="1123">
        <v>43704</v>
      </c>
      <c r="B144" s="816" t="s">
        <v>20</v>
      </c>
      <c r="C144" s="817" t="s">
        <v>3913</v>
      </c>
      <c r="D144" s="818">
        <v>43707</v>
      </c>
      <c r="E144" s="817" t="s">
        <v>20</v>
      </c>
      <c r="F144" s="874" t="s">
        <v>15</v>
      </c>
      <c r="G144" s="817" t="s">
        <v>15</v>
      </c>
      <c r="H144" s="817" t="s">
        <v>15</v>
      </c>
      <c r="I144" s="817">
        <v>0</v>
      </c>
      <c r="J144" s="817" t="s">
        <v>20</v>
      </c>
      <c r="K144" s="826" t="s">
        <v>119</v>
      </c>
      <c r="L144" s="839" t="s">
        <v>17</v>
      </c>
    </row>
    <row r="145" spans="1:12" ht="43.5" x14ac:dyDescent="0.35">
      <c r="A145" s="1050">
        <v>43704</v>
      </c>
      <c r="B145" s="826" t="s">
        <v>3920</v>
      </c>
      <c r="C145" s="826" t="s">
        <v>3919</v>
      </c>
      <c r="D145" s="1146">
        <v>43707</v>
      </c>
      <c r="E145" s="826" t="s">
        <v>3921</v>
      </c>
      <c r="F145" s="1156">
        <v>0.5</v>
      </c>
      <c r="G145" s="1156">
        <v>0.54166666666666663</v>
      </c>
      <c r="H145" s="1156">
        <v>0.54861111111111105</v>
      </c>
      <c r="I145" s="1165">
        <v>480</v>
      </c>
      <c r="J145" s="1021" t="s">
        <v>3922</v>
      </c>
      <c r="K145" s="826" t="s">
        <v>119</v>
      </c>
      <c r="L145" s="1175"/>
    </row>
    <row r="146" spans="1:12" ht="29" x14ac:dyDescent="0.35">
      <c r="A146" s="1047">
        <v>43705</v>
      </c>
      <c r="B146" s="826" t="s">
        <v>3702</v>
      </c>
      <c r="C146" s="826" t="s">
        <v>1155</v>
      </c>
      <c r="D146" s="1051">
        <v>43707</v>
      </c>
      <c r="E146" s="872" t="s">
        <v>311</v>
      </c>
      <c r="F146" s="1060">
        <v>0.41666666666666669</v>
      </c>
      <c r="G146" s="1060">
        <v>0.41666666666666669</v>
      </c>
      <c r="H146" s="1060">
        <v>0.41666666666666669</v>
      </c>
      <c r="I146" s="1101">
        <v>50</v>
      </c>
      <c r="J146" s="826" t="s">
        <v>3926</v>
      </c>
      <c r="K146" s="826" t="s">
        <v>119</v>
      </c>
      <c r="L146" s="829" t="s">
        <v>22</v>
      </c>
    </row>
    <row r="147" spans="1:12" ht="246.5" x14ac:dyDescent="0.35">
      <c r="A147" s="806">
        <v>43570</v>
      </c>
      <c r="B147" s="9" t="s">
        <v>71</v>
      </c>
      <c r="C147" s="9" t="s">
        <v>3947</v>
      </c>
      <c r="D147" s="8">
        <v>43708</v>
      </c>
      <c r="E147" s="9" t="s">
        <v>3960</v>
      </c>
      <c r="F147" s="12">
        <v>0.5625</v>
      </c>
      <c r="G147" s="11">
        <v>0.61111111111111105</v>
      </c>
      <c r="H147" s="11">
        <v>0.61805555555555558</v>
      </c>
      <c r="I147" s="1100">
        <v>3747.5</v>
      </c>
      <c r="J147" s="850" t="s">
        <v>3875</v>
      </c>
      <c r="K147" s="5" t="s">
        <v>119</v>
      </c>
      <c r="L147" s="807" t="s">
        <v>17</v>
      </c>
    </row>
    <row r="148" spans="1:12" ht="290" x14ac:dyDescent="0.35">
      <c r="A148" s="830">
        <v>43665</v>
      </c>
      <c r="B148" s="819" t="s">
        <v>3961</v>
      </c>
      <c r="C148" s="1137" t="s">
        <v>3636</v>
      </c>
      <c r="D148" s="833">
        <v>43708</v>
      </c>
      <c r="E148" s="819" t="s">
        <v>3959</v>
      </c>
      <c r="F148" s="913">
        <v>0.5625</v>
      </c>
      <c r="G148" s="913">
        <v>0.63541666666666663</v>
      </c>
      <c r="H148" s="913">
        <v>0.64236111111111105</v>
      </c>
      <c r="I148" s="828">
        <v>3893</v>
      </c>
      <c r="J148" s="915" t="s">
        <v>79</v>
      </c>
      <c r="K148" s="826" t="s">
        <v>119</v>
      </c>
      <c r="L148" s="829" t="s">
        <v>17</v>
      </c>
    </row>
    <row r="149" spans="1:12" ht="391.5" x14ac:dyDescent="0.35">
      <c r="A149" s="1130">
        <v>43697</v>
      </c>
      <c r="B149" s="1135" t="s">
        <v>3761</v>
      </c>
      <c r="C149" s="819" t="s">
        <v>3762</v>
      </c>
      <c r="D149" s="1034">
        <v>43708</v>
      </c>
      <c r="E149" s="867" t="s">
        <v>3956</v>
      </c>
      <c r="F149" s="913">
        <v>0.66666666666666663</v>
      </c>
      <c r="G149" s="913">
        <v>0.72222222222222221</v>
      </c>
      <c r="H149" s="913">
        <v>0.72916666666666663</v>
      </c>
      <c r="I149" s="974">
        <v>5877</v>
      </c>
      <c r="J149" s="915" t="s">
        <v>3763</v>
      </c>
      <c r="K149" s="826" t="s">
        <v>136</v>
      </c>
      <c r="L149" s="829" t="s">
        <v>17</v>
      </c>
    </row>
    <row r="150" spans="1:12" ht="87" x14ac:dyDescent="0.35">
      <c r="A150" s="806">
        <v>43703</v>
      </c>
      <c r="B150" s="10" t="s">
        <v>131</v>
      </c>
      <c r="C150" s="10" t="s">
        <v>3957</v>
      </c>
      <c r="D150" s="8">
        <v>43708</v>
      </c>
      <c r="E150" s="823" t="s">
        <v>129</v>
      </c>
      <c r="F150" s="12">
        <v>0.5625</v>
      </c>
      <c r="G150" s="12">
        <v>0.58333333333333337</v>
      </c>
      <c r="H150" s="12">
        <v>0.59027777777777779</v>
      </c>
      <c r="I150" s="7">
        <f>154*125*65/1000+400+97.5</f>
        <v>1748.75</v>
      </c>
      <c r="J150" s="850" t="s">
        <v>3958</v>
      </c>
      <c r="K150" s="1170" t="s">
        <v>119</v>
      </c>
      <c r="L150" s="807" t="s">
        <v>17</v>
      </c>
    </row>
    <row r="151" spans="1:12" ht="58" x14ac:dyDescent="0.35">
      <c r="A151" s="1018">
        <v>43703</v>
      </c>
      <c r="B151" s="1021" t="s">
        <v>292</v>
      </c>
      <c r="C151" s="1021" t="s">
        <v>3893</v>
      </c>
      <c r="D151" s="827">
        <v>43708</v>
      </c>
      <c r="E151" s="826" t="s">
        <v>290</v>
      </c>
      <c r="F151" s="1030">
        <v>0.66666666666666663</v>
      </c>
      <c r="G151" s="1030">
        <v>0.8125</v>
      </c>
      <c r="H151" s="1030">
        <v>0.82638888888888884</v>
      </c>
      <c r="I151" s="1031">
        <v>896</v>
      </c>
      <c r="J151" s="915" t="s">
        <v>3894</v>
      </c>
      <c r="K151" s="826" t="s">
        <v>136</v>
      </c>
      <c r="L151" s="829" t="s">
        <v>22</v>
      </c>
    </row>
    <row r="152" spans="1:12" ht="101.5" x14ac:dyDescent="0.35">
      <c r="A152" s="825">
        <v>43704</v>
      </c>
      <c r="B152" s="826" t="s">
        <v>25</v>
      </c>
      <c r="C152" s="826" t="s">
        <v>3907</v>
      </c>
      <c r="D152" s="827">
        <v>43708</v>
      </c>
      <c r="E152" s="872" t="s">
        <v>27</v>
      </c>
      <c r="F152" s="865">
        <v>0.43055555555555558</v>
      </c>
      <c r="G152" s="865">
        <v>0.47916666666666669</v>
      </c>
      <c r="H152" s="865">
        <v>0.48958333333333331</v>
      </c>
      <c r="I152" s="828">
        <v>476</v>
      </c>
      <c r="J152" s="915" t="s">
        <v>3905</v>
      </c>
      <c r="K152" s="826" t="s">
        <v>119</v>
      </c>
      <c r="L152" s="829" t="s">
        <v>17</v>
      </c>
    </row>
    <row r="153" spans="1:12" ht="72.5" x14ac:dyDescent="0.35">
      <c r="A153" s="1048">
        <v>43704</v>
      </c>
      <c r="B153" s="819" t="s">
        <v>3927</v>
      </c>
      <c r="C153" s="819" t="s">
        <v>3928</v>
      </c>
      <c r="D153" s="1064">
        <v>43708</v>
      </c>
      <c r="E153" s="867" t="s">
        <v>836</v>
      </c>
      <c r="F153" s="913">
        <v>0.5625</v>
      </c>
      <c r="G153" s="1070">
        <v>0.58333333333333337</v>
      </c>
      <c r="H153" s="1070">
        <v>0.59027777777777779</v>
      </c>
      <c r="I153" s="1071">
        <v>400</v>
      </c>
      <c r="J153" s="915" t="s">
        <v>3929</v>
      </c>
      <c r="K153" s="5" t="s">
        <v>3223</v>
      </c>
      <c r="L153" s="829" t="s">
        <v>22</v>
      </c>
    </row>
    <row r="154" spans="1:12" ht="217.5" x14ac:dyDescent="0.35">
      <c r="A154" s="830">
        <v>43705</v>
      </c>
      <c r="B154" s="10" t="s">
        <v>3939</v>
      </c>
      <c r="C154" s="10" t="s">
        <v>3940</v>
      </c>
      <c r="D154" s="8">
        <v>43708</v>
      </c>
      <c r="E154" s="823" t="s">
        <v>3941</v>
      </c>
      <c r="F154" s="6">
        <v>0.43055555555555558</v>
      </c>
      <c r="G154" s="6">
        <v>0.44444444444444442</v>
      </c>
      <c r="H154" s="6">
        <v>0.4513888888888889</v>
      </c>
      <c r="I154" s="965">
        <v>370</v>
      </c>
      <c r="J154" s="5" t="s">
        <v>3885</v>
      </c>
      <c r="K154" s="826" t="s">
        <v>119</v>
      </c>
      <c r="L154" s="5" t="s">
        <v>17</v>
      </c>
    </row>
    <row r="155" spans="1:12" ht="101.5" x14ac:dyDescent="0.35">
      <c r="A155" s="907">
        <v>43705</v>
      </c>
      <c r="B155" s="5" t="s">
        <v>3946</v>
      </c>
      <c r="C155" s="5" t="s">
        <v>3944</v>
      </c>
      <c r="D155" s="908">
        <v>43708</v>
      </c>
      <c r="E155" s="824" t="s">
        <v>3945</v>
      </c>
      <c r="F155" s="6">
        <v>0.43055555555555558</v>
      </c>
      <c r="G155" s="6">
        <v>0.47569444444444442</v>
      </c>
      <c r="H155" s="6">
        <v>0.4826388888888889</v>
      </c>
      <c r="I155" s="7">
        <v>0</v>
      </c>
      <c r="J155" s="5" t="s">
        <v>289</v>
      </c>
      <c r="K155" s="5" t="s">
        <v>119</v>
      </c>
      <c r="L155" s="807" t="s">
        <v>17</v>
      </c>
    </row>
    <row r="156" spans="1:12" ht="72.5" x14ac:dyDescent="0.35">
      <c r="A156" s="830">
        <v>43705</v>
      </c>
      <c r="B156" s="819" t="s">
        <v>3935</v>
      </c>
      <c r="C156" s="819" t="s">
        <v>3937</v>
      </c>
      <c r="D156" s="833">
        <v>43708</v>
      </c>
      <c r="E156" s="867" t="s">
        <v>3936</v>
      </c>
      <c r="F156" s="865">
        <v>0.67361111111111116</v>
      </c>
      <c r="G156" s="1056">
        <v>0.69791666666666663</v>
      </c>
      <c r="H156" s="1056">
        <v>0.70833333333333337</v>
      </c>
      <c r="I156" s="942">
        <v>400</v>
      </c>
      <c r="J156" s="826" t="s">
        <v>3885</v>
      </c>
      <c r="K156" s="5" t="s">
        <v>3223</v>
      </c>
      <c r="L156" s="5" t="s">
        <v>17</v>
      </c>
    </row>
    <row r="157" spans="1:12" ht="43.5" x14ac:dyDescent="0.35">
      <c r="A157" s="1083">
        <v>43707</v>
      </c>
      <c r="B157" s="1086" t="s">
        <v>3963</v>
      </c>
      <c r="C157" s="1086" t="s">
        <v>3792</v>
      </c>
      <c r="D157" s="1088">
        <v>43708</v>
      </c>
      <c r="E157" s="1089" t="s">
        <v>19</v>
      </c>
      <c r="F157" s="1109">
        <v>0.45833333333333331</v>
      </c>
      <c r="G157" s="1109">
        <v>0.45833333333333331</v>
      </c>
      <c r="H157" s="1109">
        <v>0.45833333333333331</v>
      </c>
      <c r="I157" s="1110">
        <v>99</v>
      </c>
      <c r="J157" s="1111" t="s">
        <v>257</v>
      </c>
      <c r="K157" s="1086" t="s">
        <v>98</v>
      </c>
      <c r="L157" s="1087" t="s">
        <v>17</v>
      </c>
    </row>
    <row r="158" spans="1:12" ht="43.5" x14ac:dyDescent="0.35">
      <c r="A158" s="884">
        <v>43707</v>
      </c>
      <c r="B158" s="828" t="s">
        <v>3962</v>
      </c>
      <c r="C158" s="828" t="s">
        <v>3962</v>
      </c>
      <c r="D158" s="1023">
        <v>43708</v>
      </c>
      <c r="E158" s="828" t="s">
        <v>48</v>
      </c>
      <c r="F158" s="865">
        <v>0.66666666666666663</v>
      </c>
      <c r="G158" s="865">
        <v>0.6875</v>
      </c>
      <c r="H158" s="865">
        <v>0.69444444444444453</v>
      </c>
      <c r="I158" s="828" t="s">
        <v>15</v>
      </c>
      <c r="J158" s="915" t="s">
        <v>15</v>
      </c>
      <c r="K158" s="826" t="s">
        <v>136</v>
      </c>
      <c r="L158" s="829" t="s">
        <v>17</v>
      </c>
    </row>
    <row r="159" spans="1:12" ht="188.5" x14ac:dyDescent="0.35">
      <c r="A159" s="993">
        <v>43698</v>
      </c>
      <c r="B159" s="819" t="s">
        <v>3800</v>
      </c>
      <c r="C159" s="819" t="s">
        <v>3949</v>
      </c>
      <c r="D159" s="995">
        <v>43709</v>
      </c>
      <c r="E159" s="913" t="s">
        <v>311</v>
      </c>
      <c r="F159" s="997">
        <v>0.41666666666666669</v>
      </c>
      <c r="G159" s="997">
        <v>0.41666666666666669</v>
      </c>
      <c r="H159" s="997">
        <v>0.58333333333333337</v>
      </c>
      <c r="I159" s="990">
        <v>549</v>
      </c>
      <c r="J159" s="826" t="s">
        <v>3948</v>
      </c>
      <c r="K159" s="826" t="s">
        <v>119</v>
      </c>
      <c r="L159" s="829" t="s">
        <v>22</v>
      </c>
    </row>
    <row r="160" spans="1:12" ht="159.5" x14ac:dyDescent="0.35">
      <c r="A160" s="825">
        <v>43704</v>
      </c>
      <c r="B160" s="5" t="s">
        <v>3904</v>
      </c>
      <c r="C160" s="5" t="s">
        <v>3964</v>
      </c>
      <c r="D160" s="908">
        <v>43709</v>
      </c>
      <c r="E160" s="824" t="s">
        <v>3966</v>
      </c>
      <c r="F160" s="6">
        <v>0.53472222222222221</v>
      </c>
      <c r="G160" s="6">
        <v>0.5625</v>
      </c>
      <c r="H160" s="6">
        <v>0.56944444444444442</v>
      </c>
      <c r="I160" s="7">
        <f>18.8*75</f>
        <v>1410</v>
      </c>
      <c r="J160" s="5" t="s">
        <v>3965</v>
      </c>
      <c r="K160" s="5" t="s">
        <v>119</v>
      </c>
      <c r="L160" s="5" t="s">
        <v>17</v>
      </c>
    </row>
    <row r="161" spans="1:17" ht="101.5" x14ac:dyDescent="0.35">
      <c r="A161" s="1043">
        <v>43704</v>
      </c>
      <c r="B161" s="1057" t="s">
        <v>131</v>
      </c>
      <c r="C161" s="1057" t="s">
        <v>3912</v>
      </c>
      <c r="D161" s="1058">
        <v>43709</v>
      </c>
      <c r="E161" s="1074" t="s">
        <v>129</v>
      </c>
      <c r="F161" s="1075">
        <v>0.53472222222222221</v>
      </c>
      <c r="G161" s="865">
        <v>0.61805555555555558</v>
      </c>
      <c r="H161" s="1042">
        <v>0.625</v>
      </c>
      <c r="I161" s="828">
        <v>1319.35</v>
      </c>
      <c r="J161" s="915" t="s">
        <v>3772</v>
      </c>
      <c r="K161" s="826" t="s">
        <v>119</v>
      </c>
      <c r="L161" s="1041" t="s">
        <v>17</v>
      </c>
      <c r="Q161" s="866"/>
    </row>
    <row r="162" spans="1:17" ht="43.5" x14ac:dyDescent="0.35">
      <c r="A162" s="1049">
        <v>43705</v>
      </c>
      <c r="B162" s="1053" t="s">
        <v>1199</v>
      </c>
      <c r="C162" s="819" t="s">
        <v>3925</v>
      </c>
      <c r="D162" s="1059">
        <v>43710</v>
      </c>
      <c r="E162" s="1052" t="s">
        <v>1197</v>
      </c>
      <c r="F162" s="1076">
        <v>0.4375</v>
      </c>
      <c r="G162" s="1054">
        <v>0.41666666666666669</v>
      </c>
      <c r="H162" s="1054">
        <v>0.5625</v>
      </c>
      <c r="I162" s="1055">
        <v>192</v>
      </c>
      <c r="J162" s="828" t="s">
        <v>257</v>
      </c>
      <c r="K162" s="826" t="s">
        <v>15</v>
      </c>
      <c r="L162" s="829" t="s">
        <v>22</v>
      </c>
      <c r="Q162" s="866"/>
    </row>
    <row r="163" spans="1:17" ht="159.5" x14ac:dyDescent="0.35">
      <c r="A163" s="825">
        <v>43706</v>
      </c>
      <c r="B163" s="826" t="s">
        <v>131</v>
      </c>
      <c r="C163" s="826" t="s">
        <v>3950</v>
      </c>
      <c r="D163" s="827">
        <v>43711</v>
      </c>
      <c r="E163" s="872" t="s">
        <v>129</v>
      </c>
      <c r="F163" s="826" t="s">
        <v>15</v>
      </c>
      <c r="G163" s="865">
        <v>0.5</v>
      </c>
      <c r="H163" s="865">
        <v>0.54166666666666663</v>
      </c>
      <c r="I163" s="828">
        <f>15*125+0.625*65</f>
        <v>1915.625</v>
      </c>
      <c r="J163" s="826" t="s">
        <v>3951</v>
      </c>
      <c r="K163" s="826" t="s">
        <v>15</v>
      </c>
      <c r="L163" s="829" t="s">
        <v>17</v>
      </c>
      <c r="Q163" s="866"/>
    </row>
    <row r="164" spans="1:17" ht="58" x14ac:dyDescent="0.35">
      <c r="A164" s="1083">
        <v>43679</v>
      </c>
      <c r="B164" s="1086" t="s">
        <v>3975</v>
      </c>
      <c r="C164" s="1086" t="s">
        <v>3973</v>
      </c>
      <c r="D164" s="1088">
        <v>43712</v>
      </c>
      <c r="E164" s="1089" t="s">
        <v>3974</v>
      </c>
      <c r="F164" s="1086" t="s">
        <v>15</v>
      </c>
      <c r="G164" s="1086" t="s">
        <v>49</v>
      </c>
      <c r="H164" s="1086" t="s">
        <v>49</v>
      </c>
      <c r="I164" s="1081">
        <v>0</v>
      </c>
      <c r="J164" s="1086" t="s">
        <v>16</v>
      </c>
      <c r="K164" s="1086" t="s">
        <v>15</v>
      </c>
      <c r="L164" s="1087" t="s">
        <v>17</v>
      </c>
      <c r="Q164" s="866"/>
    </row>
    <row r="165" spans="1:17" ht="72.5" x14ac:dyDescent="0.35">
      <c r="A165" s="986">
        <v>43698</v>
      </c>
      <c r="B165" s="999" t="s">
        <v>3791</v>
      </c>
      <c r="C165" s="999" t="s">
        <v>3792</v>
      </c>
      <c r="D165" s="1002">
        <v>43712</v>
      </c>
      <c r="E165" s="1004" t="s">
        <v>3793</v>
      </c>
      <c r="F165" s="999" t="s">
        <v>15</v>
      </c>
      <c r="G165" s="1003">
        <v>0.5625</v>
      </c>
      <c r="H165" s="1003">
        <v>0.5625</v>
      </c>
      <c r="I165" s="998">
        <v>0</v>
      </c>
      <c r="J165" s="999" t="s">
        <v>289</v>
      </c>
      <c r="K165" s="999" t="s">
        <v>15</v>
      </c>
      <c r="L165" s="999" t="s">
        <v>17</v>
      </c>
      <c r="Q165" s="7"/>
    </row>
    <row r="166" spans="1:17" ht="29" x14ac:dyDescent="0.35">
      <c r="A166" s="825">
        <v>43703</v>
      </c>
      <c r="B166" s="873" t="s">
        <v>20</v>
      </c>
      <c r="C166" s="874" t="s">
        <v>3863</v>
      </c>
      <c r="D166" s="981">
        <v>43713</v>
      </c>
      <c r="E166" s="874" t="s">
        <v>20</v>
      </c>
      <c r="F166" s="874" t="s">
        <v>15</v>
      </c>
      <c r="G166" s="874" t="s">
        <v>15</v>
      </c>
      <c r="H166" s="874" t="s">
        <v>15</v>
      </c>
      <c r="I166" s="874">
        <v>0</v>
      </c>
      <c r="J166" s="874" t="s">
        <v>20</v>
      </c>
      <c r="K166" s="874" t="s">
        <v>15</v>
      </c>
      <c r="L166" s="875" t="s">
        <v>17</v>
      </c>
      <c r="Q166" s="1012"/>
    </row>
    <row r="167" spans="1:17" ht="29" x14ac:dyDescent="0.35">
      <c r="A167" s="925">
        <v>43710</v>
      </c>
      <c r="B167" s="873" t="s">
        <v>20</v>
      </c>
      <c r="C167" s="874" t="s">
        <v>3978</v>
      </c>
      <c r="D167" s="981">
        <v>43713</v>
      </c>
      <c r="E167" s="874" t="s">
        <v>20</v>
      </c>
      <c r="F167" s="874" t="s">
        <v>15</v>
      </c>
      <c r="G167" s="874" t="s">
        <v>15</v>
      </c>
      <c r="H167" s="874" t="s">
        <v>15</v>
      </c>
      <c r="I167" s="874">
        <v>0</v>
      </c>
      <c r="J167" s="874" t="s">
        <v>20</v>
      </c>
      <c r="K167" s="874" t="s">
        <v>15</v>
      </c>
      <c r="L167" s="875" t="s">
        <v>17</v>
      </c>
      <c r="Q167" s="1012"/>
    </row>
    <row r="168" spans="1:17" ht="29" x14ac:dyDescent="0.35">
      <c r="A168" s="925">
        <v>43710</v>
      </c>
      <c r="B168" s="873" t="s">
        <v>20</v>
      </c>
      <c r="C168" s="874" t="s">
        <v>3977</v>
      </c>
      <c r="D168" s="981">
        <v>43713</v>
      </c>
      <c r="E168" s="874" t="s">
        <v>20</v>
      </c>
      <c r="F168" s="874" t="s">
        <v>15</v>
      </c>
      <c r="G168" s="874" t="s">
        <v>15</v>
      </c>
      <c r="H168" s="874" t="s">
        <v>15</v>
      </c>
      <c r="I168" s="874">
        <v>0</v>
      </c>
      <c r="J168" s="874" t="s">
        <v>20</v>
      </c>
      <c r="K168" s="874" t="s">
        <v>15</v>
      </c>
      <c r="L168" s="875" t="s">
        <v>17</v>
      </c>
      <c r="Q168" s="1012"/>
    </row>
    <row r="169" spans="1:17" ht="58" x14ac:dyDescent="0.35">
      <c r="A169" s="1103">
        <v>43689</v>
      </c>
      <c r="B169" s="5" t="s">
        <v>3683</v>
      </c>
      <c r="C169" s="5" t="s">
        <v>3684</v>
      </c>
      <c r="D169" s="1103">
        <v>43714</v>
      </c>
      <c r="E169" s="1106" t="s">
        <v>3685</v>
      </c>
      <c r="F169" s="1106"/>
      <c r="G169" s="6" t="s">
        <v>3071</v>
      </c>
      <c r="H169" s="6" t="s">
        <v>49</v>
      </c>
      <c r="I169" s="7" t="s">
        <v>44</v>
      </c>
      <c r="J169" s="5" t="s">
        <v>49</v>
      </c>
      <c r="K169" s="1106"/>
      <c r="L169" s="5" t="s">
        <v>22</v>
      </c>
      <c r="Q169" s="1012"/>
    </row>
    <row r="170" spans="1:17" ht="188.5" x14ac:dyDescent="0.35">
      <c r="A170" s="908">
        <v>43639</v>
      </c>
      <c r="B170" s="5" t="s">
        <v>85</v>
      </c>
      <c r="C170" s="5" t="s">
        <v>86</v>
      </c>
      <c r="D170" s="908">
        <v>43715</v>
      </c>
      <c r="E170" s="5" t="s">
        <v>87</v>
      </c>
      <c r="F170" s="5" t="s">
        <v>15</v>
      </c>
      <c r="G170" s="5" t="s">
        <v>49</v>
      </c>
      <c r="H170" s="5" t="s">
        <v>49</v>
      </c>
      <c r="I170" s="7" t="s">
        <v>88</v>
      </c>
      <c r="J170" s="5" t="s">
        <v>89</v>
      </c>
      <c r="K170" s="5" t="s">
        <v>15</v>
      </c>
      <c r="L170" s="5" t="s">
        <v>17</v>
      </c>
      <c r="Q170" s="1012"/>
    </row>
    <row r="171" spans="1:17" ht="130.5" x14ac:dyDescent="0.35">
      <c r="A171" s="825">
        <v>43654</v>
      </c>
      <c r="B171" s="826" t="s">
        <v>90</v>
      </c>
      <c r="C171" s="826" t="s">
        <v>91</v>
      </c>
      <c r="D171" s="827">
        <v>43715</v>
      </c>
      <c r="E171" s="826" t="s">
        <v>92</v>
      </c>
      <c r="F171" s="826" t="s">
        <v>15</v>
      </c>
      <c r="G171" s="826" t="s">
        <v>49</v>
      </c>
      <c r="H171" s="826" t="s">
        <v>49</v>
      </c>
      <c r="I171" s="828" t="s">
        <v>93</v>
      </c>
      <c r="J171" s="826" t="s">
        <v>94</v>
      </c>
      <c r="K171" s="826" t="s">
        <v>15</v>
      </c>
      <c r="L171" s="829" t="s">
        <v>17</v>
      </c>
      <c r="Q171" s="1012"/>
    </row>
    <row r="172" spans="1:17" ht="290" x14ac:dyDescent="0.35">
      <c r="A172" s="861">
        <v>43682</v>
      </c>
      <c r="B172" s="1131" t="s">
        <v>3615</v>
      </c>
      <c r="C172" s="1139" t="s">
        <v>3616</v>
      </c>
      <c r="D172" s="849">
        <v>43715</v>
      </c>
      <c r="E172" s="1150" t="s">
        <v>101</v>
      </c>
      <c r="F172" s="1131" t="s">
        <v>15</v>
      </c>
      <c r="G172" s="1131" t="s">
        <v>49</v>
      </c>
      <c r="H172" s="1131" t="s">
        <v>49</v>
      </c>
      <c r="I172" s="844" t="s">
        <v>3617</v>
      </c>
      <c r="J172" s="841" t="s">
        <v>3618</v>
      </c>
      <c r="K172" s="5" t="s">
        <v>15</v>
      </c>
      <c r="L172" s="841" t="s">
        <v>17</v>
      </c>
      <c r="Q172" s="7"/>
    </row>
    <row r="173" spans="1:17" ht="72.5" x14ac:dyDescent="0.35">
      <c r="A173" s="806">
        <v>43710</v>
      </c>
      <c r="B173" s="1136" t="s">
        <v>95</v>
      </c>
      <c r="C173" s="10" t="s">
        <v>3976</v>
      </c>
      <c r="D173" s="8">
        <v>43715</v>
      </c>
      <c r="E173" s="10" t="s">
        <v>97</v>
      </c>
      <c r="F173" s="10" t="s">
        <v>15</v>
      </c>
      <c r="G173" s="10" t="s">
        <v>49</v>
      </c>
      <c r="H173" s="10" t="s">
        <v>49</v>
      </c>
      <c r="I173" s="7">
        <f>700+150*125/1000*85</f>
        <v>2293.75</v>
      </c>
      <c r="J173" s="5" t="s">
        <v>3979</v>
      </c>
      <c r="K173" s="5" t="s">
        <v>15</v>
      </c>
      <c r="L173" s="807" t="s">
        <v>17</v>
      </c>
      <c r="Q173" s="828"/>
    </row>
    <row r="174" spans="1:17" ht="362.5" x14ac:dyDescent="0.35">
      <c r="A174" s="993">
        <v>43710</v>
      </c>
      <c r="B174" s="994" t="s">
        <v>3750</v>
      </c>
      <c r="C174" s="819" t="s">
        <v>3980</v>
      </c>
      <c r="D174" s="995">
        <v>43715</v>
      </c>
      <c r="E174" s="867" t="s">
        <v>49</v>
      </c>
      <c r="F174" s="819" t="s">
        <v>15</v>
      </c>
      <c r="G174" s="819" t="s">
        <v>49</v>
      </c>
      <c r="H174" s="819" t="s">
        <v>49</v>
      </c>
      <c r="I174" s="828" t="s">
        <v>3861</v>
      </c>
      <c r="J174" s="826" t="s">
        <v>3860</v>
      </c>
      <c r="K174" s="826" t="s">
        <v>15</v>
      </c>
      <c r="L174" s="829" t="s">
        <v>3862</v>
      </c>
      <c r="Q174" s="828"/>
    </row>
    <row r="175" spans="1:17" ht="145" x14ac:dyDescent="0.35">
      <c r="A175" s="830">
        <v>43710</v>
      </c>
      <c r="B175" s="819" t="s">
        <v>3864</v>
      </c>
      <c r="C175" s="819" t="s">
        <v>3971</v>
      </c>
      <c r="D175" s="833">
        <v>43715</v>
      </c>
      <c r="E175" s="867" t="s">
        <v>262</v>
      </c>
      <c r="F175" s="819" t="s">
        <v>15</v>
      </c>
      <c r="G175" s="819" t="s">
        <v>49</v>
      </c>
      <c r="H175" s="819" t="s">
        <v>49</v>
      </c>
      <c r="I175" s="828">
        <v>1935</v>
      </c>
      <c r="J175" s="826" t="s">
        <v>3972</v>
      </c>
      <c r="K175" s="826" t="s">
        <v>15</v>
      </c>
      <c r="L175" s="829" t="s">
        <v>17</v>
      </c>
      <c r="Q175" s="1012"/>
    </row>
    <row r="176" spans="1:17" ht="58" x14ac:dyDescent="0.35">
      <c r="A176" s="1019">
        <v>43704</v>
      </c>
      <c r="B176" s="819" t="s">
        <v>3896</v>
      </c>
      <c r="C176" s="918" t="s">
        <v>3897</v>
      </c>
      <c r="D176" s="1024">
        <v>43717</v>
      </c>
      <c r="E176" s="867" t="s">
        <v>3898</v>
      </c>
      <c r="F176" s="1028"/>
      <c r="G176" s="1028"/>
      <c r="H176" s="1028"/>
      <c r="I176" s="828" t="s">
        <v>3899</v>
      </c>
      <c r="J176" s="826" t="s">
        <v>539</v>
      </c>
      <c r="K176" s="1027"/>
      <c r="L176" s="829" t="s">
        <v>22</v>
      </c>
      <c r="Q176" s="7"/>
    </row>
    <row r="177" spans="1:17" ht="29" x14ac:dyDescent="0.35">
      <c r="A177" s="825">
        <v>43633</v>
      </c>
      <c r="B177" s="826" t="s">
        <v>80</v>
      </c>
      <c r="C177" s="826" t="s">
        <v>81</v>
      </c>
      <c r="D177" s="827">
        <v>43718</v>
      </c>
      <c r="E177" s="826" t="s">
        <v>82</v>
      </c>
      <c r="F177" s="826" t="s">
        <v>15</v>
      </c>
      <c r="G177" s="865">
        <v>0.41666666666666702</v>
      </c>
      <c r="H177" s="865">
        <v>0.5</v>
      </c>
      <c r="I177" s="828" t="s">
        <v>83</v>
      </c>
      <c r="J177" s="826" t="s">
        <v>84</v>
      </c>
      <c r="K177" s="826" t="s">
        <v>15</v>
      </c>
      <c r="L177" s="829" t="s">
        <v>17</v>
      </c>
      <c r="Q177" s="866"/>
    </row>
    <row r="178" spans="1:17" ht="43.5" x14ac:dyDescent="0.35">
      <c r="A178" s="986">
        <v>43702</v>
      </c>
      <c r="B178" s="987" t="s">
        <v>3843</v>
      </c>
      <c r="C178" s="987" t="s">
        <v>3844</v>
      </c>
      <c r="D178" s="988">
        <v>43720</v>
      </c>
      <c r="E178" s="989" t="s">
        <v>3845</v>
      </c>
      <c r="F178" s="987" t="s">
        <v>15</v>
      </c>
      <c r="G178" s="992">
        <v>0.5</v>
      </c>
      <c r="H178" s="992">
        <v>0.5</v>
      </c>
      <c r="I178" s="990" t="s">
        <v>3846</v>
      </c>
      <c r="J178" s="987" t="s">
        <v>3847</v>
      </c>
      <c r="K178" s="987" t="s">
        <v>15</v>
      </c>
      <c r="L178" s="991" t="s">
        <v>17</v>
      </c>
      <c r="Q178" s="866"/>
    </row>
    <row r="179" spans="1:17" ht="29" x14ac:dyDescent="0.35">
      <c r="A179" s="924">
        <v>43663</v>
      </c>
      <c r="B179" s="1032" t="s">
        <v>20</v>
      </c>
      <c r="C179" s="874" t="s">
        <v>3715</v>
      </c>
      <c r="D179" s="1033">
        <v>43721</v>
      </c>
      <c r="E179" s="1032" t="s">
        <v>20</v>
      </c>
      <c r="F179" s="1032" t="s">
        <v>15</v>
      </c>
      <c r="G179" s="1032" t="s">
        <v>15</v>
      </c>
      <c r="H179" s="1032" t="s">
        <v>15</v>
      </c>
      <c r="I179" s="856">
        <v>0</v>
      </c>
      <c r="J179" s="1032" t="s">
        <v>20</v>
      </c>
      <c r="K179" s="1032">
        <v>0</v>
      </c>
      <c r="L179" s="1035" t="s">
        <v>17</v>
      </c>
      <c r="Q179" s="866"/>
    </row>
    <row r="180" spans="1:17" ht="29" x14ac:dyDescent="0.35">
      <c r="A180" s="986">
        <v>43700</v>
      </c>
      <c r="B180" s="873" t="s">
        <v>20</v>
      </c>
      <c r="C180" s="874" t="s">
        <v>3827</v>
      </c>
      <c r="D180" s="981">
        <v>43721</v>
      </c>
      <c r="E180" s="874" t="s">
        <v>20</v>
      </c>
      <c r="F180" s="874" t="s">
        <v>15</v>
      </c>
      <c r="G180" s="874" t="s">
        <v>15</v>
      </c>
      <c r="H180" s="874" t="s">
        <v>15</v>
      </c>
      <c r="I180" s="874">
        <v>0</v>
      </c>
      <c r="J180" s="874" t="s">
        <v>20</v>
      </c>
      <c r="K180" s="874" t="s">
        <v>15</v>
      </c>
      <c r="L180" s="875" t="s">
        <v>17</v>
      </c>
      <c r="Q180" s="866"/>
    </row>
    <row r="181" spans="1:17" ht="101.5" x14ac:dyDescent="0.35">
      <c r="A181" s="825">
        <v>43648</v>
      </c>
      <c r="B181" s="826" t="s">
        <v>104</v>
      </c>
      <c r="C181" s="826" t="s">
        <v>3825</v>
      </c>
      <c r="D181" s="827">
        <v>43722</v>
      </c>
      <c r="E181" s="826" t="s">
        <v>106</v>
      </c>
      <c r="F181" s="826" t="s">
        <v>15</v>
      </c>
      <c r="G181" s="826" t="s">
        <v>49</v>
      </c>
      <c r="H181" s="826" t="s">
        <v>49</v>
      </c>
      <c r="I181" s="828" t="s">
        <v>39</v>
      </c>
      <c r="J181" s="826" t="s">
        <v>3826</v>
      </c>
      <c r="K181" s="826" t="s">
        <v>15</v>
      </c>
      <c r="L181" s="829" t="s">
        <v>17</v>
      </c>
      <c r="Q181" s="866"/>
    </row>
    <row r="182" spans="1:17" ht="145" x14ac:dyDescent="0.35">
      <c r="A182" s="825">
        <v>43669</v>
      </c>
      <c r="B182" s="927" t="s">
        <v>52</v>
      </c>
      <c r="C182" s="826" t="s">
        <v>13</v>
      </c>
      <c r="D182" s="827">
        <v>43723</v>
      </c>
      <c r="E182" s="826" t="s">
        <v>19</v>
      </c>
      <c r="F182" s="826" t="s">
        <v>15</v>
      </c>
      <c r="G182" s="826" t="s">
        <v>49</v>
      </c>
      <c r="H182" s="826" t="s">
        <v>49</v>
      </c>
      <c r="I182" s="828">
        <v>0</v>
      </c>
      <c r="J182" s="826" t="s">
        <v>16</v>
      </c>
      <c r="K182" s="826" t="s">
        <v>15</v>
      </c>
      <c r="L182" s="829" t="s">
        <v>17</v>
      </c>
    </row>
    <row r="183" spans="1:17" ht="217.5" x14ac:dyDescent="0.35">
      <c r="A183" s="862">
        <v>43682</v>
      </c>
      <c r="B183" s="841" t="s">
        <v>3606</v>
      </c>
      <c r="C183" s="841" t="s">
        <v>3607</v>
      </c>
      <c r="D183" s="842">
        <v>43723</v>
      </c>
      <c r="E183" s="847" t="s">
        <v>3609</v>
      </c>
      <c r="F183" s="841" t="s">
        <v>15</v>
      </c>
      <c r="G183" s="841" t="s">
        <v>49</v>
      </c>
      <c r="H183" s="841" t="s">
        <v>49</v>
      </c>
      <c r="I183" s="844" t="s">
        <v>3608</v>
      </c>
      <c r="J183" s="5" t="s">
        <v>3952</v>
      </c>
      <c r="K183" s="841" t="s">
        <v>15</v>
      </c>
      <c r="L183" s="841" t="s">
        <v>17</v>
      </c>
    </row>
    <row r="184" spans="1:17" ht="217.5" x14ac:dyDescent="0.35">
      <c r="A184" s="993">
        <v>43700</v>
      </c>
      <c r="B184" s="994" t="s">
        <v>3828</v>
      </c>
      <c r="C184" s="994" t="s">
        <v>3823</v>
      </c>
      <c r="D184" s="995">
        <v>43723</v>
      </c>
      <c r="E184" s="996" t="s">
        <v>262</v>
      </c>
      <c r="F184" s="994" t="s">
        <v>15</v>
      </c>
      <c r="G184" s="994" t="s">
        <v>49</v>
      </c>
      <c r="H184" s="994" t="s">
        <v>49</v>
      </c>
      <c r="I184" s="990">
        <f>100+400+97.5+18*65+325*4.76</f>
        <v>3314.5</v>
      </c>
      <c r="J184" s="987" t="s">
        <v>3824</v>
      </c>
      <c r="K184" s="987" t="s">
        <v>15</v>
      </c>
      <c r="L184" s="991" t="s">
        <v>17</v>
      </c>
    </row>
    <row r="185" spans="1:17" ht="261" x14ac:dyDescent="0.35">
      <c r="A185" s="830">
        <v>43703</v>
      </c>
      <c r="B185" s="819" t="s">
        <v>3869</v>
      </c>
      <c r="C185" s="819" t="s">
        <v>3872</v>
      </c>
      <c r="D185" s="833">
        <v>43727</v>
      </c>
      <c r="E185" s="867" t="s">
        <v>3870</v>
      </c>
      <c r="F185" s="819" t="s">
        <v>15</v>
      </c>
      <c r="G185" s="913">
        <v>0.3888888888888889</v>
      </c>
      <c r="H185" s="913">
        <v>0.40625</v>
      </c>
      <c r="I185" s="828">
        <f>100+(120*4.76)*0.9</f>
        <v>614.07999999999993</v>
      </c>
      <c r="J185" s="826" t="s">
        <v>3871</v>
      </c>
      <c r="K185" s="826" t="s">
        <v>15</v>
      </c>
      <c r="L185" s="829" t="s">
        <v>17</v>
      </c>
    </row>
    <row r="186" spans="1:17" ht="29" x14ac:dyDescent="0.35">
      <c r="A186" s="925">
        <v>43684</v>
      </c>
      <c r="B186" s="873" t="s">
        <v>20</v>
      </c>
      <c r="C186" s="874" t="s">
        <v>3640</v>
      </c>
      <c r="D186" s="981">
        <v>43728</v>
      </c>
      <c r="E186" s="874" t="s">
        <v>20</v>
      </c>
      <c r="F186" s="874" t="s">
        <v>15</v>
      </c>
      <c r="G186" s="874" t="s">
        <v>15</v>
      </c>
      <c r="H186" s="874" t="s">
        <v>15</v>
      </c>
      <c r="I186" s="874">
        <v>0</v>
      </c>
      <c r="J186" s="874" t="s">
        <v>20</v>
      </c>
      <c r="K186" s="874">
        <v>0</v>
      </c>
      <c r="L186" s="875"/>
    </row>
    <row r="187" spans="1:17" ht="203" x14ac:dyDescent="0.35">
      <c r="A187" s="862">
        <v>43682</v>
      </c>
      <c r="B187" s="855" t="s">
        <v>3614</v>
      </c>
      <c r="C187" s="855" t="s">
        <v>3610</v>
      </c>
      <c r="D187" s="863">
        <v>43729</v>
      </c>
      <c r="E187" s="864" t="s">
        <v>3611</v>
      </c>
      <c r="F187" s="855" t="s">
        <v>15</v>
      </c>
      <c r="G187" s="855" t="s">
        <v>49</v>
      </c>
      <c r="H187" s="855" t="s">
        <v>49</v>
      </c>
      <c r="I187" s="856" t="s">
        <v>3613</v>
      </c>
      <c r="J187" s="826" t="s">
        <v>3612</v>
      </c>
      <c r="K187" s="855" t="s">
        <v>15</v>
      </c>
      <c r="L187" s="857" t="s">
        <v>17</v>
      </c>
    </row>
    <row r="188" spans="1:17" ht="246.5" x14ac:dyDescent="0.35">
      <c r="A188" s="830">
        <v>43682</v>
      </c>
      <c r="B188" s="10" t="s">
        <v>3622</v>
      </c>
      <c r="C188" s="10" t="s">
        <v>3882</v>
      </c>
      <c r="D188" s="8">
        <v>43729</v>
      </c>
      <c r="E188" s="823" t="s">
        <v>73</v>
      </c>
      <c r="F188" s="10" t="s">
        <v>15</v>
      </c>
      <c r="G188" s="10" t="s">
        <v>49</v>
      </c>
      <c r="H188" s="10" t="s">
        <v>49</v>
      </c>
      <c r="I188" s="7" t="s">
        <v>3883</v>
      </c>
      <c r="J188" s="5" t="s">
        <v>3881</v>
      </c>
      <c r="K188" s="5" t="s">
        <v>15</v>
      </c>
      <c r="L188" s="5" t="s">
        <v>17</v>
      </c>
    </row>
    <row r="189" spans="1:17" ht="174" x14ac:dyDescent="0.35">
      <c r="A189" s="1129">
        <v>43684</v>
      </c>
      <c r="B189" s="1063" t="s">
        <v>3614</v>
      </c>
      <c r="C189" s="10" t="s">
        <v>3641</v>
      </c>
      <c r="D189" s="1067">
        <v>43730</v>
      </c>
      <c r="E189" s="823" t="s">
        <v>3637</v>
      </c>
      <c r="F189" s="1063" t="s">
        <v>15</v>
      </c>
      <c r="G189" s="1063" t="s">
        <v>49</v>
      </c>
      <c r="H189" s="1063" t="s">
        <v>49</v>
      </c>
      <c r="I189" s="879" t="s">
        <v>3638</v>
      </c>
      <c r="J189" s="885" t="s">
        <v>3639</v>
      </c>
      <c r="K189" s="885" t="s">
        <v>15</v>
      </c>
      <c r="L189" s="920" t="s">
        <v>17</v>
      </c>
    </row>
    <row r="190" spans="1:17" ht="43.5" x14ac:dyDescent="0.35">
      <c r="A190" s="1061">
        <v>43690</v>
      </c>
      <c r="B190" s="819" t="s">
        <v>3953</v>
      </c>
      <c r="C190" s="819" t="s">
        <v>3954</v>
      </c>
      <c r="D190" s="1066">
        <v>43736</v>
      </c>
      <c r="E190" s="867" t="s">
        <v>3955</v>
      </c>
      <c r="F190" s="1069"/>
      <c r="G190" s="1069"/>
      <c r="H190" s="1069"/>
      <c r="I190" s="828" t="s">
        <v>49</v>
      </c>
      <c r="J190" s="1072"/>
      <c r="K190" s="1072"/>
      <c r="L190" s="1073"/>
    </row>
    <row r="191" spans="1:17" ht="261" x14ac:dyDescent="0.35">
      <c r="A191" s="1005">
        <v>43699</v>
      </c>
      <c r="B191" s="1062" t="s">
        <v>3809</v>
      </c>
      <c r="C191" s="1229" t="s">
        <v>3810</v>
      </c>
      <c r="D191" s="1065">
        <v>43736</v>
      </c>
      <c r="E191" s="1068" t="s">
        <v>3811</v>
      </c>
      <c r="F191" s="1062" t="s">
        <v>15</v>
      </c>
      <c r="G191" s="1062" t="s">
        <v>49</v>
      </c>
      <c r="H191" s="1062" t="s">
        <v>49</v>
      </c>
      <c r="I191" s="1062" t="s">
        <v>3813</v>
      </c>
      <c r="J191" s="1062" t="s">
        <v>3812</v>
      </c>
      <c r="K191" s="1062" t="s">
        <v>15</v>
      </c>
      <c r="L191" s="1062" t="s">
        <v>17</v>
      </c>
    </row>
    <row r="192" spans="1:17" ht="72.5" x14ac:dyDescent="0.35">
      <c r="A192" s="1019">
        <v>43704</v>
      </c>
      <c r="B192" s="819" t="s">
        <v>3900</v>
      </c>
      <c r="C192" s="819" t="s">
        <v>3901</v>
      </c>
      <c r="D192" s="1024">
        <v>43736</v>
      </c>
      <c r="E192" s="867" t="s">
        <v>539</v>
      </c>
      <c r="F192" s="819" t="s">
        <v>3071</v>
      </c>
      <c r="G192" s="819" t="s">
        <v>49</v>
      </c>
      <c r="H192" s="819" t="s">
        <v>49</v>
      </c>
      <c r="I192" s="1031">
        <v>2091</v>
      </c>
      <c r="J192" s="826" t="s">
        <v>3902</v>
      </c>
      <c r="K192" s="1027"/>
      <c r="L192" s="829" t="s">
        <v>22</v>
      </c>
    </row>
    <row r="193" spans="1:12" ht="58" x14ac:dyDescent="0.35">
      <c r="A193" s="1014">
        <v>43703</v>
      </c>
      <c r="B193" s="1134" t="s">
        <v>3873</v>
      </c>
      <c r="C193" s="1090" t="s">
        <v>3877</v>
      </c>
      <c r="D193" s="1145">
        <v>43743</v>
      </c>
      <c r="E193" s="1151" t="s">
        <v>48</v>
      </c>
      <c r="F193" s="1134" t="s">
        <v>15</v>
      </c>
      <c r="G193" s="1134" t="s">
        <v>49</v>
      </c>
      <c r="H193" s="1134" t="s">
        <v>49</v>
      </c>
      <c r="I193" s="998">
        <v>750</v>
      </c>
      <c r="J193" s="999" t="s">
        <v>3874</v>
      </c>
      <c r="K193" s="999" t="s">
        <v>15</v>
      </c>
      <c r="L193" s="999" t="s">
        <v>17</v>
      </c>
    </row>
    <row r="194" spans="1:12" ht="130.5" x14ac:dyDescent="0.35">
      <c r="A194" s="986">
        <v>43703</v>
      </c>
      <c r="B194" s="987" t="s">
        <v>3856</v>
      </c>
      <c r="C194" s="987" t="s">
        <v>3858</v>
      </c>
      <c r="D194" s="988">
        <v>43750</v>
      </c>
      <c r="E194" s="989" t="s">
        <v>3857</v>
      </c>
      <c r="F194" s="987" t="s">
        <v>15</v>
      </c>
      <c r="G194" s="987" t="s">
        <v>49</v>
      </c>
      <c r="H194" s="987" t="s">
        <v>49</v>
      </c>
      <c r="I194" s="990" t="s">
        <v>3859</v>
      </c>
      <c r="J194" s="987" t="s">
        <v>369</v>
      </c>
      <c r="K194" s="987" t="s">
        <v>15</v>
      </c>
      <c r="L194" s="991" t="s">
        <v>17</v>
      </c>
    </row>
    <row r="195" spans="1:12" ht="261" x14ac:dyDescent="0.35">
      <c r="A195" s="926">
        <v>43703</v>
      </c>
      <c r="B195" s="918" t="s">
        <v>3878</v>
      </c>
      <c r="C195" s="918" t="s">
        <v>3918</v>
      </c>
      <c r="D195" s="1142">
        <v>43764</v>
      </c>
      <c r="E195" s="1148" t="s">
        <v>262</v>
      </c>
      <c r="F195" s="918" t="s">
        <v>15</v>
      </c>
      <c r="G195" s="918" t="s">
        <v>49</v>
      </c>
      <c r="H195" s="918" t="s">
        <v>49</v>
      </c>
      <c r="I195" s="828" t="s">
        <v>3880</v>
      </c>
      <c r="J195" s="826" t="s">
        <v>3879</v>
      </c>
      <c r="K195" s="826" t="s">
        <v>15</v>
      </c>
      <c r="L195" s="829" t="s">
        <v>17</v>
      </c>
    </row>
    <row r="196" spans="1:12" ht="29" x14ac:dyDescent="0.35">
      <c r="A196" s="825">
        <v>43703</v>
      </c>
      <c r="B196" s="826" t="s">
        <v>3889</v>
      </c>
      <c r="C196" s="826" t="s">
        <v>3884</v>
      </c>
      <c r="D196" s="827">
        <v>43883</v>
      </c>
      <c r="E196" s="872" t="s">
        <v>49</v>
      </c>
      <c r="F196" s="826" t="s">
        <v>15</v>
      </c>
      <c r="G196" s="826" t="s">
        <v>49</v>
      </c>
      <c r="H196" s="826" t="s">
        <v>49</v>
      </c>
      <c r="I196" s="828" t="s">
        <v>49</v>
      </c>
      <c r="J196" s="826" t="s">
        <v>49</v>
      </c>
      <c r="K196" s="826" t="s">
        <v>15</v>
      </c>
      <c r="L196" s="829" t="s">
        <v>17</v>
      </c>
    </row>
    <row r="204" spans="1:12" ht="29" x14ac:dyDescent="0.35">
      <c r="A204" s="818">
        <v>43663</v>
      </c>
      <c r="B204" s="816" t="s">
        <v>20</v>
      </c>
      <c r="C204" s="817" t="s">
        <v>21</v>
      </c>
      <c r="D204" s="818">
        <v>43678</v>
      </c>
      <c r="E204" s="817" t="s">
        <v>20</v>
      </c>
      <c r="F204" s="817" t="s">
        <v>15</v>
      </c>
      <c r="G204" s="817" t="s">
        <v>15</v>
      </c>
      <c r="H204" s="817" t="s">
        <v>15</v>
      </c>
      <c r="I204" s="817">
        <v>0</v>
      </c>
      <c r="J204" s="817" t="s">
        <v>20</v>
      </c>
      <c r="K204" s="817" t="s">
        <v>15</v>
      </c>
      <c r="L204" s="817"/>
    </row>
    <row r="205" spans="1:12" x14ac:dyDescent="0.35">
      <c r="A205" s="818">
        <v>43663</v>
      </c>
      <c r="B205" s="816" t="s">
        <v>3605</v>
      </c>
      <c r="C205" s="817" t="s">
        <v>911</v>
      </c>
      <c r="D205" s="818">
        <v>43678</v>
      </c>
      <c r="E205" s="817" t="s">
        <v>2081</v>
      </c>
      <c r="F205" s="817" t="s">
        <v>15</v>
      </c>
      <c r="G205" s="817" t="s">
        <v>49</v>
      </c>
      <c r="H205" s="817" t="s">
        <v>49</v>
      </c>
      <c r="I205" s="817">
        <v>0</v>
      </c>
      <c r="J205" s="817" t="s">
        <v>911</v>
      </c>
      <c r="K205" s="817">
        <v>0</v>
      </c>
      <c r="L205" s="817"/>
    </row>
  </sheetData>
  <conditionalFormatting sqref="B1:L1 B3:C5 K2:K5 G3:J5 E3:E5 F2:F5 L3:L5">
    <cfRule type="cellIs" dxfId="902" priority="857" operator="equal">
      <formula>TODAY()</formula>
    </cfRule>
    <cfRule type="cellIs" dxfId="901" priority="858" operator="equal">
      <formula>TODAY()</formula>
    </cfRule>
  </conditionalFormatting>
  <conditionalFormatting sqref="B2 B18:B20 B31:B33 B22:B27">
    <cfRule type="cellIs" dxfId="900" priority="837" operator="equal">
      <formula>TODAY()</formula>
    </cfRule>
    <cfRule type="cellIs" dxfId="899" priority="838" operator="equal">
      <formula>TODAY()</formula>
    </cfRule>
  </conditionalFormatting>
  <conditionalFormatting sqref="B10:B14">
    <cfRule type="cellIs" dxfId="898" priority="839" operator="equal">
      <formula>TODAY()</formula>
    </cfRule>
    <cfRule type="cellIs" dxfId="897" priority="840" operator="equal">
      <formula>TODAY()</formula>
    </cfRule>
  </conditionalFormatting>
  <conditionalFormatting sqref="B7:B8">
    <cfRule type="cellIs" dxfId="896" priority="841" operator="equal">
      <formula>TODAY()</formula>
    </cfRule>
    <cfRule type="cellIs" dxfId="895" priority="842" operator="equal">
      <formula>TODAY()</formula>
    </cfRule>
  </conditionalFormatting>
  <conditionalFormatting sqref="B15:B16">
    <cfRule type="cellIs" dxfId="894" priority="843" operator="equal">
      <formula>TODAY()</formula>
    </cfRule>
    <cfRule type="cellIs" dxfId="893" priority="844" operator="equal">
      <formula>TODAY()</formula>
    </cfRule>
  </conditionalFormatting>
  <conditionalFormatting sqref="B17">
    <cfRule type="cellIs" dxfId="892" priority="845" operator="equal">
      <formula>TODAY()</formula>
    </cfRule>
    <cfRule type="cellIs" dxfId="891" priority="846" operator="equal">
      <formula>TODAY()</formula>
    </cfRule>
  </conditionalFormatting>
  <conditionalFormatting sqref="K7:K8 K10:K20 K22:K34">
    <cfRule type="cellIs" dxfId="890" priority="761" operator="equal">
      <formula>TODAY()</formula>
    </cfRule>
    <cfRule type="cellIs" dxfId="889" priority="762" operator="equal">
      <formula>TODAY()</formula>
    </cfRule>
  </conditionalFormatting>
  <conditionalFormatting sqref="J2 J18:J20 J31:J33 J22:J27">
    <cfRule type="cellIs" dxfId="888" priority="763" operator="equal">
      <formula>TODAY()</formula>
    </cfRule>
    <cfRule type="cellIs" dxfId="887" priority="764" operator="equal">
      <formula>TODAY()</formula>
    </cfRule>
  </conditionalFormatting>
  <conditionalFormatting sqref="J10:J14">
    <cfRule type="cellIs" dxfId="886" priority="765" operator="equal">
      <formula>TODAY()</formula>
    </cfRule>
    <cfRule type="cellIs" dxfId="885" priority="766" operator="equal">
      <formula>TODAY()</formula>
    </cfRule>
  </conditionalFormatting>
  <conditionalFormatting sqref="J7:J8">
    <cfRule type="cellIs" dxfId="884" priority="767" operator="equal">
      <formula>TODAY()</formula>
    </cfRule>
    <cfRule type="cellIs" dxfId="883" priority="768" operator="equal">
      <formula>TODAY()</formula>
    </cfRule>
  </conditionalFormatting>
  <conditionalFormatting sqref="J15:J16">
    <cfRule type="cellIs" dxfId="882" priority="769" operator="equal">
      <formula>TODAY()</formula>
    </cfRule>
    <cfRule type="cellIs" dxfId="881" priority="770" operator="equal">
      <formula>TODAY()</formula>
    </cfRule>
  </conditionalFormatting>
  <conditionalFormatting sqref="C2 C18:C20 C31:C33 C22:C27">
    <cfRule type="cellIs" dxfId="880" priority="807" operator="equal">
      <formula>TODAY()</formula>
    </cfRule>
    <cfRule type="cellIs" dxfId="879" priority="808" operator="equal">
      <formula>TODAY()</formula>
    </cfRule>
  </conditionalFormatting>
  <conditionalFormatting sqref="C10:C14">
    <cfRule type="cellIs" dxfId="878" priority="809" operator="equal">
      <formula>TODAY()</formula>
    </cfRule>
    <cfRule type="cellIs" dxfId="877" priority="810" operator="equal">
      <formula>TODAY()</formula>
    </cfRule>
  </conditionalFormatting>
  <conditionalFormatting sqref="C7:C8">
    <cfRule type="cellIs" dxfId="876" priority="811" operator="equal">
      <formula>TODAY()</formula>
    </cfRule>
    <cfRule type="cellIs" dxfId="875" priority="812" operator="equal">
      <formula>TODAY()</formula>
    </cfRule>
  </conditionalFormatting>
  <conditionalFormatting sqref="C15:C16">
    <cfRule type="cellIs" dxfId="874" priority="813" operator="equal">
      <formula>TODAY()</formula>
    </cfRule>
    <cfRule type="cellIs" dxfId="873" priority="814" operator="equal">
      <formula>TODAY()</formula>
    </cfRule>
  </conditionalFormatting>
  <conditionalFormatting sqref="C17">
    <cfRule type="cellIs" dxfId="872" priority="815" operator="equal">
      <formula>TODAY()</formula>
    </cfRule>
    <cfRule type="cellIs" dxfId="871" priority="816" operator="equal">
      <formula>TODAY()</formula>
    </cfRule>
  </conditionalFormatting>
  <conditionalFormatting sqref="E2 E18:E20 E31:E33 E22:E27">
    <cfRule type="cellIs" dxfId="870" priority="797" operator="equal">
      <formula>TODAY()</formula>
    </cfRule>
    <cfRule type="cellIs" dxfId="869" priority="798" operator="equal">
      <formula>TODAY()</formula>
    </cfRule>
  </conditionalFormatting>
  <conditionalFormatting sqref="E10:E14">
    <cfRule type="cellIs" dxfId="868" priority="799" operator="equal">
      <formula>TODAY()</formula>
    </cfRule>
    <cfRule type="cellIs" dxfId="867" priority="800" operator="equal">
      <formula>TODAY()</formula>
    </cfRule>
  </conditionalFormatting>
  <conditionalFormatting sqref="E7:E8">
    <cfRule type="cellIs" dxfId="866" priority="801" operator="equal">
      <formula>TODAY()</formula>
    </cfRule>
    <cfRule type="cellIs" dxfId="865" priority="802" operator="equal">
      <formula>TODAY()</formula>
    </cfRule>
  </conditionalFormatting>
  <conditionalFormatting sqref="E15:E16">
    <cfRule type="cellIs" dxfId="864" priority="803" operator="equal">
      <formula>TODAY()</formula>
    </cfRule>
    <cfRule type="cellIs" dxfId="863" priority="804" operator="equal">
      <formula>TODAY()</formula>
    </cfRule>
  </conditionalFormatting>
  <conditionalFormatting sqref="E17">
    <cfRule type="cellIs" dxfId="862" priority="805" operator="equal">
      <formula>TODAY()</formula>
    </cfRule>
    <cfRule type="cellIs" dxfId="861" priority="806" operator="equal">
      <formula>TODAY()</formula>
    </cfRule>
  </conditionalFormatting>
  <conditionalFormatting sqref="F7:F8 F22:F34 F10:F20">
    <cfRule type="cellIs" dxfId="860" priority="795" operator="equal">
      <formula>TODAY()</formula>
    </cfRule>
    <cfRule type="cellIs" dxfId="859" priority="796" operator="equal">
      <formula>TODAY()</formula>
    </cfRule>
  </conditionalFormatting>
  <conditionalFormatting sqref="G2:H2 G18:H20 G31:H33 G22:H27">
    <cfRule type="cellIs" dxfId="858" priority="785" operator="equal">
      <formula>TODAY()</formula>
    </cfRule>
    <cfRule type="cellIs" dxfId="857" priority="786" operator="equal">
      <formula>TODAY()</formula>
    </cfRule>
  </conditionalFormatting>
  <conditionalFormatting sqref="G10:H14">
    <cfRule type="cellIs" dxfId="856" priority="787" operator="equal">
      <formula>TODAY()</formula>
    </cfRule>
    <cfRule type="cellIs" dxfId="855" priority="788" operator="equal">
      <formula>TODAY()</formula>
    </cfRule>
  </conditionalFormatting>
  <conditionalFormatting sqref="G7:H8">
    <cfRule type="cellIs" dxfId="854" priority="789" operator="equal">
      <formula>TODAY()</formula>
    </cfRule>
    <cfRule type="cellIs" dxfId="853" priority="790" operator="equal">
      <formula>TODAY()</formula>
    </cfRule>
  </conditionalFormatting>
  <conditionalFormatting sqref="G15:H16">
    <cfRule type="cellIs" dxfId="852" priority="791" operator="equal">
      <formula>TODAY()</formula>
    </cfRule>
    <cfRule type="cellIs" dxfId="851" priority="792" operator="equal">
      <formula>TODAY()</formula>
    </cfRule>
  </conditionalFormatting>
  <conditionalFormatting sqref="G17:H17">
    <cfRule type="cellIs" dxfId="850" priority="793" operator="equal">
      <formula>TODAY()</formula>
    </cfRule>
    <cfRule type="cellIs" dxfId="849" priority="794" operator="equal">
      <formula>TODAY()</formula>
    </cfRule>
  </conditionalFormatting>
  <conditionalFormatting sqref="I2 I18:I20 I31:I33 I22:I27">
    <cfRule type="cellIs" dxfId="848" priority="775" operator="equal">
      <formula>TODAY()</formula>
    </cfRule>
    <cfRule type="cellIs" dxfId="847" priority="776" operator="equal">
      <formula>TODAY()</formula>
    </cfRule>
  </conditionalFormatting>
  <conditionalFormatting sqref="I10:I14">
    <cfRule type="cellIs" dxfId="846" priority="777" operator="equal">
      <formula>TODAY()</formula>
    </cfRule>
    <cfRule type="cellIs" dxfId="845" priority="778" operator="equal">
      <formula>TODAY()</formula>
    </cfRule>
  </conditionalFormatting>
  <conditionalFormatting sqref="I7:I8">
    <cfRule type="cellIs" dxfId="844" priority="779" operator="equal">
      <formula>TODAY()</formula>
    </cfRule>
    <cfRule type="cellIs" dxfId="843" priority="780" operator="equal">
      <formula>TODAY()</formula>
    </cfRule>
  </conditionalFormatting>
  <conditionalFormatting sqref="I15:I16">
    <cfRule type="cellIs" dxfId="842" priority="781" operator="equal">
      <formula>TODAY()</formula>
    </cfRule>
    <cfRule type="cellIs" dxfId="841" priority="782" operator="equal">
      <formula>TODAY()</formula>
    </cfRule>
  </conditionalFormatting>
  <conditionalFormatting sqref="L17">
    <cfRule type="cellIs" dxfId="840" priority="759" operator="equal">
      <formula>TODAY()</formula>
    </cfRule>
    <cfRule type="cellIs" dxfId="839" priority="760" operator="equal">
      <formula>TODAY()</formula>
    </cfRule>
  </conditionalFormatting>
  <conditionalFormatting sqref="I17">
    <cfRule type="cellIs" dxfId="838" priority="773" operator="equal">
      <formula>TODAY()</formula>
    </cfRule>
    <cfRule type="cellIs" dxfId="837" priority="774" operator="equal">
      <formula>TODAY()</formula>
    </cfRule>
  </conditionalFormatting>
  <conditionalFormatting sqref="J17">
    <cfRule type="cellIs" dxfId="836" priority="771" operator="equal">
      <formula>TODAY()</formula>
    </cfRule>
    <cfRule type="cellIs" dxfId="835" priority="772" operator="equal">
      <formula>TODAY()</formula>
    </cfRule>
  </conditionalFormatting>
  <conditionalFormatting sqref="L2 L18:L20 L31:L33 L22:L27">
    <cfRule type="cellIs" dxfId="834" priority="751" operator="equal">
      <formula>TODAY()</formula>
    </cfRule>
    <cfRule type="cellIs" dxfId="833" priority="752" operator="equal">
      <formula>TODAY()</formula>
    </cfRule>
  </conditionalFormatting>
  <conditionalFormatting sqref="L10:L14">
    <cfRule type="cellIs" dxfId="832" priority="753" operator="equal">
      <formula>TODAY()</formula>
    </cfRule>
    <cfRule type="cellIs" dxfId="831" priority="754" operator="equal">
      <formula>TODAY()</formula>
    </cfRule>
  </conditionalFormatting>
  <conditionalFormatting sqref="L7:L8">
    <cfRule type="cellIs" dxfId="830" priority="755" operator="equal">
      <formula>TODAY()</formula>
    </cfRule>
    <cfRule type="cellIs" dxfId="829" priority="756" operator="equal">
      <formula>TODAY()</formula>
    </cfRule>
  </conditionalFormatting>
  <conditionalFormatting sqref="L15:L16">
    <cfRule type="cellIs" dxfId="828" priority="757" operator="equal">
      <formula>TODAY()</formula>
    </cfRule>
    <cfRule type="cellIs" dxfId="827" priority="758" operator="equal">
      <formula>TODAY()</formula>
    </cfRule>
  </conditionalFormatting>
  <conditionalFormatting sqref="B204">
    <cfRule type="cellIs" dxfId="826" priority="749" operator="equal">
      <formula>TODAY()</formula>
    </cfRule>
    <cfRule type="cellIs" dxfId="825" priority="750" operator="equal">
      <formula>TODAY()</formula>
    </cfRule>
  </conditionalFormatting>
  <conditionalFormatting sqref="K204">
    <cfRule type="cellIs" dxfId="824" priority="735" operator="equal">
      <formula>TODAY()</formula>
    </cfRule>
    <cfRule type="cellIs" dxfId="823" priority="736" operator="equal">
      <formula>TODAY()</formula>
    </cfRule>
  </conditionalFormatting>
  <conditionalFormatting sqref="J204">
    <cfRule type="cellIs" dxfId="822" priority="737" operator="equal">
      <formula>TODAY()</formula>
    </cfRule>
    <cfRule type="cellIs" dxfId="821" priority="738" operator="equal">
      <formula>TODAY()</formula>
    </cfRule>
  </conditionalFormatting>
  <conditionalFormatting sqref="C204">
    <cfRule type="cellIs" dxfId="820" priority="747" operator="equal">
      <formula>TODAY()</formula>
    </cfRule>
    <cfRule type="cellIs" dxfId="819" priority="748" operator="equal">
      <formula>TODAY()</formula>
    </cfRule>
  </conditionalFormatting>
  <conditionalFormatting sqref="E204">
    <cfRule type="cellIs" dxfId="818" priority="745" operator="equal">
      <formula>TODAY()</formula>
    </cfRule>
    <cfRule type="cellIs" dxfId="817" priority="746" operator="equal">
      <formula>TODAY()</formula>
    </cfRule>
  </conditionalFormatting>
  <conditionalFormatting sqref="F204">
    <cfRule type="cellIs" dxfId="816" priority="743" operator="equal">
      <formula>TODAY()</formula>
    </cfRule>
    <cfRule type="cellIs" dxfId="815" priority="744" operator="equal">
      <formula>TODAY()</formula>
    </cfRule>
  </conditionalFormatting>
  <conditionalFormatting sqref="G204:H204">
    <cfRule type="cellIs" dxfId="814" priority="741" operator="equal">
      <formula>TODAY()</formula>
    </cfRule>
    <cfRule type="cellIs" dxfId="813" priority="742" operator="equal">
      <formula>TODAY()</formula>
    </cfRule>
  </conditionalFormatting>
  <conditionalFormatting sqref="I204">
    <cfRule type="cellIs" dxfId="812" priority="739" operator="equal">
      <formula>TODAY()</formula>
    </cfRule>
    <cfRule type="cellIs" dxfId="811" priority="740" operator="equal">
      <formula>TODAY()</formula>
    </cfRule>
  </conditionalFormatting>
  <conditionalFormatting sqref="L204">
    <cfRule type="cellIs" dxfId="810" priority="733" operator="equal">
      <formula>TODAY()</formula>
    </cfRule>
    <cfRule type="cellIs" dxfId="809" priority="734" operator="equal">
      <formula>TODAY()</formula>
    </cfRule>
  </conditionalFormatting>
  <conditionalFormatting sqref="B35:B38">
    <cfRule type="cellIs" dxfId="808" priority="731" operator="equal">
      <formula>TODAY()</formula>
    </cfRule>
    <cfRule type="cellIs" dxfId="807" priority="732" operator="equal">
      <formula>TODAY()</formula>
    </cfRule>
  </conditionalFormatting>
  <conditionalFormatting sqref="K35">
    <cfRule type="cellIs" dxfId="806" priority="717" operator="equal">
      <formula>TODAY()</formula>
    </cfRule>
    <cfRule type="cellIs" dxfId="805" priority="718" operator="equal">
      <formula>TODAY()</formula>
    </cfRule>
  </conditionalFormatting>
  <conditionalFormatting sqref="J35">
    <cfRule type="cellIs" dxfId="804" priority="719" operator="equal">
      <formula>TODAY()</formula>
    </cfRule>
    <cfRule type="cellIs" dxfId="803" priority="720" operator="equal">
      <formula>TODAY()</formula>
    </cfRule>
  </conditionalFormatting>
  <conditionalFormatting sqref="C35:C38">
    <cfRule type="cellIs" dxfId="802" priority="729" operator="equal">
      <formula>TODAY()</formula>
    </cfRule>
    <cfRule type="cellIs" dxfId="801" priority="730" operator="equal">
      <formula>TODAY()</formula>
    </cfRule>
  </conditionalFormatting>
  <conditionalFormatting sqref="E35">
    <cfRule type="cellIs" dxfId="800" priority="727" operator="equal">
      <formula>TODAY()</formula>
    </cfRule>
    <cfRule type="cellIs" dxfId="799" priority="728" operator="equal">
      <formula>TODAY()</formula>
    </cfRule>
  </conditionalFormatting>
  <conditionalFormatting sqref="G35:H35">
    <cfRule type="cellIs" dxfId="798" priority="723" operator="equal">
      <formula>TODAY()</formula>
    </cfRule>
    <cfRule type="cellIs" dxfId="797" priority="724" operator="equal">
      <formula>TODAY()</formula>
    </cfRule>
  </conditionalFormatting>
  <conditionalFormatting sqref="I35">
    <cfRule type="cellIs" dxfId="796" priority="721" operator="equal">
      <formula>TODAY()</formula>
    </cfRule>
    <cfRule type="cellIs" dxfId="795" priority="722" operator="equal">
      <formula>TODAY()</formula>
    </cfRule>
  </conditionalFormatting>
  <conditionalFormatting sqref="L35">
    <cfRule type="cellIs" dxfId="794" priority="715" operator="equal">
      <formula>TODAY()</formula>
    </cfRule>
    <cfRule type="cellIs" dxfId="793" priority="716" operator="equal">
      <formula>TODAY()</formula>
    </cfRule>
  </conditionalFormatting>
  <conditionalFormatting sqref="B6">
    <cfRule type="cellIs" dxfId="792" priority="713" operator="equal">
      <formula>TODAY()</formula>
    </cfRule>
    <cfRule type="cellIs" dxfId="791" priority="714" operator="equal">
      <formula>TODAY()</formula>
    </cfRule>
  </conditionalFormatting>
  <conditionalFormatting sqref="K6">
    <cfRule type="cellIs" dxfId="790" priority="699" operator="equal">
      <formula>TODAY()</formula>
    </cfRule>
    <cfRule type="cellIs" dxfId="789" priority="700" operator="equal">
      <formula>TODAY()</formula>
    </cfRule>
  </conditionalFormatting>
  <conditionalFormatting sqref="J6">
    <cfRule type="cellIs" dxfId="788" priority="701" operator="equal">
      <formula>TODAY()</formula>
    </cfRule>
    <cfRule type="cellIs" dxfId="787" priority="702" operator="equal">
      <formula>TODAY()</formula>
    </cfRule>
  </conditionalFormatting>
  <conditionalFormatting sqref="C6">
    <cfRule type="cellIs" dxfId="786" priority="711" operator="equal">
      <formula>TODAY()</formula>
    </cfRule>
    <cfRule type="cellIs" dxfId="785" priority="712" operator="equal">
      <formula>TODAY()</formula>
    </cfRule>
  </conditionalFormatting>
  <conditionalFormatting sqref="E6">
    <cfRule type="cellIs" dxfId="784" priority="709" operator="equal">
      <formula>TODAY()</formula>
    </cfRule>
    <cfRule type="cellIs" dxfId="783" priority="710" operator="equal">
      <formula>TODAY()</formula>
    </cfRule>
  </conditionalFormatting>
  <conditionalFormatting sqref="F6">
    <cfRule type="cellIs" dxfId="782" priority="707" operator="equal">
      <formula>TODAY()</formula>
    </cfRule>
    <cfRule type="cellIs" dxfId="781" priority="708" operator="equal">
      <formula>TODAY()</formula>
    </cfRule>
  </conditionalFormatting>
  <conditionalFormatting sqref="G6:H6">
    <cfRule type="cellIs" dxfId="780" priority="705" operator="equal">
      <formula>TODAY()</formula>
    </cfRule>
    <cfRule type="cellIs" dxfId="779" priority="706" operator="equal">
      <formula>TODAY()</formula>
    </cfRule>
  </conditionalFormatting>
  <conditionalFormatting sqref="I6">
    <cfRule type="cellIs" dxfId="778" priority="703" operator="equal">
      <formula>TODAY()</formula>
    </cfRule>
    <cfRule type="cellIs" dxfId="777" priority="704" operator="equal">
      <formula>TODAY()</formula>
    </cfRule>
  </conditionalFormatting>
  <conditionalFormatting sqref="L6">
    <cfRule type="cellIs" dxfId="776" priority="697" operator="equal">
      <formula>TODAY()</formula>
    </cfRule>
    <cfRule type="cellIs" dxfId="775" priority="698" operator="equal">
      <formula>TODAY()</formula>
    </cfRule>
  </conditionalFormatting>
  <conditionalFormatting sqref="F35">
    <cfRule type="cellIs" dxfId="774" priority="695" operator="equal">
      <formula>TODAY()</formula>
    </cfRule>
    <cfRule type="cellIs" dxfId="773" priority="696" operator="equal">
      <formula>TODAY()</formula>
    </cfRule>
  </conditionalFormatting>
  <conditionalFormatting sqref="F39:F41">
    <cfRule type="cellIs" dxfId="772" priority="693" operator="equal">
      <formula>TODAY()</formula>
    </cfRule>
    <cfRule type="cellIs" dxfId="771" priority="694" operator="equal">
      <formula>TODAY()</formula>
    </cfRule>
  </conditionalFormatting>
  <conditionalFormatting sqref="B21">
    <cfRule type="cellIs" dxfId="770" priority="691" operator="equal">
      <formula>TODAY()</formula>
    </cfRule>
    <cfRule type="cellIs" dxfId="769" priority="692" operator="equal">
      <formula>TODAY()</formula>
    </cfRule>
  </conditionalFormatting>
  <conditionalFormatting sqref="K21">
    <cfRule type="cellIs" dxfId="768" priority="677" operator="equal">
      <formula>TODAY()</formula>
    </cfRule>
    <cfRule type="cellIs" dxfId="767" priority="678" operator="equal">
      <formula>TODAY()</formula>
    </cfRule>
  </conditionalFormatting>
  <conditionalFormatting sqref="J21">
    <cfRule type="cellIs" dxfId="766" priority="679" operator="equal">
      <formula>TODAY()</formula>
    </cfRule>
    <cfRule type="cellIs" dxfId="765" priority="680" operator="equal">
      <formula>TODAY()</formula>
    </cfRule>
  </conditionalFormatting>
  <conditionalFormatting sqref="C21">
    <cfRule type="cellIs" dxfId="764" priority="689" operator="equal">
      <formula>TODAY()</formula>
    </cfRule>
    <cfRule type="cellIs" dxfId="763" priority="690" operator="equal">
      <formula>TODAY()</formula>
    </cfRule>
  </conditionalFormatting>
  <conditionalFormatting sqref="E21">
    <cfRule type="cellIs" dxfId="762" priority="687" operator="equal">
      <formula>TODAY()</formula>
    </cfRule>
    <cfRule type="cellIs" dxfId="761" priority="688" operator="equal">
      <formula>TODAY()</formula>
    </cfRule>
  </conditionalFormatting>
  <conditionalFormatting sqref="F21">
    <cfRule type="cellIs" dxfId="760" priority="685" operator="equal">
      <formula>TODAY()</formula>
    </cfRule>
    <cfRule type="cellIs" dxfId="759" priority="686" operator="equal">
      <formula>TODAY()</formula>
    </cfRule>
  </conditionalFormatting>
  <conditionalFormatting sqref="G21:H21">
    <cfRule type="cellIs" dxfId="758" priority="683" operator="equal">
      <formula>TODAY()</formula>
    </cfRule>
    <cfRule type="cellIs" dxfId="757" priority="684" operator="equal">
      <formula>TODAY()</formula>
    </cfRule>
  </conditionalFormatting>
  <conditionalFormatting sqref="I21">
    <cfRule type="cellIs" dxfId="756" priority="681" operator="equal">
      <formula>TODAY()</formula>
    </cfRule>
    <cfRule type="cellIs" dxfId="755" priority="682" operator="equal">
      <formula>TODAY()</formula>
    </cfRule>
  </conditionalFormatting>
  <conditionalFormatting sqref="L21">
    <cfRule type="cellIs" dxfId="754" priority="675" operator="equal">
      <formula>TODAY()</formula>
    </cfRule>
    <cfRule type="cellIs" dxfId="753" priority="676" operator="equal">
      <formula>TODAY()</formula>
    </cfRule>
  </conditionalFormatting>
  <conditionalFormatting sqref="B9">
    <cfRule type="cellIs" dxfId="752" priority="673" operator="equal">
      <formula>TODAY()</formula>
    </cfRule>
    <cfRule type="cellIs" dxfId="751" priority="674" operator="equal">
      <formula>TODAY()</formula>
    </cfRule>
  </conditionalFormatting>
  <conditionalFormatting sqref="K9">
    <cfRule type="cellIs" dxfId="750" priority="659" operator="equal">
      <formula>TODAY()</formula>
    </cfRule>
    <cfRule type="cellIs" dxfId="749" priority="660" operator="equal">
      <formula>TODAY()</formula>
    </cfRule>
  </conditionalFormatting>
  <conditionalFormatting sqref="J9">
    <cfRule type="cellIs" dxfId="748" priority="661" operator="equal">
      <formula>TODAY()</formula>
    </cfRule>
    <cfRule type="cellIs" dxfId="747" priority="662" operator="equal">
      <formula>TODAY()</formula>
    </cfRule>
  </conditionalFormatting>
  <conditionalFormatting sqref="C9">
    <cfRule type="cellIs" dxfId="746" priority="671" operator="equal">
      <formula>TODAY()</formula>
    </cfRule>
    <cfRule type="cellIs" dxfId="745" priority="672" operator="equal">
      <formula>TODAY()</formula>
    </cfRule>
  </conditionalFormatting>
  <conditionalFormatting sqref="E9">
    <cfRule type="cellIs" dxfId="744" priority="669" operator="equal">
      <formula>TODAY()</formula>
    </cfRule>
    <cfRule type="cellIs" dxfId="743" priority="670" operator="equal">
      <formula>TODAY()</formula>
    </cfRule>
  </conditionalFormatting>
  <conditionalFormatting sqref="F9">
    <cfRule type="cellIs" dxfId="742" priority="667" operator="equal">
      <formula>TODAY()</formula>
    </cfRule>
    <cfRule type="cellIs" dxfId="741" priority="668" operator="equal">
      <formula>TODAY()</formula>
    </cfRule>
  </conditionalFormatting>
  <conditionalFormatting sqref="G9:H9">
    <cfRule type="cellIs" dxfId="740" priority="665" operator="equal">
      <formula>TODAY()</formula>
    </cfRule>
    <cfRule type="cellIs" dxfId="739" priority="666" operator="equal">
      <formula>TODAY()</formula>
    </cfRule>
  </conditionalFormatting>
  <conditionalFormatting sqref="I9">
    <cfRule type="cellIs" dxfId="738" priority="663" operator="equal">
      <formula>TODAY()</formula>
    </cfRule>
    <cfRule type="cellIs" dxfId="737" priority="664" operator="equal">
      <formula>TODAY()</formula>
    </cfRule>
  </conditionalFormatting>
  <conditionalFormatting sqref="L9">
    <cfRule type="cellIs" dxfId="736" priority="657" operator="equal">
      <formula>TODAY()</formula>
    </cfRule>
    <cfRule type="cellIs" dxfId="735" priority="658" operator="equal">
      <formula>TODAY()</formula>
    </cfRule>
  </conditionalFormatting>
  <conditionalFormatting sqref="B62:B63">
    <cfRule type="cellIs" dxfId="734" priority="653" operator="equal">
      <formula>TODAY()</formula>
    </cfRule>
    <cfRule type="cellIs" dxfId="733" priority="654" operator="equal">
      <formula>TODAY()</formula>
    </cfRule>
  </conditionalFormatting>
  <conditionalFormatting sqref="C62">
    <cfRule type="cellIs" dxfId="732" priority="651" operator="equal">
      <formula>TODAY()</formula>
    </cfRule>
    <cfRule type="cellIs" dxfId="731" priority="652" operator="equal">
      <formula>TODAY()</formula>
    </cfRule>
  </conditionalFormatting>
  <conditionalFormatting sqref="L62:L63">
    <cfRule type="cellIs" dxfId="730" priority="637" operator="equal">
      <formula>TODAY()</formula>
    </cfRule>
    <cfRule type="cellIs" dxfId="729" priority="638" operator="equal">
      <formula>TODAY()</formula>
    </cfRule>
  </conditionalFormatting>
  <conditionalFormatting sqref="K62:K63">
    <cfRule type="cellIs" dxfId="728" priority="625" operator="equal">
      <formula>TODAY()</formula>
    </cfRule>
    <cfRule type="cellIs" dxfId="727" priority="626" operator="equal">
      <formula>TODAY()</formula>
    </cfRule>
  </conditionalFormatting>
  <conditionalFormatting sqref="J62:J63">
    <cfRule type="cellIs" dxfId="726" priority="627" operator="equal">
      <formula>TODAY()</formula>
    </cfRule>
    <cfRule type="cellIs" dxfId="725" priority="628" operator="equal">
      <formula>TODAY()</formula>
    </cfRule>
  </conditionalFormatting>
  <conditionalFormatting sqref="E62:E63">
    <cfRule type="cellIs" dxfId="724" priority="635" operator="equal">
      <formula>TODAY()</formula>
    </cfRule>
    <cfRule type="cellIs" dxfId="723" priority="636" operator="equal">
      <formula>TODAY()</formula>
    </cfRule>
  </conditionalFormatting>
  <conditionalFormatting sqref="F62:F63">
    <cfRule type="cellIs" dxfId="722" priority="633" operator="equal">
      <formula>TODAY()</formula>
    </cfRule>
    <cfRule type="cellIs" dxfId="721" priority="634" operator="equal">
      <formula>TODAY()</formula>
    </cfRule>
  </conditionalFormatting>
  <conditionalFormatting sqref="G62:H63">
    <cfRule type="cellIs" dxfId="720" priority="631" operator="equal">
      <formula>TODAY()</formula>
    </cfRule>
    <cfRule type="cellIs" dxfId="719" priority="632" operator="equal">
      <formula>TODAY()</formula>
    </cfRule>
  </conditionalFormatting>
  <conditionalFormatting sqref="I62:I63">
    <cfRule type="cellIs" dxfId="718" priority="629" operator="equal">
      <formula>TODAY()</formula>
    </cfRule>
    <cfRule type="cellIs" dxfId="717" priority="630" operator="equal">
      <formula>TODAY()</formula>
    </cfRule>
  </conditionalFormatting>
  <conditionalFormatting sqref="B68">
    <cfRule type="cellIs" dxfId="716" priority="623" operator="equal">
      <formula>TODAY()</formula>
    </cfRule>
    <cfRule type="cellIs" dxfId="715" priority="624" operator="equal">
      <formula>TODAY()</formula>
    </cfRule>
  </conditionalFormatting>
  <conditionalFormatting sqref="K68">
    <cfRule type="cellIs" dxfId="714" priority="609" operator="equal">
      <formula>TODAY()</formula>
    </cfRule>
    <cfRule type="cellIs" dxfId="713" priority="610" operator="equal">
      <formula>TODAY()</formula>
    </cfRule>
  </conditionalFormatting>
  <conditionalFormatting sqref="J68">
    <cfRule type="cellIs" dxfId="712" priority="611" operator="equal">
      <formula>TODAY()</formula>
    </cfRule>
    <cfRule type="cellIs" dxfId="711" priority="612" operator="equal">
      <formula>TODAY()</formula>
    </cfRule>
  </conditionalFormatting>
  <conditionalFormatting sqref="C68">
    <cfRule type="cellIs" dxfId="710" priority="621" operator="equal">
      <formula>TODAY()</formula>
    </cfRule>
    <cfRule type="cellIs" dxfId="709" priority="622" operator="equal">
      <formula>TODAY()</formula>
    </cfRule>
  </conditionalFormatting>
  <conditionalFormatting sqref="E68">
    <cfRule type="cellIs" dxfId="708" priority="619" operator="equal">
      <formula>TODAY()</formula>
    </cfRule>
    <cfRule type="cellIs" dxfId="707" priority="620" operator="equal">
      <formula>TODAY()</formula>
    </cfRule>
  </conditionalFormatting>
  <conditionalFormatting sqref="F68">
    <cfRule type="cellIs" dxfId="706" priority="617" operator="equal">
      <formula>TODAY()</formula>
    </cfRule>
    <cfRule type="cellIs" dxfId="705" priority="618" operator="equal">
      <formula>TODAY()</formula>
    </cfRule>
  </conditionalFormatting>
  <conditionalFormatting sqref="G68:H68">
    <cfRule type="cellIs" dxfId="704" priority="615" operator="equal">
      <formula>TODAY()</formula>
    </cfRule>
    <cfRule type="cellIs" dxfId="703" priority="616" operator="equal">
      <formula>TODAY()</formula>
    </cfRule>
  </conditionalFormatting>
  <conditionalFormatting sqref="I68">
    <cfRule type="cellIs" dxfId="702" priority="613" operator="equal">
      <formula>TODAY()</formula>
    </cfRule>
    <cfRule type="cellIs" dxfId="701" priority="614" operator="equal">
      <formula>TODAY()</formula>
    </cfRule>
  </conditionalFormatting>
  <conditionalFormatting sqref="L68">
    <cfRule type="cellIs" dxfId="700" priority="607" operator="equal">
      <formula>TODAY()</formula>
    </cfRule>
    <cfRule type="cellIs" dxfId="699" priority="608" operator="equal">
      <formula>TODAY()</formula>
    </cfRule>
  </conditionalFormatting>
  <conditionalFormatting sqref="J70">
    <cfRule type="cellIs" dxfId="698" priority="595" operator="equal">
      <formula>TODAY()</formula>
    </cfRule>
    <cfRule type="cellIs" dxfId="697" priority="596" operator="equal">
      <formula>TODAY()</formula>
    </cfRule>
  </conditionalFormatting>
  <conditionalFormatting sqref="C70">
    <cfRule type="cellIs" dxfId="696" priority="605" operator="equal">
      <formula>TODAY()</formula>
    </cfRule>
    <cfRule type="cellIs" dxfId="695" priority="606" operator="equal">
      <formula>TODAY()</formula>
    </cfRule>
  </conditionalFormatting>
  <conditionalFormatting sqref="E70">
    <cfRule type="cellIs" dxfId="694" priority="603" operator="equal">
      <formula>TODAY()</formula>
    </cfRule>
    <cfRule type="cellIs" dxfId="693" priority="604" operator="equal">
      <formula>TODAY()</formula>
    </cfRule>
  </conditionalFormatting>
  <conditionalFormatting sqref="F70">
    <cfRule type="cellIs" dxfId="692" priority="601" operator="equal">
      <formula>TODAY()</formula>
    </cfRule>
    <cfRule type="cellIs" dxfId="691" priority="602" operator="equal">
      <formula>TODAY()</formula>
    </cfRule>
  </conditionalFormatting>
  <conditionalFormatting sqref="G70:H70">
    <cfRule type="cellIs" dxfId="690" priority="599" operator="equal">
      <formula>TODAY()</formula>
    </cfRule>
    <cfRule type="cellIs" dxfId="689" priority="600" operator="equal">
      <formula>TODAY()</formula>
    </cfRule>
  </conditionalFormatting>
  <conditionalFormatting sqref="I70">
    <cfRule type="cellIs" dxfId="688" priority="597" operator="equal">
      <formula>TODAY()</formula>
    </cfRule>
    <cfRule type="cellIs" dxfId="687" priority="598" operator="equal">
      <formula>TODAY()</formula>
    </cfRule>
  </conditionalFormatting>
  <conditionalFormatting sqref="L70">
    <cfRule type="cellIs" dxfId="686" priority="591" operator="equal">
      <formula>TODAY()</formula>
    </cfRule>
    <cfRule type="cellIs" dxfId="685" priority="592" operator="equal">
      <formula>TODAY()</formula>
    </cfRule>
  </conditionalFormatting>
  <conditionalFormatting sqref="B40:B41">
    <cfRule type="cellIs" dxfId="684" priority="589" operator="equal">
      <formula>TODAY()</formula>
    </cfRule>
    <cfRule type="cellIs" dxfId="683" priority="590" operator="equal">
      <formula>TODAY()</formula>
    </cfRule>
  </conditionalFormatting>
  <conditionalFormatting sqref="E40:E41">
    <cfRule type="cellIs" dxfId="682" priority="587" operator="equal">
      <formula>TODAY()</formula>
    </cfRule>
    <cfRule type="cellIs" dxfId="681" priority="588" operator="equal">
      <formula>TODAY()</formula>
    </cfRule>
  </conditionalFormatting>
  <conditionalFormatting sqref="J40:J41">
    <cfRule type="cellIs" dxfId="680" priority="585" operator="equal">
      <formula>TODAY()</formula>
    </cfRule>
    <cfRule type="cellIs" dxfId="679" priority="586" operator="equal">
      <formula>TODAY()</formula>
    </cfRule>
  </conditionalFormatting>
  <conditionalFormatting sqref="B205">
    <cfRule type="cellIs" dxfId="678" priority="583" operator="equal">
      <formula>TODAY()</formula>
    </cfRule>
    <cfRule type="cellIs" dxfId="677" priority="584" operator="equal">
      <formula>TODAY()</formula>
    </cfRule>
  </conditionalFormatting>
  <conditionalFormatting sqref="K205">
    <cfRule type="cellIs" dxfId="676" priority="569" operator="equal">
      <formula>TODAY()</formula>
    </cfRule>
    <cfRule type="cellIs" dxfId="675" priority="570" operator="equal">
      <formula>TODAY()</formula>
    </cfRule>
  </conditionalFormatting>
  <conditionalFormatting sqref="J205">
    <cfRule type="cellIs" dxfId="674" priority="571" operator="equal">
      <formula>TODAY()</formula>
    </cfRule>
    <cfRule type="cellIs" dxfId="673" priority="572" operator="equal">
      <formula>TODAY()</formula>
    </cfRule>
  </conditionalFormatting>
  <conditionalFormatting sqref="C205">
    <cfRule type="cellIs" dxfId="672" priority="581" operator="equal">
      <formula>TODAY()</formula>
    </cfRule>
    <cfRule type="cellIs" dxfId="671" priority="582" operator="equal">
      <formula>TODAY()</formula>
    </cfRule>
  </conditionalFormatting>
  <conditionalFormatting sqref="E205">
    <cfRule type="cellIs" dxfId="670" priority="579" operator="equal">
      <formula>TODAY()</formula>
    </cfRule>
    <cfRule type="cellIs" dxfId="669" priority="580" operator="equal">
      <formula>TODAY()</formula>
    </cfRule>
  </conditionalFormatting>
  <conditionalFormatting sqref="F205">
    <cfRule type="cellIs" dxfId="668" priority="577" operator="equal">
      <formula>TODAY()</formula>
    </cfRule>
    <cfRule type="cellIs" dxfId="667" priority="578" operator="equal">
      <formula>TODAY()</formula>
    </cfRule>
  </conditionalFormatting>
  <conditionalFormatting sqref="G205:H205">
    <cfRule type="cellIs" dxfId="666" priority="575" operator="equal">
      <formula>TODAY()</formula>
    </cfRule>
    <cfRule type="cellIs" dxfId="665" priority="576" operator="equal">
      <formula>TODAY()</formula>
    </cfRule>
  </conditionalFormatting>
  <conditionalFormatting sqref="I205">
    <cfRule type="cellIs" dxfId="664" priority="573" operator="equal">
      <formula>TODAY()</formula>
    </cfRule>
    <cfRule type="cellIs" dxfId="663" priority="574" operator="equal">
      <formula>TODAY()</formula>
    </cfRule>
  </conditionalFormatting>
  <conditionalFormatting sqref="L205">
    <cfRule type="cellIs" dxfId="662" priority="567" operator="equal">
      <formula>TODAY()</formula>
    </cfRule>
    <cfRule type="cellIs" dxfId="661" priority="568" operator="equal">
      <formula>TODAY()</formula>
    </cfRule>
  </conditionalFormatting>
  <conditionalFormatting sqref="B76">
    <cfRule type="cellIs" dxfId="660" priority="565" operator="equal">
      <formula>TODAY()</formula>
    </cfRule>
    <cfRule type="cellIs" dxfId="659" priority="566" operator="equal">
      <formula>TODAY()</formula>
    </cfRule>
  </conditionalFormatting>
  <conditionalFormatting sqref="K76">
    <cfRule type="cellIs" dxfId="658" priority="551" operator="equal">
      <formula>TODAY()</formula>
    </cfRule>
    <cfRule type="cellIs" dxfId="657" priority="552" operator="equal">
      <formula>TODAY()</formula>
    </cfRule>
  </conditionalFormatting>
  <conditionalFormatting sqref="J76">
    <cfRule type="cellIs" dxfId="656" priority="553" operator="equal">
      <formula>TODAY()</formula>
    </cfRule>
    <cfRule type="cellIs" dxfId="655" priority="554" operator="equal">
      <formula>TODAY()</formula>
    </cfRule>
  </conditionalFormatting>
  <conditionalFormatting sqref="C76">
    <cfRule type="cellIs" dxfId="654" priority="563" operator="equal">
      <formula>TODAY()</formula>
    </cfRule>
    <cfRule type="cellIs" dxfId="653" priority="564" operator="equal">
      <formula>TODAY()</formula>
    </cfRule>
  </conditionalFormatting>
  <conditionalFormatting sqref="E76">
    <cfRule type="cellIs" dxfId="652" priority="561" operator="equal">
      <formula>TODAY()</formula>
    </cfRule>
    <cfRule type="cellIs" dxfId="651" priority="562" operator="equal">
      <formula>TODAY()</formula>
    </cfRule>
  </conditionalFormatting>
  <conditionalFormatting sqref="F76">
    <cfRule type="cellIs" dxfId="650" priority="559" operator="equal">
      <formula>TODAY()</formula>
    </cfRule>
    <cfRule type="cellIs" dxfId="649" priority="560" operator="equal">
      <formula>TODAY()</formula>
    </cfRule>
  </conditionalFormatting>
  <conditionalFormatting sqref="G76:H76">
    <cfRule type="cellIs" dxfId="648" priority="557" operator="equal">
      <formula>TODAY()</formula>
    </cfRule>
    <cfRule type="cellIs" dxfId="647" priority="558" operator="equal">
      <formula>TODAY()</formula>
    </cfRule>
  </conditionalFormatting>
  <conditionalFormatting sqref="I76">
    <cfRule type="cellIs" dxfId="646" priority="555" operator="equal">
      <formula>TODAY()</formula>
    </cfRule>
    <cfRule type="cellIs" dxfId="645" priority="556" operator="equal">
      <formula>TODAY()</formula>
    </cfRule>
  </conditionalFormatting>
  <conditionalFormatting sqref="L76">
    <cfRule type="cellIs" dxfId="644" priority="549" operator="equal">
      <formula>TODAY()</formula>
    </cfRule>
    <cfRule type="cellIs" dxfId="643" priority="550" operator="equal">
      <formula>TODAY()</formula>
    </cfRule>
  </conditionalFormatting>
  <conditionalFormatting sqref="B85">
    <cfRule type="cellIs" dxfId="642" priority="547" operator="equal">
      <formula>TODAY()</formula>
    </cfRule>
    <cfRule type="cellIs" dxfId="641" priority="548" operator="equal">
      <formula>TODAY()</formula>
    </cfRule>
  </conditionalFormatting>
  <conditionalFormatting sqref="K85">
    <cfRule type="cellIs" dxfId="640" priority="533" operator="equal">
      <formula>TODAY()</formula>
    </cfRule>
    <cfRule type="cellIs" dxfId="639" priority="534" operator="equal">
      <formula>TODAY()</formula>
    </cfRule>
  </conditionalFormatting>
  <conditionalFormatting sqref="J85">
    <cfRule type="cellIs" dxfId="638" priority="535" operator="equal">
      <formula>TODAY()</formula>
    </cfRule>
    <cfRule type="cellIs" dxfId="637" priority="536" operator="equal">
      <formula>TODAY()</formula>
    </cfRule>
  </conditionalFormatting>
  <conditionalFormatting sqref="C85">
    <cfRule type="cellIs" dxfId="636" priority="545" operator="equal">
      <formula>TODAY()</formula>
    </cfRule>
    <cfRule type="cellIs" dxfId="635" priority="546" operator="equal">
      <formula>TODAY()</formula>
    </cfRule>
  </conditionalFormatting>
  <conditionalFormatting sqref="E85">
    <cfRule type="cellIs" dxfId="634" priority="543" operator="equal">
      <formula>TODAY()</formula>
    </cfRule>
    <cfRule type="cellIs" dxfId="633" priority="544" operator="equal">
      <formula>TODAY()</formula>
    </cfRule>
  </conditionalFormatting>
  <conditionalFormatting sqref="F85">
    <cfRule type="cellIs" dxfId="632" priority="541" operator="equal">
      <formula>TODAY()</formula>
    </cfRule>
    <cfRule type="cellIs" dxfId="631" priority="542" operator="equal">
      <formula>TODAY()</formula>
    </cfRule>
  </conditionalFormatting>
  <conditionalFormatting sqref="G85:H85">
    <cfRule type="cellIs" dxfId="630" priority="539" operator="equal">
      <formula>TODAY()</formula>
    </cfRule>
    <cfRule type="cellIs" dxfId="629" priority="540" operator="equal">
      <formula>TODAY()</formula>
    </cfRule>
  </conditionalFormatting>
  <conditionalFormatting sqref="I85">
    <cfRule type="cellIs" dxfId="628" priority="537" operator="equal">
      <formula>TODAY()</formula>
    </cfRule>
    <cfRule type="cellIs" dxfId="627" priority="538" operator="equal">
      <formula>TODAY()</formula>
    </cfRule>
  </conditionalFormatting>
  <conditionalFormatting sqref="L85">
    <cfRule type="cellIs" dxfId="626" priority="531" operator="equal">
      <formula>TODAY()</formula>
    </cfRule>
    <cfRule type="cellIs" dxfId="625" priority="532" operator="equal">
      <formula>TODAY()</formula>
    </cfRule>
  </conditionalFormatting>
  <conditionalFormatting sqref="B88">
    <cfRule type="cellIs" dxfId="624" priority="529" operator="equal">
      <formula>TODAY()</formula>
    </cfRule>
    <cfRule type="cellIs" dxfId="623" priority="530" operator="equal">
      <formula>TODAY()</formula>
    </cfRule>
  </conditionalFormatting>
  <conditionalFormatting sqref="J88">
    <cfRule type="cellIs" dxfId="622" priority="517" operator="equal">
      <formula>TODAY()</formula>
    </cfRule>
    <cfRule type="cellIs" dxfId="621" priority="518" operator="equal">
      <formula>TODAY()</formula>
    </cfRule>
  </conditionalFormatting>
  <conditionalFormatting sqref="C88">
    <cfRule type="cellIs" dxfId="620" priority="527" operator="equal">
      <formula>TODAY()</formula>
    </cfRule>
    <cfRule type="cellIs" dxfId="619" priority="528" operator="equal">
      <formula>TODAY()</formula>
    </cfRule>
  </conditionalFormatting>
  <conditionalFormatting sqref="E88">
    <cfRule type="cellIs" dxfId="618" priority="525" operator="equal">
      <formula>TODAY()</formula>
    </cfRule>
    <cfRule type="cellIs" dxfId="617" priority="526" operator="equal">
      <formula>TODAY()</formula>
    </cfRule>
  </conditionalFormatting>
  <conditionalFormatting sqref="F88">
    <cfRule type="cellIs" dxfId="616" priority="523" operator="equal">
      <formula>TODAY()</formula>
    </cfRule>
    <cfRule type="cellIs" dxfId="615" priority="524" operator="equal">
      <formula>TODAY()</formula>
    </cfRule>
  </conditionalFormatting>
  <conditionalFormatting sqref="G88:H88">
    <cfRule type="cellIs" dxfId="614" priority="521" operator="equal">
      <formula>TODAY()</formula>
    </cfRule>
    <cfRule type="cellIs" dxfId="613" priority="522" operator="equal">
      <formula>TODAY()</formula>
    </cfRule>
  </conditionalFormatting>
  <conditionalFormatting sqref="I88">
    <cfRule type="cellIs" dxfId="612" priority="519" operator="equal">
      <formula>TODAY()</formula>
    </cfRule>
    <cfRule type="cellIs" dxfId="611" priority="520" operator="equal">
      <formula>TODAY()</formula>
    </cfRule>
  </conditionalFormatting>
  <conditionalFormatting sqref="L88">
    <cfRule type="cellIs" dxfId="610" priority="513" operator="equal">
      <formula>TODAY()</formula>
    </cfRule>
    <cfRule type="cellIs" dxfId="609" priority="514" operator="equal">
      <formula>TODAY()</formula>
    </cfRule>
  </conditionalFormatting>
  <conditionalFormatting sqref="B95">
    <cfRule type="cellIs" dxfId="608" priority="511" operator="equal">
      <formula>TODAY()</formula>
    </cfRule>
    <cfRule type="cellIs" dxfId="607" priority="512" operator="equal">
      <formula>TODAY()</formula>
    </cfRule>
  </conditionalFormatting>
  <conditionalFormatting sqref="K95">
    <cfRule type="cellIs" dxfId="606" priority="497" operator="equal">
      <formula>TODAY()</formula>
    </cfRule>
    <cfRule type="cellIs" dxfId="605" priority="498" operator="equal">
      <formula>TODAY()</formula>
    </cfRule>
  </conditionalFormatting>
  <conditionalFormatting sqref="C95">
    <cfRule type="cellIs" dxfId="604" priority="509" operator="equal">
      <formula>TODAY()</formula>
    </cfRule>
    <cfRule type="cellIs" dxfId="603" priority="510" operator="equal">
      <formula>TODAY()</formula>
    </cfRule>
  </conditionalFormatting>
  <conditionalFormatting sqref="E95">
    <cfRule type="cellIs" dxfId="602" priority="507" operator="equal">
      <formula>TODAY()</formula>
    </cfRule>
    <cfRule type="cellIs" dxfId="601" priority="508" operator="equal">
      <formula>TODAY()</formula>
    </cfRule>
  </conditionalFormatting>
  <conditionalFormatting sqref="F95">
    <cfRule type="cellIs" dxfId="600" priority="505" operator="equal">
      <formula>TODAY()</formula>
    </cfRule>
    <cfRule type="cellIs" dxfId="599" priority="506" operator="equal">
      <formula>TODAY()</formula>
    </cfRule>
  </conditionalFormatting>
  <conditionalFormatting sqref="G95:H95">
    <cfRule type="cellIs" dxfId="598" priority="503" operator="equal">
      <formula>TODAY()</formula>
    </cfRule>
    <cfRule type="cellIs" dxfId="597" priority="504" operator="equal">
      <formula>TODAY()</formula>
    </cfRule>
  </conditionalFormatting>
  <conditionalFormatting sqref="L95">
    <cfRule type="cellIs" dxfId="596" priority="495" operator="equal">
      <formula>TODAY()</formula>
    </cfRule>
    <cfRule type="cellIs" dxfId="595" priority="496" operator="equal">
      <formula>TODAY()</formula>
    </cfRule>
  </conditionalFormatting>
  <conditionalFormatting sqref="B94">
    <cfRule type="cellIs" dxfId="594" priority="493" operator="equal">
      <formula>TODAY()</formula>
    </cfRule>
    <cfRule type="cellIs" dxfId="593" priority="494" operator="equal">
      <formula>TODAY()</formula>
    </cfRule>
  </conditionalFormatting>
  <conditionalFormatting sqref="K94">
    <cfRule type="cellIs" dxfId="592" priority="479" operator="equal">
      <formula>TODAY()</formula>
    </cfRule>
    <cfRule type="cellIs" dxfId="591" priority="480" operator="equal">
      <formula>TODAY()</formula>
    </cfRule>
  </conditionalFormatting>
  <conditionalFormatting sqref="J94">
    <cfRule type="cellIs" dxfId="590" priority="481" operator="equal">
      <formula>TODAY()</formula>
    </cfRule>
    <cfRule type="cellIs" dxfId="589" priority="482" operator="equal">
      <formula>TODAY()</formula>
    </cfRule>
  </conditionalFormatting>
  <conditionalFormatting sqref="C94">
    <cfRule type="cellIs" dxfId="588" priority="491" operator="equal">
      <formula>TODAY()</formula>
    </cfRule>
    <cfRule type="cellIs" dxfId="587" priority="492" operator="equal">
      <formula>TODAY()</formula>
    </cfRule>
  </conditionalFormatting>
  <conditionalFormatting sqref="E94">
    <cfRule type="cellIs" dxfId="586" priority="489" operator="equal">
      <formula>TODAY()</formula>
    </cfRule>
    <cfRule type="cellIs" dxfId="585" priority="490" operator="equal">
      <formula>TODAY()</formula>
    </cfRule>
  </conditionalFormatting>
  <conditionalFormatting sqref="F94">
    <cfRule type="cellIs" dxfId="584" priority="487" operator="equal">
      <formula>TODAY()</formula>
    </cfRule>
    <cfRule type="cellIs" dxfId="583" priority="488" operator="equal">
      <formula>TODAY()</formula>
    </cfRule>
  </conditionalFormatting>
  <conditionalFormatting sqref="G94:H94">
    <cfRule type="cellIs" dxfId="582" priority="485" operator="equal">
      <formula>TODAY()</formula>
    </cfRule>
    <cfRule type="cellIs" dxfId="581" priority="486" operator="equal">
      <formula>TODAY()</formula>
    </cfRule>
  </conditionalFormatting>
  <conditionalFormatting sqref="I94">
    <cfRule type="cellIs" dxfId="580" priority="483" operator="equal">
      <formula>TODAY()</formula>
    </cfRule>
    <cfRule type="cellIs" dxfId="579" priority="484" operator="equal">
      <formula>TODAY()</formula>
    </cfRule>
  </conditionalFormatting>
  <conditionalFormatting sqref="L94">
    <cfRule type="cellIs" dxfId="578" priority="477" operator="equal">
      <formula>TODAY()</formula>
    </cfRule>
    <cfRule type="cellIs" dxfId="577" priority="478" operator="equal">
      <formula>TODAY()</formula>
    </cfRule>
  </conditionalFormatting>
  <conditionalFormatting sqref="B45:B46">
    <cfRule type="cellIs" dxfId="576" priority="475" operator="equal">
      <formula>TODAY()</formula>
    </cfRule>
    <cfRule type="cellIs" dxfId="575" priority="476" operator="equal">
      <formula>TODAY()</formula>
    </cfRule>
  </conditionalFormatting>
  <conditionalFormatting sqref="B47">
    <cfRule type="cellIs" dxfId="574" priority="473" operator="equal">
      <formula>TODAY()</formula>
    </cfRule>
    <cfRule type="cellIs" dxfId="573" priority="474" operator="equal">
      <formula>TODAY()</formula>
    </cfRule>
  </conditionalFormatting>
  <conditionalFormatting sqref="K36">
    <cfRule type="cellIs" dxfId="572" priority="453" operator="equal">
      <formula>TODAY()</formula>
    </cfRule>
    <cfRule type="cellIs" dxfId="571" priority="454" operator="equal">
      <formula>TODAY()</formula>
    </cfRule>
  </conditionalFormatting>
  <conditionalFormatting sqref="J36">
    <cfRule type="cellIs" dxfId="570" priority="455" operator="equal">
      <formula>TODAY()</formula>
    </cfRule>
    <cfRule type="cellIs" dxfId="569" priority="456" operator="equal">
      <formula>TODAY()</formula>
    </cfRule>
  </conditionalFormatting>
  <conditionalFormatting sqref="E36">
    <cfRule type="cellIs" dxfId="568" priority="463" operator="equal">
      <formula>TODAY()</formula>
    </cfRule>
    <cfRule type="cellIs" dxfId="567" priority="464" operator="equal">
      <formula>TODAY()</formula>
    </cfRule>
  </conditionalFormatting>
  <conditionalFormatting sqref="F36">
    <cfRule type="cellIs" dxfId="566" priority="461" operator="equal">
      <formula>TODAY()</formula>
    </cfRule>
    <cfRule type="cellIs" dxfId="565" priority="462" operator="equal">
      <formula>TODAY()</formula>
    </cfRule>
  </conditionalFormatting>
  <conditionalFormatting sqref="G36:H36">
    <cfRule type="cellIs" dxfId="564" priority="459" operator="equal">
      <formula>TODAY()</formula>
    </cfRule>
    <cfRule type="cellIs" dxfId="563" priority="460" operator="equal">
      <formula>TODAY()</formula>
    </cfRule>
  </conditionalFormatting>
  <conditionalFormatting sqref="I36">
    <cfRule type="cellIs" dxfId="562" priority="457" operator="equal">
      <formula>TODAY()</formula>
    </cfRule>
    <cfRule type="cellIs" dxfId="561" priority="458" operator="equal">
      <formula>TODAY()</formula>
    </cfRule>
  </conditionalFormatting>
  <conditionalFormatting sqref="L36">
    <cfRule type="cellIs" dxfId="560" priority="451" operator="equal">
      <formula>TODAY()</formula>
    </cfRule>
    <cfRule type="cellIs" dxfId="559" priority="452" operator="equal">
      <formula>TODAY()</formula>
    </cfRule>
  </conditionalFormatting>
  <conditionalFormatting sqref="K37">
    <cfRule type="cellIs" dxfId="558" priority="439" operator="equal">
      <formula>TODAY()</formula>
    </cfRule>
    <cfRule type="cellIs" dxfId="557" priority="440" operator="equal">
      <formula>TODAY()</formula>
    </cfRule>
  </conditionalFormatting>
  <conditionalFormatting sqref="J37">
    <cfRule type="cellIs" dxfId="556" priority="441" operator="equal">
      <formula>TODAY()</formula>
    </cfRule>
    <cfRule type="cellIs" dxfId="555" priority="442" operator="equal">
      <formula>TODAY()</formula>
    </cfRule>
  </conditionalFormatting>
  <conditionalFormatting sqref="E37">
    <cfRule type="cellIs" dxfId="554" priority="449" operator="equal">
      <formula>TODAY()</formula>
    </cfRule>
    <cfRule type="cellIs" dxfId="553" priority="450" operator="equal">
      <formula>TODAY()</formula>
    </cfRule>
  </conditionalFormatting>
  <conditionalFormatting sqref="F37">
    <cfRule type="cellIs" dxfId="552" priority="447" operator="equal">
      <formula>TODAY()</formula>
    </cfRule>
    <cfRule type="cellIs" dxfId="551" priority="448" operator="equal">
      <formula>TODAY()</formula>
    </cfRule>
  </conditionalFormatting>
  <conditionalFormatting sqref="G37:H37">
    <cfRule type="cellIs" dxfId="550" priority="445" operator="equal">
      <formula>TODAY()</formula>
    </cfRule>
    <cfRule type="cellIs" dxfId="549" priority="446" operator="equal">
      <formula>TODAY()</formula>
    </cfRule>
  </conditionalFormatting>
  <conditionalFormatting sqref="I37">
    <cfRule type="cellIs" dxfId="548" priority="443" operator="equal">
      <formula>TODAY()</formula>
    </cfRule>
    <cfRule type="cellIs" dxfId="547" priority="444" operator="equal">
      <formula>TODAY()</formula>
    </cfRule>
  </conditionalFormatting>
  <conditionalFormatting sqref="L37">
    <cfRule type="cellIs" dxfId="546" priority="437" operator="equal">
      <formula>TODAY()</formula>
    </cfRule>
    <cfRule type="cellIs" dxfId="545" priority="438" operator="equal">
      <formula>TODAY()</formula>
    </cfRule>
  </conditionalFormatting>
  <conditionalFormatting sqref="K38">
    <cfRule type="cellIs" dxfId="544" priority="425" operator="equal">
      <formula>TODAY()</formula>
    </cfRule>
    <cfRule type="cellIs" dxfId="543" priority="426" operator="equal">
      <formula>TODAY()</formula>
    </cfRule>
  </conditionalFormatting>
  <conditionalFormatting sqref="J38">
    <cfRule type="cellIs" dxfId="542" priority="427" operator="equal">
      <formula>TODAY()</formula>
    </cfRule>
    <cfRule type="cellIs" dxfId="541" priority="428" operator="equal">
      <formula>TODAY()</formula>
    </cfRule>
  </conditionalFormatting>
  <conditionalFormatting sqref="E38">
    <cfRule type="cellIs" dxfId="540" priority="435" operator="equal">
      <formula>TODAY()</formula>
    </cfRule>
    <cfRule type="cellIs" dxfId="539" priority="436" operator="equal">
      <formula>TODAY()</formula>
    </cfRule>
  </conditionalFormatting>
  <conditionalFormatting sqref="F38">
    <cfRule type="cellIs" dxfId="538" priority="433" operator="equal">
      <formula>TODAY()</formula>
    </cfRule>
    <cfRule type="cellIs" dxfId="537" priority="434" operator="equal">
      <formula>TODAY()</formula>
    </cfRule>
  </conditionalFormatting>
  <conditionalFormatting sqref="G38:H38">
    <cfRule type="cellIs" dxfId="536" priority="431" operator="equal">
      <formula>TODAY()</formula>
    </cfRule>
    <cfRule type="cellIs" dxfId="535" priority="432" operator="equal">
      <formula>TODAY()</formula>
    </cfRule>
  </conditionalFormatting>
  <conditionalFormatting sqref="I38">
    <cfRule type="cellIs" dxfId="534" priority="429" operator="equal">
      <formula>TODAY()</formula>
    </cfRule>
    <cfRule type="cellIs" dxfId="533" priority="430" operator="equal">
      <formula>TODAY()</formula>
    </cfRule>
  </conditionalFormatting>
  <conditionalFormatting sqref="L38">
    <cfRule type="cellIs" dxfId="532" priority="423" operator="equal">
      <formula>TODAY()</formula>
    </cfRule>
    <cfRule type="cellIs" dxfId="531" priority="424" operator="equal">
      <formula>TODAY()</formula>
    </cfRule>
  </conditionalFormatting>
  <conditionalFormatting sqref="B42">
    <cfRule type="cellIs" dxfId="530" priority="421" operator="equal">
      <formula>TODAY()</formula>
    </cfRule>
    <cfRule type="cellIs" dxfId="529" priority="422" operator="equal">
      <formula>TODAY()</formula>
    </cfRule>
  </conditionalFormatting>
  <conditionalFormatting sqref="K103">
    <cfRule type="cellIs" dxfId="528" priority="409" operator="equal">
      <formula>TODAY()</formula>
    </cfRule>
    <cfRule type="cellIs" dxfId="527" priority="410" operator="equal">
      <formula>TODAY()</formula>
    </cfRule>
  </conditionalFormatting>
  <conditionalFormatting sqref="J103">
    <cfRule type="cellIs" dxfId="526" priority="411" operator="equal">
      <formula>TODAY()</formula>
    </cfRule>
    <cfRule type="cellIs" dxfId="525" priority="412" operator="equal">
      <formula>TODAY()</formula>
    </cfRule>
  </conditionalFormatting>
  <conditionalFormatting sqref="E103">
    <cfRule type="cellIs" dxfId="524" priority="419" operator="equal">
      <formula>TODAY()</formula>
    </cfRule>
    <cfRule type="cellIs" dxfId="523" priority="420" operator="equal">
      <formula>TODAY()</formula>
    </cfRule>
  </conditionalFormatting>
  <conditionalFormatting sqref="F103">
    <cfRule type="cellIs" dxfId="522" priority="417" operator="equal">
      <formula>TODAY()</formula>
    </cfRule>
    <cfRule type="cellIs" dxfId="521" priority="418" operator="equal">
      <formula>TODAY()</formula>
    </cfRule>
  </conditionalFormatting>
  <conditionalFormatting sqref="G103:H103">
    <cfRule type="cellIs" dxfId="520" priority="415" operator="equal">
      <formula>TODAY()</formula>
    </cfRule>
    <cfRule type="cellIs" dxfId="519" priority="416" operator="equal">
      <formula>TODAY()</formula>
    </cfRule>
  </conditionalFormatting>
  <conditionalFormatting sqref="I103">
    <cfRule type="cellIs" dxfId="518" priority="413" operator="equal">
      <formula>TODAY()</formula>
    </cfRule>
    <cfRule type="cellIs" dxfId="517" priority="414" operator="equal">
      <formula>TODAY()</formula>
    </cfRule>
  </conditionalFormatting>
  <conditionalFormatting sqref="J95">
    <cfRule type="cellIs" dxfId="516" priority="403" operator="equal">
      <formula>TODAY()</formula>
    </cfRule>
    <cfRule type="cellIs" dxfId="515" priority="404" operator="equal">
      <formula>TODAY()</formula>
    </cfRule>
  </conditionalFormatting>
  <conditionalFormatting sqref="I95">
    <cfRule type="cellIs" dxfId="514" priority="405" operator="equal">
      <formula>TODAY()</formula>
    </cfRule>
    <cfRule type="cellIs" dxfId="513" priority="406" operator="equal">
      <formula>TODAY()</formula>
    </cfRule>
  </conditionalFormatting>
  <conditionalFormatting sqref="F65">
    <cfRule type="cellIs" dxfId="512" priority="401" operator="equal">
      <formula>TODAY()</formula>
    </cfRule>
    <cfRule type="cellIs" dxfId="511" priority="402" operator="equal">
      <formula>TODAY()</formula>
    </cfRule>
  </conditionalFormatting>
  <conditionalFormatting sqref="B64">
    <cfRule type="cellIs" dxfId="510" priority="399" operator="equal">
      <formula>TODAY()</formula>
    </cfRule>
    <cfRule type="cellIs" dxfId="509" priority="400" operator="equal">
      <formula>TODAY()</formula>
    </cfRule>
  </conditionalFormatting>
  <conditionalFormatting sqref="K64">
    <cfRule type="cellIs" dxfId="508" priority="385" operator="equal">
      <formula>TODAY()</formula>
    </cfRule>
    <cfRule type="cellIs" dxfId="507" priority="386" operator="equal">
      <formula>TODAY()</formula>
    </cfRule>
  </conditionalFormatting>
  <conditionalFormatting sqref="J64">
    <cfRule type="cellIs" dxfId="506" priority="387" operator="equal">
      <formula>TODAY()</formula>
    </cfRule>
    <cfRule type="cellIs" dxfId="505" priority="388" operator="equal">
      <formula>TODAY()</formula>
    </cfRule>
  </conditionalFormatting>
  <conditionalFormatting sqref="C64">
    <cfRule type="cellIs" dxfId="504" priority="397" operator="equal">
      <formula>TODAY()</formula>
    </cfRule>
    <cfRule type="cellIs" dxfId="503" priority="398" operator="equal">
      <formula>TODAY()</formula>
    </cfRule>
  </conditionalFormatting>
  <conditionalFormatting sqref="E64">
    <cfRule type="cellIs" dxfId="502" priority="395" operator="equal">
      <formula>TODAY()</formula>
    </cfRule>
    <cfRule type="cellIs" dxfId="501" priority="396" operator="equal">
      <formula>TODAY()</formula>
    </cfRule>
  </conditionalFormatting>
  <conditionalFormatting sqref="F64">
    <cfRule type="cellIs" dxfId="500" priority="393" operator="equal">
      <formula>TODAY()</formula>
    </cfRule>
    <cfRule type="cellIs" dxfId="499" priority="394" operator="equal">
      <formula>TODAY()</formula>
    </cfRule>
  </conditionalFormatting>
  <conditionalFormatting sqref="G64:H64">
    <cfRule type="cellIs" dxfId="498" priority="391" operator="equal">
      <formula>TODAY()</formula>
    </cfRule>
    <cfRule type="cellIs" dxfId="497" priority="392" operator="equal">
      <formula>TODAY()</formula>
    </cfRule>
  </conditionalFormatting>
  <conditionalFormatting sqref="I64">
    <cfRule type="cellIs" dxfId="496" priority="389" operator="equal">
      <formula>TODAY()</formula>
    </cfRule>
    <cfRule type="cellIs" dxfId="495" priority="390" operator="equal">
      <formula>TODAY()</formula>
    </cfRule>
  </conditionalFormatting>
  <conditionalFormatting sqref="L64">
    <cfRule type="cellIs" dxfId="494" priority="383" operator="equal">
      <formula>TODAY()</formula>
    </cfRule>
    <cfRule type="cellIs" dxfId="493" priority="384" operator="equal">
      <formula>TODAY()</formula>
    </cfRule>
  </conditionalFormatting>
  <conditionalFormatting sqref="B113">
    <cfRule type="cellIs" dxfId="492" priority="381" operator="equal">
      <formula>TODAY()</formula>
    </cfRule>
    <cfRule type="cellIs" dxfId="491" priority="382" operator="equal">
      <formula>TODAY()</formula>
    </cfRule>
  </conditionalFormatting>
  <conditionalFormatting sqref="K113">
    <cfRule type="cellIs" dxfId="490" priority="367" operator="equal">
      <formula>TODAY()</formula>
    </cfRule>
    <cfRule type="cellIs" dxfId="489" priority="368" operator="equal">
      <formula>TODAY()</formula>
    </cfRule>
  </conditionalFormatting>
  <conditionalFormatting sqref="J113">
    <cfRule type="cellIs" dxfId="488" priority="369" operator="equal">
      <formula>TODAY()</formula>
    </cfRule>
    <cfRule type="cellIs" dxfId="487" priority="370" operator="equal">
      <formula>TODAY()</formula>
    </cfRule>
  </conditionalFormatting>
  <conditionalFormatting sqref="C113">
    <cfRule type="cellIs" dxfId="486" priority="379" operator="equal">
      <formula>TODAY()</formula>
    </cfRule>
    <cfRule type="cellIs" dxfId="485" priority="380" operator="equal">
      <formula>TODAY()</formula>
    </cfRule>
  </conditionalFormatting>
  <conditionalFormatting sqref="E113">
    <cfRule type="cellIs" dxfId="484" priority="377" operator="equal">
      <formula>TODAY()</formula>
    </cfRule>
    <cfRule type="cellIs" dxfId="483" priority="378" operator="equal">
      <formula>TODAY()</formula>
    </cfRule>
  </conditionalFormatting>
  <conditionalFormatting sqref="F113">
    <cfRule type="cellIs" dxfId="482" priority="375" operator="equal">
      <formula>TODAY()</formula>
    </cfRule>
    <cfRule type="cellIs" dxfId="481" priority="376" operator="equal">
      <formula>TODAY()</formula>
    </cfRule>
  </conditionalFormatting>
  <conditionalFormatting sqref="G113:H113">
    <cfRule type="cellIs" dxfId="480" priority="373" operator="equal">
      <formula>TODAY()</formula>
    </cfRule>
    <cfRule type="cellIs" dxfId="479" priority="374" operator="equal">
      <formula>TODAY()</formula>
    </cfRule>
  </conditionalFormatting>
  <conditionalFormatting sqref="I113">
    <cfRule type="cellIs" dxfId="478" priority="371" operator="equal">
      <formula>TODAY()</formula>
    </cfRule>
    <cfRule type="cellIs" dxfId="477" priority="372" operator="equal">
      <formula>TODAY()</formula>
    </cfRule>
  </conditionalFormatting>
  <conditionalFormatting sqref="L113">
    <cfRule type="cellIs" dxfId="476" priority="365" operator="equal">
      <formula>TODAY()</formula>
    </cfRule>
    <cfRule type="cellIs" dxfId="475" priority="366" operator="equal">
      <formula>TODAY()</formula>
    </cfRule>
  </conditionalFormatting>
  <conditionalFormatting sqref="B69">
    <cfRule type="cellIs" dxfId="474" priority="363" operator="equal">
      <formula>TODAY()</formula>
    </cfRule>
    <cfRule type="cellIs" dxfId="473" priority="364" operator="equal">
      <formula>TODAY()</formula>
    </cfRule>
  </conditionalFormatting>
  <conditionalFormatting sqref="K69">
    <cfRule type="cellIs" dxfId="472" priority="349" operator="equal">
      <formula>TODAY()</formula>
    </cfRule>
    <cfRule type="cellIs" dxfId="471" priority="350" operator="equal">
      <formula>TODAY()</formula>
    </cfRule>
  </conditionalFormatting>
  <conditionalFormatting sqref="J69">
    <cfRule type="cellIs" dxfId="470" priority="351" operator="equal">
      <formula>TODAY()</formula>
    </cfRule>
    <cfRule type="cellIs" dxfId="469" priority="352" operator="equal">
      <formula>TODAY()</formula>
    </cfRule>
  </conditionalFormatting>
  <conditionalFormatting sqref="C69">
    <cfRule type="cellIs" dxfId="468" priority="361" operator="equal">
      <formula>TODAY()</formula>
    </cfRule>
    <cfRule type="cellIs" dxfId="467" priority="362" operator="equal">
      <formula>TODAY()</formula>
    </cfRule>
  </conditionalFormatting>
  <conditionalFormatting sqref="F69">
    <cfRule type="cellIs" dxfId="466" priority="357" operator="equal">
      <formula>TODAY()</formula>
    </cfRule>
    <cfRule type="cellIs" dxfId="465" priority="358" operator="equal">
      <formula>TODAY()</formula>
    </cfRule>
  </conditionalFormatting>
  <conditionalFormatting sqref="G69:H69">
    <cfRule type="cellIs" dxfId="464" priority="355" operator="equal">
      <formula>TODAY()</formula>
    </cfRule>
    <cfRule type="cellIs" dxfId="463" priority="356" operator="equal">
      <formula>TODAY()</formula>
    </cfRule>
  </conditionalFormatting>
  <conditionalFormatting sqref="I69">
    <cfRule type="cellIs" dxfId="462" priority="353" operator="equal">
      <formula>TODAY()</formula>
    </cfRule>
    <cfRule type="cellIs" dxfId="461" priority="354" operator="equal">
      <formula>TODAY()</formula>
    </cfRule>
  </conditionalFormatting>
  <conditionalFormatting sqref="L69">
    <cfRule type="cellIs" dxfId="460" priority="347" operator="equal">
      <formula>TODAY()</formula>
    </cfRule>
    <cfRule type="cellIs" dxfId="459" priority="348" operator="equal">
      <formula>TODAY()</formula>
    </cfRule>
  </conditionalFormatting>
  <conditionalFormatting sqref="E69">
    <cfRule type="cellIs" dxfId="458" priority="345" operator="equal">
      <formula>TODAY()</formula>
    </cfRule>
    <cfRule type="cellIs" dxfId="457" priority="346" operator="equal">
      <formula>TODAY()</formula>
    </cfRule>
  </conditionalFormatting>
  <conditionalFormatting sqref="F71:F73">
    <cfRule type="cellIs" dxfId="456" priority="343" operator="equal">
      <formula>TODAY()</formula>
    </cfRule>
    <cfRule type="cellIs" dxfId="455" priority="344" operator="equal">
      <formula>TODAY()</formula>
    </cfRule>
  </conditionalFormatting>
  <conditionalFormatting sqref="F74">
    <cfRule type="cellIs" dxfId="454" priority="341" operator="equal">
      <formula>TODAY()</formula>
    </cfRule>
    <cfRule type="cellIs" dxfId="453" priority="342" operator="equal">
      <formula>TODAY()</formula>
    </cfRule>
  </conditionalFormatting>
  <conditionalFormatting sqref="E73">
    <cfRule type="cellIs" dxfId="452" priority="339" operator="equal">
      <formula>TODAY()</formula>
    </cfRule>
    <cfRule type="cellIs" dxfId="451" priority="340" operator="equal">
      <formula>TODAY()</formula>
    </cfRule>
  </conditionalFormatting>
  <conditionalFormatting sqref="C93">
    <cfRule type="cellIs" dxfId="450" priority="337" operator="equal">
      <formula>TODAY()</formula>
    </cfRule>
    <cfRule type="cellIs" dxfId="449" priority="338" operator="equal">
      <formula>TODAY()</formula>
    </cfRule>
  </conditionalFormatting>
  <conditionalFormatting sqref="B81">
    <cfRule type="cellIs" dxfId="448" priority="335" operator="equal">
      <formula>TODAY()</formula>
    </cfRule>
    <cfRule type="cellIs" dxfId="447" priority="336" operator="equal">
      <formula>TODAY()</formula>
    </cfRule>
  </conditionalFormatting>
  <conditionalFormatting sqref="E81">
    <cfRule type="cellIs" dxfId="446" priority="333" operator="equal">
      <formula>TODAY()</formula>
    </cfRule>
    <cfRule type="cellIs" dxfId="445" priority="334" operator="equal">
      <formula>TODAY()</formula>
    </cfRule>
  </conditionalFormatting>
  <conditionalFormatting sqref="J81">
    <cfRule type="cellIs" dxfId="444" priority="331" operator="equal">
      <formula>TODAY()</formula>
    </cfRule>
    <cfRule type="cellIs" dxfId="443" priority="332" operator="equal">
      <formula>TODAY()</formula>
    </cfRule>
  </conditionalFormatting>
  <conditionalFormatting sqref="K81">
    <cfRule type="cellIs" dxfId="442" priority="329" operator="equal">
      <formula>TODAY()</formula>
    </cfRule>
    <cfRule type="cellIs" dxfId="441" priority="330" operator="equal">
      <formula>TODAY()</formula>
    </cfRule>
  </conditionalFormatting>
  <conditionalFormatting sqref="I81">
    <cfRule type="cellIs" dxfId="440" priority="327" operator="equal">
      <formula>TODAY()</formula>
    </cfRule>
    <cfRule type="cellIs" dxfId="439" priority="328" operator="equal">
      <formula>TODAY()</formula>
    </cfRule>
  </conditionalFormatting>
  <conditionalFormatting sqref="H81">
    <cfRule type="cellIs" dxfId="438" priority="325" operator="equal">
      <formula>TODAY()</formula>
    </cfRule>
    <cfRule type="cellIs" dxfId="437" priority="326" operator="equal">
      <formula>TODAY()</formula>
    </cfRule>
  </conditionalFormatting>
  <conditionalFormatting sqref="G81">
    <cfRule type="cellIs" dxfId="436" priority="323" operator="equal">
      <formula>TODAY()</formula>
    </cfRule>
    <cfRule type="cellIs" dxfId="435" priority="324" operator="equal">
      <formula>TODAY()</formula>
    </cfRule>
  </conditionalFormatting>
  <conditionalFormatting sqref="F81">
    <cfRule type="cellIs" dxfId="434" priority="321" operator="equal">
      <formula>TODAY()</formula>
    </cfRule>
    <cfRule type="cellIs" dxfId="433" priority="322" operator="equal">
      <formula>TODAY()</formula>
    </cfRule>
  </conditionalFormatting>
  <conditionalFormatting sqref="B121">
    <cfRule type="cellIs" dxfId="432" priority="319" operator="equal">
      <formula>TODAY()</formula>
    </cfRule>
    <cfRule type="cellIs" dxfId="431" priority="320" operator="equal">
      <formula>TODAY()</formula>
    </cfRule>
  </conditionalFormatting>
  <conditionalFormatting sqref="E121">
    <cfRule type="cellIs" dxfId="430" priority="317" operator="equal">
      <formula>TODAY()</formula>
    </cfRule>
    <cfRule type="cellIs" dxfId="429" priority="318" operator="equal">
      <formula>TODAY()</formula>
    </cfRule>
  </conditionalFormatting>
  <conditionalFormatting sqref="J121">
    <cfRule type="cellIs" dxfId="428" priority="315" operator="equal">
      <formula>TODAY()</formula>
    </cfRule>
    <cfRule type="cellIs" dxfId="427" priority="316" operator="equal">
      <formula>TODAY()</formula>
    </cfRule>
  </conditionalFormatting>
  <conditionalFormatting sqref="K121">
    <cfRule type="cellIs" dxfId="426" priority="313" operator="equal">
      <formula>TODAY()</formula>
    </cfRule>
    <cfRule type="cellIs" dxfId="425" priority="314" operator="equal">
      <formula>TODAY()</formula>
    </cfRule>
  </conditionalFormatting>
  <conditionalFormatting sqref="I121">
    <cfRule type="cellIs" dxfId="424" priority="311" operator="equal">
      <formula>TODAY()</formula>
    </cfRule>
    <cfRule type="cellIs" dxfId="423" priority="312" operator="equal">
      <formula>TODAY()</formula>
    </cfRule>
  </conditionalFormatting>
  <conditionalFormatting sqref="H121">
    <cfRule type="cellIs" dxfId="422" priority="309" operator="equal">
      <formula>TODAY()</formula>
    </cfRule>
    <cfRule type="cellIs" dxfId="421" priority="310" operator="equal">
      <formula>TODAY()</formula>
    </cfRule>
  </conditionalFormatting>
  <conditionalFormatting sqref="G121">
    <cfRule type="cellIs" dxfId="420" priority="307" operator="equal">
      <formula>TODAY()</formula>
    </cfRule>
    <cfRule type="cellIs" dxfId="419" priority="308" operator="equal">
      <formula>TODAY()</formula>
    </cfRule>
  </conditionalFormatting>
  <conditionalFormatting sqref="F121">
    <cfRule type="cellIs" dxfId="418" priority="305" operator="equal">
      <formula>TODAY()</formula>
    </cfRule>
    <cfRule type="cellIs" dxfId="417" priority="306" operator="equal">
      <formula>TODAY()</formula>
    </cfRule>
  </conditionalFormatting>
  <conditionalFormatting sqref="K124">
    <cfRule type="cellIs" dxfId="416" priority="295" operator="equal">
      <formula>TODAY()</formula>
    </cfRule>
    <cfRule type="cellIs" dxfId="415" priority="296" operator="equal">
      <formula>TODAY()</formula>
    </cfRule>
  </conditionalFormatting>
  <conditionalFormatting sqref="J124">
    <cfRule type="cellIs" dxfId="414" priority="297" operator="equal">
      <formula>TODAY()</formula>
    </cfRule>
    <cfRule type="cellIs" dxfId="413" priority="298" operator="equal">
      <formula>TODAY()</formula>
    </cfRule>
  </conditionalFormatting>
  <conditionalFormatting sqref="F124">
    <cfRule type="cellIs" dxfId="412" priority="303" operator="equal">
      <formula>TODAY()</formula>
    </cfRule>
    <cfRule type="cellIs" dxfId="411" priority="304" operator="equal">
      <formula>TODAY()</formula>
    </cfRule>
  </conditionalFormatting>
  <conditionalFormatting sqref="G124:H124">
    <cfRule type="cellIs" dxfId="410" priority="301" operator="equal">
      <formula>TODAY()</formula>
    </cfRule>
    <cfRule type="cellIs" dxfId="409" priority="302" operator="equal">
      <formula>TODAY()</formula>
    </cfRule>
  </conditionalFormatting>
  <conditionalFormatting sqref="I124">
    <cfRule type="cellIs" dxfId="408" priority="299" operator="equal">
      <formula>TODAY()</formula>
    </cfRule>
    <cfRule type="cellIs" dxfId="407" priority="300" operator="equal">
      <formula>TODAY()</formula>
    </cfRule>
  </conditionalFormatting>
  <conditionalFormatting sqref="L124">
    <cfRule type="cellIs" dxfId="406" priority="293" operator="equal">
      <formula>TODAY()</formula>
    </cfRule>
    <cfRule type="cellIs" dxfId="405" priority="294" operator="equal">
      <formula>TODAY()</formula>
    </cfRule>
  </conditionalFormatting>
  <conditionalFormatting sqref="B89">
    <cfRule type="cellIs" dxfId="404" priority="291" operator="equal">
      <formula>TODAY()</formula>
    </cfRule>
    <cfRule type="cellIs" dxfId="403" priority="292" operator="equal">
      <formula>TODAY()</formula>
    </cfRule>
  </conditionalFormatting>
  <conditionalFormatting sqref="J89">
    <cfRule type="cellIs" dxfId="402" priority="279" operator="equal">
      <formula>TODAY()</formula>
    </cfRule>
    <cfRule type="cellIs" dxfId="401" priority="280" operator="equal">
      <formula>TODAY()</formula>
    </cfRule>
  </conditionalFormatting>
  <conditionalFormatting sqref="C89">
    <cfRule type="cellIs" dxfId="400" priority="289" operator="equal">
      <formula>TODAY()</formula>
    </cfRule>
    <cfRule type="cellIs" dxfId="399" priority="290" operator="equal">
      <formula>TODAY()</formula>
    </cfRule>
  </conditionalFormatting>
  <conditionalFormatting sqref="E89">
    <cfRule type="cellIs" dxfId="398" priority="287" operator="equal">
      <formula>TODAY()</formula>
    </cfRule>
    <cfRule type="cellIs" dxfId="397" priority="288" operator="equal">
      <formula>TODAY()</formula>
    </cfRule>
  </conditionalFormatting>
  <conditionalFormatting sqref="F89">
    <cfRule type="cellIs" dxfId="396" priority="285" operator="equal">
      <formula>TODAY()</formula>
    </cfRule>
    <cfRule type="cellIs" dxfId="395" priority="286" operator="equal">
      <formula>TODAY()</formula>
    </cfRule>
  </conditionalFormatting>
  <conditionalFormatting sqref="G89:H89">
    <cfRule type="cellIs" dxfId="394" priority="283" operator="equal">
      <formula>TODAY()</formula>
    </cfRule>
    <cfRule type="cellIs" dxfId="393" priority="284" operator="equal">
      <formula>TODAY()</formula>
    </cfRule>
  </conditionalFormatting>
  <conditionalFormatting sqref="I89">
    <cfRule type="cellIs" dxfId="392" priority="281" operator="equal">
      <formula>TODAY()</formula>
    </cfRule>
    <cfRule type="cellIs" dxfId="391" priority="282" operator="equal">
      <formula>TODAY()</formula>
    </cfRule>
  </conditionalFormatting>
  <conditionalFormatting sqref="L89">
    <cfRule type="cellIs" dxfId="390" priority="275" operator="equal">
      <formula>TODAY()</formula>
    </cfRule>
    <cfRule type="cellIs" dxfId="389" priority="276" operator="equal">
      <formula>TODAY()</formula>
    </cfRule>
  </conditionalFormatting>
  <conditionalFormatting sqref="B129">
    <cfRule type="cellIs" dxfId="388" priority="273" operator="equal">
      <formula>TODAY()</formula>
    </cfRule>
    <cfRule type="cellIs" dxfId="387" priority="274" operator="equal">
      <formula>TODAY()</formula>
    </cfRule>
  </conditionalFormatting>
  <conditionalFormatting sqref="K129">
    <cfRule type="cellIs" dxfId="386" priority="259" operator="equal">
      <formula>TODAY()</formula>
    </cfRule>
    <cfRule type="cellIs" dxfId="385" priority="260" operator="equal">
      <formula>TODAY()</formula>
    </cfRule>
  </conditionalFormatting>
  <conditionalFormatting sqref="J129">
    <cfRule type="cellIs" dxfId="384" priority="261" operator="equal">
      <formula>TODAY()</formula>
    </cfRule>
    <cfRule type="cellIs" dxfId="383" priority="262" operator="equal">
      <formula>TODAY()</formula>
    </cfRule>
  </conditionalFormatting>
  <conditionalFormatting sqref="C129">
    <cfRule type="cellIs" dxfId="382" priority="271" operator="equal">
      <formula>TODAY()</formula>
    </cfRule>
    <cfRule type="cellIs" dxfId="381" priority="272" operator="equal">
      <formula>TODAY()</formula>
    </cfRule>
  </conditionalFormatting>
  <conditionalFormatting sqref="E129">
    <cfRule type="cellIs" dxfId="380" priority="269" operator="equal">
      <formula>TODAY()</formula>
    </cfRule>
    <cfRule type="cellIs" dxfId="379" priority="270" operator="equal">
      <formula>TODAY()</formula>
    </cfRule>
  </conditionalFormatting>
  <conditionalFormatting sqref="F129">
    <cfRule type="cellIs" dxfId="378" priority="267" operator="equal">
      <formula>TODAY()</formula>
    </cfRule>
    <cfRule type="cellIs" dxfId="377" priority="268" operator="equal">
      <formula>TODAY()</formula>
    </cfRule>
  </conditionalFormatting>
  <conditionalFormatting sqref="G129:H129">
    <cfRule type="cellIs" dxfId="376" priority="265" operator="equal">
      <formula>TODAY()</formula>
    </cfRule>
    <cfRule type="cellIs" dxfId="375" priority="266" operator="equal">
      <formula>TODAY()</formula>
    </cfRule>
  </conditionalFormatting>
  <conditionalFormatting sqref="I129">
    <cfRule type="cellIs" dxfId="374" priority="263" operator="equal">
      <formula>TODAY()</formula>
    </cfRule>
    <cfRule type="cellIs" dxfId="373" priority="264" operator="equal">
      <formula>TODAY()</formula>
    </cfRule>
  </conditionalFormatting>
  <conditionalFormatting sqref="L129">
    <cfRule type="cellIs" dxfId="372" priority="257" operator="equal">
      <formula>TODAY()</formula>
    </cfRule>
    <cfRule type="cellIs" dxfId="371" priority="258" operator="equal">
      <formula>TODAY()</formula>
    </cfRule>
  </conditionalFormatting>
  <conditionalFormatting sqref="B105">
    <cfRule type="cellIs" dxfId="370" priority="255" operator="equal">
      <formula>TODAY()</formula>
    </cfRule>
    <cfRule type="cellIs" dxfId="369" priority="256" operator="equal">
      <formula>TODAY()</formula>
    </cfRule>
  </conditionalFormatting>
  <conditionalFormatting sqref="K105">
    <cfRule type="cellIs" dxfId="368" priority="241" operator="equal">
      <formula>TODAY()</formula>
    </cfRule>
    <cfRule type="cellIs" dxfId="367" priority="242" operator="equal">
      <formula>TODAY()</formula>
    </cfRule>
  </conditionalFormatting>
  <conditionalFormatting sqref="J105">
    <cfRule type="cellIs" dxfId="366" priority="243" operator="equal">
      <formula>TODAY()</formula>
    </cfRule>
    <cfRule type="cellIs" dxfId="365" priority="244" operator="equal">
      <formula>TODAY()</formula>
    </cfRule>
  </conditionalFormatting>
  <conditionalFormatting sqref="C105">
    <cfRule type="cellIs" dxfId="364" priority="253" operator="equal">
      <formula>TODAY()</formula>
    </cfRule>
    <cfRule type="cellIs" dxfId="363" priority="254" operator="equal">
      <formula>TODAY()</formula>
    </cfRule>
  </conditionalFormatting>
  <conditionalFormatting sqref="E105">
    <cfRule type="cellIs" dxfId="362" priority="251" operator="equal">
      <formula>TODAY()</formula>
    </cfRule>
    <cfRule type="cellIs" dxfId="361" priority="252" operator="equal">
      <formula>TODAY()</formula>
    </cfRule>
  </conditionalFormatting>
  <conditionalFormatting sqref="F105">
    <cfRule type="cellIs" dxfId="360" priority="249" operator="equal">
      <formula>TODAY()</formula>
    </cfRule>
    <cfRule type="cellIs" dxfId="359" priority="250" operator="equal">
      <formula>TODAY()</formula>
    </cfRule>
  </conditionalFormatting>
  <conditionalFormatting sqref="G105:H105">
    <cfRule type="cellIs" dxfId="358" priority="247" operator="equal">
      <formula>TODAY()</formula>
    </cfRule>
    <cfRule type="cellIs" dxfId="357" priority="248" operator="equal">
      <formula>TODAY()</formula>
    </cfRule>
  </conditionalFormatting>
  <conditionalFormatting sqref="I105">
    <cfRule type="cellIs" dxfId="356" priority="245" operator="equal">
      <formula>TODAY()</formula>
    </cfRule>
    <cfRule type="cellIs" dxfId="355" priority="246" operator="equal">
      <formula>TODAY()</formula>
    </cfRule>
  </conditionalFormatting>
  <conditionalFormatting sqref="L105">
    <cfRule type="cellIs" dxfId="354" priority="239" operator="equal">
      <formula>TODAY()</formula>
    </cfRule>
    <cfRule type="cellIs" dxfId="353" priority="240" operator="equal">
      <formula>TODAY()</formula>
    </cfRule>
  </conditionalFormatting>
  <conditionalFormatting sqref="B154:B155">
    <cfRule type="cellIs" dxfId="352" priority="237" operator="equal">
      <formula>TODAY()</formula>
    </cfRule>
    <cfRule type="cellIs" dxfId="351" priority="238" operator="equal">
      <formula>TODAY()</formula>
    </cfRule>
  </conditionalFormatting>
  <conditionalFormatting sqref="K155">
    <cfRule type="cellIs" dxfId="350" priority="223" operator="equal">
      <formula>TODAY()</formula>
    </cfRule>
    <cfRule type="cellIs" dxfId="349" priority="224" operator="equal">
      <formula>TODAY()</formula>
    </cfRule>
  </conditionalFormatting>
  <conditionalFormatting sqref="J154:J155">
    <cfRule type="cellIs" dxfId="348" priority="225" operator="equal">
      <formula>TODAY()</formula>
    </cfRule>
    <cfRule type="cellIs" dxfId="347" priority="226" operator="equal">
      <formula>TODAY()</formula>
    </cfRule>
  </conditionalFormatting>
  <conditionalFormatting sqref="C154:C155">
    <cfRule type="cellIs" dxfId="346" priority="235" operator="equal">
      <formula>TODAY()</formula>
    </cfRule>
    <cfRule type="cellIs" dxfId="345" priority="236" operator="equal">
      <formula>TODAY()</formula>
    </cfRule>
  </conditionalFormatting>
  <conditionalFormatting sqref="E154:E155">
    <cfRule type="cellIs" dxfId="344" priority="233" operator="equal">
      <formula>TODAY()</formula>
    </cfRule>
    <cfRule type="cellIs" dxfId="343" priority="234" operator="equal">
      <formula>TODAY()</formula>
    </cfRule>
  </conditionalFormatting>
  <conditionalFormatting sqref="F154:F155">
    <cfRule type="cellIs" dxfId="342" priority="231" operator="equal">
      <formula>TODAY()</formula>
    </cfRule>
    <cfRule type="cellIs" dxfId="341" priority="232" operator="equal">
      <formula>TODAY()</formula>
    </cfRule>
  </conditionalFormatting>
  <conditionalFormatting sqref="G154:H155">
    <cfRule type="cellIs" dxfId="340" priority="229" operator="equal">
      <formula>TODAY()</formula>
    </cfRule>
    <cfRule type="cellIs" dxfId="339" priority="230" operator="equal">
      <formula>TODAY()</formula>
    </cfRule>
  </conditionalFormatting>
  <conditionalFormatting sqref="I154:I155">
    <cfRule type="cellIs" dxfId="338" priority="227" operator="equal">
      <formula>TODAY()</formula>
    </cfRule>
    <cfRule type="cellIs" dxfId="337" priority="228" operator="equal">
      <formula>TODAY()</formula>
    </cfRule>
  </conditionalFormatting>
  <conditionalFormatting sqref="L154:L155">
    <cfRule type="cellIs" dxfId="336" priority="221" operator="equal">
      <formula>TODAY()</formula>
    </cfRule>
    <cfRule type="cellIs" dxfId="335" priority="222" operator="equal">
      <formula>TODAY()</formula>
    </cfRule>
  </conditionalFormatting>
  <conditionalFormatting sqref="K156">
    <cfRule type="cellIs" dxfId="334" priority="219" operator="equal">
      <formula>TODAY()</formula>
    </cfRule>
    <cfRule type="cellIs" dxfId="333" priority="220" operator="equal">
      <formula>TODAY()</formula>
    </cfRule>
  </conditionalFormatting>
  <conditionalFormatting sqref="L156">
    <cfRule type="cellIs" dxfId="332" priority="217" operator="equal">
      <formula>TODAY()</formula>
    </cfRule>
    <cfRule type="cellIs" dxfId="331" priority="218" operator="equal">
      <formula>TODAY()</formula>
    </cfRule>
  </conditionalFormatting>
  <conditionalFormatting sqref="K106:K112 K104">
    <cfRule type="cellIs" dxfId="330" priority="215" operator="equal">
      <formula>TODAY()</formula>
    </cfRule>
    <cfRule type="cellIs" dxfId="329" priority="216" operator="equal">
      <formula>TODAY()</formula>
    </cfRule>
  </conditionalFormatting>
  <conditionalFormatting sqref="Q165">
    <cfRule type="cellIs" dxfId="328" priority="213" operator="equal">
      <formula>TODAY()</formula>
    </cfRule>
    <cfRule type="cellIs" dxfId="327" priority="214" operator="equal">
      <formula>TODAY()</formula>
    </cfRule>
  </conditionalFormatting>
  <conditionalFormatting sqref="K114">
    <cfRule type="cellIs" dxfId="326" priority="211" operator="equal">
      <formula>TODAY()</formula>
    </cfRule>
    <cfRule type="cellIs" dxfId="325" priority="212" operator="equal">
      <formula>TODAY()</formula>
    </cfRule>
  </conditionalFormatting>
  <conditionalFormatting sqref="K115">
    <cfRule type="cellIs" dxfId="324" priority="209" operator="equal">
      <formula>TODAY()</formula>
    </cfRule>
    <cfRule type="cellIs" dxfId="323" priority="210" operator="equal">
      <formula>TODAY()</formula>
    </cfRule>
  </conditionalFormatting>
  <conditionalFormatting sqref="K116">
    <cfRule type="cellIs" dxfId="322" priority="207" operator="equal">
      <formula>TODAY()</formula>
    </cfRule>
    <cfRule type="cellIs" dxfId="321" priority="208" operator="equal">
      <formula>TODAY()</formula>
    </cfRule>
  </conditionalFormatting>
  <conditionalFormatting sqref="K117">
    <cfRule type="cellIs" dxfId="320" priority="205" operator="equal">
      <formula>TODAY()</formula>
    </cfRule>
    <cfRule type="cellIs" dxfId="319" priority="206" operator="equal">
      <formula>TODAY()</formula>
    </cfRule>
  </conditionalFormatting>
  <conditionalFormatting sqref="B160">
    <cfRule type="cellIs" dxfId="318" priority="203" operator="equal">
      <formula>TODAY()</formula>
    </cfRule>
    <cfRule type="cellIs" dxfId="317" priority="204" operator="equal">
      <formula>TODAY()</formula>
    </cfRule>
  </conditionalFormatting>
  <conditionalFormatting sqref="K160">
    <cfRule type="cellIs" dxfId="316" priority="189" operator="equal">
      <formula>TODAY()</formula>
    </cfRule>
    <cfRule type="cellIs" dxfId="315" priority="190" operator="equal">
      <formula>TODAY()</formula>
    </cfRule>
  </conditionalFormatting>
  <conditionalFormatting sqref="J160">
    <cfRule type="cellIs" dxfId="314" priority="191" operator="equal">
      <formula>TODAY()</formula>
    </cfRule>
    <cfRule type="cellIs" dxfId="313" priority="192" operator="equal">
      <formula>TODAY()</formula>
    </cfRule>
  </conditionalFormatting>
  <conditionalFormatting sqref="C160">
    <cfRule type="cellIs" dxfId="312" priority="201" operator="equal">
      <formula>TODAY()</formula>
    </cfRule>
    <cfRule type="cellIs" dxfId="311" priority="202" operator="equal">
      <formula>TODAY()</formula>
    </cfRule>
  </conditionalFormatting>
  <conditionalFormatting sqref="E160">
    <cfRule type="cellIs" dxfId="310" priority="199" operator="equal">
      <formula>TODAY()</formula>
    </cfRule>
    <cfRule type="cellIs" dxfId="309" priority="200" operator="equal">
      <formula>TODAY()</formula>
    </cfRule>
  </conditionalFormatting>
  <conditionalFormatting sqref="F160">
    <cfRule type="cellIs" dxfId="308" priority="197" operator="equal">
      <formula>TODAY()</formula>
    </cfRule>
    <cfRule type="cellIs" dxfId="307" priority="198" operator="equal">
      <formula>TODAY()</formula>
    </cfRule>
  </conditionalFormatting>
  <conditionalFormatting sqref="G160:H160">
    <cfRule type="cellIs" dxfId="306" priority="195" operator="equal">
      <formula>TODAY()</formula>
    </cfRule>
    <cfRule type="cellIs" dxfId="305" priority="196" operator="equal">
      <formula>TODAY()</formula>
    </cfRule>
  </conditionalFormatting>
  <conditionalFormatting sqref="I160">
    <cfRule type="cellIs" dxfId="304" priority="193" operator="equal">
      <formula>TODAY()</formula>
    </cfRule>
    <cfRule type="cellIs" dxfId="303" priority="194" operator="equal">
      <formula>TODAY()</formula>
    </cfRule>
  </conditionalFormatting>
  <conditionalFormatting sqref="L160">
    <cfRule type="cellIs" dxfId="302" priority="187" operator="equal">
      <formula>TODAY()</formula>
    </cfRule>
    <cfRule type="cellIs" dxfId="301" priority="188" operator="equal">
      <formula>TODAY()</formula>
    </cfRule>
  </conditionalFormatting>
  <conditionalFormatting sqref="B161">
    <cfRule type="cellIs" dxfId="300" priority="185" operator="equal">
      <formula>TODAY()</formula>
    </cfRule>
    <cfRule type="cellIs" dxfId="299" priority="186" operator="equal">
      <formula>TODAY()</formula>
    </cfRule>
  </conditionalFormatting>
  <conditionalFormatting sqref="C161">
    <cfRule type="cellIs" dxfId="298" priority="183" operator="equal">
      <formula>TODAY()</formula>
    </cfRule>
    <cfRule type="cellIs" dxfId="297" priority="184" operator="equal">
      <formula>TODAY()</formula>
    </cfRule>
  </conditionalFormatting>
  <conditionalFormatting sqref="K161">
    <cfRule type="cellIs" dxfId="296" priority="167" operator="equal">
      <formula>TODAY()</formula>
    </cfRule>
    <cfRule type="cellIs" dxfId="295" priority="168" operator="equal">
      <formula>TODAY()</formula>
    </cfRule>
  </conditionalFormatting>
  <conditionalFormatting sqref="B165">
    <cfRule type="cellIs" dxfId="294" priority="161" operator="equal">
      <formula>TODAY()</formula>
    </cfRule>
    <cfRule type="cellIs" dxfId="293" priority="162" operator="equal">
      <formula>TODAY()</formula>
    </cfRule>
  </conditionalFormatting>
  <conditionalFormatting sqref="K165">
    <cfRule type="cellIs" dxfId="292" priority="147" operator="equal">
      <formula>TODAY()</formula>
    </cfRule>
    <cfRule type="cellIs" dxfId="291" priority="148" operator="equal">
      <formula>TODAY()</formula>
    </cfRule>
  </conditionalFormatting>
  <conditionalFormatting sqref="J165">
    <cfRule type="cellIs" dxfId="290" priority="149" operator="equal">
      <formula>TODAY()</formula>
    </cfRule>
    <cfRule type="cellIs" dxfId="289" priority="150" operator="equal">
      <formula>TODAY()</formula>
    </cfRule>
  </conditionalFormatting>
  <conditionalFormatting sqref="C165">
    <cfRule type="cellIs" dxfId="288" priority="159" operator="equal">
      <formula>TODAY()</formula>
    </cfRule>
    <cfRule type="cellIs" dxfId="287" priority="160" operator="equal">
      <formula>TODAY()</formula>
    </cfRule>
  </conditionalFormatting>
  <conditionalFormatting sqref="E165">
    <cfRule type="cellIs" dxfId="286" priority="157" operator="equal">
      <formula>TODAY()</formula>
    </cfRule>
    <cfRule type="cellIs" dxfId="285" priority="158" operator="equal">
      <formula>TODAY()</formula>
    </cfRule>
  </conditionalFormatting>
  <conditionalFormatting sqref="F165">
    <cfRule type="cellIs" dxfId="284" priority="155" operator="equal">
      <formula>TODAY()</formula>
    </cfRule>
    <cfRule type="cellIs" dxfId="283" priority="156" operator="equal">
      <formula>TODAY()</formula>
    </cfRule>
  </conditionalFormatting>
  <conditionalFormatting sqref="G165:H165">
    <cfRule type="cellIs" dxfId="282" priority="153" operator="equal">
      <formula>TODAY()</formula>
    </cfRule>
    <cfRule type="cellIs" dxfId="281" priority="154" operator="equal">
      <formula>TODAY()</formula>
    </cfRule>
  </conditionalFormatting>
  <conditionalFormatting sqref="I165">
    <cfRule type="cellIs" dxfId="280" priority="151" operator="equal">
      <formula>TODAY()</formula>
    </cfRule>
    <cfRule type="cellIs" dxfId="279" priority="152" operator="equal">
      <formula>TODAY()</formula>
    </cfRule>
  </conditionalFormatting>
  <conditionalFormatting sqref="L165">
    <cfRule type="cellIs" dxfId="278" priority="145" operator="equal">
      <formula>TODAY()</formula>
    </cfRule>
    <cfRule type="cellIs" dxfId="277" priority="146" operator="equal">
      <formula>TODAY()</formula>
    </cfRule>
  </conditionalFormatting>
  <conditionalFormatting sqref="B183">
    <cfRule type="cellIs" dxfId="276" priority="143" operator="equal">
      <formula>TODAY()</formula>
    </cfRule>
    <cfRule type="cellIs" dxfId="275" priority="144" operator="equal">
      <formula>TODAY()</formula>
    </cfRule>
  </conditionalFormatting>
  <conditionalFormatting sqref="K183">
    <cfRule type="cellIs" dxfId="274" priority="129" operator="equal">
      <formula>TODAY()</formula>
    </cfRule>
    <cfRule type="cellIs" dxfId="273" priority="130" operator="equal">
      <formula>TODAY()</formula>
    </cfRule>
  </conditionalFormatting>
  <conditionalFormatting sqref="J183">
    <cfRule type="cellIs" dxfId="272" priority="131" operator="equal">
      <formula>TODAY()</formula>
    </cfRule>
    <cfRule type="cellIs" dxfId="271" priority="132" operator="equal">
      <formula>TODAY()</formula>
    </cfRule>
  </conditionalFormatting>
  <conditionalFormatting sqref="C183">
    <cfRule type="cellIs" dxfId="270" priority="141" operator="equal">
      <formula>TODAY()</formula>
    </cfRule>
    <cfRule type="cellIs" dxfId="269" priority="142" operator="equal">
      <formula>TODAY()</formula>
    </cfRule>
  </conditionalFormatting>
  <conditionalFormatting sqref="E183">
    <cfRule type="cellIs" dxfId="268" priority="139" operator="equal">
      <formula>TODAY()</formula>
    </cfRule>
    <cfRule type="cellIs" dxfId="267" priority="140" operator="equal">
      <formula>TODAY()</formula>
    </cfRule>
  </conditionalFormatting>
  <conditionalFormatting sqref="F183">
    <cfRule type="cellIs" dxfId="266" priority="137" operator="equal">
      <formula>TODAY()</formula>
    </cfRule>
    <cfRule type="cellIs" dxfId="265" priority="138" operator="equal">
      <formula>TODAY()</formula>
    </cfRule>
  </conditionalFormatting>
  <conditionalFormatting sqref="G183:H183">
    <cfRule type="cellIs" dxfId="264" priority="135" operator="equal">
      <formula>TODAY()</formula>
    </cfRule>
    <cfRule type="cellIs" dxfId="263" priority="136" operator="equal">
      <formula>TODAY()</formula>
    </cfRule>
  </conditionalFormatting>
  <conditionalFormatting sqref="I183">
    <cfRule type="cellIs" dxfId="262" priority="133" operator="equal">
      <formula>TODAY()</formula>
    </cfRule>
    <cfRule type="cellIs" dxfId="261" priority="134" operator="equal">
      <formula>TODAY()</formula>
    </cfRule>
  </conditionalFormatting>
  <conditionalFormatting sqref="L183">
    <cfRule type="cellIs" dxfId="260" priority="127" operator="equal">
      <formula>TODAY()</formula>
    </cfRule>
    <cfRule type="cellIs" dxfId="259" priority="128" operator="equal">
      <formula>TODAY()</formula>
    </cfRule>
  </conditionalFormatting>
  <conditionalFormatting sqref="L193">
    <cfRule type="cellIs" dxfId="258" priority="73" operator="equal">
      <formula>TODAY()</formula>
    </cfRule>
    <cfRule type="cellIs" dxfId="257" priority="74" operator="equal">
      <formula>TODAY()</formula>
    </cfRule>
  </conditionalFormatting>
  <conditionalFormatting sqref="B188:B189">
    <cfRule type="cellIs" dxfId="256" priority="125" operator="equal">
      <formula>TODAY()</formula>
    </cfRule>
    <cfRule type="cellIs" dxfId="255" priority="126" operator="equal">
      <formula>TODAY()</formula>
    </cfRule>
  </conditionalFormatting>
  <conditionalFormatting sqref="K188:K189">
    <cfRule type="cellIs" dxfId="254" priority="111" operator="equal">
      <formula>TODAY()</formula>
    </cfRule>
    <cfRule type="cellIs" dxfId="253" priority="112" operator="equal">
      <formula>TODAY()</formula>
    </cfRule>
  </conditionalFormatting>
  <conditionalFormatting sqref="J188:J189">
    <cfRule type="cellIs" dxfId="252" priority="113" operator="equal">
      <formula>TODAY()</formula>
    </cfRule>
    <cfRule type="cellIs" dxfId="251" priority="114" operator="equal">
      <formula>TODAY()</formula>
    </cfRule>
  </conditionalFormatting>
  <conditionalFormatting sqref="C188:C189">
    <cfRule type="cellIs" dxfId="250" priority="123" operator="equal">
      <formula>TODAY()</formula>
    </cfRule>
    <cfRule type="cellIs" dxfId="249" priority="124" operator="equal">
      <formula>TODAY()</formula>
    </cfRule>
  </conditionalFormatting>
  <conditionalFormatting sqref="E188:E189">
    <cfRule type="cellIs" dxfId="248" priority="121" operator="equal">
      <formula>TODAY()</formula>
    </cfRule>
    <cfRule type="cellIs" dxfId="247" priority="122" operator="equal">
      <formula>TODAY()</formula>
    </cfRule>
  </conditionalFormatting>
  <conditionalFormatting sqref="F188:F189">
    <cfRule type="cellIs" dxfId="246" priority="119" operator="equal">
      <formula>TODAY()</formula>
    </cfRule>
    <cfRule type="cellIs" dxfId="245" priority="120" operator="equal">
      <formula>TODAY()</formula>
    </cfRule>
  </conditionalFormatting>
  <conditionalFormatting sqref="G188:H189">
    <cfRule type="cellIs" dxfId="244" priority="117" operator="equal">
      <formula>TODAY()</formula>
    </cfRule>
    <cfRule type="cellIs" dxfId="243" priority="118" operator="equal">
      <formula>TODAY()</formula>
    </cfRule>
  </conditionalFormatting>
  <conditionalFormatting sqref="I188:I189">
    <cfRule type="cellIs" dxfId="242" priority="115" operator="equal">
      <formula>TODAY()</formula>
    </cfRule>
    <cfRule type="cellIs" dxfId="241" priority="116" operator="equal">
      <formula>TODAY()</formula>
    </cfRule>
  </conditionalFormatting>
  <conditionalFormatting sqref="L188:L189">
    <cfRule type="cellIs" dxfId="240" priority="109" operator="equal">
      <formula>TODAY()</formula>
    </cfRule>
    <cfRule type="cellIs" dxfId="239" priority="110" operator="equal">
      <formula>TODAY()</formula>
    </cfRule>
  </conditionalFormatting>
  <conditionalFormatting sqref="B191">
    <cfRule type="cellIs" dxfId="238" priority="107" operator="equal">
      <formula>TODAY()</formula>
    </cfRule>
    <cfRule type="cellIs" dxfId="237" priority="108" operator="equal">
      <formula>TODAY()</formula>
    </cfRule>
  </conditionalFormatting>
  <conditionalFormatting sqref="K191">
    <cfRule type="cellIs" dxfId="236" priority="93" operator="equal">
      <formula>TODAY()</formula>
    </cfRule>
    <cfRule type="cellIs" dxfId="235" priority="94" operator="equal">
      <formula>TODAY()</formula>
    </cfRule>
  </conditionalFormatting>
  <conditionalFormatting sqref="J191">
    <cfRule type="cellIs" dxfId="234" priority="95" operator="equal">
      <formula>TODAY()</formula>
    </cfRule>
    <cfRule type="cellIs" dxfId="233" priority="96" operator="equal">
      <formula>TODAY()</formula>
    </cfRule>
  </conditionalFormatting>
  <conditionalFormatting sqref="C191">
    <cfRule type="cellIs" dxfId="232" priority="105" operator="equal">
      <formula>TODAY()</formula>
    </cfRule>
    <cfRule type="cellIs" dxfId="231" priority="106" operator="equal">
      <formula>TODAY()</formula>
    </cfRule>
  </conditionalFormatting>
  <conditionalFormatting sqref="E191">
    <cfRule type="cellIs" dxfId="230" priority="103" operator="equal">
      <formula>TODAY()</formula>
    </cfRule>
    <cfRule type="cellIs" dxfId="229" priority="104" operator="equal">
      <formula>TODAY()</formula>
    </cfRule>
  </conditionalFormatting>
  <conditionalFormatting sqref="F191">
    <cfRule type="cellIs" dxfId="228" priority="101" operator="equal">
      <formula>TODAY()</formula>
    </cfRule>
    <cfRule type="cellIs" dxfId="227" priority="102" operator="equal">
      <formula>TODAY()</formula>
    </cfRule>
  </conditionalFormatting>
  <conditionalFormatting sqref="G191:H191">
    <cfRule type="cellIs" dxfId="226" priority="99" operator="equal">
      <formula>TODAY()</formula>
    </cfRule>
    <cfRule type="cellIs" dxfId="225" priority="100" operator="equal">
      <formula>TODAY()</formula>
    </cfRule>
  </conditionalFormatting>
  <conditionalFormatting sqref="I191">
    <cfRule type="cellIs" dxfId="224" priority="97" operator="equal">
      <formula>TODAY()</formula>
    </cfRule>
    <cfRule type="cellIs" dxfId="223" priority="98" operator="equal">
      <formula>TODAY()</formula>
    </cfRule>
  </conditionalFormatting>
  <conditionalFormatting sqref="L191">
    <cfRule type="cellIs" dxfId="222" priority="91" operator="equal">
      <formula>TODAY()</formula>
    </cfRule>
    <cfRule type="cellIs" dxfId="221" priority="92" operator="equal">
      <formula>TODAY()</formula>
    </cfRule>
  </conditionalFormatting>
  <conditionalFormatting sqref="B193">
    <cfRule type="cellIs" dxfId="220" priority="89" operator="equal">
      <formula>TODAY()</formula>
    </cfRule>
    <cfRule type="cellIs" dxfId="219" priority="90" operator="equal">
      <formula>TODAY()</formula>
    </cfRule>
  </conditionalFormatting>
  <conditionalFormatting sqref="K193">
    <cfRule type="cellIs" dxfId="218" priority="75" operator="equal">
      <formula>TODAY()</formula>
    </cfRule>
    <cfRule type="cellIs" dxfId="217" priority="76" operator="equal">
      <formula>TODAY()</formula>
    </cfRule>
  </conditionalFormatting>
  <conditionalFormatting sqref="J193">
    <cfRule type="cellIs" dxfId="216" priority="77" operator="equal">
      <formula>TODAY()</formula>
    </cfRule>
    <cfRule type="cellIs" dxfId="215" priority="78" operator="equal">
      <formula>TODAY()</formula>
    </cfRule>
  </conditionalFormatting>
  <conditionalFormatting sqref="C193">
    <cfRule type="cellIs" dxfId="214" priority="87" operator="equal">
      <formula>TODAY()</formula>
    </cfRule>
    <cfRule type="cellIs" dxfId="213" priority="88" operator="equal">
      <formula>TODAY()</formula>
    </cfRule>
  </conditionalFormatting>
  <conditionalFormatting sqref="E193">
    <cfRule type="cellIs" dxfId="212" priority="85" operator="equal">
      <formula>TODAY()</formula>
    </cfRule>
    <cfRule type="cellIs" dxfId="211" priority="86" operator="equal">
      <formula>TODAY()</formula>
    </cfRule>
  </conditionalFormatting>
  <conditionalFormatting sqref="F193">
    <cfRule type="cellIs" dxfId="210" priority="83" operator="equal">
      <formula>TODAY()</formula>
    </cfRule>
    <cfRule type="cellIs" dxfId="209" priority="84" operator="equal">
      <formula>TODAY()</formula>
    </cfRule>
  </conditionalFormatting>
  <conditionalFormatting sqref="G193:H193">
    <cfRule type="cellIs" dxfId="208" priority="81" operator="equal">
      <formula>TODAY()</formula>
    </cfRule>
    <cfRule type="cellIs" dxfId="207" priority="82" operator="equal">
      <formula>TODAY()</formula>
    </cfRule>
  </conditionalFormatting>
  <conditionalFormatting sqref="I193">
    <cfRule type="cellIs" dxfId="206" priority="79" operator="equal">
      <formula>TODAY()</formula>
    </cfRule>
    <cfRule type="cellIs" dxfId="205" priority="80" operator="equal">
      <formula>TODAY()</formula>
    </cfRule>
  </conditionalFormatting>
  <conditionalFormatting sqref="B169">
    <cfRule type="cellIs" dxfId="204" priority="71" operator="equal">
      <formula>TODAY()</formula>
    </cfRule>
    <cfRule type="cellIs" dxfId="203" priority="72" operator="equal">
      <formula>TODAY()</formula>
    </cfRule>
  </conditionalFormatting>
  <conditionalFormatting sqref="K169">
    <cfRule type="cellIs" dxfId="202" priority="57" operator="equal">
      <formula>TODAY()</formula>
    </cfRule>
    <cfRule type="cellIs" dxfId="201" priority="58" operator="equal">
      <formula>TODAY()</formula>
    </cfRule>
  </conditionalFormatting>
  <conditionalFormatting sqref="J169">
    <cfRule type="cellIs" dxfId="200" priority="59" operator="equal">
      <formula>TODAY()</formula>
    </cfRule>
    <cfRule type="cellIs" dxfId="199" priority="60" operator="equal">
      <formula>TODAY()</formula>
    </cfRule>
  </conditionalFormatting>
  <conditionalFormatting sqref="C169">
    <cfRule type="cellIs" dxfId="198" priority="69" operator="equal">
      <formula>TODAY()</formula>
    </cfRule>
    <cfRule type="cellIs" dxfId="197" priority="70" operator="equal">
      <formula>TODAY()</formula>
    </cfRule>
  </conditionalFormatting>
  <conditionalFormatting sqref="E169">
    <cfRule type="cellIs" dxfId="196" priority="67" operator="equal">
      <formula>TODAY()</formula>
    </cfRule>
    <cfRule type="cellIs" dxfId="195" priority="68" operator="equal">
      <formula>TODAY()</formula>
    </cfRule>
  </conditionalFormatting>
  <conditionalFormatting sqref="F169">
    <cfRule type="cellIs" dxfId="194" priority="65" operator="equal">
      <formula>TODAY()</formula>
    </cfRule>
    <cfRule type="cellIs" dxfId="193" priority="66" operator="equal">
      <formula>TODAY()</formula>
    </cfRule>
  </conditionalFormatting>
  <conditionalFormatting sqref="G169:H169">
    <cfRule type="cellIs" dxfId="192" priority="63" operator="equal">
      <formula>TODAY()</formula>
    </cfRule>
    <cfRule type="cellIs" dxfId="191" priority="64" operator="equal">
      <formula>TODAY()</formula>
    </cfRule>
  </conditionalFormatting>
  <conditionalFormatting sqref="I169">
    <cfRule type="cellIs" dxfId="190" priority="61" operator="equal">
      <formula>TODAY()</formula>
    </cfRule>
    <cfRule type="cellIs" dxfId="189" priority="62" operator="equal">
      <formula>TODAY()</formula>
    </cfRule>
  </conditionalFormatting>
  <conditionalFormatting sqref="L169">
    <cfRule type="cellIs" dxfId="188" priority="55" operator="equal">
      <formula>TODAY()</formula>
    </cfRule>
    <cfRule type="cellIs" dxfId="187" priority="56" operator="equal">
      <formula>TODAY()</formula>
    </cfRule>
  </conditionalFormatting>
  <conditionalFormatting sqref="B170">
    <cfRule type="cellIs" dxfId="186" priority="53" operator="equal">
      <formula>TODAY()</formula>
    </cfRule>
    <cfRule type="cellIs" dxfId="185" priority="54" operator="equal">
      <formula>TODAY()</formula>
    </cfRule>
  </conditionalFormatting>
  <conditionalFormatting sqref="K170">
    <cfRule type="cellIs" dxfId="184" priority="39" operator="equal">
      <formula>TODAY()</formula>
    </cfRule>
    <cfRule type="cellIs" dxfId="183" priority="40" operator="equal">
      <formula>TODAY()</formula>
    </cfRule>
  </conditionalFormatting>
  <conditionalFormatting sqref="J170">
    <cfRule type="cellIs" dxfId="182" priority="41" operator="equal">
      <formula>TODAY()</formula>
    </cfRule>
    <cfRule type="cellIs" dxfId="181" priority="42" operator="equal">
      <formula>TODAY()</formula>
    </cfRule>
  </conditionalFormatting>
  <conditionalFormatting sqref="C170">
    <cfRule type="cellIs" dxfId="180" priority="51" operator="equal">
      <formula>TODAY()</formula>
    </cfRule>
    <cfRule type="cellIs" dxfId="179" priority="52" operator="equal">
      <formula>TODAY()</formula>
    </cfRule>
  </conditionalFormatting>
  <conditionalFormatting sqref="E170">
    <cfRule type="cellIs" dxfId="178" priority="49" operator="equal">
      <formula>TODAY()</formula>
    </cfRule>
    <cfRule type="cellIs" dxfId="177" priority="50" operator="equal">
      <formula>TODAY()</formula>
    </cfRule>
  </conditionalFormatting>
  <conditionalFormatting sqref="F170">
    <cfRule type="cellIs" dxfId="176" priority="47" operator="equal">
      <formula>TODAY()</formula>
    </cfRule>
    <cfRule type="cellIs" dxfId="175" priority="48" operator="equal">
      <formula>TODAY()</formula>
    </cfRule>
  </conditionalFormatting>
  <conditionalFormatting sqref="G170:H170">
    <cfRule type="cellIs" dxfId="174" priority="45" operator="equal">
      <formula>TODAY()</formula>
    </cfRule>
    <cfRule type="cellIs" dxfId="173" priority="46" operator="equal">
      <formula>TODAY()</formula>
    </cfRule>
  </conditionalFormatting>
  <conditionalFormatting sqref="I170">
    <cfRule type="cellIs" dxfId="172" priority="43" operator="equal">
      <formula>TODAY()</formula>
    </cfRule>
    <cfRule type="cellIs" dxfId="171" priority="44" operator="equal">
      <formula>TODAY()</formula>
    </cfRule>
  </conditionalFormatting>
  <conditionalFormatting sqref="L170">
    <cfRule type="cellIs" dxfId="170" priority="37" operator="equal">
      <formula>TODAY()</formula>
    </cfRule>
    <cfRule type="cellIs" dxfId="169" priority="38" operator="equal">
      <formula>TODAY()</formula>
    </cfRule>
  </conditionalFormatting>
  <pageMargins left="0" right="0" top="0" bottom="0" header="0" footer="0"/>
  <pageSetup paperSize="9" scale="10" orientation="landscape" horizontalDpi="4294967293"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A1:AMH172"/>
  <sheetViews>
    <sheetView zoomScale="55" zoomScaleNormal="55" workbookViewId="0">
      <pane ySplit="1" topLeftCell="A105" activePane="bottomLeft" state="frozen"/>
      <selection pane="bottomLeft" activeCell="A106" sqref="A106:L106"/>
    </sheetView>
  </sheetViews>
  <sheetFormatPr defaultColWidth="8.453125" defaultRowHeight="14.5" x14ac:dyDescent="0.35"/>
  <cols>
    <col min="1" max="1" width="13.453125" style="120" customWidth="1"/>
    <col min="2" max="2" width="27" style="15" customWidth="1"/>
    <col min="3" max="3" width="39.54296875" style="15" customWidth="1"/>
    <col min="4" max="4" width="13.453125" style="120" customWidth="1"/>
    <col min="5" max="5" width="16.453125" style="15" customWidth="1"/>
    <col min="6" max="6" width="12.54296875" style="15" customWidth="1"/>
    <col min="7" max="8" width="17.453125" style="15" customWidth="1"/>
    <col min="9" max="9" width="16.453125" style="120" customWidth="1"/>
    <col min="10" max="10" width="15.453125" style="15" customWidth="1"/>
    <col min="11" max="11" width="11.54296875" style="120" customWidth="1"/>
    <col min="12" max="1021" width="8.453125" style="120" customWidth="1"/>
    <col min="1022" max="1025" width="8.453125" style="13" customWidth="1"/>
    <col min="1026" max="16384" width="8.453125" style="13"/>
  </cols>
  <sheetData>
    <row r="1" spans="1:1022" s="15" customFormat="1" ht="43.5" x14ac:dyDescent="0.35">
      <c r="A1" s="238" t="s">
        <v>0</v>
      </c>
      <c r="B1" s="235" t="s">
        <v>1</v>
      </c>
      <c r="C1" s="235" t="s">
        <v>2</v>
      </c>
      <c r="D1" s="237" t="s">
        <v>3</v>
      </c>
      <c r="E1" s="236" t="s">
        <v>4</v>
      </c>
      <c r="F1" s="236" t="s">
        <v>5</v>
      </c>
      <c r="G1" s="235" t="s">
        <v>6</v>
      </c>
      <c r="H1" s="235" t="s">
        <v>7</v>
      </c>
      <c r="I1" s="235" t="s">
        <v>8</v>
      </c>
      <c r="J1" s="235" t="s">
        <v>9</v>
      </c>
      <c r="K1" s="235" t="s">
        <v>10</v>
      </c>
      <c r="L1" s="56" t="s">
        <v>11</v>
      </c>
      <c r="N1" s="120"/>
      <c r="P1" s="190"/>
      <c r="Q1" s="15" t="s">
        <v>1369</v>
      </c>
      <c r="R1" s="15">
        <v>424</v>
      </c>
      <c r="S1" s="115"/>
      <c r="T1" s="120"/>
      <c r="U1" s="115"/>
      <c r="V1" s="120"/>
      <c r="W1" s="189"/>
      <c r="X1" s="120"/>
      <c r="Y1" s="120"/>
      <c r="AMG1" s="14"/>
      <c r="AMH1" s="14"/>
    </row>
    <row r="2" spans="1:1022" ht="87" x14ac:dyDescent="0.35">
      <c r="A2" s="155">
        <v>43584</v>
      </c>
      <c r="B2" s="17" t="s">
        <v>1368</v>
      </c>
      <c r="C2" s="17" t="s">
        <v>1367</v>
      </c>
      <c r="D2" s="125">
        <v>43588</v>
      </c>
      <c r="E2" s="17" t="s">
        <v>48</v>
      </c>
      <c r="F2" s="26">
        <v>0.58333333333333304</v>
      </c>
      <c r="G2" s="26">
        <v>0.625</v>
      </c>
      <c r="H2" s="26">
        <v>0.66666666666666696</v>
      </c>
      <c r="I2" s="144">
        <v>540</v>
      </c>
      <c r="J2" s="42" t="s">
        <v>1187</v>
      </c>
      <c r="K2" s="65" t="s">
        <v>15</v>
      </c>
      <c r="L2" s="154"/>
      <c r="N2" s="120" t="s">
        <v>516</v>
      </c>
      <c r="O2" s="120">
        <f>SUM(I2:I15)/4.76</f>
        <v>1106.40756302521</v>
      </c>
      <c r="Q2" s="120" t="s">
        <v>1366</v>
      </c>
      <c r="R2" s="120">
        <v>600</v>
      </c>
      <c r="S2" s="188" t="s">
        <v>1365</v>
      </c>
    </row>
    <row r="3" spans="1:1022" ht="72.5" x14ac:dyDescent="0.35">
      <c r="A3" s="155">
        <v>43574</v>
      </c>
      <c r="B3" s="32" t="s">
        <v>1354</v>
      </c>
      <c r="C3" s="17" t="s">
        <v>1364</v>
      </c>
      <c r="D3" s="125">
        <v>43589</v>
      </c>
      <c r="E3" s="26" t="s">
        <v>1363</v>
      </c>
      <c r="F3" s="26">
        <v>0.36458333333333298</v>
      </c>
      <c r="G3" s="26">
        <v>0.375</v>
      </c>
      <c r="H3" s="26">
        <v>0.39583333333333298</v>
      </c>
      <c r="I3" s="144">
        <v>200</v>
      </c>
      <c r="J3" s="42" t="s">
        <v>1362</v>
      </c>
      <c r="K3" s="234" t="s">
        <v>15</v>
      </c>
      <c r="L3" s="154"/>
      <c r="N3" s="120" t="s">
        <v>515</v>
      </c>
      <c r="O3" s="120">
        <f>SUM(I16:I41)/4.76</f>
        <v>2620.0420168067226</v>
      </c>
    </row>
    <row r="4" spans="1:1022" ht="116" x14ac:dyDescent="0.35">
      <c r="A4" s="204">
        <v>43586</v>
      </c>
      <c r="B4" s="185" t="s">
        <v>1361</v>
      </c>
      <c r="C4" s="185" t="s">
        <v>1360</v>
      </c>
      <c r="D4" s="186">
        <v>43589</v>
      </c>
      <c r="E4" s="185" t="s">
        <v>1359</v>
      </c>
      <c r="F4" s="184">
        <v>0.72916666666666696</v>
      </c>
      <c r="G4" s="184">
        <v>0.75</v>
      </c>
      <c r="H4" s="184">
        <v>0.79166666666666696</v>
      </c>
      <c r="I4" s="144">
        <v>1140</v>
      </c>
      <c r="J4" s="42" t="s">
        <v>1358</v>
      </c>
      <c r="K4" s="65" t="s">
        <v>49</v>
      </c>
      <c r="L4" s="154"/>
      <c r="N4" s="120" t="s">
        <v>514</v>
      </c>
      <c r="O4" s="120">
        <f>(SUM(I42:I74)+R2+R1)/4.76</f>
        <v>2808.5924369747904</v>
      </c>
    </row>
    <row r="5" spans="1:1022" ht="43.5" x14ac:dyDescent="0.35">
      <c r="A5" s="155">
        <v>43588</v>
      </c>
      <c r="B5" s="17" t="s">
        <v>1357</v>
      </c>
      <c r="C5" s="17" t="s">
        <v>1356</v>
      </c>
      <c r="D5" s="125">
        <v>43589</v>
      </c>
      <c r="E5" s="17" t="s">
        <v>129</v>
      </c>
      <c r="F5" s="26">
        <v>0.52083333333333304</v>
      </c>
      <c r="G5" s="26">
        <v>0.53125</v>
      </c>
      <c r="H5" s="26">
        <v>0.55208333333333304</v>
      </c>
      <c r="I5" s="144">
        <v>312</v>
      </c>
      <c r="J5" s="42" t="s">
        <v>1355</v>
      </c>
      <c r="K5" s="65" t="s">
        <v>15</v>
      </c>
      <c r="L5" s="154"/>
      <c r="N5" s="120" t="s">
        <v>513</v>
      </c>
      <c r="O5" s="120">
        <f>SUM(I76:I1004)/4.76</f>
        <v>7143.9537815126059</v>
      </c>
    </row>
    <row r="6" spans="1:1022" ht="246.5" x14ac:dyDescent="0.35">
      <c r="A6" s="204">
        <v>43562</v>
      </c>
      <c r="B6" s="185" t="s">
        <v>1354</v>
      </c>
      <c r="C6" s="185" t="s">
        <v>1353</v>
      </c>
      <c r="D6" s="186">
        <v>43590</v>
      </c>
      <c r="E6" s="185" t="s">
        <v>1352</v>
      </c>
      <c r="F6" s="184">
        <v>0.6875</v>
      </c>
      <c r="G6" s="184">
        <v>0.70833333333333304</v>
      </c>
      <c r="H6" s="184">
        <v>0.72916666666666696</v>
      </c>
      <c r="I6" s="100" t="s">
        <v>1351</v>
      </c>
      <c r="J6" s="42" t="s">
        <v>1350</v>
      </c>
      <c r="K6" s="65" t="s">
        <v>17</v>
      </c>
      <c r="L6" s="154"/>
      <c r="N6" s="120" t="s">
        <v>512</v>
      </c>
      <c r="O6" s="120">
        <f>SUM(I:I)/4.76+(R1+R2)/4.76</f>
        <v>13748.638655462184</v>
      </c>
    </row>
    <row r="7" spans="1:1022" ht="58" x14ac:dyDescent="0.35">
      <c r="A7" s="204">
        <v>43574</v>
      </c>
      <c r="B7" s="185" t="s">
        <v>1349</v>
      </c>
      <c r="C7" s="185" t="s">
        <v>1348</v>
      </c>
      <c r="D7" s="186">
        <v>43590</v>
      </c>
      <c r="E7" s="185" t="s">
        <v>836</v>
      </c>
      <c r="F7" s="184">
        <v>0.59375</v>
      </c>
      <c r="G7" s="184">
        <v>0.61458333333333304</v>
      </c>
      <c r="H7" s="184">
        <v>0.64583333333333304</v>
      </c>
      <c r="I7" s="144">
        <v>819</v>
      </c>
      <c r="J7" s="17" t="s">
        <v>1347</v>
      </c>
      <c r="K7" s="65" t="s">
        <v>17</v>
      </c>
      <c r="L7" s="154"/>
    </row>
    <row r="8" spans="1:1022" ht="58" x14ac:dyDescent="0.35">
      <c r="A8" s="204">
        <v>43584</v>
      </c>
      <c r="B8" s="185" t="s">
        <v>1346</v>
      </c>
      <c r="C8" s="185" t="s">
        <v>1345</v>
      </c>
      <c r="D8" s="186">
        <v>43590</v>
      </c>
      <c r="E8" s="185" t="s">
        <v>1344</v>
      </c>
      <c r="F8" s="184">
        <v>0.70833333333333304</v>
      </c>
      <c r="G8" s="184">
        <v>0.73958333333333304</v>
      </c>
      <c r="H8" s="184">
        <v>0.77083333333333304</v>
      </c>
      <c r="I8" s="144">
        <v>225</v>
      </c>
      <c r="J8" s="17" t="s">
        <v>1343</v>
      </c>
      <c r="K8" s="65" t="s">
        <v>136</v>
      </c>
      <c r="L8" s="154"/>
    </row>
    <row r="9" spans="1:1022" ht="58" x14ac:dyDescent="0.35">
      <c r="A9" s="155">
        <v>43588</v>
      </c>
      <c r="B9" s="17" t="s">
        <v>1342</v>
      </c>
      <c r="C9" s="17" t="s">
        <v>1341</v>
      </c>
      <c r="D9" s="125">
        <v>43590</v>
      </c>
      <c r="E9" s="26" t="s">
        <v>1340</v>
      </c>
      <c r="F9" s="26">
        <v>0.61111111111111105</v>
      </c>
      <c r="G9" s="26">
        <v>0.625</v>
      </c>
      <c r="H9" s="26">
        <v>0.66666666666666696</v>
      </c>
      <c r="I9" s="100">
        <v>200</v>
      </c>
      <c r="J9" s="42" t="s">
        <v>1339</v>
      </c>
      <c r="K9" s="65" t="s">
        <v>136</v>
      </c>
      <c r="L9" s="154"/>
    </row>
    <row r="10" spans="1:1022" ht="58" x14ac:dyDescent="0.35">
      <c r="A10" s="204">
        <v>43588</v>
      </c>
      <c r="B10" s="185" t="s">
        <v>1338</v>
      </c>
      <c r="C10" s="185" t="s">
        <v>1337</v>
      </c>
      <c r="D10" s="186">
        <v>43590</v>
      </c>
      <c r="E10" s="185" t="s">
        <v>836</v>
      </c>
      <c r="F10" s="184">
        <v>0.70833333333333304</v>
      </c>
      <c r="G10" s="184">
        <v>0.72222222222222199</v>
      </c>
      <c r="H10" s="184">
        <v>0.73958333333333304</v>
      </c>
      <c r="I10" s="144">
        <v>600</v>
      </c>
      <c r="J10" s="17" t="s">
        <v>257</v>
      </c>
      <c r="K10" s="65" t="s">
        <v>136</v>
      </c>
      <c r="L10" s="154"/>
    </row>
    <row r="11" spans="1:1022" ht="29" x14ac:dyDescent="0.35">
      <c r="A11" s="155">
        <v>43587</v>
      </c>
      <c r="B11" s="17" t="s">
        <v>1336</v>
      </c>
      <c r="C11" s="17" t="s">
        <v>1335</v>
      </c>
      <c r="D11" s="125">
        <v>43591</v>
      </c>
      <c r="E11" s="17" t="s">
        <v>126</v>
      </c>
      <c r="F11" s="26">
        <v>0.70833333333333304</v>
      </c>
      <c r="G11" s="26">
        <v>0.72916666666666696</v>
      </c>
      <c r="H11" s="26">
        <v>0.75</v>
      </c>
      <c r="I11" s="65" t="s">
        <v>455</v>
      </c>
      <c r="J11" s="65" t="s">
        <v>15</v>
      </c>
      <c r="K11" s="65" t="s">
        <v>136</v>
      </c>
      <c r="L11" s="154"/>
    </row>
    <row r="12" spans="1:1022" ht="43.5" x14ac:dyDescent="0.35">
      <c r="A12" s="155">
        <v>43590</v>
      </c>
      <c r="B12" s="17" t="s">
        <v>1334</v>
      </c>
      <c r="C12" s="17" t="s">
        <v>1333</v>
      </c>
      <c r="D12" s="125">
        <v>43591</v>
      </c>
      <c r="E12" s="17" t="s">
        <v>1332</v>
      </c>
      <c r="F12" s="26">
        <v>0.70833333333333304</v>
      </c>
      <c r="G12" s="26">
        <v>0.75</v>
      </c>
      <c r="H12" s="26">
        <v>0.77083333333333304</v>
      </c>
      <c r="I12" s="144">
        <v>106.4</v>
      </c>
      <c r="J12" s="65" t="s">
        <v>1331</v>
      </c>
      <c r="K12" s="65" t="s">
        <v>136</v>
      </c>
      <c r="L12" s="154"/>
    </row>
    <row r="13" spans="1:1022" ht="87" x14ac:dyDescent="0.35">
      <c r="A13" s="155">
        <v>43587</v>
      </c>
      <c r="B13" s="17" t="s">
        <v>1192</v>
      </c>
      <c r="C13" s="17" t="s">
        <v>1330</v>
      </c>
      <c r="D13" s="125">
        <v>43592</v>
      </c>
      <c r="E13" s="17" t="s">
        <v>599</v>
      </c>
      <c r="F13" s="26">
        <v>0.66666666666666696</v>
      </c>
      <c r="G13" s="26">
        <v>0.66666666666666696</v>
      </c>
      <c r="H13" s="26">
        <v>0.66666666666666696</v>
      </c>
      <c r="I13" s="65" t="s">
        <v>15</v>
      </c>
      <c r="J13" s="17" t="s">
        <v>15</v>
      </c>
      <c r="K13" s="65" t="s">
        <v>17</v>
      </c>
      <c r="L13" s="154"/>
    </row>
    <row r="14" spans="1:1022" ht="58" x14ac:dyDescent="0.35">
      <c r="A14" s="204">
        <v>43591</v>
      </c>
      <c r="B14" s="185" t="s">
        <v>419</v>
      </c>
      <c r="C14" s="185" t="s">
        <v>1329</v>
      </c>
      <c r="D14" s="186">
        <v>43592</v>
      </c>
      <c r="E14" s="185" t="s">
        <v>1328</v>
      </c>
      <c r="F14" s="184">
        <v>0.5625</v>
      </c>
      <c r="G14" s="184">
        <v>0.57291666666666696</v>
      </c>
      <c r="H14" s="184">
        <v>0.59375</v>
      </c>
      <c r="I14" s="144">
        <v>850.5</v>
      </c>
      <c r="J14" s="42" t="s">
        <v>1327</v>
      </c>
      <c r="K14" s="65" t="s">
        <v>15</v>
      </c>
      <c r="L14" s="154"/>
    </row>
    <row r="15" spans="1:1022" ht="43.5" x14ac:dyDescent="0.35">
      <c r="A15" s="155">
        <v>43592</v>
      </c>
      <c r="B15" s="17" t="s">
        <v>419</v>
      </c>
      <c r="C15" s="17" t="s">
        <v>1326</v>
      </c>
      <c r="D15" s="125">
        <v>43592</v>
      </c>
      <c r="E15" s="17" t="s">
        <v>1325</v>
      </c>
      <c r="F15" s="26">
        <v>0.54166666666666696</v>
      </c>
      <c r="G15" s="17" t="s">
        <v>15</v>
      </c>
      <c r="H15" s="17" t="s">
        <v>15</v>
      </c>
      <c r="I15" s="144">
        <v>273.60000000000002</v>
      </c>
      <c r="J15" s="42" t="s">
        <v>1324</v>
      </c>
      <c r="K15" s="65" t="s">
        <v>140</v>
      </c>
      <c r="L15" s="154"/>
    </row>
    <row r="16" spans="1:1022" ht="43.5" x14ac:dyDescent="0.35">
      <c r="A16" s="155">
        <v>43591</v>
      </c>
      <c r="B16" s="17" t="s">
        <v>1323</v>
      </c>
      <c r="C16" s="17" t="s">
        <v>1322</v>
      </c>
      <c r="D16" s="125">
        <v>43593</v>
      </c>
      <c r="E16" s="17" t="s">
        <v>126</v>
      </c>
      <c r="F16" s="26">
        <v>0.52083333333333304</v>
      </c>
      <c r="G16" s="26">
        <v>0.53125</v>
      </c>
      <c r="H16" s="26">
        <v>0.55208333333333304</v>
      </c>
      <c r="I16" s="65">
        <v>0</v>
      </c>
      <c r="J16" s="17" t="s">
        <v>15</v>
      </c>
      <c r="K16" s="65" t="s">
        <v>15</v>
      </c>
      <c r="L16" s="154"/>
    </row>
    <row r="17" spans="1:12" s="13" customFormat="1" ht="43.5" x14ac:dyDescent="0.35">
      <c r="A17" s="155">
        <v>43592</v>
      </c>
      <c r="B17" s="17" t="s">
        <v>1008</v>
      </c>
      <c r="C17" s="17" t="s">
        <v>1321</v>
      </c>
      <c r="D17" s="125">
        <v>43593</v>
      </c>
      <c r="E17" s="17" t="s">
        <v>1320</v>
      </c>
      <c r="F17" s="26">
        <v>0.55555555555555602</v>
      </c>
      <c r="G17" s="26">
        <v>0.58333333333333304</v>
      </c>
      <c r="H17" s="26">
        <v>0.60416666666666696</v>
      </c>
      <c r="I17" s="144">
        <v>136.80000000000001</v>
      </c>
      <c r="J17" s="17" t="s">
        <v>1319</v>
      </c>
      <c r="K17" s="65" t="s">
        <v>140</v>
      </c>
      <c r="L17" s="154"/>
    </row>
    <row r="18" spans="1:12" s="13" customFormat="1" ht="72.5" x14ac:dyDescent="0.35">
      <c r="A18" s="204">
        <v>43587</v>
      </c>
      <c r="B18" s="185" t="s">
        <v>1318</v>
      </c>
      <c r="C18" s="185" t="s">
        <v>1317</v>
      </c>
      <c r="D18" s="186">
        <v>43594</v>
      </c>
      <c r="E18" s="185" t="s">
        <v>73</v>
      </c>
      <c r="F18" s="184">
        <v>0.64583333333333304</v>
      </c>
      <c r="G18" s="184">
        <v>0.66666666666666696</v>
      </c>
      <c r="H18" s="184">
        <v>0.70833333333333304</v>
      </c>
      <c r="I18" s="144">
        <v>1885</v>
      </c>
      <c r="J18" s="55" t="s">
        <v>1316</v>
      </c>
      <c r="K18" s="65" t="s">
        <v>140</v>
      </c>
      <c r="L18" s="154"/>
    </row>
    <row r="19" spans="1:12" s="13" customFormat="1" ht="101.5" x14ac:dyDescent="0.35">
      <c r="A19" s="204">
        <v>43591</v>
      </c>
      <c r="B19" s="17" t="s">
        <v>1315</v>
      </c>
      <c r="C19" s="17" t="s">
        <v>1314</v>
      </c>
      <c r="D19" s="125">
        <v>43594</v>
      </c>
      <c r="E19" s="17" t="s">
        <v>1313</v>
      </c>
      <c r="F19" s="26">
        <v>0.45833333333333298</v>
      </c>
      <c r="G19" s="26">
        <v>0.47916666666666702</v>
      </c>
      <c r="H19" s="26">
        <v>0.5</v>
      </c>
      <c r="I19" s="144">
        <v>490</v>
      </c>
      <c r="J19" s="17" t="s">
        <v>1312</v>
      </c>
      <c r="K19" s="65" t="s">
        <v>140</v>
      </c>
      <c r="L19" s="154"/>
    </row>
    <row r="20" spans="1:12" s="13" customFormat="1" ht="58" x14ac:dyDescent="0.35">
      <c r="A20" s="204">
        <v>43591</v>
      </c>
      <c r="B20" s="185" t="s">
        <v>1311</v>
      </c>
      <c r="C20" s="185" t="s">
        <v>1310</v>
      </c>
      <c r="D20" s="186">
        <v>43594</v>
      </c>
      <c r="E20" s="185" t="s">
        <v>836</v>
      </c>
      <c r="F20" s="184">
        <v>0.77083333333333304</v>
      </c>
      <c r="G20" s="184">
        <v>0.79166666666666696</v>
      </c>
      <c r="H20" s="184">
        <v>0.8125</v>
      </c>
      <c r="I20" s="144">
        <v>400</v>
      </c>
      <c r="J20" s="17" t="s">
        <v>257</v>
      </c>
      <c r="K20" s="65" t="s">
        <v>1309</v>
      </c>
      <c r="L20" s="154"/>
    </row>
    <row r="21" spans="1:12" s="13" customFormat="1" ht="116" x14ac:dyDescent="0.35">
      <c r="A21" s="204">
        <v>43591</v>
      </c>
      <c r="B21" s="185" t="s">
        <v>1308</v>
      </c>
      <c r="C21" s="185" t="s">
        <v>1307</v>
      </c>
      <c r="D21" s="186">
        <v>43595</v>
      </c>
      <c r="E21" s="185" t="s">
        <v>1301</v>
      </c>
      <c r="F21" s="184">
        <v>0.5</v>
      </c>
      <c r="G21" s="185" t="s">
        <v>15</v>
      </c>
      <c r="H21" s="185" t="s">
        <v>15</v>
      </c>
      <c r="I21" s="213">
        <v>650</v>
      </c>
      <c r="J21" s="17" t="s">
        <v>1306</v>
      </c>
      <c r="K21" s="65" t="s">
        <v>15</v>
      </c>
      <c r="L21" s="154"/>
    </row>
    <row r="22" spans="1:12" s="13" customFormat="1" ht="87" x14ac:dyDescent="0.35">
      <c r="A22" s="155">
        <v>43593</v>
      </c>
      <c r="B22" s="17" t="s">
        <v>1305</v>
      </c>
      <c r="C22" s="17" t="s">
        <v>1304</v>
      </c>
      <c r="D22" s="125">
        <v>43595</v>
      </c>
      <c r="E22" s="17" t="s">
        <v>1303</v>
      </c>
      <c r="F22" s="177">
        <v>0.52083333333333304</v>
      </c>
      <c r="G22" s="26">
        <v>0.53125</v>
      </c>
      <c r="H22" s="26">
        <v>0.55208333333333304</v>
      </c>
      <c r="I22" s="191">
        <v>0</v>
      </c>
      <c r="J22" s="65" t="s">
        <v>15</v>
      </c>
      <c r="K22" s="65" t="s">
        <v>140</v>
      </c>
      <c r="L22" s="154"/>
    </row>
    <row r="23" spans="1:12" s="13" customFormat="1" ht="29" x14ac:dyDescent="0.35">
      <c r="A23" s="155">
        <v>43594</v>
      </c>
      <c r="B23" s="17" t="s">
        <v>1302</v>
      </c>
      <c r="C23" s="17" t="s">
        <v>751</v>
      </c>
      <c r="D23" s="125">
        <v>43595</v>
      </c>
      <c r="E23" s="17" t="s">
        <v>1301</v>
      </c>
      <c r="F23" s="26">
        <v>0.79166666666666696</v>
      </c>
      <c r="G23" s="26">
        <v>0.79166666666666696</v>
      </c>
      <c r="H23" s="26">
        <v>0.79166666666666696</v>
      </c>
      <c r="I23" s="213">
        <v>99</v>
      </c>
      <c r="J23" s="17" t="s">
        <v>1170</v>
      </c>
      <c r="K23" s="65" t="s">
        <v>15</v>
      </c>
      <c r="L23" s="154"/>
    </row>
    <row r="24" spans="1:12" s="13" customFormat="1" ht="72.5" x14ac:dyDescent="0.35">
      <c r="A24" s="204">
        <v>43587</v>
      </c>
      <c r="B24" s="185" t="s">
        <v>1300</v>
      </c>
      <c r="C24" s="185" t="s">
        <v>1299</v>
      </c>
      <c r="D24" s="186">
        <v>43596</v>
      </c>
      <c r="E24" s="185" t="s">
        <v>1298</v>
      </c>
      <c r="F24" s="184">
        <v>0.54861111111111105</v>
      </c>
      <c r="G24" s="184">
        <v>0.57638888888888895</v>
      </c>
      <c r="H24" s="184">
        <v>0.59027777777777801</v>
      </c>
      <c r="I24" s="144">
        <v>1030</v>
      </c>
      <c r="J24" s="17" t="s">
        <v>1297</v>
      </c>
      <c r="K24" s="65" t="s">
        <v>140</v>
      </c>
      <c r="L24" s="154"/>
    </row>
    <row r="25" spans="1:12" s="13" customFormat="1" ht="290" x14ac:dyDescent="0.35">
      <c r="A25" s="204">
        <v>43591</v>
      </c>
      <c r="B25" s="185" t="s">
        <v>1296</v>
      </c>
      <c r="C25" s="185" t="s">
        <v>1295</v>
      </c>
      <c r="D25" s="186">
        <v>43596</v>
      </c>
      <c r="E25" s="185" t="s">
        <v>73</v>
      </c>
      <c r="F25" s="184">
        <v>0.54861111111111105</v>
      </c>
      <c r="G25" s="184">
        <v>0.66666666666666696</v>
      </c>
      <c r="H25" s="184">
        <v>0.70833333333333304</v>
      </c>
      <c r="I25" s="144">
        <v>3599.5</v>
      </c>
      <c r="J25" s="55" t="s">
        <v>1294</v>
      </c>
      <c r="K25" s="65" t="s">
        <v>140</v>
      </c>
      <c r="L25" s="154"/>
    </row>
    <row r="26" spans="1:12" s="13" customFormat="1" ht="101.5" x14ac:dyDescent="0.35">
      <c r="A26" s="155">
        <v>43591</v>
      </c>
      <c r="B26" s="17" t="s">
        <v>1293</v>
      </c>
      <c r="C26" s="17" t="s">
        <v>1292</v>
      </c>
      <c r="D26" s="125">
        <v>43596</v>
      </c>
      <c r="E26" s="17" t="s">
        <v>1275</v>
      </c>
      <c r="F26" s="26">
        <v>0.64583333333333304</v>
      </c>
      <c r="G26" s="26">
        <v>0.65625</v>
      </c>
      <c r="H26" s="17" t="s">
        <v>15</v>
      </c>
      <c r="I26" s="65">
        <v>0</v>
      </c>
      <c r="J26" s="17" t="s">
        <v>15</v>
      </c>
      <c r="K26" s="65" t="s">
        <v>17</v>
      </c>
      <c r="L26" s="154"/>
    </row>
    <row r="27" spans="1:12" s="13" customFormat="1" ht="203" x14ac:dyDescent="0.35">
      <c r="A27" s="204">
        <v>43592</v>
      </c>
      <c r="B27" s="214" t="s">
        <v>372</v>
      </c>
      <c r="C27" s="214" t="s">
        <v>1291</v>
      </c>
      <c r="D27" s="233">
        <v>43596</v>
      </c>
      <c r="E27" s="214" t="s">
        <v>1290</v>
      </c>
      <c r="F27" s="232">
        <v>0.69791666666666696</v>
      </c>
      <c r="G27" s="232">
        <v>0.70833333333333304</v>
      </c>
      <c r="H27" s="232">
        <v>0.75</v>
      </c>
      <c r="I27" s="231">
        <v>600</v>
      </c>
      <c r="J27" s="109" t="s">
        <v>1289</v>
      </c>
      <c r="K27" s="135" t="s">
        <v>17</v>
      </c>
      <c r="L27" s="154"/>
    </row>
    <row r="28" spans="1:12" s="13" customFormat="1" ht="116" x14ac:dyDescent="0.35">
      <c r="A28" s="155">
        <v>43595</v>
      </c>
      <c r="B28" s="37" t="s">
        <v>1075</v>
      </c>
      <c r="C28" s="37" t="s">
        <v>1288</v>
      </c>
      <c r="D28" s="170">
        <v>43596</v>
      </c>
      <c r="E28" s="17" t="s">
        <v>1287</v>
      </c>
      <c r="F28" s="212">
        <v>0.54861111111111105</v>
      </c>
      <c r="G28" s="212">
        <v>0.625</v>
      </c>
      <c r="H28" s="212">
        <v>0.64583333333333304</v>
      </c>
      <c r="I28" s="166">
        <v>286.60000000000002</v>
      </c>
      <c r="J28" s="228" t="s">
        <v>1286</v>
      </c>
      <c r="K28" s="37" t="s">
        <v>140</v>
      </c>
      <c r="L28" s="154"/>
    </row>
    <row r="29" spans="1:12" s="13" customFormat="1" ht="116" x14ac:dyDescent="0.35">
      <c r="A29" s="204">
        <v>43591</v>
      </c>
      <c r="B29" s="185" t="s">
        <v>1285</v>
      </c>
      <c r="C29" s="185" t="s">
        <v>1284</v>
      </c>
      <c r="D29" s="186">
        <v>43597</v>
      </c>
      <c r="E29" s="185" t="s">
        <v>1283</v>
      </c>
      <c r="F29" s="184">
        <v>0.52083333333333304</v>
      </c>
      <c r="G29" s="184">
        <v>0.54166666666666696</v>
      </c>
      <c r="H29" s="184">
        <v>0.58333333333333304</v>
      </c>
      <c r="I29" s="144">
        <v>560.5</v>
      </c>
      <c r="J29" s="17" t="s">
        <v>1282</v>
      </c>
      <c r="K29" s="65" t="s">
        <v>140</v>
      </c>
      <c r="L29" s="154"/>
    </row>
    <row r="30" spans="1:12" s="13" customFormat="1" ht="43.5" x14ac:dyDescent="0.35">
      <c r="A30" s="155">
        <v>43596</v>
      </c>
      <c r="B30" s="37" t="s">
        <v>1281</v>
      </c>
      <c r="C30" s="37" t="s">
        <v>1280</v>
      </c>
      <c r="D30" s="170">
        <v>43597</v>
      </c>
      <c r="E30" s="37" t="s">
        <v>1279</v>
      </c>
      <c r="F30" s="37" t="s">
        <v>15</v>
      </c>
      <c r="G30" s="212">
        <v>0.47916666666666702</v>
      </c>
      <c r="H30" s="212">
        <v>0.52083333333333304</v>
      </c>
      <c r="I30" s="230">
        <v>75</v>
      </c>
      <c r="J30" s="171" t="s">
        <v>1278</v>
      </c>
      <c r="K30" s="37" t="s">
        <v>15</v>
      </c>
      <c r="L30" s="154"/>
    </row>
    <row r="31" spans="1:12" s="13" customFormat="1" ht="72.5" x14ac:dyDescent="0.35">
      <c r="A31" s="155">
        <v>43591</v>
      </c>
      <c r="B31" s="17" t="s">
        <v>1277</v>
      </c>
      <c r="C31" s="17" t="s">
        <v>1276</v>
      </c>
      <c r="D31" s="125">
        <v>43598</v>
      </c>
      <c r="E31" s="17" t="s">
        <v>1275</v>
      </c>
      <c r="F31" s="26">
        <v>0.70138888888888895</v>
      </c>
      <c r="G31" s="17" t="s">
        <v>15</v>
      </c>
      <c r="H31" s="17" t="s">
        <v>15</v>
      </c>
      <c r="I31" s="65">
        <v>0</v>
      </c>
      <c r="J31" s="17" t="s">
        <v>15</v>
      </c>
      <c r="K31" s="65" t="s">
        <v>15</v>
      </c>
      <c r="L31" s="154"/>
    </row>
    <row r="32" spans="1:12" s="13" customFormat="1" ht="43.5" x14ac:dyDescent="0.35">
      <c r="A32" s="155">
        <v>43595</v>
      </c>
      <c r="B32" s="17" t="s">
        <v>989</v>
      </c>
      <c r="C32" s="17" t="s">
        <v>988</v>
      </c>
      <c r="D32" s="125">
        <v>43598</v>
      </c>
      <c r="E32" s="17" t="s">
        <v>73</v>
      </c>
      <c r="F32" s="26">
        <v>0.51041666666666696</v>
      </c>
      <c r="G32" s="26">
        <v>0.53125</v>
      </c>
      <c r="H32" s="26">
        <v>0.55208333333333304</v>
      </c>
      <c r="I32" s="65">
        <v>0</v>
      </c>
      <c r="J32" s="17" t="s">
        <v>361</v>
      </c>
      <c r="K32" s="65" t="s">
        <v>136</v>
      </c>
      <c r="L32" s="154"/>
    </row>
    <row r="33" spans="1:12" s="13" customFormat="1" ht="43.5" x14ac:dyDescent="0.35">
      <c r="A33" s="202">
        <v>43598</v>
      </c>
      <c r="B33" s="37" t="s">
        <v>1274</v>
      </c>
      <c r="C33" s="37" t="s">
        <v>1273</v>
      </c>
      <c r="D33" s="224">
        <v>43598</v>
      </c>
      <c r="E33" s="37" t="s">
        <v>311</v>
      </c>
      <c r="F33" s="37" t="s">
        <v>15</v>
      </c>
      <c r="G33" s="212">
        <v>0.66666666666666696</v>
      </c>
      <c r="H33" s="212">
        <v>0.66666666666666696</v>
      </c>
      <c r="I33" s="180">
        <v>100</v>
      </c>
      <c r="J33" s="37" t="s">
        <v>257</v>
      </c>
      <c r="K33" s="165" t="s">
        <v>15</v>
      </c>
      <c r="L33" s="154"/>
    </row>
    <row r="34" spans="1:12" s="13" customFormat="1" ht="43.5" x14ac:dyDescent="0.35">
      <c r="A34" s="202">
        <v>43598</v>
      </c>
      <c r="B34" s="37" t="s">
        <v>1272</v>
      </c>
      <c r="C34" s="37" t="s">
        <v>1243</v>
      </c>
      <c r="D34" s="170">
        <v>43598</v>
      </c>
      <c r="E34" s="37" t="s">
        <v>1271</v>
      </c>
      <c r="F34" s="37" t="s">
        <v>15</v>
      </c>
      <c r="G34" s="212">
        <v>0.70833333333333304</v>
      </c>
      <c r="H34" s="212">
        <v>0.70833333333333304</v>
      </c>
      <c r="I34" s="193">
        <v>0</v>
      </c>
      <c r="J34" s="37" t="s">
        <v>16</v>
      </c>
      <c r="K34" s="37" t="s">
        <v>15</v>
      </c>
      <c r="L34" s="154"/>
    </row>
    <row r="35" spans="1:12" s="13" customFormat="1" ht="101.5" x14ac:dyDescent="0.35">
      <c r="A35" s="155">
        <v>43595</v>
      </c>
      <c r="B35" s="182" t="s">
        <v>1179</v>
      </c>
      <c r="C35" s="182" t="s">
        <v>1270</v>
      </c>
      <c r="D35" s="211">
        <v>43599</v>
      </c>
      <c r="E35" s="182" t="s">
        <v>1269</v>
      </c>
      <c r="F35" s="181">
        <v>0.39583333333333298</v>
      </c>
      <c r="G35" s="181">
        <v>0.41666666666666702</v>
      </c>
      <c r="H35" s="181">
        <v>0.42708333333333298</v>
      </c>
      <c r="I35" s="229">
        <v>0</v>
      </c>
      <c r="J35" s="37" t="s">
        <v>1268</v>
      </c>
      <c r="K35" s="37" t="s">
        <v>136</v>
      </c>
      <c r="L35" s="154"/>
    </row>
    <row r="36" spans="1:12" s="13" customFormat="1" ht="101.5" x14ac:dyDescent="0.35">
      <c r="A36" s="155">
        <v>43595</v>
      </c>
      <c r="B36" s="17" t="s">
        <v>989</v>
      </c>
      <c r="C36" s="17" t="s">
        <v>1267</v>
      </c>
      <c r="D36" s="125">
        <v>43599</v>
      </c>
      <c r="E36" s="17" t="s">
        <v>73</v>
      </c>
      <c r="F36" s="26">
        <v>0.4375</v>
      </c>
      <c r="G36" s="26">
        <v>0.49305555555555602</v>
      </c>
      <c r="H36" s="26">
        <v>0.52083333333333304</v>
      </c>
      <c r="I36" s="65">
        <v>0</v>
      </c>
      <c r="J36" s="17" t="s">
        <v>361</v>
      </c>
      <c r="K36" s="65" t="s">
        <v>140</v>
      </c>
      <c r="L36" s="154"/>
    </row>
    <row r="37" spans="1:12" s="13" customFormat="1" ht="87" x14ac:dyDescent="0.35">
      <c r="A37" s="204">
        <v>43595</v>
      </c>
      <c r="B37" s="182" t="s">
        <v>1179</v>
      </c>
      <c r="C37" s="182" t="s">
        <v>1266</v>
      </c>
      <c r="D37" s="183">
        <v>43599</v>
      </c>
      <c r="E37" s="182" t="s">
        <v>1265</v>
      </c>
      <c r="F37" s="181">
        <v>0.77083333333333304</v>
      </c>
      <c r="G37" s="181">
        <v>0.79166666666666696</v>
      </c>
      <c r="H37" s="181">
        <v>0.80208333333333304</v>
      </c>
      <c r="I37" s="180">
        <v>960</v>
      </c>
      <c r="J37" s="37" t="s">
        <v>1264</v>
      </c>
      <c r="K37" s="165" t="s">
        <v>136</v>
      </c>
      <c r="L37" s="154"/>
    </row>
    <row r="38" spans="1:12" s="13" customFormat="1" ht="101.5" x14ac:dyDescent="0.35">
      <c r="A38" s="155">
        <v>43597</v>
      </c>
      <c r="B38" s="182" t="s">
        <v>1263</v>
      </c>
      <c r="C38" s="182" t="s">
        <v>1262</v>
      </c>
      <c r="D38" s="211">
        <v>43599</v>
      </c>
      <c r="E38" s="182" t="s">
        <v>1261</v>
      </c>
      <c r="F38" s="181">
        <v>0.625</v>
      </c>
      <c r="G38" s="181">
        <v>0.65625</v>
      </c>
      <c r="H38" s="181">
        <v>0.66666666666666696</v>
      </c>
      <c r="I38" s="166">
        <v>1500</v>
      </c>
      <c r="J38" s="228" t="s">
        <v>1260</v>
      </c>
      <c r="K38" s="37" t="s">
        <v>140</v>
      </c>
      <c r="L38" s="154"/>
    </row>
    <row r="39" spans="1:12" s="13" customFormat="1" ht="58" x14ac:dyDescent="0.35">
      <c r="A39" s="202">
        <v>43598</v>
      </c>
      <c r="B39" s="17" t="s">
        <v>1259</v>
      </c>
      <c r="C39" s="17" t="s">
        <v>1258</v>
      </c>
      <c r="D39" s="125">
        <v>43599</v>
      </c>
      <c r="E39" s="17" t="s">
        <v>1257</v>
      </c>
      <c r="F39" s="26">
        <v>0.4375</v>
      </c>
      <c r="G39" s="212">
        <v>0.45138888888888901</v>
      </c>
      <c r="H39" s="212">
        <v>0.46527777777777801</v>
      </c>
      <c r="I39" s="144">
        <v>99</v>
      </c>
      <c r="J39" s="17" t="s">
        <v>257</v>
      </c>
      <c r="K39" s="65" t="s">
        <v>140</v>
      </c>
      <c r="L39" s="154"/>
    </row>
    <row r="40" spans="1:12" s="13" customFormat="1" ht="58" x14ac:dyDescent="0.35">
      <c r="A40" s="202">
        <v>43598</v>
      </c>
      <c r="B40" s="37" t="s">
        <v>1256</v>
      </c>
      <c r="C40" s="37" t="s">
        <v>1255</v>
      </c>
      <c r="D40" s="224">
        <v>43599</v>
      </c>
      <c r="E40" s="37" t="s">
        <v>1138</v>
      </c>
      <c r="F40" s="212">
        <v>0.4375</v>
      </c>
      <c r="G40" s="26">
        <v>0.47222222222222199</v>
      </c>
      <c r="H40" s="26">
        <v>0.47968749999999999</v>
      </c>
      <c r="I40" s="206">
        <v>0</v>
      </c>
      <c r="J40" s="37" t="s">
        <v>16</v>
      </c>
      <c r="K40" s="65" t="s">
        <v>140</v>
      </c>
      <c r="L40" s="154"/>
    </row>
    <row r="41" spans="1:12" s="13" customFormat="1" ht="58" x14ac:dyDescent="0.35">
      <c r="A41" s="202">
        <v>43598</v>
      </c>
      <c r="B41" s="37" t="s">
        <v>1254</v>
      </c>
      <c r="C41" s="37" t="s">
        <v>1253</v>
      </c>
      <c r="D41" s="224">
        <v>43599</v>
      </c>
      <c r="E41" s="37" t="s">
        <v>1252</v>
      </c>
      <c r="F41" s="212">
        <v>0.4375</v>
      </c>
      <c r="G41" s="212">
        <v>0.55208333333333304</v>
      </c>
      <c r="H41" s="212">
        <v>0.57638888888888895</v>
      </c>
      <c r="I41" s="206">
        <v>0</v>
      </c>
      <c r="J41" s="37" t="s">
        <v>1251</v>
      </c>
      <c r="K41" s="65" t="s">
        <v>140</v>
      </c>
      <c r="L41" s="154"/>
    </row>
    <row r="42" spans="1:12" s="13" customFormat="1" ht="58" x14ac:dyDescent="0.35">
      <c r="A42" s="202">
        <v>43594</v>
      </c>
      <c r="B42" s="37" t="s">
        <v>1250</v>
      </c>
      <c r="C42" s="37" t="s">
        <v>1249</v>
      </c>
      <c r="D42" s="170">
        <v>43600</v>
      </c>
      <c r="E42" s="37" t="s">
        <v>210</v>
      </c>
      <c r="F42" s="212">
        <v>0.45833333333333298</v>
      </c>
      <c r="G42" s="212">
        <v>0.45833333333333298</v>
      </c>
      <c r="H42" s="212">
        <v>0.45833333333333298</v>
      </c>
      <c r="I42" s="193">
        <v>0</v>
      </c>
      <c r="J42" s="37" t="s">
        <v>361</v>
      </c>
      <c r="K42" s="37" t="s">
        <v>140</v>
      </c>
      <c r="L42" s="154"/>
    </row>
    <row r="43" spans="1:12" s="13" customFormat="1" ht="130.5" x14ac:dyDescent="0.35">
      <c r="A43" s="202">
        <v>43594</v>
      </c>
      <c r="B43" s="37" t="s">
        <v>1248</v>
      </c>
      <c r="C43" s="37" t="s">
        <v>1247</v>
      </c>
      <c r="D43" s="170">
        <v>43600</v>
      </c>
      <c r="E43" s="37" t="s">
        <v>1246</v>
      </c>
      <c r="F43" s="212">
        <v>0.47916666666666702</v>
      </c>
      <c r="G43" s="212">
        <v>0.47916666666666702</v>
      </c>
      <c r="H43" s="212">
        <v>0.47916666666666702</v>
      </c>
      <c r="I43" s="193">
        <v>0</v>
      </c>
      <c r="J43" s="37" t="s">
        <v>361</v>
      </c>
      <c r="K43" s="37" t="s">
        <v>17</v>
      </c>
      <c r="L43" s="154"/>
    </row>
    <row r="44" spans="1:12" s="13" customFormat="1" ht="43.5" x14ac:dyDescent="0.35">
      <c r="A44" s="202">
        <v>43598</v>
      </c>
      <c r="B44" s="37" t="s">
        <v>1157</v>
      </c>
      <c r="C44" s="37" t="s">
        <v>1243</v>
      </c>
      <c r="D44" s="170">
        <v>43600</v>
      </c>
      <c r="E44" s="37" t="s">
        <v>1138</v>
      </c>
      <c r="F44" s="212">
        <v>0.47222222222222199</v>
      </c>
      <c r="G44" s="212">
        <v>0.48958333333333298</v>
      </c>
      <c r="H44" s="212">
        <v>0.5</v>
      </c>
      <c r="I44" s="193">
        <v>0</v>
      </c>
      <c r="J44" s="37" t="s">
        <v>16</v>
      </c>
      <c r="K44" s="37" t="s">
        <v>140</v>
      </c>
      <c r="L44" s="154"/>
    </row>
    <row r="45" spans="1:12" s="13" customFormat="1" ht="58" x14ac:dyDescent="0.35">
      <c r="A45" s="202">
        <v>43598</v>
      </c>
      <c r="B45" s="37" t="s">
        <v>1245</v>
      </c>
      <c r="C45" s="37" t="s">
        <v>1243</v>
      </c>
      <c r="D45" s="170">
        <v>43600</v>
      </c>
      <c r="E45" s="37" t="s">
        <v>1138</v>
      </c>
      <c r="F45" s="212">
        <v>0.47222222222222199</v>
      </c>
      <c r="G45" s="212">
        <v>0.48958333333333298</v>
      </c>
      <c r="H45" s="212">
        <v>0.5</v>
      </c>
      <c r="I45" s="193">
        <v>0</v>
      </c>
      <c r="J45" s="37" t="s">
        <v>16</v>
      </c>
      <c r="K45" s="37" t="s">
        <v>140</v>
      </c>
      <c r="L45" s="154"/>
    </row>
    <row r="46" spans="1:12" s="13" customFormat="1" ht="58" x14ac:dyDescent="0.35">
      <c r="A46" s="202">
        <v>43598</v>
      </c>
      <c r="B46" s="37" t="s">
        <v>1244</v>
      </c>
      <c r="C46" s="37" t="s">
        <v>1243</v>
      </c>
      <c r="D46" s="170">
        <v>43600</v>
      </c>
      <c r="E46" s="37" t="s">
        <v>1138</v>
      </c>
      <c r="F46" s="212">
        <v>0.47222222222222199</v>
      </c>
      <c r="G46" s="212">
        <v>0.48958333333333298</v>
      </c>
      <c r="H46" s="212">
        <v>0.5</v>
      </c>
      <c r="I46" s="193">
        <v>0</v>
      </c>
      <c r="J46" s="37" t="s">
        <v>16</v>
      </c>
      <c r="K46" s="37" t="s">
        <v>140</v>
      </c>
      <c r="L46" s="154"/>
    </row>
    <row r="47" spans="1:12" s="13" customFormat="1" ht="58" x14ac:dyDescent="0.35">
      <c r="A47" s="202">
        <v>43598</v>
      </c>
      <c r="B47" s="37" t="s">
        <v>1242</v>
      </c>
      <c r="C47" s="37" t="s">
        <v>1241</v>
      </c>
      <c r="D47" s="170">
        <v>43600</v>
      </c>
      <c r="E47" s="37" t="s">
        <v>1138</v>
      </c>
      <c r="F47" s="212">
        <v>0.47222222222222199</v>
      </c>
      <c r="G47" s="212">
        <v>0.48958333333333298</v>
      </c>
      <c r="H47" s="212">
        <v>0.625</v>
      </c>
      <c r="I47" s="166">
        <f>(3.2*100 + 4*12)*0.8</f>
        <v>294.40000000000003</v>
      </c>
      <c r="J47" s="37" t="s">
        <v>1240</v>
      </c>
      <c r="K47" s="37" t="s">
        <v>140</v>
      </c>
      <c r="L47" s="154"/>
    </row>
    <row r="48" spans="1:12" s="13" customFormat="1" ht="58" x14ac:dyDescent="0.35">
      <c r="A48" s="202">
        <v>43598</v>
      </c>
      <c r="B48" s="37" t="s">
        <v>1239</v>
      </c>
      <c r="C48" s="37" t="s">
        <v>1238</v>
      </c>
      <c r="D48" s="170">
        <v>43600</v>
      </c>
      <c r="E48" s="37" t="s">
        <v>1235</v>
      </c>
      <c r="F48" s="37" t="s">
        <v>15</v>
      </c>
      <c r="G48" s="212">
        <v>0.83333333333333304</v>
      </c>
      <c r="H48" s="212">
        <v>0.83333333333333304</v>
      </c>
      <c r="I48" s="193">
        <v>0</v>
      </c>
      <c r="J48" s="37" t="s">
        <v>16</v>
      </c>
      <c r="K48" s="37" t="s">
        <v>17</v>
      </c>
      <c r="L48" s="154"/>
    </row>
    <row r="49" spans="1:12" s="13" customFormat="1" ht="87" x14ac:dyDescent="0.35">
      <c r="A49" s="202">
        <v>43599</v>
      </c>
      <c r="B49" s="37" t="s">
        <v>1237</v>
      </c>
      <c r="C49" s="37" t="s">
        <v>1236</v>
      </c>
      <c r="D49" s="170">
        <v>43600</v>
      </c>
      <c r="E49" s="37" t="s">
        <v>1235</v>
      </c>
      <c r="F49" s="37" t="s">
        <v>15</v>
      </c>
      <c r="G49" s="212">
        <v>0.75</v>
      </c>
      <c r="H49" s="212">
        <v>0.75</v>
      </c>
      <c r="I49" s="193">
        <v>0</v>
      </c>
      <c r="J49" s="37" t="s">
        <v>16</v>
      </c>
      <c r="K49" s="37" t="s">
        <v>17</v>
      </c>
      <c r="L49" s="154"/>
    </row>
    <row r="50" spans="1:12" s="13" customFormat="1" ht="348" x14ac:dyDescent="0.35">
      <c r="A50" s="204">
        <v>43584</v>
      </c>
      <c r="B50" s="185" t="s">
        <v>1234</v>
      </c>
      <c r="C50" s="185" t="s">
        <v>1233</v>
      </c>
      <c r="D50" s="186">
        <v>43601</v>
      </c>
      <c r="E50" s="185" t="s">
        <v>27</v>
      </c>
      <c r="F50" s="185" t="s">
        <v>15</v>
      </c>
      <c r="G50" s="184">
        <v>0.66666666666666696</v>
      </c>
      <c r="H50" s="184">
        <v>0.72916666666666696</v>
      </c>
      <c r="I50" s="144">
        <v>750</v>
      </c>
      <c r="J50" s="17" t="s">
        <v>1232</v>
      </c>
      <c r="K50" s="65" t="s">
        <v>15</v>
      </c>
      <c r="L50" s="154"/>
    </row>
    <row r="51" spans="1:12" s="13" customFormat="1" ht="87" x14ac:dyDescent="0.35">
      <c r="A51" s="204">
        <v>43592</v>
      </c>
      <c r="B51" s="185" t="s">
        <v>1231</v>
      </c>
      <c r="C51" s="185" t="s">
        <v>1230</v>
      </c>
      <c r="D51" s="186">
        <v>43602</v>
      </c>
      <c r="E51" s="185" t="s">
        <v>1229</v>
      </c>
      <c r="F51" s="184">
        <v>0.45833333333333298</v>
      </c>
      <c r="G51" s="184">
        <v>0.45833333333333298</v>
      </c>
      <c r="H51" s="184">
        <v>0.46527777777777801</v>
      </c>
      <c r="I51" s="144">
        <v>409.5</v>
      </c>
      <c r="J51" s="227" t="s">
        <v>1228</v>
      </c>
      <c r="K51" s="65" t="s">
        <v>22</v>
      </c>
      <c r="L51" s="154"/>
    </row>
    <row r="52" spans="1:12" s="13" customFormat="1" ht="43.5" x14ac:dyDescent="0.35">
      <c r="A52" s="202">
        <v>43594</v>
      </c>
      <c r="B52" s="37" t="s">
        <v>1227</v>
      </c>
      <c r="C52" s="37" t="s">
        <v>1226</v>
      </c>
      <c r="D52" s="224">
        <v>43602</v>
      </c>
      <c r="E52" s="37" t="s">
        <v>1225</v>
      </c>
      <c r="F52" s="212">
        <v>0.5</v>
      </c>
      <c r="G52" s="212">
        <v>0.51388888888888895</v>
      </c>
      <c r="H52" s="212">
        <v>0.5625</v>
      </c>
      <c r="I52" s="206">
        <v>0</v>
      </c>
      <c r="J52" s="37" t="s">
        <v>289</v>
      </c>
      <c r="K52" s="165" t="s">
        <v>140</v>
      </c>
      <c r="L52" s="154"/>
    </row>
    <row r="53" spans="1:12" s="13" customFormat="1" ht="43.5" x14ac:dyDescent="0.35">
      <c r="A53" s="155">
        <v>43595</v>
      </c>
      <c r="B53" s="17" t="s">
        <v>989</v>
      </c>
      <c r="C53" s="17" t="s">
        <v>988</v>
      </c>
      <c r="D53" s="125">
        <v>43602</v>
      </c>
      <c r="E53" s="17" t="s">
        <v>73</v>
      </c>
      <c r="F53" s="26">
        <v>0.5</v>
      </c>
      <c r="G53" s="26">
        <v>0.53125</v>
      </c>
      <c r="H53" s="26">
        <v>0.55208333333333304</v>
      </c>
      <c r="I53" s="65">
        <v>0</v>
      </c>
      <c r="J53" s="17" t="s">
        <v>361</v>
      </c>
      <c r="K53" s="165" t="s">
        <v>140</v>
      </c>
      <c r="L53" s="154"/>
    </row>
    <row r="54" spans="1:12" s="13" customFormat="1" ht="58" x14ac:dyDescent="0.35">
      <c r="A54" s="155">
        <v>43601</v>
      </c>
      <c r="B54" s="17" t="s">
        <v>1224</v>
      </c>
      <c r="C54" s="17" t="s">
        <v>1223</v>
      </c>
      <c r="D54" s="125">
        <v>43602</v>
      </c>
      <c r="E54" s="17" t="s">
        <v>1222</v>
      </c>
      <c r="F54" s="26">
        <v>0.5</v>
      </c>
      <c r="G54" s="26">
        <v>0.5625</v>
      </c>
      <c r="H54" s="26">
        <v>0.58333333333333304</v>
      </c>
      <c r="I54" s="65">
        <v>0</v>
      </c>
      <c r="J54" s="17" t="s">
        <v>1221</v>
      </c>
      <c r="K54" s="65" t="s">
        <v>140</v>
      </c>
      <c r="L54" s="154"/>
    </row>
    <row r="55" spans="1:12" s="13" customFormat="1" ht="145" x14ac:dyDescent="0.35">
      <c r="A55" s="155">
        <v>43601</v>
      </c>
      <c r="B55" s="17" t="s">
        <v>1220</v>
      </c>
      <c r="C55" s="17" t="s">
        <v>1219</v>
      </c>
      <c r="D55" s="125">
        <v>43602</v>
      </c>
      <c r="E55" s="17" t="s">
        <v>210</v>
      </c>
      <c r="F55" s="26">
        <v>0.5</v>
      </c>
      <c r="G55" s="17" t="s">
        <v>15</v>
      </c>
      <c r="H55" s="17" t="s">
        <v>15</v>
      </c>
      <c r="I55" s="144">
        <v>283.89999999999998</v>
      </c>
      <c r="J55" s="17" t="s">
        <v>1218</v>
      </c>
      <c r="K55" s="65" t="s">
        <v>15</v>
      </c>
      <c r="L55" s="154"/>
    </row>
    <row r="56" spans="1:12" s="13" customFormat="1" ht="246.5" x14ac:dyDescent="0.35">
      <c r="A56" s="204">
        <v>43569</v>
      </c>
      <c r="B56" s="185" t="s">
        <v>1217</v>
      </c>
      <c r="C56" s="185" t="s">
        <v>1216</v>
      </c>
      <c r="D56" s="186">
        <v>43603</v>
      </c>
      <c r="E56" s="185" t="s">
        <v>73</v>
      </c>
      <c r="F56" s="184">
        <v>0.65972222222222199</v>
      </c>
      <c r="G56" s="184">
        <v>0.79166666666666696</v>
      </c>
      <c r="H56" s="184">
        <v>0.83333333333333304</v>
      </c>
      <c r="I56" s="144">
        <v>2936</v>
      </c>
      <c r="J56" s="222" t="s">
        <v>1215</v>
      </c>
      <c r="K56" s="65" t="s">
        <v>140</v>
      </c>
      <c r="L56" s="154"/>
    </row>
    <row r="57" spans="1:12" s="13" customFormat="1" ht="174" x14ac:dyDescent="0.35">
      <c r="A57" s="202">
        <v>43594</v>
      </c>
      <c r="B57" s="37" t="s">
        <v>1075</v>
      </c>
      <c r="C57" s="37" t="s">
        <v>1214</v>
      </c>
      <c r="D57" s="170">
        <v>43603</v>
      </c>
      <c r="E57" s="37" t="s">
        <v>1213</v>
      </c>
      <c r="F57" s="212">
        <v>0.65972222222222199</v>
      </c>
      <c r="G57" s="212">
        <v>0.6875</v>
      </c>
      <c r="H57" s="212">
        <v>0.75</v>
      </c>
      <c r="I57" s="226">
        <v>1832</v>
      </c>
      <c r="J57" s="225" t="s">
        <v>1212</v>
      </c>
      <c r="K57" s="37" t="s">
        <v>140</v>
      </c>
      <c r="L57" s="154"/>
    </row>
    <row r="58" spans="1:12" s="13" customFormat="1" ht="217.5" x14ac:dyDescent="0.35">
      <c r="A58" s="202">
        <v>43600</v>
      </c>
      <c r="B58" s="37" t="s">
        <v>1210</v>
      </c>
      <c r="C58" s="37" t="s">
        <v>1211</v>
      </c>
      <c r="D58" s="224">
        <v>43603</v>
      </c>
      <c r="E58" s="37" t="s">
        <v>1208</v>
      </c>
      <c r="F58" s="212">
        <v>0.33333333333333298</v>
      </c>
      <c r="G58" s="212">
        <v>0.35416666666666702</v>
      </c>
      <c r="H58" s="212">
        <v>0.36458333333333298</v>
      </c>
      <c r="I58" s="206">
        <v>0</v>
      </c>
      <c r="J58" s="37" t="s">
        <v>1207</v>
      </c>
      <c r="K58" s="165" t="s">
        <v>140</v>
      </c>
      <c r="L58" s="154"/>
    </row>
    <row r="59" spans="1:12" s="13" customFormat="1" ht="43.5" x14ac:dyDescent="0.35">
      <c r="A59" s="202">
        <v>43600</v>
      </c>
      <c r="B59" s="37" t="s">
        <v>1210</v>
      </c>
      <c r="C59" s="37" t="s">
        <v>1209</v>
      </c>
      <c r="D59" s="224">
        <v>43603</v>
      </c>
      <c r="E59" s="37" t="s">
        <v>1208</v>
      </c>
      <c r="F59" s="212">
        <v>0.38888888888888901</v>
      </c>
      <c r="G59" s="212">
        <v>0.40972222222222199</v>
      </c>
      <c r="H59" s="212">
        <v>0.41666666666666702</v>
      </c>
      <c r="I59" s="206">
        <v>0</v>
      </c>
      <c r="J59" s="37" t="s">
        <v>1207</v>
      </c>
      <c r="K59" s="165" t="s">
        <v>140</v>
      </c>
      <c r="L59" s="154"/>
    </row>
    <row r="60" spans="1:12" s="13" customFormat="1" ht="116" x14ac:dyDescent="0.35">
      <c r="A60" s="155">
        <v>43600</v>
      </c>
      <c r="B60" s="185" t="s">
        <v>948</v>
      </c>
      <c r="C60" s="185" t="s">
        <v>1206</v>
      </c>
      <c r="D60" s="186">
        <v>43603</v>
      </c>
      <c r="E60" s="185" t="s">
        <v>946</v>
      </c>
      <c r="F60" s="184">
        <v>0.5</v>
      </c>
      <c r="G60" s="184">
        <v>0.57291666666666696</v>
      </c>
      <c r="H60" s="184">
        <v>0.57291666666666696</v>
      </c>
      <c r="I60" s="144">
        <v>225</v>
      </c>
      <c r="J60" s="223" t="s">
        <v>1205</v>
      </c>
      <c r="K60" s="65" t="s">
        <v>140</v>
      </c>
      <c r="L60" s="154"/>
    </row>
    <row r="61" spans="1:12" s="13" customFormat="1" ht="145" x14ac:dyDescent="0.35">
      <c r="A61" s="204">
        <v>43600</v>
      </c>
      <c r="B61" s="185" t="s">
        <v>1204</v>
      </c>
      <c r="C61" s="185" t="s">
        <v>1203</v>
      </c>
      <c r="D61" s="186">
        <v>43603</v>
      </c>
      <c r="E61" s="185" t="s">
        <v>836</v>
      </c>
      <c r="F61" s="184">
        <v>0.72916666666666696</v>
      </c>
      <c r="G61" s="184">
        <v>0.85416666666666696</v>
      </c>
      <c r="H61" s="184">
        <v>0.89583333333333304</v>
      </c>
      <c r="I61" s="65">
        <v>480</v>
      </c>
      <c r="J61" s="17" t="s">
        <v>257</v>
      </c>
      <c r="K61" s="65" t="s">
        <v>17</v>
      </c>
      <c r="L61" s="154"/>
    </row>
    <row r="62" spans="1:12" s="13" customFormat="1" ht="58" x14ac:dyDescent="0.35">
      <c r="A62" s="204">
        <v>43601</v>
      </c>
      <c r="B62" s="185" t="s">
        <v>1202</v>
      </c>
      <c r="C62" s="185" t="s">
        <v>1201</v>
      </c>
      <c r="D62" s="186">
        <v>43603</v>
      </c>
      <c r="E62" s="185" t="s">
        <v>836</v>
      </c>
      <c r="F62" s="184">
        <v>0.72916666666666696</v>
      </c>
      <c r="G62" s="184">
        <v>0.75</v>
      </c>
      <c r="H62" s="184">
        <v>0.79166666666666696</v>
      </c>
      <c r="I62" s="144">
        <v>390</v>
      </c>
      <c r="J62" s="222" t="s">
        <v>1200</v>
      </c>
      <c r="K62" s="65" t="s">
        <v>17</v>
      </c>
      <c r="L62" s="154"/>
    </row>
    <row r="63" spans="1:12" s="13" customFormat="1" ht="72.5" x14ac:dyDescent="0.35">
      <c r="A63" s="216">
        <v>43602</v>
      </c>
      <c r="B63" s="182" t="s">
        <v>1199</v>
      </c>
      <c r="C63" s="182" t="s">
        <v>1198</v>
      </c>
      <c r="D63" s="183">
        <v>43603</v>
      </c>
      <c r="E63" s="182" t="s">
        <v>1197</v>
      </c>
      <c r="F63" s="181">
        <v>0.5</v>
      </c>
      <c r="G63" s="181">
        <v>0.52083333333333304</v>
      </c>
      <c r="H63" s="181">
        <v>0.60416666666666696</v>
      </c>
      <c r="I63" s="180">
        <v>163.19999999999999</v>
      </c>
      <c r="J63" s="37" t="s">
        <v>1196</v>
      </c>
      <c r="K63" s="165" t="s">
        <v>140</v>
      </c>
      <c r="L63" s="154"/>
    </row>
    <row r="64" spans="1:12" s="13" customFormat="1" ht="43.5" x14ac:dyDescent="0.35">
      <c r="A64" s="216">
        <v>43602</v>
      </c>
      <c r="B64" s="182" t="s">
        <v>1195</v>
      </c>
      <c r="C64" s="182" t="s">
        <v>1194</v>
      </c>
      <c r="D64" s="183">
        <v>43603</v>
      </c>
      <c r="E64" s="182" t="s">
        <v>1193</v>
      </c>
      <c r="F64" s="181">
        <v>0.5</v>
      </c>
      <c r="G64" s="181">
        <v>0.54166666666666696</v>
      </c>
      <c r="H64" s="181">
        <v>0.58333333333333304</v>
      </c>
      <c r="I64" s="180">
        <v>192</v>
      </c>
      <c r="J64" s="37" t="s">
        <v>257</v>
      </c>
      <c r="K64" s="165" t="s">
        <v>140</v>
      </c>
      <c r="L64" s="154"/>
    </row>
    <row r="65" spans="1:13" s="13" customFormat="1" ht="304.5" x14ac:dyDescent="0.35">
      <c r="A65" s="204">
        <v>43592</v>
      </c>
      <c r="B65" s="185" t="s">
        <v>1192</v>
      </c>
      <c r="C65" s="185" t="s">
        <v>1191</v>
      </c>
      <c r="D65" s="186">
        <v>43604</v>
      </c>
      <c r="E65" s="185" t="s">
        <v>1190</v>
      </c>
      <c r="F65" s="184">
        <v>0.45833333333333298</v>
      </c>
      <c r="G65" s="184">
        <v>0.52083333333333304</v>
      </c>
      <c r="H65" s="184">
        <v>0.54166666666666696</v>
      </c>
      <c r="I65" s="144">
        <v>950</v>
      </c>
      <c r="J65" s="17" t="s">
        <v>1189</v>
      </c>
      <c r="K65" s="65" t="s">
        <v>136</v>
      </c>
      <c r="L65" s="154"/>
      <c r="M65" s="120"/>
    </row>
    <row r="66" spans="1:13" s="13" customFormat="1" ht="159.5" x14ac:dyDescent="0.35">
      <c r="A66" s="155">
        <v>43593</v>
      </c>
      <c r="B66" s="17" t="s">
        <v>1096</v>
      </c>
      <c r="C66" s="17" t="s">
        <v>1188</v>
      </c>
      <c r="D66" s="125">
        <v>43604</v>
      </c>
      <c r="E66" s="17" t="s">
        <v>48</v>
      </c>
      <c r="F66" s="17" t="s">
        <v>15</v>
      </c>
      <c r="G66" s="26">
        <v>0.6875</v>
      </c>
      <c r="H66" s="26">
        <v>0.70833333333333304</v>
      </c>
      <c r="I66" s="221">
        <v>1332.7</v>
      </c>
      <c r="J66" s="42" t="s">
        <v>1187</v>
      </c>
      <c r="K66" s="65" t="s">
        <v>15</v>
      </c>
      <c r="L66" s="154"/>
      <c r="M66" s="120"/>
    </row>
    <row r="67" spans="1:13" s="13" customFormat="1" ht="87" x14ac:dyDescent="0.35">
      <c r="A67" s="204">
        <v>43599</v>
      </c>
      <c r="B67" s="185" t="s">
        <v>1186</v>
      </c>
      <c r="C67" s="185" t="s">
        <v>1185</v>
      </c>
      <c r="D67" s="186">
        <v>43604</v>
      </c>
      <c r="E67" s="185" t="s">
        <v>1184</v>
      </c>
      <c r="F67" s="184">
        <v>0.45833333333333298</v>
      </c>
      <c r="G67" s="184">
        <v>0.57291666666666696</v>
      </c>
      <c r="H67" s="184">
        <v>0.58333333333333304</v>
      </c>
      <c r="I67" s="144">
        <v>216</v>
      </c>
      <c r="J67" s="17" t="s">
        <v>1183</v>
      </c>
      <c r="K67" s="65" t="s">
        <v>136</v>
      </c>
      <c r="L67" s="154"/>
      <c r="M67" s="120"/>
    </row>
    <row r="68" spans="1:13" s="13" customFormat="1" ht="58" x14ac:dyDescent="0.35">
      <c r="A68" s="204">
        <v>43600</v>
      </c>
      <c r="B68" s="185" t="s">
        <v>1182</v>
      </c>
      <c r="C68" s="185" t="s">
        <v>1181</v>
      </c>
      <c r="D68" s="186">
        <v>43604</v>
      </c>
      <c r="E68" s="185" t="s">
        <v>1180</v>
      </c>
      <c r="F68" s="184">
        <v>0.45833333333333298</v>
      </c>
      <c r="G68" s="184">
        <v>0.65972222222222199</v>
      </c>
      <c r="H68" s="184">
        <v>0.67708333333333304</v>
      </c>
      <c r="I68" s="144">
        <v>455</v>
      </c>
      <c r="J68" s="17" t="s">
        <v>257</v>
      </c>
      <c r="K68" s="65" t="s">
        <v>136</v>
      </c>
      <c r="L68" s="154"/>
      <c r="M68" s="120"/>
    </row>
    <row r="69" spans="1:13" s="13" customFormat="1" ht="130.5" x14ac:dyDescent="0.35">
      <c r="A69" s="204">
        <v>43601</v>
      </c>
      <c r="B69" s="182" t="s">
        <v>1179</v>
      </c>
      <c r="C69" s="185" t="s">
        <v>1178</v>
      </c>
      <c r="D69" s="186">
        <v>43604</v>
      </c>
      <c r="E69" s="185" t="s">
        <v>1177</v>
      </c>
      <c r="F69" s="184">
        <v>0.45833333333333298</v>
      </c>
      <c r="G69" s="184">
        <v>0.45833333333333298</v>
      </c>
      <c r="H69" s="184">
        <v>0.47916666666666702</v>
      </c>
      <c r="I69" s="144">
        <v>604</v>
      </c>
      <c r="J69" s="17" t="s">
        <v>1176</v>
      </c>
      <c r="K69" s="65" t="s">
        <v>15</v>
      </c>
      <c r="L69" s="154"/>
      <c r="M69" s="120"/>
    </row>
    <row r="70" spans="1:13" s="13" customFormat="1" ht="29" x14ac:dyDescent="0.35">
      <c r="A70" s="155">
        <v>43601</v>
      </c>
      <c r="B70" s="17" t="s">
        <v>651</v>
      </c>
      <c r="C70" s="17" t="s">
        <v>1175</v>
      </c>
      <c r="D70" s="125">
        <v>43604</v>
      </c>
      <c r="E70" s="17" t="s">
        <v>1174</v>
      </c>
      <c r="F70" s="26">
        <v>0.45833333333333298</v>
      </c>
      <c r="G70" s="26">
        <v>0.57291666666666696</v>
      </c>
      <c r="H70" s="26">
        <v>0.60416666666666696</v>
      </c>
      <c r="I70" s="144">
        <v>163.19999999999999</v>
      </c>
      <c r="J70" s="17" t="s">
        <v>1173</v>
      </c>
      <c r="K70" s="65" t="s">
        <v>49</v>
      </c>
      <c r="L70" s="154"/>
      <c r="M70" s="120"/>
    </row>
    <row r="71" spans="1:13" s="13" customFormat="1" ht="101.5" x14ac:dyDescent="0.35">
      <c r="A71" s="204">
        <v>43602</v>
      </c>
      <c r="B71" s="185" t="s">
        <v>1172</v>
      </c>
      <c r="C71" s="185" t="s">
        <v>1171</v>
      </c>
      <c r="D71" s="186">
        <v>43604</v>
      </c>
      <c r="E71" s="185" t="s">
        <v>836</v>
      </c>
      <c r="F71" s="185" t="s">
        <v>455</v>
      </c>
      <c r="G71" s="184">
        <v>0.72916666666666696</v>
      </c>
      <c r="H71" s="184">
        <v>0.79166666666666696</v>
      </c>
      <c r="I71" s="144">
        <v>250</v>
      </c>
      <c r="J71" s="42" t="s">
        <v>1170</v>
      </c>
      <c r="K71" s="65" t="s">
        <v>15</v>
      </c>
      <c r="L71" s="154"/>
      <c r="M71" s="120"/>
    </row>
    <row r="72" spans="1:13" s="13" customFormat="1" ht="32.15" customHeight="1" x14ac:dyDescent="0.35">
      <c r="A72" s="155">
        <v>43604</v>
      </c>
      <c r="B72" s="17" t="s">
        <v>1167</v>
      </c>
      <c r="C72" s="17" t="s">
        <v>1169</v>
      </c>
      <c r="D72" s="125">
        <v>43606</v>
      </c>
      <c r="E72" s="17" t="s">
        <v>1168</v>
      </c>
      <c r="F72" s="17" t="s">
        <v>455</v>
      </c>
      <c r="G72" s="26">
        <v>0.41666666666666702</v>
      </c>
      <c r="H72" s="26">
        <v>0.5</v>
      </c>
      <c r="I72" s="144">
        <v>298</v>
      </c>
      <c r="J72" s="17" t="s">
        <v>921</v>
      </c>
      <c r="K72" s="65" t="s">
        <v>15</v>
      </c>
      <c r="L72" s="154"/>
      <c r="M72" s="120"/>
    </row>
    <row r="73" spans="1:13" s="13" customFormat="1" ht="32.9" customHeight="1" x14ac:dyDescent="0.35">
      <c r="A73" s="155">
        <v>43604</v>
      </c>
      <c r="B73" s="17" t="s">
        <v>1167</v>
      </c>
      <c r="C73" s="17" t="s">
        <v>1166</v>
      </c>
      <c r="D73" s="125">
        <v>43606</v>
      </c>
      <c r="E73" s="17" t="s">
        <v>1165</v>
      </c>
      <c r="F73" s="17" t="s">
        <v>455</v>
      </c>
      <c r="G73" s="26">
        <v>0.70833333333333304</v>
      </c>
      <c r="H73" s="26">
        <v>0.83333333333333304</v>
      </c>
      <c r="I73" s="144">
        <v>120</v>
      </c>
      <c r="J73" s="17" t="s">
        <v>921</v>
      </c>
      <c r="K73" s="65" t="s">
        <v>15</v>
      </c>
      <c r="L73" s="154"/>
      <c r="M73" s="120"/>
    </row>
    <row r="74" spans="1:13" s="13" customFormat="1" ht="174" x14ac:dyDescent="0.35">
      <c r="A74" s="155">
        <v>43605</v>
      </c>
      <c r="B74" s="17" t="s">
        <v>1164</v>
      </c>
      <c r="C74" s="17" t="s">
        <v>1163</v>
      </c>
      <c r="D74" s="125">
        <v>43606</v>
      </c>
      <c r="E74" s="37" t="s">
        <v>1162</v>
      </c>
      <c r="F74" s="212" t="s">
        <v>15</v>
      </c>
      <c r="G74" s="212">
        <v>0.54166666666666696</v>
      </c>
      <c r="H74" s="212">
        <v>0.625</v>
      </c>
      <c r="I74" s="193">
        <v>0</v>
      </c>
      <c r="J74" s="37" t="s">
        <v>16</v>
      </c>
      <c r="K74" s="37" t="s">
        <v>15</v>
      </c>
      <c r="L74" s="154" t="s">
        <v>17</v>
      </c>
      <c r="M74" s="120"/>
    </row>
    <row r="75" spans="1:13" s="13" customFormat="1" ht="145" x14ac:dyDescent="0.35">
      <c r="A75" s="155">
        <v>43600</v>
      </c>
      <c r="B75" s="185" t="s">
        <v>1161</v>
      </c>
      <c r="C75" s="185" t="s">
        <v>1160</v>
      </c>
      <c r="D75" s="186">
        <v>43607</v>
      </c>
      <c r="E75" s="185" t="s">
        <v>1159</v>
      </c>
      <c r="F75" s="185"/>
      <c r="G75" s="184">
        <v>0.41666666666666702</v>
      </c>
      <c r="H75" s="184">
        <v>0.4375</v>
      </c>
      <c r="I75" s="144">
        <f>(3*130)*0.85</f>
        <v>331.5</v>
      </c>
      <c r="J75" s="42" t="s">
        <v>1158</v>
      </c>
      <c r="K75" s="65" t="s">
        <v>15</v>
      </c>
      <c r="L75" s="154"/>
      <c r="M75" s="120"/>
    </row>
    <row r="76" spans="1:13" s="13" customFormat="1" ht="43.5" x14ac:dyDescent="0.35">
      <c r="A76" s="202">
        <v>43602</v>
      </c>
      <c r="B76" s="37" t="s">
        <v>1157</v>
      </c>
      <c r="C76" s="37" t="s">
        <v>1139</v>
      </c>
      <c r="D76" s="170">
        <v>43607</v>
      </c>
      <c r="E76" s="37" t="s">
        <v>1138</v>
      </c>
      <c r="F76" s="212" t="s">
        <v>15</v>
      </c>
      <c r="G76" s="212">
        <v>0.5</v>
      </c>
      <c r="H76" s="212">
        <v>0.54166666666666696</v>
      </c>
      <c r="I76" s="193">
        <v>0</v>
      </c>
      <c r="J76" s="37" t="s">
        <v>16</v>
      </c>
      <c r="K76" s="37" t="s">
        <v>15</v>
      </c>
      <c r="L76" s="154"/>
      <c r="M76" s="120"/>
    </row>
    <row r="77" spans="1:13" s="13" customFormat="1" x14ac:dyDescent="0.35">
      <c r="A77" s="155">
        <v>43606</v>
      </c>
      <c r="B77" s="17" t="s">
        <v>1156</v>
      </c>
      <c r="C77" s="17" t="s">
        <v>1155</v>
      </c>
      <c r="D77" s="125">
        <v>43607</v>
      </c>
      <c r="E77" s="17" t="s">
        <v>1154</v>
      </c>
      <c r="F77" s="17" t="s">
        <v>455</v>
      </c>
      <c r="G77" s="26">
        <v>0.41666666666666702</v>
      </c>
      <c r="H77" s="26">
        <v>0.41666666666666702</v>
      </c>
      <c r="I77" s="65">
        <v>0</v>
      </c>
      <c r="J77" s="17" t="s">
        <v>455</v>
      </c>
      <c r="K77" s="65" t="s">
        <v>15</v>
      </c>
      <c r="L77" s="154" t="s">
        <v>22</v>
      </c>
      <c r="M77" s="120"/>
    </row>
    <row r="78" spans="1:13" s="13" customFormat="1" ht="130.5" x14ac:dyDescent="0.35">
      <c r="A78" s="155">
        <v>43600</v>
      </c>
      <c r="B78" s="17" t="s">
        <v>1153</v>
      </c>
      <c r="C78" s="17" t="s">
        <v>1152</v>
      </c>
      <c r="D78" s="125">
        <v>43608</v>
      </c>
      <c r="E78" s="17" t="s">
        <v>1151</v>
      </c>
      <c r="F78" s="17" t="s">
        <v>15</v>
      </c>
      <c r="G78" s="26">
        <v>0.45833333333333298</v>
      </c>
      <c r="H78" s="26">
        <v>0.5</v>
      </c>
      <c r="I78" s="144">
        <v>245</v>
      </c>
      <c r="J78" s="42" t="s">
        <v>1150</v>
      </c>
      <c r="K78" s="65" t="s">
        <v>15</v>
      </c>
      <c r="L78" s="154"/>
      <c r="M78" s="120"/>
    </row>
    <row r="79" spans="1:13" s="13" customFormat="1" ht="174" x14ac:dyDescent="0.35">
      <c r="A79" s="204">
        <v>43605</v>
      </c>
      <c r="B79" s="185" t="s">
        <v>1149</v>
      </c>
      <c r="C79" s="185" t="s">
        <v>1148</v>
      </c>
      <c r="D79" s="211">
        <v>43608</v>
      </c>
      <c r="E79" s="185" t="s">
        <v>1147</v>
      </c>
      <c r="F79" s="185" t="s">
        <v>15</v>
      </c>
      <c r="G79" s="184">
        <v>0.39583333333333298</v>
      </c>
      <c r="H79" s="184">
        <v>0.41666666666666702</v>
      </c>
      <c r="I79" s="144">
        <v>720</v>
      </c>
      <c r="J79" s="42" t="s">
        <v>1146</v>
      </c>
      <c r="K79" s="65" t="s">
        <v>15</v>
      </c>
      <c r="L79" s="154" t="s">
        <v>17</v>
      </c>
      <c r="M79" s="120"/>
    </row>
    <row r="80" spans="1:13" s="13" customFormat="1" ht="43.5" x14ac:dyDescent="0.35">
      <c r="A80" s="155">
        <v>43605</v>
      </c>
      <c r="B80" s="185" t="s">
        <v>1145</v>
      </c>
      <c r="C80" s="185" t="s">
        <v>1144</v>
      </c>
      <c r="D80" s="186">
        <v>43608</v>
      </c>
      <c r="E80" s="185" t="s">
        <v>1143</v>
      </c>
      <c r="F80" s="185" t="s">
        <v>15</v>
      </c>
      <c r="G80" s="184">
        <v>0.41666666666666702</v>
      </c>
      <c r="H80" s="184">
        <v>0.41666666666666702</v>
      </c>
      <c r="I80" s="144">
        <v>212.5</v>
      </c>
      <c r="J80" s="17" t="s">
        <v>1142</v>
      </c>
      <c r="K80" s="65" t="s">
        <v>15</v>
      </c>
      <c r="L80" s="154"/>
      <c r="M80" s="120" t="s">
        <v>1141</v>
      </c>
    </row>
    <row r="81" spans="1:12" s="13" customFormat="1" ht="43.5" x14ac:dyDescent="0.35">
      <c r="A81" s="220">
        <v>43605</v>
      </c>
      <c r="B81" s="37" t="s">
        <v>1140</v>
      </c>
      <c r="C81" s="37" t="s">
        <v>1139</v>
      </c>
      <c r="D81" s="170">
        <v>43608</v>
      </c>
      <c r="E81" s="37" t="s">
        <v>1138</v>
      </c>
      <c r="F81" s="212" t="s">
        <v>15</v>
      </c>
      <c r="G81" s="212">
        <v>0.45833333333333298</v>
      </c>
      <c r="H81" s="212">
        <v>0.5</v>
      </c>
      <c r="I81" s="193">
        <v>0</v>
      </c>
      <c r="J81" s="37" t="s">
        <v>16</v>
      </c>
      <c r="K81" s="37" t="s">
        <v>15</v>
      </c>
      <c r="L81" s="154" t="s">
        <v>17</v>
      </c>
    </row>
    <row r="82" spans="1:12" s="13" customFormat="1" ht="130.5" x14ac:dyDescent="0.35">
      <c r="A82" s="204">
        <v>43605</v>
      </c>
      <c r="B82" s="185" t="s">
        <v>1026</v>
      </c>
      <c r="C82" s="185" t="s">
        <v>1137</v>
      </c>
      <c r="D82" s="186">
        <v>43608</v>
      </c>
      <c r="E82" s="185" t="s">
        <v>73</v>
      </c>
      <c r="F82" s="185" t="s">
        <v>15</v>
      </c>
      <c r="G82" s="184">
        <v>0.58333333333333304</v>
      </c>
      <c r="H82" s="184">
        <v>0.625</v>
      </c>
      <c r="I82" s="156">
        <v>1335</v>
      </c>
      <c r="J82" s="42" t="s">
        <v>1136</v>
      </c>
      <c r="K82" s="65" t="s">
        <v>15</v>
      </c>
      <c r="L82" s="154" t="s">
        <v>17</v>
      </c>
    </row>
    <row r="83" spans="1:12" s="13" customFormat="1" ht="29" x14ac:dyDescent="0.35">
      <c r="A83" s="155">
        <v>43606</v>
      </c>
      <c r="B83" s="62" t="s">
        <v>767</v>
      </c>
      <c r="C83" s="17" t="s">
        <v>1135</v>
      </c>
      <c r="D83" s="125">
        <v>43608</v>
      </c>
      <c r="E83" s="17" t="s">
        <v>1134</v>
      </c>
      <c r="F83" s="62" t="s">
        <v>331</v>
      </c>
      <c r="G83" s="76">
        <v>0.4375</v>
      </c>
      <c r="H83" s="76">
        <v>0.4375</v>
      </c>
      <c r="I83" s="65">
        <v>0</v>
      </c>
      <c r="J83" s="17" t="s">
        <v>16</v>
      </c>
      <c r="K83" s="65" t="s">
        <v>15</v>
      </c>
      <c r="L83" s="154"/>
    </row>
    <row r="84" spans="1:12" s="13" customFormat="1" ht="43.5" x14ac:dyDescent="0.35">
      <c r="A84" s="155">
        <v>43606</v>
      </c>
      <c r="B84" s="17" t="s">
        <v>1133</v>
      </c>
      <c r="C84" s="17" t="s">
        <v>1132</v>
      </c>
      <c r="D84" s="170">
        <v>43608</v>
      </c>
      <c r="E84" s="17" t="s">
        <v>1043</v>
      </c>
      <c r="F84" s="17" t="s">
        <v>15</v>
      </c>
      <c r="G84" s="26">
        <v>0.66666666666666696</v>
      </c>
      <c r="H84" s="26">
        <v>0.75</v>
      </c>
      <c r="I84" s="144">
        <v>320</v>
      </c>
      <c r="J84" s="42" t="s">
        <v>1131</v>
      </c>
      <c r="K84" s="65" t="s">
        <v>15</v>
      </c>
      <c r="L84" s="154" t="s">
        <v>1031</v>
      </c>
    </row>
    <row r="85" spans="1:12" s="13" customFormat="1" ht="29" x14ac:dyDescent="0.35">
      <c r="A85" s="155">
        <v>43607</v>
      </c>
      <c r="B85" s="17" t="s">
        <v>1130</v>
      </c>
      <c r="C85" s="17" t="s">
        <v>1129</v>
      </c>
      <c r="D85" s="125">
        <v>43608</v>
      </c>
      <c r="E85" s="17" t="s">
        <v>1128</v>
      </c>
      <c r="F85" s="26">
        <v>0.79166666666666696</v>
      </c>
      <c r="G85" s="26">
        <v>0.79166666666666696</v>
      </c>
      <c r="H85" s="26">
        <v>0.79166666666666696</v>
      </c>
      <c r="I85" s="65">
        <v>0</v>
      </c>
      <c r="J85" s="17" t="s">
        <v>1127</v>
      </c>
      <c r="K85" s="65" t="s">
        <v>15</v>
      </c>
      <c r="L85" s="154"/>
    </row>
    <row r="86" spans="1:12" s="13" customFormat="1" ht="29" x14ac:dyDescent="0.35">
      <c r="A86" s="220">
        <v>43607</v>
      </c>
      <c r="B86" s="37" t="s">
        <v>1126</v>
      </c>
      <c r="C86" s="37" t="s">
        <v>1125</v>
      </c>
      <c r="D86" s="170">
        <v>43608</v>
      </c>
      <c r="E86" s="37" t="s">
        <v>1124</v>
      </c>
      <c r="F86" s="212" t="s">
        <v>455</v>
      </c>
      <c r="G86" s="212">
        <v>0.54166666666666696</v>
      </c>
      <c r="H86" s="212">
        <v>0.58333333333333304</v>
      </c>
      <c r="I86" s="172">
        <v>199</v>
      </c>
      <c r="J86" s="171" t="s">
        <v>1123</v>
      </c>
      <c r="K86" s="37"/>
      <c r="L86" s="154" t="s">
        <v>216</v>
      </c>
    </row>
    <row r="87" spans="1:12" s="13" customFormat="1" x14ac:dyDescent="0.35">
      <c r="A87" s="220">
        <v>43608</v>
      </c>
      <c r="B87" s="37" t="s">
        <v>1122</v>
      </c>
      <c r="C87" s="37" t="s">
        <v>1121</v>
      </c>
      <c r="D87" s="170">
        <v>43608</v>
      </c>
      <c r="E87" s="37" t="s">
        <v>1120</v>
      </c>
      <c r="F87" s="212"/>
      <c r="G87" s="212">
        <v>0.54166666666666696</v>
      </c>
      <c r="H87" s="212">
        <v>0.58333333333333304</v>
      </c>
      <c r="I87" s="166">
        <v>160</v>
      </c>
      <c r="J87" s="37" t="s">
        <v>1119</v>
      </c>
      <c r="K87" s="37"/>
      <c r="L87" s="154" t="s">
        <v>216</v>
      </c>
    </row>
    <row r="88" spans="1:12" s="13" customFormat="1" ht="145" x14ac:dyDescent="0.35">
      <c r="A88" s="155">
        <v>43587</v>
      </c>
      <c r="B88" s="17" t="s">
        <v>1118</v>
      </c>
      <c r="C88" s="17" t="s">
        <v>1117</v>
      </c>
      <c r="D88" s="18">
        <v>43609</v>
      </c>
      <c r="E88" s="109" t="s">
        <v>1116</v>
      </c>
      <c r="F88" s="177">
        <v>0.47916666666666702</v>
      </c>
      <c r="G88" s="177">
        <v>0.5</v>
      </c>
      <c r="H88" s="26">
        <v>0.51041666666666696</v>
      </c>
      <c r="I88" s="213">
        <v>1519</v>
      </c>
      <c r="J88" s="42" t="s">
        <v>1115</v>
      </c>
      <c r="K88" s="65" t="s">
        <v>140</v>
      </c>
      <c r="L88" s="154"/>
    </row>
    <row r="89" spans="1:12" s="13" customFormat="1" ht="58" x14ac:dyDescent="0.35">
      <c r="A89" s="204">
        <v>43602</v>
      </c>
      <c r="B89" s="185" t="s">
        <v>1114</v>
      </c>
      <c r="C89" s="185" t="s">
        <v>1113</v>
      </c>
      <c r="D89" s="215">
        <v>43609</v>
      </c>
      <c r="E89" s="214" t="s">
        <v>836</v>
      </c>
      <c r="F89" s="219">
        <v>0.73958333333333304</v>
      </c>
      <c r="G89" s="219">
        <v>0.75</v>
      </c>
      <c r="H89" s="184">
        <v>0.76041666666666696</v>
      </c>
      <c r="I89" s="213">
        <v>350</v>
      </c>
      <c r="J89" s="42" t="s">
        <v>257</v>
      </c>
      <c r="K89" s="17" t="s">
        <v>1112</v>
      </c>
      <c r="L89" s="154"/>
    </row>
    <row r="90" spans="1:12" s="13" customFormat="1" ht="87" x14ac:dyDescent="0.35">
      <c r="A90" s="204">
        <v>43605</v>
      </c>
      <c r="B90" s="185" t="s">
        <v>1111</v>
      </c>
      <c r="C90" s="185" t="s">
        <v>1110</v>
      </c>
      <c r="D90" s="215">
        <v>43609</v>
      </c>
      <c r="E90" s="214" t="s">
        <v>290</v>
      </c>
      <c r="F90" s="219">
        <v>0.47916666666666702</v>
      </c>
      <c r="G90" s="219">
        <v>0.57291666666666696</v>
      </c>
      <c r="H90" s="184">
        <v>0.58333333333333304</v>
      </c>
      <c r="I90" s="213">
        <v>300</v>
      </c>
      <c r="J90" s="42" t="s">
        <v>1109</v>
      </c>
      <c r="K90" s="65" t="s">
        <v>140</v>
      </c>
      <c r="L90" s="154"/>
    </row>
    <row r="91" spans="1:12" s="13" customFormat="1" ht="87" x14ac:dyDescent="0.35">
      <c r="A91" s="204">
        <v>43605</v>
      </c>
      <c r="B91" s="185" t="s">
        <v>1108</v>
      </c>
      <c r="C91" s="185" t="s">
        <v>1107</v>
      </c>
      <c r="D91" s="186">
        <v>43609</v>
      </c>
      <c r="E91" s="185" t="s">
        <v>73</v>
      </c>
      <c r="F91" s="184">
        <v>0.47916666666666702</v>
      </c>
      <c r="G91" s="184">
        <v>0.60416666666666696</v>
      </c>
      <c r="H91" s="184">
        <v>0.625</v>
      </c>
      <c r="I91" s="156">
        <v>1225</v>
      </c>
      <c r="J91" s="42" t="s">
        <v>1106</v>
      </c>
      <c r="K91" s="65" t="s">
        <v>140</v>
      </c>
      <c r="L91" s="154" t="s">
        <v>330</v>
      </c>
    </row>
    <row r="92" spans="1:12" s="13" customFormat="1" ht="87" x14ac:dyDescent="0.35">
      <c r="A92" s="155">
        <v>43606</v>
      </c>
      <c r="B92" s="17" t="s">
        <v>216</v>
      </c>
      <c r="C92" s="17" t="s">
        <v>1105</v>
      </c>
      <c r="D92" s="125">
        <v>43609</v>
      </c>
      <c r="E92" s="17" t="s">
        <v>126</v>
      </c>
      <c r="F92" s="26">
        <v>0.6875</v>
      </c>
      <c r="G92" s="26">
        <v>0.66666666666666696</v>
      </c>
      <c r="H92" s="26">
        <v>0.70833333333333304</v>
      </c>
      <c r="I92" s="144">
        <v>150</v>
      </c>
      <c r="J92" s="42" t="s">
        <v>1104</v>
      </c>
      <c r="K92" s="17" t="s">
        <v>136</v>
      </c>
      <c r="L92" s="154" t="s">
        <v>216</v>
      </c>
    </row>
    <row r="93" spans="1:12" s="13" customFormat="1" ht="116" x14ac:dyDescent="0.35">
      <c r="A93" s="204">
        <v>43608</v>
      </c>
      <c r="B93" s="185" t="s">
        <v>1055</v>
      </c>
      <c r="C93" s="185" t="s">
        <v>1103</v>
      </c>
      <c r="D93" s="186">
        <v>43609</v>
      </c>
      <c r="E93" s="185" t="s">
        <v>1102</v>
      </c>
      <c r="F93" s="185" t="s">
        <v>15</v>
      </c>
      <c r="G93" s="184">
        <v>0.95833333333333304</v>
      </c>
      <c r="H93" s="184">
        <v>0</v>
      </c>
      <c r="I93" s="144">
        <v>720</v>
      </c>
      <c r="J93" s="42" t="s">
        <v>1101</v>
      </c>
      <c r="K93" s="65" t="s">
        <v>15</v>
      </c>
      <c r="L93" s="154" t="s">
        <v>22</v>
      </c>
    </row>
    <row r="94" spans="1:12" s="13" customFormat="1" ht="58" x14ac:dyDescent="0.35">
      <c r="A94" s="204">
        <v>43587</v>
      </c>
      <c r="B94" s="185" t="s">
        <v>1100</v>
      </c>
      <c r="C94" s="182" t="s">
        <v>1099</v>
      </c>
      <c r="D94" s="211">
        <v>43610</v>
      </c>
      <c r="E94" s="182" t="s">
        <v>1098</v>
      </c>
      <c r="F94" s="181">
        <v>0.625</v>
      </c>
      <c r="G94" s="181">
        <v>0.6875</v>
      </c>
      <c r="H94" s="181">
        <v>0.70833333333333304</v>
      </c>
      <c r="I94" s="218">
        <v>1200</v>
      </c>
      <c r="J94" s="42" t="s">
        <v>1097</v>
      </c>
      <c r="K94" s="65" t="s">
        <v>140</v>
      </c>
      <c r="L94" s="154"/>
    </row>
    <row r="95" spans="1:12" s="13" customFormat="1" ht="188.5" x14ac:dyDescent="0.35">
      <c r="A95" s="155">
        <v>43593</v>
      </c>
      <c r="B95" s="17" t="s">
        <v>1096</v>
      </c>
      <c r="C95" s="17" t="s">
        <v>1095</v>
      </c>
      <c r="D95" s="125">
        <v>43610</v>
      </c>
      <c r="E95" s="17" t="s">
        <v>48</v>
      </c>
      <c r="F95" s="26">
        <v>0.625</v>
      </c>
      <c r="G95" s="26">
        <v>0.72916666666666696</v>
      </c>
      <c r="H95" s="26">
        <v>0.75</v>
      </c>
      <c r="I95" s="144">
        <v>999.6</v>
      </c>
      <c r="J95" s="42" t="s">
        <v>1094</v>
      </c>
      <c r="K95" s="65" t="s">
        <v>15</v>
      </c>
      <c r="L95" s="154"/>
    </row>
    <row r="96" spans="1:12" s="13" customFormat="1" ht="319" x14ac:dyDescent="0.35">
      <c r="A96" s="217">
        <v>43605</v>
      </c>
      <c r="B96" s="185" t="s">
        <v>1093</v>
      </c>
      <c r="C96" s="185" t="s">
        <v>1092</v>
      </c>
      <c r="D96" s="186">
        <v>43610</v>
      </c>
      <c r="E96" s="185" t="s">
        <v>1091</v>
      </c>
      <c r="F96" s="184">
        <v>0.625</v>
      </c>
      <c r="G96" s="184">
        <v>0.65972222222222199</v>
      </c>
      <c r="H96" s="184">
        <v>0.6875</v>
      </c>
      <c r="I96" s="144">
        <v>1316</v>
      </c>
      <c r="J96" s="42" t="s">
        <v>1090</v>
      </c>
      <c r="K96" s="65" t="s">
        <v>15</v>
      </c>
      <c r="L96" s="154" t="s">
        <v>17</v>
      </c>
    </row>
    <row r="97" spans="1:12" s="13" customFormat="1" ht="72.5" x14ac:dyDescent="0.35">
      <c r="A97" s="204">
        <v>43606</v>
      </c>
      <c r="B97" s="185" t="s">
        <v>1089</v>
      </c>
      <c r="C97" s="185" t="s">
        <v>1088</v>
      </c>
      <c r="D97" s="186">
        <v>43610</v>
      </c>
      <c r="E97" s="185" t="s">
        <v>1087</v>
      </c>
      <c r="F97" s="184">
        <v>0.375</v>
      </c>
      <c r="G97" s="184">
        <v>0.39583333333333298</v>
      </c>
      <c r="H97" s="184">
        <v>0.41666666666666702</v>
      </c>
      <c r="I97" s="144">
        <v>292.5</v>
      </c>
      <c r="J97" s="17" t="s">
        <v>1086</v>
      </c>
      <c r="K97" s="65" t="s">
        <v>140</v>
      </c>
      <c r="L97" s="154" t="s">
        <v>17</v>
      </c>
    </row>
    <row r="98" spans="1:12" s="13" customFormat="1" ht="87" x14ac:dyDescent="0.35">
      <c r="A98" s="204">
        <v>43606</v>
      </c>
      <c r="B98" s="185" t="s">
        <v>1085</v>
      </c>
      <c r="C98" s="185" t="s">
        <v>1084</v>
      </c>
      <c r="D98" s="186">
        <v>43610</v>
      </c>
      <c r="E98" s="185" t="s">
        <v>73</v>
      </c>
      <c r="F98" s="184">
        <v>0.625</v>
      </c>
      <c r="G98" s="184">
        <v>0.76041666666666696</v>
      </c>
      <c r="H98" s="184">
        <v>0.8125</v>
      </c>
      <c r="I98" s="156">
        <v>950</v>
      </c>
      <c r="J98" s="42" t="s">
        <v>1083</v>
      </c>
      <c r="K98" s="65" t="s">
        <v>15</v>
      </c>
      <c r="L98" s="154" t="s">
        <v>17</v>
      </c>
    </row>
    <row r="99" spans="1:12" s="13" customFormat="1" ht="145" x14ac:dyDescent="0.35">
      <c r="A99" s="155">
        <v>43607</v>
      </c>
      <c r="B99" s="17" t="s">
        <v>1082</v>
      </c>
      <c r="C99" s="17" t="s">
        <v>1081</v>
      </c>
      <c r="D99" s="125">
        <v>43610</v>
      </c>
      <c r="E99" s="17" t="s">
        <v>1080</v>
      </c>
      <c r="F99" s="26">
        <v>0.5</v>
      </c>
      <c r="G99" s="26">
        <v>0.54166666666666696</v>
      </c>
      <c r="H99" s="26">
        <v>0.5625</v>
      </c>
      <c r="I99" s="144">
        <v>717</v>
      </c>
      <c r="J99" s="17" t="s">
        <v>1079</v>
      </c>
      <c r="K99" s="65" t="s">
        <v>140</v>
      </c>
      <c r="L99" s="154"/>
    </row>
    <row r="100" spans="1:12" s="13" customFormat="1" ht="58" x14ac:dyDescent="0.35">
      <c r="A100" s="155">
        <v>43607</v>
      </c>
      <c r="B100" s="17" t="s">
        <v>1078</v>
      </c>
      <c r="C100" s="17" t="s">
        <v>1077</v>
      </c>
      <c r="D100" s="125">
        <v>43610</v>
      </c>
      <c r="E100" s="17" t="s">
        <v>1076</v>
      </c>
      <c r="F100" s="26">
        <v>0.54166666666666696</v>
      </c>
      <c r="G100" s="26">
        <v>0.54166666666666696</v>
      </c>
      <c r="H100" s="26">
        <v>0.54166666666666696</v>
      </c>
      <c r="I100" s="65">
        <v>0</v>
      </c>
      <c r="J100" s="17" t="s">
        <v>16</v>
      </c>
      <c r="K100" s="65" t="s">
        <v>17</v>
      </c>
      <c r="L100" s="154"/>
    </row>
    <row r="101" spans="1:12" s="13" customFormat="1" ht="217.5" x14ac:dyDescent="0.35">
      <c r="A101" s="204">
        <v>43597</v>
      </c>
      <c r="B101" s="182" t="s">
        <v>1075</v>
      </c>
      <c r="C101" s="182" t="s">
        <v>1074</v>
      </c>
      <c r="D101" s="211">
        <v>43611</v>
      </c>
      <c r="E101" s="182" t="s">
        <v>1073</v>
      </c>
      <c r="F101" s="181">
        <v>0.60416666666666696</v>
      </c>
      <c r="G101" s="181">
        <v>0.625</v>
      </c>
      <c r="H101" s="181">
        <v>0.65625</v>
      </c>
      <c r="I101" s="166">
        <v>964</v>
      </c>
      <c r="J101" s="171" t="s">
        <v>1072</v>
      </c>
      <c r="K101" s="65" t="s">
        <v>136</v>
      </c>
      <c r="L101" s="154"/>
    </row>
    <row r="102" spans="1:12" s="13" customFormat="1" ht="58" x14ac:dyDescent="0.35">
      <c r="A102" s="216">
        <v>43600</v>
      </c>
      <c r="B102" s="182" t="s">
        <v>1071</v>
      </c>
      <c r="C102" s="182" t="s">
        <v>1070</v>
      </c>
      <c r="D102" s="211">
        <v>43611</v>
      </c>
      <c r="E102" s="182" t="s">
        <v>1069</v>
      </c>
      <c r="F102" s="181">
        <v>0.82291666666666696</v>
      </c>
      <c r="G102" s="181">
        <v>0.83333333333333304</v>
      </c>
      <c r="H102" s="181">
        <v>0.875</v>
      </c>
      <c r="I102" s="166">
        <v>770</v>
      </c>
      <c r="J102" s="171" t="s">
        <v>1068</v>
      </c>
      <c r="K102" s="65" t="s">
        <v>136</v>
      </c>
      <c r="L102" s="154"/>
    </row>
    <row r="103" spans="1:12" s="13" customFormat="1" ht="101.5" x14ac:dyDescent="0.35">
      <c r="A103" s="204">
        <v>43602</v>
      </c>
      <c r="B103" s="185" t="s">
        <v>1067</v>
      </c>
      <c r="C103" s="185" t="s">
        <v>1066</v>
      </c>
      <c r="D103" s="215">
        <v>43611</v>
      </c>
      <c r="E103" s="214" t="s">
        <v>1065</v>
      </c>
      <c r="F103" s="184">
        <v>0.54166666666666696</v>
      </c>
      <c r="G103" s="184">
        <v>0.5625</v>
      </c>
      <c r="H103" s="184">
        <v>0.58333333333333304</v>
      </c>
      <c r="I103" s="213">
        <v>520</v>
      </c>
      <c r="J103" s="17" t="s">
        <v>1064</v>
      </c>
      <c r="K103" s="65" t="s">
        <v>136</v>
      </c>
      <c r="L103" s="154" t="s">
        <v>22</v>
      </c>
    </row>
    <row r="104" spans="1:12" s="13" customFormat="1" ht="72.5" x14ac:dyDescent="0.35">
      <c r="A104" s="204">
        <v>43607</v>
      </c>
      <c r="B104" s="185" t="s">
        <v>1063</v>
      </c>
      <c r="C104" s="185" t="s">
        <v>1062</v>
      </c>
      <c r="D104" s="186">
        <v>43611</v>
      </c>
      <c r="E104" s="185" t="s">
        <v>1061</v>
      </c>
      <c r="F104" s="184">
        <v>0.41666666666666702</v>
      </c>
      <c r="G104" s="184">
        <v>0.45833333333333298</v>
      </c>
      <c r="H104" s="184">
        <v>0.5</v>
      </c>
      <c r="I104" s="144">
        <v>499</v>
      </c>
      <c r="J104" s="42" t="s">
        <v>1060</v>
      </c>
      <c r="K104" s="65" t="s">
        <v>136</v>
      </c>
      <c r="L104" s="154" t="s">
        <v>22</v>
      </c>
    </row>
    <row r="105" spans="1:12" s="13" customFormat="1" ht="348" x14ac:dyDescent="0.35">
      <c r="A105" s="204">
        <v>43607</v>
      </c>
      <c r="B105" s="182" t="s">
        <v>1059</v>
      </c>
      <c r="C105" s="182" t="s">
        <v>1058</v>
      </c>
      <c r="D105" s="211">
        <v>43611</v>
      </c>
      <c r="E105" s="182" t="s">
        <v>1057</v>
      </c>
      <c r="F105" s="181">
        <v>0.60416666666666696</v>
      </c>
      <c r="G105" s="181">
        <v>0.66666666666666696</v>
      </c>
      <c r="H105" s="181">
        <v>0.70833333333333304</v>
      </c>
      <c r="I105" s="166">
        <v>1844.25</v>
      </c>
      <c r="J105" s="171" t="s">
        <v>1056</v>
      </c>
      <c r="K105" s="65" t="s">
        <v>136</v>
      </c>
      <c r="L105" s="154"/>
    </row>
    <row r="106" spans="1:12" s="13" customFormat="1" ht="29" x14ac:dyDescent="0.35">
      <c r="A106" s="155">
        <v>43602</v>
      </c>
      <c r="B106" s="37" t="s">
        <v>1055</v>
      </c>
      <c r="C106" s="37" t="s">
        <v>1054</v>
      </c>
      <c r="D106" s="170">
        <v>43612</v>
      </c>
      <c r="E106" s="37" t="s">
        <v>1053</v>
      </c>
      <c r="F106" s="37" t="s">
        <v>15</v>
      </c>
      <c r="G106" s="212">
        <v>0.41666666666666702</v>
      </c>
      <c r="H106" s="212">
        <v>0.45833333333333298</v>
      </c>
      <c r="I106" s="166">
        <v>398</v>
      </c>
      <c r="J106" s="171" t="s">
        <v>1052</v>
      </c>
      <c r="K106" s="37"/>
      <c r="L106" s="154" t="s">
        <v>22</v>
      </c>
    </row>
    <row r="107" spans="1:12" s="13" customFormat="1" ht="43.4" customHeight="1" x14ac:dyDescent="0.35">
      <c r="A107" s="204">
        <v>43602</v>
      </c>
      <c r="B107" s="182" t="s">
        <v>1039</v>
      </c>
      <c r="C107" s="182" t="s">
        <v>1051</v>
      </c>
      <c r="D107" s="211">
        <v>43612</v>
      </c>
      <c r="E107" s="182" t="s">
        <v>1050</v>
      </c>
      <c r="F107" s="182" t="s">
        <v>15</v>
      </c>
      <c r="G107" s="181" t="s">
        <v>331</v>
      </c>
      <c r="H107" s="181" t="s">
        <v>331</v>
      </c>
      <c r="I107" s="166">
        <v>150</v>
      </c>
      <c r="J107" s="171" t="s">
        <v>1036</v>
      </c>
      <c r="K107" s="37" t="s">
        <v>331</v>
      </c>
      <c r="L107" s="154" t="s">
        <v>330</v>
      </c>
    </row>
    <row r="108" spans="1:12" s="13" customFormat="1" ht="43.5" x14ac:dyDescent="0.35">
      <c r="A108" s="155">
        <v>43608</v>
      </c>
      <c r="B108" s="17" t="s">
        <v>1049</v>
      </c>
      <c r="C108" s="17" t="s">
        <v>1048</v>
      </c>
      <c r="D108" s="125">
        <v>43612</v>
      </c>
      <c r="E108" s="17" t="s">
        <v>1047</v>
      </c>
      <c r="F108" s="17" t="s">
        <v>15</v>
      </c>
      <c r="G108" s="26">
        <v>0.54166666666666696</v>
      </c>
      <c r="H108" s="26">
        <v>0.58333333333333304</v>
      </c>
      <c r="I108" s="144">
        <v>50</v>
      </c>
      <c r="J108" s="17" t="s">
        <v>1046</v>
      </c>
      <c r="K108" s="65" t="s">
        <v>15</v>
      </c>
      <c r="L108" s="154"/>
    </row>
    <row r="109" spans="1:12" s="13" customFormat="1" ht="58" x14ac:dyDescent="0.35">
      <c r="A109" s="155">
        <v>43611</v>
      </c>
      <c r="B109" s="17" t="s">
        <v>1045</v>
      </c>
      <c r="C109" s="17" t="s">
        <v>1044</v>
      </c>
      <c r="D109" s="125">
        <v>43612</v>
      </c>
      <c r="E109" s="17" t="s">
        <v>1043</v>
      </c>
      <c r="F109" s="17" t="s">
        <v>15</v>
      </c>
      <c r="G109" s="26">
        <v>0.54166666666666696</v>
      </c>
      <c r="H109" s="26">
        <v>0.58333333333333304</v>
      </c>
      <c r="I109" s="144">
        <f>384+398</f>
        <v>782</v>
      </c>
      <c r="J109" s="42" t="s">
        <v>1042</v>
      </c>
      <c r="K109" s="65" t="s">
        <v>15</v>
      </c>
      <c r="L109" s="154" t="s">
        <v>17</v>
      </c>
    </row>
    <row r="110" spans="1:12" s="13" customFormat="1" x14ac:dyDescent="0.35">
      <c r="A110" s="155">
        <v>43611</v>
      </c>
      <c r="B110" s="37" t="s">
        <v>300</v>
      </c>
      <c r="C110" s="37" t="s">
        <v>1041</v>
      </c>
      <c r="D110" s="170">
        <v>43612</v>
      </c>
      <c r="E110" s="37" t="s">
        <v>229</v>
      </c>
      <c r="F110" s="37" t="s">
        <v>15</v>
      </c>
      <c r="G110" s="212" t="s">
        <v>1040</v>
      </c>
      <c r="H110" s="212"/>
      <c r="I110" s="193">
        <v>0</v>
      </c>
      <c r="J110" s="37"/>
      <c r="K110" s="37"/>
      <c r="L110" s="154" t="s">
        <v>22</v>
      </c>
    </row>
    <row r="111" spans="1:12" s="13" customFormat="1" ht="116" x14ac:dyDescent="0.35">
      <c r="A111" s="204">
        <v>43602</v>
      </c>
      <c r="B111" s="182" t="s">
        <v>1039</v>
      </c>
      <c r="C111" s="182" t="s">
        <v>1038</v>
      </c>
      <c r="D111" s="211">
        <v>43613</v>
      </c>
      <c r="E111" s="182" t="s">
        <v>1037</v>
      </c>
      <c r="F111" s="181">
        <v>0.47916666666666702</v>
      </c>
      <c r="G111" s="181">
        <v>0.5</v>
      </c>
      <c r="H111" s="181">
        <v>0.54166666666666696</v>
      </c>
      <c r="I111" s="166">
        <v>150</v>
      </c>
      <c r="J111" s="171" t="s">
        <v>1036</v>
      </c>
      <c r="K111" s="37" t="s">
        <v>140</v>
      </c>
      <c r="L111" s="154" t="s">
        <v>330</v>
      </c>
    </row>
    <row r="112" spans="1:12" s="13" customFormat="1" ht="116" x14ac:dyDescent="0.35">
      <c r="A112" s="204">
        <v>43606</v>
      </c>
      <c r="B112" s="182" t="s">
        <v>1035</v>
      </c>
      <c r="C112" s="182" t="s">
        <v>1034</v>
      </c>
      <c r="D112" s="211">
        <v>43613</v>
      </c>
      <c r="E112" s="182" t="s">
        <v>1033</v>
      </c>
      <c r="F112" s="181">
        <v>0.27083333333333298</v>
      </c>
      <c r="G112" s="181">
        <v>0.30555555555555503</v>
      </c>
      <c r="H112" s="181">
        <v>0.33333333333333298</v>
      </c>
      <c r="I112" s="172">
        <v>3500</v>
      </c>
      <c r="J112" s="171" t="s">
        <v>1032</v>
      </c>
      <c r="K112" s="37" t="s">
        <v>140</v>
      </c>
      <c r="L112" s="154" t="s">
        <v>1031</v>
      </c>
    </row>
    <row r="113" spans="1:12" s="13" customFormat="1" ht="43.5" x14ac:dyDescent="0.35">
      <c r="A113" s="204">
        <v>43607</v>
      </c>
      <c r="B113" s="182" t="s">
        <v>1030</v>
      </c>
      <c r="C113" s="182" t="s">
        <v>1029</v>
      </c>
      <c r="D113" s="211">
        <v>43613</v>
      </c>
      <c r="E113" s="182" t="s">
        <v>1028</v>
      </c>
      <c r="F113" s="181">
        <v>0.72916666666666696</v>
      </c>
      <c r="G113" s="181">
        <v>0.79166666666666696</v>
      </c>
      <c r="H113" s="181">
        <v>0.8125</v>
      </c>
      <c r="I113" s="166">
        <v>240</v>
      </c>
      <c r="J113" s="37" t="s">
        <v>1027</v>
      </c>
      <c r="K113" s="37" t="s">
        <v>136</v>
      </c>
      <c r="L113" s="154" t="s">
        <v>22</v>
      </c>
    </row>
    <row r="114" spans="1:12" s="13" customFormat="1" ht="145" x14ac:dyDescent="0.35">
      <c r="A114" s="155">
        <v>43609</v>
      </c>
      <c r="B114" s="185" t="s">
        <v>1026</v>
      </c>
      <c r="C114" s="185" t="s">
        <v>1025</v>
      </c>
      <c r="D114" s="186">
        <v>43613</v>
      </c>
      <c r="E114" s="185" t="s">
        <v>73</v>
      </c>
      <c r="F114" s="184">
        <v>0.72916666666666696</v>
      </c>
      <c r="G114" s="184">
        <v>0.75</v>
      </c>
      <c r="H114" s="184">
        <v>0.77083333333333304</v>
      </c>
      <c r="I114" s="156">
        <v>1555</v>
      </c>
      <c r="J114" s="42" t="s">
        <v>1024</v>
      </c>
      <c r="K114" s="65" t="s">
        <v>136</v>
      </c>
      <c r="L114" s="154" t="s">
        <v>17</v>
      </c>
    </row>
    <row r="115" spans="1:12" s="13" customFormat="1" ht="72.650000000000006" customHeight="1" x14ac:dyDescent="0.35">
      <c r="A115" s="204">
        <v>43609</v>
      </c>
      <c r="B115" s="185" t="s">
        <v>1023</v>
      </c>
      <c r="C115" s="185" t="s">
        <v>1022</v>
      </c>
      <c r="D115" s="186">
        <v>43614</v>
      </c>
      <c r="E115" s="185" t="s">
        <v>1021</v>
      </c>
      <c r="F115" s="184">
        <v>0.58333333333333304</v>
      </c>
      <c r="G115" s="184">
        <v>0.61458333333333304</v>
      </c>
      <c r="H115" s="184">
        <v>0.66666666666666696</v>
      </c>
      <c r="I115" s="144">
        <v>1134</v>
      </c>
      <c r="J115" s="42" t="s">
        <v>1020</v>
      </c>
      <c r="K115" s="210" t="s">
        <v>140</v>
      </c>
      <c r="L115" s="209" t="s">
        <v>17</v>
      </c>
    </row>
    <row r="116" spans="1:12" s="13" customFormat="1" ht="72.650000000000006" customHeight="1" x14ac:dyDescent="0.35">
      <c r="A116" s="155">
        <v>43612</v>
      </c>
      <c r="B116" s="17" t="s">
        <v>1012</v>
      </c>
      <c r="C116" s="207" t="s">
        <v>1019</v>
      </c>
      <c r="D116" s="125">
        <v>43614</v>
      </c>
      <c r="E116" s="17" t="s">
        <v>1010</v>
      </c>
      <c r="F116" s="26">
        <v>0.39583333333333298</v>
      </c>
      <c r="G116" s="26">
        <v>0.38888888888888901</v>
      </c>
      <c r="H116" s="26">
        <v>0.40277777777777801</v>
      </c>
      <c r="I116" s="208">
        <v>669</v>
      </c>
      <c r="J116" s="42" t="s">
        <v>1009</v>
      </c>
      <c r="K116" s="65" t="s">
        <v>140</v>
      </c>
      <c r="L116" s="154" t="s">
        <v>216</v>
      </c>
    </row>
    <row r="117" spans="1:12" s="13" customFormat="1" ht="43.5" x14ac:dyDescent="0.35">
      <c r="A117" s="155">
        <v>43612</v>
      </c>
      <c r="B117" s="17" t="s">
        <v>1018</v>
      </c>
      <c r="C117" s="207" t="s">
        <v>1017</v>
      </c>
      <c r="D117" s="125">
        <v>43614</v>
      </c>
      <c r="E117" s="17" t="s">
        <v>126</v>
      </c>
      <c r="F117" s="26">
        <v>0.39583333333333298</v>
      </c>
      <c r="G117" s="26">
        <v>0.41666666666666702</v>
      </c>
      <c r="H117" s="17">
        <v>0.625</v>
      </c>
      <c r="I117" s="65">
        <v>0</v>
      </c>
      <c r="J117" s="65" t="s">
        <v>15</v>
      </c>
      <c r="K117" s="65" t="s">
        <v>140</v>
      </c>
      <c r="L117" s="154" t="s">
        <v>216</v>
      </c>
    </row>
    <row r="118" spans="1:12" s="13" customFormat="1" ht="83.9" customHeight="1" x14ac:dyDescent="0.35">
      <c r="A118" s="155">
        <v>43613</v>
      </c>
      <c r="B118" s="17" t="s">
        <v>1016</v>
      </c>
      <c r="C118" s="17" t="s">
        <v>1015</v>
      </c>
      <c r="D118" s="125">
        <v>43614</v>
      </c>
      <c r="E118" s="17" t="s">
        <v>1014</v>
      </c>
      <c r="F118" s="26">
        <v>0.58333333333333304</v>
      </c>
      <c r="G118" s="26">
        <v>0.61805555555555602</v>
      </c>
      <c r="H118" s="26">
        <v>0.625</v>
      </c>
      <c r="I118" s="144">
        <v>288</v>
      </c>
      <c r="J118" s="17" t="s">
        <v>1013</v>
      </c>
      <c r="K118" s="65" t="s">
        <v>136</v>
      </c>
      <c r="L118" s="154" t="s">
        <v>17</v>
      </c>
    </row>
    <row r="119" spans="1:12" s="13" customFormat="1" ht="58" x14ac:dyDescent="0.35">
      <c r="A119" s="155">
        <v>43612</v>
      </c>
      <c r="B119" s="17" t="s">
        <v>1012</v>
      </c>
      <c r="C119" s="207" t="s">
        <v>1011</v>
      </c>
      <c r="D119" s="125">
        <v>43615</v>
      </c>
      <c r="E119" s="17" t="s">
        <v>1010</v>
      </c>
      <c r="F119" s="26">
        <v>0.33333333333333298</v>
      </c>
      <c r="G119" s="26">
        <v>0.39583333333333298</v>
      </c>
      <c r="H119" s="26">
        <v>0.39583333333333298</v>
      </c>
      <c r="I119" s="208">
        <v>192</v>
      </c>
      <c r="J119" s="42" t="s">
        <v>1009</v>
      </c>
      <c r="K119" s="65" t="s">
        <v>15</v>
      </c>
      <c r="L119" s="154" t="s">
        <v>216</v>
      </c>
    </row>
    <row r="120" spans="1:12" s="13" customFormat="1" ht="58" x14ac:dyDescent="0.35">
      <c r="A120" s="155">
        <v>43614</v>
      </c>
      <c r="B120" s="17" t="s">
        <v>1008</v>
      </c>
      <c r="C120" s="17" t="s">
        <v>1007</v>
      </c>
      <c r="D120" s="125">
        <v>43615</v>
      </c>
      <c r="E120" s="17" t="s">
        <v>1006</v>
      </c>
      <c r="F120" s="26">
        <v>0.33333333333333298</v>
      </c>
      <c r="G120" s="26">
        <v>0.35416666666666702</v>
      </c>
      <c r="H120" s="26">
        <v>0.375</v>
      </c>
      <c r="I120" s="144">
        <v>108</v>
      </c>
      <c r="J120" s="42" t="s">
        <v>1005</v>
      </c>
      <c r="K120" s="65" t="s">
        <v>140</v>
      </c>
      <c r="L120" s="154" t="s">
        <v>17</v>
      </c>
    </row>
    <row r="121" spans="1:12" s="13" customFormat="1" ht="116" x14ac:dyDescent="0.35">
      <c r="A121" s="155">
        <v>43608</v>
      </c>
      <c r="B121" s="17" t="s">
        <v>1004</v>
      </c>
      <c r="C121" s="17" t="s">
        <v>1003</v>
      </c>
      <c r="D121" s="125">
        <v>43616</v>
      </c>
      <c r="E121" s="17" t="s">
        <v>1002</v>
      </c>
      <c r="F121" s="26">
        <v>0.54166666666666696</v>
      </c>
      <c r="G121" s="26">
        <v>0.58333333333333304</v>
      </c>
      <c r="H121" s="26">
        <v>0.625</v>
      </c>
      <c r="I121" s="65">
        <v>0</v>
      </c>
      <c r="J121" s="17" t="s">
        <v>16</v>
      </c>
      <c r="K121" s="65" t="s">
        <v>17</v>
      </c>
      <c r="L121" s="154"/>
    </row>
    <row r="122" spans="1:12" s="13" customFormat="1" ht="72.5" x14ac:dyDescent="0.35">
      <c r="A122" s="204">
        <v>43611</v>
      </c>
      <c r="B122" s="185" t="s">
        <v>1001</v>
      </c>
      <c r="C122" s="185" t="s">
        <v>1000</v>
      </c>
      <c r="D122" s="186">
        <v>43616</v>
      </c>
      <c r="E122" s="185" t="s">
        <v>999</v>
      </c>
      <c r="F122" s="184">
        <v>8.3333333333333301E-2</v>
      </c>
      <c r="G122" s="184">
        <v>0.64583333333333304</v>
      </c>
      <c r="H122" s="184">
        <v>0.66666666666666696</v>
      </c>
      <c r="I122" s="144">
        <v>2040</v>
      </c>
      <c r="J122" s="42" t="s">
        <v>998</v>
      </c>
      <c r="K122" s="65" t="s">
        <v>15</v>
      </c>
      <c r="L122" s="154" t="s">
        <v>17</v>
      </c>
    </row>
    <row r="123" spans="1:12" s="13" customFormat="1" ht="58" x14ac:dyDescent="0.35">
      <c r="A123" s="155">
        <v>43611</v>
      </c>
      <c r="B123" s="17" t="s">
        <v>262</v>
      </c>
      <c r="C123" s="17" t="s">
        <v>997</v>
      </c>
      <c r="D123" s="125">
        <v>43616</v>
      </c>
      <c r="E123" s="17" t="s">
        <v>73</v>
      </c>
      <c r="F123" s="26">
        <v>0.5</v>
      </c>
      <c r="G123" s="26">
        <v>0.58333333333333304</v>
      </c>
      <c r="H123" s="26">
        <v>0.625</v>
      </c>
      <c r="I123" s="156">
        <v>1616.99</v>
      </c>
      <c r="J123" s="42" t="s">
        <v>996</v>
      </c>
      <c r="K123" s="65" t="s">
        <v>15</v>
      </c>
      <c r="L123" s="154" t="s">
        <v>17</v>
      </c>
    </row>
    <row r="124" spans="1:12" s="13" customFormat="1" ht="203" x14ac:dyDescent="0.35">
      <c r="A124" s="155">
        <v>43612</v>
      </c>
      <c r="B124" s="17" t="s">
        <v>466</v>
      </c>
      <c r="C124" s="17" t="s">
        <v>995</v>
      </c>
      <c r="D124" s="125">
        <v>43616</v>
      </c>
      <c r="E124" s="17" t="s">
        <v>464</v>
      </c>
      <c r="F124" s="26">
        <v>0.375</v>
      </c>
      <c r="G124" s="26">
        <v>0.44444444444444398</v>
      </c>
      <c r="H124" s="26" t="s">
        <v>994</v>
      </c>
      <c r="I124" s="156">
        <v>420</v>
      </c>
      <c r="J124" s="42" t="s">
        <v>993</v>
      </c>
      <c r="K124" s="65" t="s">
        <v>140</v>
      </c>
      <c r="L124" s="154" t="s">
        <v>17</v>
      </c>
    </row>
    <row r="125" spans="1:12" s="13" customFormat="1" ht="72.5" x14ac:dyDescent="0.35">
      <c r="A125" s="155">
        <v>43614</v>
      </c>
      <c r="B125" s="17" t="s">
        <v>992</v>
      </c>
      <c r="C125" s="17" t="s">
        <v>991</v>
      </c>
      <c r="D125" s="125">
        <v>43616</v>
      </c>
      <c r="E125" s="17" t="s">
        <v>493</v>
      </c>
      <c r="F125" s="26">
        <v>0.375</v>
      </c>
      <c r="G125" s="26">
        <v>0.39583333333333298</v>
      </c>
      <c r="H125" s="26">
        <v>0.40625</v>
      </c>
      <c r="I125" s="65">
        <v>0</v>
      </c>
      <c r="J125" s="17" t="s">
        <v>990</v>
      </c>
      <c r="K125" s="65" t="s">
        <v>140</v>
      </c>
      <c r="L125" s="154"/>
    </row>
    <row r="126" spans="1:12" s="13" customFormat="1" ht="43.5" x14ac:dyDescent="0.35">
      <c r="A126" s="155">
        <v>43615</v>
      </c>
      <c r="B126" s="17" t="s">
        <v>989</v>
      </c>
      <c r="C126" s="17" t="s">
        <v>988</v>
      </c>
      <c r="D126" s="125">
        <v>43616</v>
      </c>
      <c r="E126" s="17" t="s">
        <v>73</v>
      </c>
      <c r="F126" s="26">
        <v>0.375</v>
      </c>
      <c r="G126" s="26">
        <v>0.43055555555555602</v>
      </c>
      <c r="H126" s="26">
        <v>0.4375</v>
      </c>
      <c r="I126" s="65">
        <v>0</v>
      </c>
      <c r="J126" s="17" t="s">
        <v>361</v>
      </c>
      <c r="K126" s="65" t="s">
        <v>140</v>
      </c>
      <c r="L126" s="154"/>
    </row>
    <row r="127" spans="1:12" s="13" customFormat="1" ht="29" x14ac:dyDescent="0.35">
      <c r="A127" s="155">
        <v>43615</v>
      </c>
      <c r="B127" s="17" t="s">
        <v>987</v>
      </c>
      <c r="C127" s="207" t="s">
        <v>986</v>
      </c>
      <c r="D127" s="125">
        <v>43616</v>
      </c>
      <c r="E127" s="17" t="s">
        <v>985</v>
      </c>
      <c r="F127" s="26"/>
      <c r="G127" s="26" t="s">
        <v>972</v>
      </c>
      <c r="H127" s="26"/>
      <c r="I127" s="144">
        <v>180</v>
      </c>
      <c r="J127" s="17" t="s">
        <v>257</v>
      </c>
      <c r="K127" s="65" t="s">
        <v>15</v>
      </c>
      <c r="L127" s="154" t="s">
        <v>22</v>
      </c>
    </row>
    <row r="128" spans="1:12" s="13" customFormat="1" ht="188.5" x14ac:dyDescent="0.35">
      <c r="A128" s="155">
        <v>43553</v>
      </c>
      <c r="B128" s="29" t="s">
        <v>437</v>
      </c>
      <c r="C128" s="29" t="s">
        <v>955</v>
      </c>
      <c r="D128" s="164">
        <v>43617</v>
      </c>
      <c r="E128" s="29" t="s">
        <v>437</v>
      </c>
      <c r="F128" s="31">
        <v>0.44791666666666702</v>
      </c>
      <c r="G128" s="31">
        <v>0.47916666666666702</v>
      </c>
      <c r="H128" s="31">
        <v>0.51041666666666696</v>
      </c>
      <c r="I128" s="65" t="s">
        <v>984</v>
      </c>
      <c r="J128" s="55" t="s">
        <v>75</v>
      </c>
      <c r="K128" s="65" t="s">
        <v>140</v>
      </c>
      <c r="L128" s="154"/>
    </row>
    <row r="129" spans="1:12" s="13" customFormat="1" ht="130.5" x14ac:dyDescent="0.35">
      <c r="A129" s="204">
        <v>43596</v>
      </c>
      <c r="B129" s="182" t="s">
        <v>944</v>
      </c>
      <c r="C129" s="182" t="s">
        <v>943</v>
      </c>
      <c r="D129" s="183">
        <v>43617</v>
      </c>
      <c r="E129" s="182" t="s">
        <v>851</v>
      </c>
      <c r="F129" s="181">
        <v>0.5625</v>
      </c>
      <c r="G129" s="181">
        <v>0.67708333333333304</v>
      </c>
      <c r="H129" s="181">
        <v>0.6875</v>
      </c>
      <c r="I129" s="206">
        <v>1050</v>
      </c>
      <c r="J129" s="171" t="s">
        <v>983</v>
      </c>
      <c r="K129" s="165" t="s">
        <v>140</v>
      </c>
      <c r="L129" s="205" t="s">
        <v>941</v>
      </c>
    </row>
    <row r="130" spans="1:12" s="13" customFormat="1" ht="87" x14ac:dyDescent="0.35">
      <c r="A130" s="204">
        <v>43611</v>
      </c>
      <c r="B130" s="185" t="s">
        <v>262</v>
      </c>
      <c r="C130" s="185" t="s">
        <v>940</v>
      </c>
      <c r="D130" s="186">
        <v>43617</v>
      </c>
      <c r="E130" s="185" t="s">
        <v>73</v>
      </c>
      <c r="F130" s="184">
        <v>0.5625</v>
      </c>
      <c r="G130" s="184">
        <v>0.70833333333333304</v>
      </c>
      <c r="H130" s="184">
        <v>0.71875</v>
      </c>
      <c r="I130" s="156" t="s">
        <v>982</v>
      </c>
      <c r="J130" s="42" t="s">
        <v>939</v>
      </c>
      <c r="K130" s="65" t="s">
        <v>140</v>
      </c>
      <c r="L130" s="154" t="s">
        <v>17</v>
      </c>
    </row>
    <row r="131" spans="1:12" s="13" customFormat="1" ht="130.5" x14ac:dyDescent="0.35">
      <c r="A131" s="155">
        <v>43612</v>
      </c>
      <c r="B131" s="160" t="s">
        <v>585</v>
      </c>
      <c r="C131" s="160" t="s">
        <v>950</v>
      </c>
      <c r="D131" s="163">
        <v>43617</v>
      </c>
      <c r="E131" s="160" t="s">
        <v>441</v>
      </c>
      <c r="F131" s="161">
        <v>0.5625</v>
      </c>
      <c r="G131" s="161">
        <v>0.58333333333333304</v>
      </c>
      <c r="H131" s="161">
        <v>0.60416666666666696</v>
      </c>
      <c r="I131" s="144" t="s">
        <v>981</v>
      </c>
      <c r="J131" s="42" t="s">
        <v>949</v>
      </c>
      <c r="K131" s="65" t="s">
        <v>140</v>
      </c>
      <c r="L131" s="154" t="s">
        <v>17</v>
      </c>
    </row>
    <row r="132" spans="1:12" s="13" customFormat="1" ht="275.5" x14ac:dyDescent="0.35">
      <c r="A132" s="155">
        <v>43612</v>
      </c>
      <c r="B132" s="17" t="s">
        <v>948</v>
      </c>
      <c r="C132" s="17" t="s">
        <v>947</v>
      </c>
      <c r="D132" s="125">
        <v>43617</v>
      </c>
      <c r="E132" s="17" t="s">
        <v>946</v>
      </c>
      <c r="F132" s="26">
        <v>0.5625</v>
      </c>
      <c r="G132" s="26">
        <v>0.625</v>
      </c>
      <c r="H132" s="26">
        <v>0.65625</v>
      </c>
      <c r="I132" s="144" t="s">
        <v>980</v>
      </c>
      <c r="J132" s="42" t="s">
        <v>945</v>
      </c>
      <c r="K132" s="65" t="s">
        <v>140</v>
      </c>
      <c r="L132" s="154" t="s">
        <v>22</v>
      </c>
    </row>
    <row r="133" spans="1:12" s="13" customFormat="1" ht="290" x14ac:dyDescent="0.35">
      <c r="A133" s="203">
        <v>43612</v>
      </c>
      <c r="B133" s="159" t="s">
        <v>938</v>
      </c>
      <c r="C133" s="182" t="s">
        <v>937</v>
      </c>
      <c r="D133" s="183">
        <v>43617</v>
      </c>
      <c r="E133" s="182" t="s">
        <v>290</v>
      </c>
      <c r="F133" s="181">
        <v>0.5625</v>
      </c>
      <c r="G133" s="181">
        <v>0.73958333333333304</v>
      </c>
      <c r="H133" s="181">
        <v>0.78125</v>
      </c>
      <c r="I133" s="180" t="s">
        <v>979</v>
      </c>
      <c r="J133" s="37" t="s">
        <v>936</v>
      </c>
      <c r="K133" s="165" t="s">
        <v>140</v>
      </c>
      <c r="L133" s="154" t="s">
        <v>22</v>
      </c>
    </row>
    <row r="134" spans="1:12" s="13" customFormat="1" ht="87" x14ac:dyDescent="0.35">
      <c r="A134" s="203">
        <v>43612</v>
      </c>
      <c r="B134" s="159" t="s">
        <v>934</v>
      </c>
      <c r="C134" s="159" t="s">
        <v>933</v>
      </c>
      <c r="D134" s="179">
        <v>43617</v>
      </c>
      <c r="E134" s="159" t="s">
        <v>290</v>
      </c>
      <c r="F134" s="178">
        <v>0.5625</v>
      </c>
      <c r="G134" s="178">
        <v>0.73958333333333304</v>
      </c>
      <c r="H134" s="178">
        <v>0.78125</v>
      </c>
      <c r="I134" s="65" t="s">
        <v>15</v>
      </c>
      <c r="J134" s="65" t="s">
        <v>15</v>
      </c>
      <c r="K134" s="65" t="s">
        <v>140</v>
      </c>
      <c r="L134" s="154" t="s">
        <v>22</v>
      </c>
    </row>
    <row r="135" spans="1:12" s="13" customFormat="1" ht="58" x14ac:dyDescent="0.35">
      <c r="A135" s="155">
        <v>43613</v>
      </c>
      <c r="B135" s="29" t="s">
        <v>953</v>
      </c>
      <c r="C135" s="29" t="s">
        <v>952</v>
      </c>
      <c r="D135" s="142">
        <v>43617</v>
      </c>
      <c r="E135" s="29" t="s">
        <v>129</v>
      </c>
      <c r="F135" s="31">
        <v>0.44791666666666702</v>
      </c>
      <c r="G135" s="31">
        <v>0.52777777777777801</v>
      </c>
      <c r="H135" s="31">
        <v>0.54166666666666696</v>
      </c>
      <c r="I135" s="187">
        <v>1369.38</v>
      </c>
      <c r="J135" s="42" t="s">
        <v>951</v>
      </c>
      <c r="K135" s="65" t="s">
        <v>140</v>
      </c>
      <c r="L135" s="154" t="s">
        <v>216</v>
      </c>
    </row>
    <row r="136" spans="1:12" s="13" customFormat="1" ht="130.5" x14ac:dyDescent="0.35">
      <c r="A136" s="155">
        <v>43613</v>
      </c>
      <c r="B136" s="17" t="s">
        <v>929</v>
      </c>
      <c r="C136" s="17" t="s">
        <v>928</v>
      </c>
      <c r="D136" s="174">
        <v>43617</v>
      </c>
      <c r="E136" s="32" t="s">
        <v>927</v>
      </c>
      <c r="F136" s="177">
        <v>0.70833333333333304</v>
      </c>
      <c r="G136" s="26">
        <v>0.72916666666666696</v>
      </c>
      <c r="H136" s="26">
        <v>0.77083333333333304</v>
      </c>
      <c r="I136" s="65" t="s">
        <v>978</v>
      </c>
      <c r="J136" s="17" t="s">
        <v>926</v>
      </c>
      <c r="K136" s="65" t="s">
        <v>17</v>
      </c>
      <c r="L136" s="154" t="s">
        <v>216</v>
      </c>
    </row>
    <row r="137" spans="1:12" s="13" customFormat="1" ht="87" x14ac:dyDescent="0.35">
      <c r="A137" s="155">
        <v>43616</v>
      </c>
      <c r="B137" s="160" t="s">
        <v>932</v>
      </c>
      <c r="C137" s="160" t="s">
        <v>588</v>
      </c>
      <c r="D137" s="163">
        <v>43617</v>
      </c>
      <c r="E137" s="160" t="s">
        <v>441</v>
      </c>
      <c r="F137" s="161">
        <v>0.5625</v>
      </c>
      <c r="G137" s="161" t="s">
        <v>931</v>
      </c>
      <c r="H137" s="161" t="s">
        <v>930</v>
      </c>
      <c r="I137" s="65" t="s">
        <v>455</v>
      </c>
      <c r="J137" s="65" t="s">
        <v>15</v>
      </c>
      <c r="K137" s="65" t="s">
        <v>140</v>
      </c>
      <c r="L137" s="154"/>
    </row>
    <row r="138" spans="1:12" s="13" customFormat="1" ht="101.5" x14ac:dyDescent="0.35">
      <c r="A138" s="155">
        <v>43606</v>
      </c>
      <c r="B138" s="17" t="s">
        <v>925</v>
      </c>
      <c r="C138" s="17" t="s">
        <v>924</v>
      </c>
      <c r="D138" s="174">
        <v>43618</v>
      </c>
      <c r="E138" s="17" t="s">
        <v>923</v>
      </c>
      <c r="F138" s="26">
        <v>0.4375</v>
      </c>
      <c r="G138" s="26">
        <v>0.45833333333333298</v>
      </c>
      <c r="H138" s="26">
        <v>0.5</v>
      </c>
      <c r="I138" s="144" t="s">
        <v>977</v>
      </c>
      <c r="J138" s="17" t="s">
        <v>922</v>
      </c>
      <c r="K138" s="17" t="s">
        <v>921</v>
      </c>
      <c r="L138" s="154"/>
    </row>
    <row r="139" spans="1:12" s="13" customFormat="1" ht="87" x14ac:dyDescent="0.35">
      <c r="A139" s="155">
        <v>43616</v>
      </c>
      <c r="B139" s="17" t="s">
        <v>920</v>
      </c>
      <c r="C139" s="17" t="s">
        <v>919</v>
      </c>
      <c r="D139" s="125">
        <v>43618</v>
      </c>
      <c r="E139" s="17" t="s">
        <v>27</v>
      </c>
      <c r="F139" s="26">
        <v>0.58333333333333304</v>
      </c>
      <c r="G139" s="26">
        <v>0.61458333333333304</v>
      </c>
      <c r="H139" s="26">
        <v>0.63541666666666696</v>
      </c>
      <c r="I139" s="65" t="s">
        <v>976</v>
      </c>
      <c r="J139" s="17" t="s">
        <v>918</v>
      </c>
      <c r="K139" s="65" t="s">
        <v>15</v>
      </c>
      <c r="L139" s="154" t="s">
        <v>17</v>
      </c>
    </row>
    <row r="140" spans="1:12" s="13" customFormat="1" ht="29" x14ac:dyDescent="0.35">
      <c r="A140" s="155">
        <v>43612</v>
      </c>
      <c r="B140" s="17" t="s">
        <v>651</v>
      </c>
      <c r="C140" s="17" t="s">
        <v>914</v>
      </c>
      <c r="D140" s="174">
        <v>43619</v>
      </c>
      <c r="E140" s="109" t="s">
        <v>649</v>
      </c>
      <c r="F140" s="17" t="s">
        <v>15</v>
      </c>
      <c r="G140" s="175">
        <v>0.41666666666666702</v>
      </c>
      <c r="H140" s="175">
        <v>0.66666666666666696</v>
      </c>
      <c r="I140" s="65" t="s">
        <v>975</v>
      </c>
      <c r="J140" s="17" t="s">
        <v>257</v>
      </c>
      <c r="K140" s="17"/>
      <c r="L140" s="154" t="s">
        <v>974</v>
      </c>
    </row>
    <row r="141" spans="1:12" s="13" customFormat="1" ht="174" x14ac:dyDescent="0.35">
      <c r="A141" s="155">
        <v>43615</v>
      </c>
      <c r="B141" s="17" t="s">
        <v>917</v>
      </c>
      <c r="C141" s="17" t="s">
        <v>916</v>
      </c>
      <c r="D141" s="125">
        <v>43619</v>
      </c>
      <c r="E141" s="176" t="s">
        <v>915</v>
      </c>
      <c r="F141" s="26">
        <v>0.5</v>
      </c>
      <c r="G141" s="26">
        <v>0.53125</v>
      </c>
      <c r="H141" s="26">
        <v>0.54166666666666696</v>
      </c>
      <c r="I141" s="65" t="s">
        <v>455</v>
      </c>
      <c r="J141" s="42" t="s">
        <v>455</v>
      </c>
      <c r="K141" s="65" t="s">
        <v>140</v>
      </c>
      <c r="L141" s="154" t="s">
        <v>216</v>
      </c>
    </row>
    <row r="142" spans="1:12" s="13" customFormat="1" ht="58" x14ac:dyDescent="0.35">
      <c r="A142" s="155">
        <v>43614</v>
      </c>
      <c r="B142" s="17" t="s">
        <v>262</v>
      </c>
      <c r="C142" s="17" t="s">
        <v>973</v>
      </c>
      <c r="D142" s="125">
        <v>43620</v>
      </c>
      <c r="E142" s="17" t="s">
        <v>73</v>
      </c>
      <c r="F142" s="17" t="s">
        <v>15</v>
      </c>
      <c r="G142" s="17" t="s">
        <v>972</v>
      </c>
      <c r="H142" s="26">
        <v>0.70833333333333304</v>
      </c>
      <c r="I142" s="65" t="s">
        <v>971</v>
      </c>
      <c r="J142" s="17" t="s">
        <v>909</v>
      </c>
      <c r="K142" s="65" t="s">
        <v>15</v>
      </c>
      <c r="L142" s="154" t="s">
        <v>17</v>
      </c>
    </row>
    <row r="143" spans="1:12" s="13" customFormat="1" ht="43.5" x14ac:dyDescent="0.35">
      <c r="A143" s="155">
        <v>43616</v>
      </c>
      <c r="B143" s="17" t="s">
        <v>905</v>
      </c>
      <c r="C143" s="17" t="s">
        <v>904</v>
      </c>
      <c r="D143" s="125">
        <v>43620</v>
      </c>
      <c r="E143" s="17" t="s">
        <v>903</v>
      </c>
      <c r="F143" s="17" t="s">
        <v>15</v>
      </c>
      <c r="G143" s="26">
        <v>0.5</v>
      </c>
      <c r="H143" s="26">
        <v>0.66666666666666696</v>
      </c>
      <c r="I143" s="65" t="s">
        <v>970</v>
      </c>
      <c r="J143" s="17" t="s">
        <v>902</v>
      </c>
      <c r="K143" s="65" t="s">
        <v>15</v>
      </c>
      <c r="L143" s="154" t="s">
        <v>17</v>
      </c>
    </row>
    <row r="144" spans="1:12" s="13" customFormat="1" ht="203" x14ac:dyDescent="0.35">
      <c r="A144" s="155">
        <v>43614</v>
      </c>
      <c r="B144" s="29" t="s">
        <v>897</v>
      </c>
      <c r="C144" s="29" t="s">
        <v>896</v>
      </c>
      <c r="D144" s="142">
        <v>43621</v>
      </c>
      <c r="E144" s="29" t="s">
        <v>895</v>
      </c>
      <c r="F144" s="29" t="s">
        <v>15</v>
      </c>
      <c r="G144" s="31">
        <v>0.40625</v>
      </c>
      <c r="H144" s="31">
        <v>0.41666666666666702</v>
      </c>
      <c r="I144" s="156" t="s">
        <v>969</v>
      </c>
      <c r="J144" s="42" t="s">
        <v>968</v>
      </c>
      <c r="K144" s="65" t="s">
        <v>15</v>
      </c>
      <c r="L144" s="154"/>
    </row>
    <row r="145" spans="1:12" s="13" customFormat="1" ht="87" x14ac:dyDescent="0.35">
      <c r="A145" s="155">
        <v>43616</v>
      </c>
      <c r="B145" s="17" t="s">
        <v>890</v>
      </c>
      <c r="C145" s="17" t="s">
        <v>701</v>
      </c>
      <c r="D145" s="125">
        <v>43621</v>
      </c>
      <c r="E145" s="17" t="s">
        <v>700</v>
      </c>
      <c r="F145" s="17" t="s">
        <v>15</v>
      </c>
      <c r="G145" s="26">
        <v>0.52083333333333304</v>
      </c>
      <c r="H145" s="26">
        <v>0.5625</v>
      </c>
      <c r="I145" s="65" t="s">
        <v>967</v>
      </c>
      <c r="J145" s="17" t="s">
        <v>699</v>
      </c>
      <c r="K145" s="65" t="s">
        <v>15</v>
      </c>
      <c r="L145" s="154" t="s">
        <v>17</v>
      </c>
    </row>
    <row r="146" spans="1:12" s="13" customFormat="1" ht="72.5" x14ac:dyDescent="0.35">
      <c r="A146" s="202">
        <v>43598</v>
      </c>
      <c r="B146" s="168" t="s">
        <v>848</v>
      </c>
      <c r="C146" s="168" t="s">
        <v>966</v>
      </c>
      <c r="D146" s="169">
        <v>43624</v>
      </c>
      <c r="E146" s="168" t="s">
        <v>576</v>
      </c>
      <c r="F146" s="168" t="s">
        <v>15</v>
      </c>
      <c r="G146" s="167">
        <v>0.75</v>
      </c>
      <c r="H146" s="167">
        <v>0.79166666666666696</v>
      </c>
      <c r="I146" s="201" t="s">
        <v>965</v>
      </c>
      <c r="J146" s="37" t="s">
        <v>964</v>
      </c>
      <c r="K146" s="37" t="s">
        <v>15</v>
      </c>
      <c r="L146" s="200"/>
    </row>
    <row r="147" spans="1:12" s="13" customFormat="1" ht="87" x14ac:dyDescent="0.35">
      <c r="A147" s="202">
        <v>43614</v>
      </c>
      <c r="B147" s="168" t="s">
        <v>838</v>
      </c>
      <c r="C147" s="168" t="s">
        <v>837</v>
      </c>
      <c r="D147" s="169">
        <v>43625</v>
      </c>
      <c r="E147" s="168" t="s">
        <v>836</v>
      </c>
      <c r="F147" s="168" t="s">
        <v>15</v>
      </c>
      <c r="G147" s="167">
        <v>0.58333333333333304</v>
      </c>
      <c r="H147" s="167">
        <v>0.625</v>
      </c>
      <c r="I147" s="201" t="s">
        <v>963</v>
      </c>
      <c r="J147" s="37" t="s">
        <v>835</v>
      </c>
      <c r="K147" s="37" t="s">
        <v>15</v>
      </c>
      <c r="L147" s="200" t="s">
        <v>22</v>
      </c>
    </row>
    <row r="148" spans="1:12" s="13" customFormat="1" ht="29" x14ac:dyDescent="0.35">
      <c r="A148" s="155">
        <v>43612</v>
      </c>
      <c r="B148" s="17" t="s">
        <v>572</v>
      </c>
      <c r="C148" s="17" t="s">
        <v>819</v>
      </c>
      <c r="D148" s="125">
        <v>43626</v>
      </c>
      <c r="E148" s="17" t="s">
        <v>210</v>
      </c>
      <c r="F148" s="17" t="s">
        <v>49</v>
      </c>
      <c r="G148" s="17" t="s">
        <v>49</v>
      </c>
      <c r="H148" s="17" t="s">
        <v>49</v>
      </c>
      <c r="I148" s="65" t="s">
        <v>49</v>
      </c>
      <c r="J148" s="17" t="s">
        <v>49</v>
      </c>
      <c r="K148" s="65" t="s">
        <v>15</v>
      </c>
      <c r="L148" s="154" t="s">
        <v>330</v>
      </c>
    </row>
    <row r="149" spans="1:12" s="13" customFormat="1" ht="72.5" x14ac:dyDescent="0.35">
      <c r="A149" s="155">
        <v>43571</v>
      </c>
      <c r="B149" s="29" t="s">
        <v>143</v>
      </c>
      <c r="C149" s="29" t="s">
        <v>962</v>
      </c>
      <c r="D149" s="164">
        <v>43630</v>
      </c>
      <c r="E149" s="29" t="s">
        <v>73</v>
      </c>
      <c r="F149" s="29" t="s">
        <v>15</v>
      </c>
      <c r="G149" s="31">
        <v>0.60416666666666696</v>
      </c>
      <c r="H149" s="31">
        <v>0.64583333333333304</v>
      </c>
      <c r="I149" s="157" t="s">
        <v>522</v>
      </c>
      <c r="J149" s="55" t="s">
        <v>75</v>
      </c>
      <c r="K149" s="65" t="s">
        <v>15</v>
      </c>
      <c r="L149" s="54"/>
    </row>
    <row r="150" spans="1:12" s="13" customFormat="1" ht="58" x14ac:dyDescent="0.35">
      <c r="A150" s="155">
        <v>43612</v>
      </c>
      <c r="B150" s="17" t="s">
        <v>537</v>
      </c>
      <c r="C150" s="17" t="s">
        <v>961</v>
      </c>
      <c r="D150" s="125">
        <v>43630</v>
      </c>
      <c r="E150" s="17" t="s">
        <v>97</v>
      </c>
      <c r="F150" s="17" t="s">
        <v>15</v>
      </c>
      <c r="G150" s="17" t="s">
        <v>49</v>
      </c>
      <c r="H150" s="17" t="s">
        <v>49</v>
      </c>
      <c r="I150" s="65" t="s">
        <v>960</v>
      </c>
      <c r="J150" s="17" t="s">
        <v>959</v>
      </c>
      <c r="K150" s="65" t="s">
        <v>15</v>
      </c>
      <c r="L150" s="154" t="s">
        <v>17</v>
      </c>
    </row>
    <row r="151" spans="1:12" s="13" customFormat="1" ht="29" x14ac:dyDescent="0.35">
      <c r="A151" s="155">
        <v>43561</v>
      </c>
      <c r="B151" s="29" t="s">
        <v>767</v>
      </c>
      <c r="C151" s="29" t="s">
        <v>958</v>
      </c>
      <c r="D151" s="142">
        <v>43631</v>
      </c>
      <c r="E151" s="29" t="s">
        <v>49</v>
      </c>
      <c r="F151" s="29" t="s">
        <v>15</v>
      </c>
      <c r="G151" s="29" t="s">
        <v>49</v>
      </c>
      <c r="H151" s="29" t="s">
        <v>49</v>
      </c>
      <c r="I151" s="157" t="s">
        <v>49</v>
      </c>
      <c r="J151" s="55" t="s">
        <v>75</v>
      </c>
      <c r="K151" s="65" t="s">
        <v>15</v>
      </c>
      <c r="L151" s="54"/>
    </row>
    <row r="152" spans="1:12" s="13" customFormat="1" ht="58" x14ac:dyDescent="0.35">
      <c r="A152" s="155">
        <v>43573</v>
      </c>
      <c r="B152" s="29" t="s">
        <v>764</v>
      </c>
      <c r="C152" s="29" t="s">
        <v>957</v>
      </c>
      <c r="D152" s="142">
        <v>43631</v>
      </c>
      <c r="E152" s="29" t="s">
        <v>73</v>
      </c>
      <c r="F152" s="29" t="s">
        <v>15</v>
      </c>
      <c r="G152" s="31">
        <v>0.58333333333333304</v>
      </c>
      <c r="H152" s="31">
        <v>0.625</v>
      </c>
      <c r="I152" s="157" t="s">
        <v>956</v>
      </c>
      <c r="J152" s="55" t="s">
        <v>75</v>
      </c>
      <c r="K152" s="65" t="s">
        <v>15</v>
      </c>
      <c r="L152" s="54"/>
    </row>
    <row r="153" spans="1:12" s="13" customFormat="1" ht="130.5" x14ac:dyDescent="0.35">
      <c r="A153" s="155">
        <v>43609</v>
      </c>
      <c r="B153" s="29" t="s">
        <v>750</v>
      </c>
      <c r="C153" s="29" t="s">
        <v>749</v>
      </c>
      <c r="D153" s="142">
        <v>43632</v>
      </c>
      <c r="E153" s="111" t="s">
        <v>748</v>
      </c>
      <c r="F153" s="29" t="s">
        <v>15</v>
      </c>
      <c r="G153" s="31">
        <v>0.75</v>
      </c>
      <c r="H153" s="31">
        <v>0.79166666666666696</v>
      </c>
      <c r="I153" s="157">
        <v>585</v>
      </c>
      <c r="J153" s="55" t="s">
        <v>257</v>
      </c>
      <c r="K153" s="65" t="s">
        <v>15</v>
      </c>
      <c r="L153" s="54" t="s">
        <v>22</v>
      </c>
    </row>
    <row r="154" spans="1:12" s="13" customFormat="1" ht="29" x14ac:dyDescent="0.35">
      <c r="A154" s="155">
        <v>43612</v>
      </c>
      <c r="B154" s="29" t="s">
        <v>572</v>
      </c>
      <c r="C154" s="29" t="s">
        <v>571</v>
      </c>
      <c r="D154" s="142">
        <v>43645</v>
      </c>
      <c r="E154" s="29" t="s">
        <v>210</v>
      </c>
      <c r="F154" s="29" t="s">
        <v>49</v>
      </c>
      <c r="G154" s="29" t="s">
        <v>49</v>
      </c>
      <c r="H154" s="29" t="s">
        <v>49</v>
      </c>
      <c r="I154" s="157" t="s">
        <v>49</v>
      </c>
      <c r="J154" s="17" t="s">
        <v>49</v>
      </c>
      <c r="K154" s="65" t="s">
        <v>15</v>
      </c>
      <c r="L154" s="154" t="s">
        <v>330</v>
      </c>
    </row>
    <row r="155" spans="1:12" s="13" customFormat="1" ht="101.5" x14ac:dyDescent="0.35">
      <c r="A155" s="155">
        <v>43571</v>
      </c>
      <c r="B155" s="29" t="s">
        <v>553</v>
      </c>
      <c r="C155" s="29" t="s">
        <v>552</v>
      </c>
      <c r="D155" s="142">
        <v>43652</v>
      </c>
      <c r="E155" s="29" t="s">
        <v>437</v>
      </c>
      <c r="F155" s="29" t="s">
        <v>15</v>
      </c>
      <c r="G155" s="29" t="s">
        <v>49</v>
      </c>
      <c r="H155" s="29" t="s">
        <v>49</v>
      </c>
      <c r="I155" s="157" t="s">
        <v>551</v>
      </c>
      <c r="J155" s="55" t="s">
        <v>75</v>
      </c>
      <c r="K155" s="65" t="s">
        <v>15</v>
      </c>
      <c r="L155" s="154"/>
    </row>
    <row r="156" spans="1:12" s="13" customFormat="1" ht="72.5" x14ac:dyDescent="0.35">
      <c r="A156" s="155">
        <v>43593</v>
      </c>
      <c r="B156" s="32" t="s">
        <v>544</v>
      </c>
      <c r="C156" s="32" t="s">
        <v>543</v>
      </c>
      <c r="D156" s="199">
        <v>43652</v>
      </c>
      <c r="E156" s="32"/>
      <c r="F156" s="32"/>
      <c r="G156" s="32"/>
      <c r="H156" s="109" t="s">
        <v>49</v>
      </c>
      <c r="I156" s="135" t="s">
        <v>49</v>
      </c>
      <c r="J156" s="55"/>
      <c r="K156" s="65" t="s">
        <v>542</v>
      </c>
      <c r="L156" s="154"/>
    </row>
    <row r="157" spans="1:12" s="13" customFormat="1" ht="174" x14ac:dyDescent="0.35">
      <c r="A157" s="155">
        <v>43612</v>
      </c>
      <c r="B157" s="17" t="s">
        <v>537</v>
      </c>
      <c r="C157" s="17" t="s">
        <v>536</v>
      </c>
      <c r="D157" s="125">
        <v>43660</v>
      </c>
      <c r="E157" s="17" t="s">
        <v>101</v>
      </c>
      <c r="F157" s="17" t="s">
        <v>15</v>
      </c>
      <c r="G157" s="17" t="s">
        <v>49</v>
      </c>
      <c r="H157" s="17" t="s">
        <v>49</v>
      </c>
      <c r="I157" s="65" t="s">
        <v>535</v>
      </c>
      <c r="J157" s="17" t="s">
        <v>534</v>
      </c>
      <c r="K157" s="65" t="s">
        <v>15</v>
      </c>
      <c r="L157" s="154" t="s">
        <v>17</v>
      </c>
    </row>
    <row r="158" spans="1:12" s="13" customFormat="1" ht="87" x14ac:dyDescent="0.35">
      <c r="A158" s="198">
        <v>43570</v>
      </c>
      <c r="B158" s="123" t="s">
        <v>71</v>
      </c>
      <c r="C158" s="123" t="s">
        <v>72</v>
      </c>
      <c r="D158" s="124">
        <v>43708</v>
      </c>
      <c r="E158" s="123" t="s">
        <v>73</v>
      </c>
      <c r="F158" s="123" t="s">
        <v>15</v>
      </c>
      <c r="G158" s="123" t="s">
        <v>49</v>
      </c>
      <c r="H158" s="123" t="s">
        <v>49</v>
      </c>
      <c r="I158" s="127" t="s">
        <v>74</v>
      </c>
      <c r="J158" s="22" t="s">
        <v>75</v>
      </c>
      <c r="K158" s="121" t="s">
        <v>15</v>
      </c>
      <c r="L158" s="194"/>
    </row>
    <row r="159" spans="1:12" s="13" customFormat="1" x14ac:dyDescent="0.35">
      <c r="A159" s="192"/>
      <c r="B159" s="29"/>
      <c r="C159" s="29"/>
      <c r="D159" s="142"/>
      <c r="E159" s="29"/>
      <c r="F159" s="31"/>
      <c r="G159" s="31"/>
      <c r="H159" s="31"/>
      <c r="I159" s="65"/>
      <c r="J159" s="17"/>
      <c r="K159" s="65"/>
      <c r="L159" s="154"/>
    </row>
    <row r="160" spans="1:12" s="13" customFormat="1" x14ac:dyDescent="0.35">
      <c r="A160" s="192"/>
      <c r="B160" s="29"/>
      <c r="C160" s="29"/>
      <c r="D160" s="142"/>
      <c r="E160" s="29"/>
      <c r="F160" s="29"/>
      <c r="G160" s="31"/>
      <c r="H160" s="31"/>
      <c r="I160" s="65"/>
      <c r="J160" s="29"/>
      <c r="K160" s="157"/>
      <c r="L160" s="197"/>
    </row>
    <row r="161" spans="1:12" s="13" customFormat="1" x14ac:dyDescent="0.35">
      <c r="A161" s="192"/>
      <c r="B161" s="29"/>
      <c r="C161" s="29"/>
      <c r="D161" s="142"/>
      <c r="E161" s="29"/>
      <c r="F161" s="29"/>
      <c r="G161" s="31"/>
      <c r="H161" s="31"/>
      <c r="I161" s="65"/>
      <c r="J161" s="17"/>
      <c r="K161" s="65"/>
      <c r="L161" s="154"/>
    </row>
    <row r="162" spans="1:12" s="13" customFormat="1" x14ac:dyDescent="0.35">
      <c r="A162" s="196"/>
      <c r="B162" s="22"/>
      <c r="C162" s="22"/>
      <c r="D162" s="126"/>
      <c r="E162" s="22"/>
      <c r="F162" s="22"/>
      <c r="G162" s="79"/>
      <c r="H162" s="79"/>
      <c r="I162" s="121"/>
      <c r="J162" s="22"/>
      <c r="K162" s="121"/>
      <c r="L162" s="194"/>
    </row>
    <row r="163" spans="1:12" s="13" customFormat="1" x14ac:dyDescent="0.35">
      <c r="A163" s="192"/>
      <c r="B163" s="22"/>
      <c r="C163" s="22"/>
      <c r="D163" s="23"/>
      <c r="E163" s="22"/>
      <c r="F163" s="22"/>
      <c r="G163" s="79"/>
      <c r="H163" s="79"/>
      <c r="I163" s="121"/>
      <c r="J163" s="22"/>
      <c r="K163" s="121"/>
      <c r="L163" s="194"/>
    </row>
    <row r="164" spans="1:12" s="13" customFormat="1" x14ac:dyDescent="0.35">
      <c r="A164" s="192"/>
      <c r="B164" s="22"/>
      <c r="C164" s="22"/>
      <c r="D164" s="126"/>
      <c r="E164" s="22"/>
      <c r="F164" s="22"/>
      <c r="G164" s="79"/>
      <c r="H164" s="79"/>
      <c r="I164" s="121"/>
      <c r="J164" s="22"/>
      <c r="K164" s="121"/>
      <c r="L164" s="194"/>
    </row>
    <row r="165" spans="1:12" s="13" customFormat="1" x14ac:dyDescent="0.35">
      <c r="A165" s="192"/>
      <c r="B165" s="123"/>
      <c r="C165" s="123"/>
      <c r="D165" s="124"/>
      <c r="E165" s="195"/>
      <c r="F165" s="123"/>
      <c r="G165" s="129"/>
      <c r="H165" s="129"/>
      <c r="I165" s="121"/>
      <c r="J165" s="22"/>
      <c r="K165" s="121"/>
      <c r="L165" s="194"/>
    </row>
    <row r="166" spans="1:12" s="13" customFormat="1" x14ac:dyDescent="0.35">
      <c r="A166" s="192"/>
      <c r="B166" s="29"/>
      <c r="C166" s="29"/>
      <c r="D166" s="142"/>
      <c r="E166" s="29"/>
      <c r="F166" s="29"/>
      <c r="G166" s="31"/>
      <c r="H166" s="31"/>
      <c r="I166" s="65"/>
      <c r="J166" s="17"/>
      <c r="K166" s="65"/>
      <c r="L166" s="65"/>
    </row>
    <row r="167" spans="1:12" s="13" customFormat="1" x14ac:dyDescent="0.35">
      <c r="A167" s="192"/>
      <c r="B167" s="123"/>
      <c r="C167" s="123"/>
      <c r="D167" s="124"/>
      <c r="E167" s="123"/>
      <c r="F167" s="123"/>
      <c r="G167" s="123"/>
      <c r="H167" s="123"/>
      <c r="I167" s="121"/>
      <c r="J167" s="22"/>
      <c r="K167" s="121"/>
      <c r="L167" s="194"/>
    </row>
    <row r="168" spans="1:12" s="13" customFormat="1" x14ac:dyDescent="0.35">
      <c r="A168" s="192"/>
      <c r="B168" s="29"/>
      <c r="C168" s="29"/>
      <c r="D168" s="142"/>
      <c r="E168" s="29"/>
      <c r="F168" s="29"/>
      <c r="G168" s="29"/>
      <c r="H168" s="29"/>
      <c r="I168" s="65"/>
      <c r="J168" s="17"/>
      <c r="K168" s="65"/>
      <c r="L168" s="154"/>
    </row>
    <row r="169" spans="1:12" s="13" customFormat="1" x14ac:dyDescent="0.35">
      <c r="A169" s="192"/>
      <c r="B169" s="29"/>
      <c r="C169" s="29"/>
      <c r="D169" s="169"/>
      <c r="E169" s="29"/>
      <c r="F169" s="168"/>
      <c r="G169" s="31"/>
      <c r="H169" s="31"/>
      <c r="I169" s="193"/>
      <c r="J169" s="37"/>
      <c r="K169" s="37"/>
      <c r="L169" s="154"/>
    </row>
    <row r="170" spans="1:12" s="13" customFormat="1" x14ac:dyDescent="0.35">
      <c r="A170" s="192"/>
      <c r="B170" s="29"/>
      <c r="C170" s="29"/>
      <c r="D170" s="142"/>
      <c r="E170" s="29"/>
      <c r="F170" s="29"/>
      <c r="G170" s="31"/>
      <c r="H170" s="31"/>
      <c r="I170" s="65"/>
      <c r="J170" s="17"/>
      <c r="K170" s="65"/>
      <c r="L170" s="154"/>
    </row>
    <row r="171" spans="1:12" s="13" customFormat="1" x14ac:dyDescent="0.35">
      <c r="A171" s="192"/>
      <c r="B171" s="17"/>
      <c r="C171" s="17"/>
      <c r="D171" s="125"/>
      <c r="E171" s="17"/>
      <c r="F171" s="17"/>
      <c r="G171" s="26"/>
      <c r="H171" s="26"/>
      <c r="I171" s="65"/>
      <c r="J171" s="17"/>
      <c r="K171" s="65"/>
      <c r="L171" s="154"/>
    </row>
    <row r="172" spans="1:12" s="13" customFormat="1" x14ac:dyDescent="0.35">
      <c r="A172" s="192"/>
      <c r="B172" s="17"/>
      <c r="C172" s="17"/>
      <c r="D172" s="18"/>
      <c r="E172" s="109"/>
      <c r="F172" s="177"/>
      <c r="G172" s="177"/>
      <c r="H172" s="26"/>
      <c r="I172" s="191"/>
      <c r="J172" s="42"/>
      <c r="K172" s="65"/>
      <c r="L172" s="154"/>
    </row>
  </sheetData>
  <conditionalFormatting sqref="A2:A3">
    <cfRule type="cellIs" dxfId="151" priority="1" operator="equal">
      <formula>TODAY()</formula>
    </cfRule>
  </conditionalFormatting>
  <conditionalFormatting sqref="A15:B18 A27 A6:K14 K15:K18 A19:K25 A1:AMH1 A2:K3 N2:O2 A95:AMI95 L93:AMI94 A39:E39 G39:K39 A38:K38 A37:F37 I37:K37 G36:H36 A62:K63 M96:AMI103 A40:AMH50 L117:AMI117 A120:C121 K90:AMI92 A106:AMI107 L52:AMH89 A64:A94 A137 M137:AMI137 A110:AMI114 A104:J105 L104:AMI105 P2:AMH6 L5:M5 L6:O6 A142:D143 L119:AMI119 M118:AMI118 M115:AMI116 A117:D118 F142:AMI143 A122:AMI123 A144:AMI158 A124:D124 F124:AMI124 A136:AMI136 A138:AMI139 E120:AMI121 A141:AMI141 A125:AMI134 A173:AMI1048576 M159:AMI172 A28:K35 L7:AMH39">
    <cfRule type="cellIs" dxfId="150" priority="2" operator="equal">
      <formula>TODAY()</formula>
    </cfRule>
    <cfRule type="cellIs" dxfId="149" priority="3" operator="equal">
      <formula>TODAY()</formula>
    </cfRule>
  </conditionalFormatting>
  <conditionalFormatting sqref="C15:I18 G99:H103 B64:K68 A52:K59 J99:L101 B89:E89 G89:K89 J102:J103 L102:L103">
    <cfRule type="cellIs" dxfId="148" priority="4" operator="equal">
      <formula>TODAY()</formula>
    </cfRule>
    <cfRule type="cellIs" dxfId="147" priority="5" operator="equal">
      <formula>TODAY()</formula>
    </cfRule>
  </conditionalFormatting>
  <conditionalFormatting sqref="J15:J18">
    <cfRule type="cellIs" dxfId="146" priority="6" operator="equal">
      <formula>TODAY()</formula>
    </cfRule>
    <cfRule type="cellIs" dxfId="145" priority="7" operator="equal">
      <formula>TODAY()</formula>
    </cfRule>
  </conditionalFormatting>
  <conditionalFormatting sqref="A4">
    <cfRule type="cellIs" dxfId="144" priority="8" operator="equal">
      <formula>TODAY()</formula>
    </cfRule>
  </conditionalFormatting>
  <conditionalFormatting sqref="A4:K4">
    <cfRule type="cellIs" dxfId="143" priority="9" operator="equal">
      <formula>TODAY()</formula>
    </cfRule>
    <cfRule type="cellIs" dxfId="142" priority="10" operator="equal">
      <formula>TODAY()</formula>
    </cfRule>
  </conditionalFormatting>
  <conditionalFormatting sqref="A5:K5">
    <cfRule type="cellIs" dxfId="141" priority="11" operator="equal">
      <formula>TODAY()</formula>
    </cfRule>
    <cfRule type="cellIs" dxfId="140" priority="12" operator="equal">
      <formula>TODAY()</formula>
    </cfRule>
  </conditionalFormatting>
  <conditionalFormatting sqref="A26:K26">
    <cfRule type="cellIs" dxfId="139" priority="13" operator="equal">
      <formula>TODAY()</formula>
    </cfRule>
    <cfRule type="cellIs" dxfId="138" priority="14" operator="equal">
      <formula>TODAY()</formula>
    </cfRule>
  </conditionalFormatting>
  <conditionalFormatting sqref="B27:K27">
    <cfRule type="cellIs" dxfId="137" priority="15" operator="equal">
      <formula>TODAY()</formula>
    </cfRule>
    <cfRule type="cellIs" dxfId="136" priority="16" operator="equal">
      <formula>TODAY()</formula>
    </cfRule>
  </conditionalFormatting>
  <conditionalFormatting sqref="A60:D61 G60:K60 H61:K61">
    <cfRule type="cellIs" dxfId="135" priority="17" operator="equal">
      <formula>TODAY()</formula>
    </cfRule>
    <cfRule type="cellIs" dxfId="134" priority="18" operator="equal">
      <formula>TODAY()</formula>
    </cfRule>
  </conditionalFormatting>
  <conditionalFormatting sqref="E60:E61">
    <cfRule type="cellIs" dxfId="133" priority="19" operator="equal">
      <formula>TODAY()</formula>
    </cfRule>
    <cfRule type="cellIs" dxfId="132" priority="20" operator="equal">
      <formula>TODAY()</formula>
    </cfRule>
  </conditionalFormatting>
  <conditionalFormatting sqref="F60:F61">
    <cfRule type="cellIs" dxfId="131" priority="21" operator="equal">
      <formula>TODAY()</formula>
    </cfRule>
    <cfRule type="cellIs" dxfId="130" priority="22" operator="equal">
      <formula>TODAY()</formula>
    </cfRule>
  </conditionalFormatting>
  <conditionalFormatting sqref="O3">
    <cfRule type="cellIs" dxfId="129" priority="23" operator="equal">
      <formula>TODAY()</formula>
    </cfRule>
    <cfRule type="cellIs" dxfId="128" priority="24" operator="equal">
      <formula>TODAY()</formula>
    </cfRule>
  </conditionalFormatting>
  <conditionalFormatting sqref="B69:K73">
    <cfRule type="cellIs" dxfId="127" priority="25" operator="equal">
      <formula>TODAY()</formula>
    </cfRule>
    <cfRule type="cellIs" dxfId="126" priority="26" operator="equal">
      <formula>TODAY()</formula>
    </cfRule>
  </conditionalFormatting>
  <conditionalFormatting sqref="B77:E77 G77:K77 B74:K76">
    <cfRule type="cellIs" dxfId="125" priority="27" operator="equal">
      <formula>TODAY()</formula>
    </cfRule>
    <cfRule type="cellIs" dxfId="124" priority="28" operator="equal">
      <formula>TODAY()</formula>
    </cfRule>
  </conditionalFormatting>
  <conditionalFormatting sqref="B78:K88">
    <cfRule type="cellIs" dxfId="123" priority="29" operator="equal">
      <formula>TODAY()</formula>
    </cfRule>
    <cfRule type="cellIs" dxfId="122" priority="30" operator="equal">
      <formula>TODAY()</formula>
    </cfRule>
  </conditionalFormatting>
  <conditionalFormatting sqref="B90:I92">
    <cfRule type="cellIs" dxfId="121" priority="31" operator="equal">
      <formula>TODAY()</formula>
    </cfRule>
    <cfRule type="cellIs" dxfId="120" priority="32" operator="equal">
      <formula>TODAY()</formula>
    </cfRule>
  </conditionalFormatting>
  <conditionalFormatting sqref="B93:K94">
    <cfRule type="cellIs" dxfId="119" priority="33" operator="equal">
      <formula>TODAY()</formula>
    </cfRule>
    <cfRule type="cellIs" dxfId="118" priority="34" operator="equal">
      <formula>TODAY()</formula>
    </cfRule>
  </conditionalFormatting>
  <conditionalFormatting sqref="A51:D51 G51:AMH51">
    <cfRule type="cellIs" dxfId="117" priority="35" operator="equal">
      <formula>TODAY()</formula>
    </cfRule>
    <cfRule type="cellIs" dxfId="116" priority="36" operator="equal">
      <formula>TODAY()</formula>
    </cfRule>
  </conditionalFormatting>
  <conditionalFormatting sqref="A36">
    <cfRule type="cellIs" dxfId="115" priority="37" operator="equal">
      <formula>TODAY()</formula>
    </cfRule>
    <cfRule type="cellIs" dxfId="114" priority="38" operator="equal">
      <formula>TODAY()</formula>
    </cfRule>
  </conditionalFormatting>
  <conditionalFormatting sqref="E51">
    <cfRule type="cellIs" dxfId="113" priority="39" operator="equal">
      <formula>TODAY()</formula>
    </cfRule>
    <cfRule type="cellIs" dxfId="112" priority="40" operator="equal">
      <formula>TODAY()</formula>
    </cfRule>
  </conditionalFormatting>
  <conditionalFormatting sqref="F51">
    <cfRule type="cellIs" dxfId="111" priority="41" operator="equal">
      <formula>TODAY()</formula>
    </cfRule>
    <cfRule type="cellIs" dxfId="110" priority="42" operator="equal">
      <formula>TODAY()</formula>
    </cfRule>
  </conditionalFormatting>
  <conditionalFormatting sqref="O4">
    <cfRule type="cellIs" dxfId="109" priority="43" operator="equal">
      <formula>TODAY()</formula>
    </cfRule>
    <cfRule type="cellIs" dxfId="108" priority="44" operator="equal">
      <formula>TODAY()</formula>
    </cfRule>
  </conditionalFormatting>
  <conditionalFormatting sqref="A96:L98 A99:F103">
    <cfRule type="cellIs" dxfId="107" priority="45" operator="equal">
      <formula>TODAY()</formula>
    </cfRule>
    <cfRule type="cellIs" dxfId="106" priority="46" operator="equal">
      <formula>TODAY()</formula>
    </cfRule>
  </conditionalFormatting>
  <conditionalFormatting sqref="G61">
    <cfRule type="cellIs" dxfId="105" priority="47" operator="equal">
      <formula>TODAY()</formula>
    </cfRule>
    <cfRule type="cellIs" dxfId="104" priority="48" operator="equal">
      <formula>TODAY()</formula>
    </cfRule>
  </conditionalFormatting>
  <conditionalFormatting sqref="F77">
    <cfRule type="cellIs" dxfId="103" priority="49" operator="equal">
      <formula>TODAY()</formula>
    </cfRule>
    <cfRule type="cellIs" dxfId="102" priority="50" operator="equal">
      <formula>TODAY()</formula>
    </cfRule>
  </conditionalFormatting>
  <conditionalFormatting sqref="B119:K119">
    <cfRule type="cellIs" dxfId="101" priority="51" operator="equal">
      <formula>TODAY()</formula>
    </cfRule>
    <cfRule type="cellIs" dxfId="100" priority="52" operator="equal">
      <formula>TODAY()</formula>
    </cfRule>
  </conditionalFormatting>
  <conditionalFormatting sqref="E117:K117 E118:I118">
    <cfRule type="cellIs" dxfId="99" priority="53" operator="equal">
      <formula>TODAY()</formula>
    </cfRule>
    <cfRule type="cellIs" dxfId="98" priority="54" operator="equal">
      <formula>TODAY()</formula>
    </cfRule>
  </conditionalFormatting>
  <conditionalFormatting sqref="A119">
    <cfRule type="cellIs" dxfId="97" priority="55" operator="equal">
      <formula>TODAY()</formula>
    </cfRule>
    <cfRule type="cellIs" dxfId="96" priority="56" operator="equal">
      <formula>TODAY()</formula>
    </cfRule>
  </conditionalFormatting>
  <conditionalFormatting sqref="D120:D121">
    <cfRule type="cellIs" dxfId="95" priority="57" operator="equal">
      <formula>TODAY()</formula>
    </cfRule>
    <cfRule type="cellIs" dxfId="94" priority="58" operator="equal">
      <formula>TODAY()</formula>
    </cfRule>
  </conditionalFormatting>
  <conditionalFormatting sqref="J90:J92">
    <cfRule type="cellIs" dxfId="93" priority="59" operator="equal">
      <formula>TODAY()</formula>
    </cfRule>
    <cfRule type="cellIs" dxfId="92" priority="60" operator="equal">
      <formula>TODAY()</formula>
    </cfRule>
  </conditionalFormatting>
  <conditionalFormatting sqref="L137">
    <cfRule type="cellIs" dxfId="91" priority="61" operator="equal">
      <formula>TODAY()</formula>
    </cfRule>
    <cfRule type="cellIs" dxfId="90" priority="62" operator="equal">
      <formula>TODAY()</formula>
    </cfRule>
  </conditionalFormatting>
  <conditionalFormatting sqref="B137:F137 I137:K137">
    <cfRule type="cellIs" dxfId="89" priority="63" operator="equal">
      <formula>TODAY()</formula>
    </cfRule>
    <cfRule type="cellIs" dxfId="88" priority="64" operator="equal">
      <formula>TODAY()</formula>
    </cfRule>
  </conditionalFormatting>
  <conditionalFormatting sqref="L108:AMI109 A108:E109 G108:I109">
    <cfRule type="cellIs" dxfId="87" priority="65" operator="equal">
      <formula>TODAY()</formula>
    </cfRule>
    <cfRule type="cellIs" dxfId="86" priority="66" operator="equal">
      <formula>TODAY()</formula>
    </cfRule>
  </conditionalFormatting>
  <conditionalFormatting sqref="K108:K109">
    <cfRule type="cellIs" dxfId="85" priority="67" operator="equal">
      <formula>TODAY()</formula>
    </cfRule>
    <cfRule type="cellIs" dxfId="84" priority="68" operator="equal">
      <formula>TODAY()</formula>
    </cfRule>
  </conditionalFormatting>
  <conditionalFormatting sqref="J108:J109">
    <cfRule type="cellIs" dxfId="83" priority="69" operator="equal">
      <formula>TODAY()</formula>
    </cfRule>
    <cfRule type="cellIs" dxfId="82" priority="70" operator="equal">
      <formula>TODAY()</formula>
    </cfRule>
  </conditionalFormatting>
  <conditionalFormatting sqref="K102">
    <cfRule type="cellIs" dxfId="81" priority="71" operator="equal">
      <formula>TODAY()</formula>
    </cfRule>
    <cfRule type="cellIs" dxfId="80" priority="72" operator="equal">
      <formula>TODAY()</formula>
    </cfRule>
  </conditionalFormatting>
  <conditionalFormatting sqref="K103">
    <cfRule type="cellIs" dxfId="79" priority="73" operator="equal">
      <formula>TODAY()</formula>
    </cfRule>
    <cfRule type="cellIs" dxfId="78" priority="74" operator="equal">
      <formula>TODAY()</formula>
    </cfRule>
  </conditionalFormatting>
  <conditionalFormatting sqref="K104">
    <cfRule type="cellIs" dxfId="77" priority="75" operator="equal">
      <formula>TODAY()</formula>
    </cfRule>
    <cfRule type="cellIs" dxfId="76" priority="76" operator="equal">
      <formula>TODAY()</formula>
    </cfRule>
  </conditionalFormatting>
  <conditionalFormatting sqref="K105">
    <cfRule type="cellIs" dxfId="75" priority="77" operator="equal">
      <formula>TODAY()</formula>
    </cfRule>
    <cfRule type="cellIs" dxfId="74" priority="78" operator="equal">
      <formula>TODAY()</formula>
    </cfRule>
  </conditionalFormatting>
  <conditionalFormatting sqref="E142:E143">
    <cfRule type="cellIs" dxfId="73" priority="79" operator="equal">
      <formula>TODAY()</formula>
    </cfRule>
    <cfRule type="cellIs" dxfId="72" priority="80" operator="equal">
      <formula>TODAY()</formula>
    </cfRule>
  </conditionalFormatting>
  <conditionalFormatting sqref="F108">
    <cfRule type="cellIs" dxfId="71" priority="81" operator="equal">
      <formula>TODAY()</formula>
    </cfRule>
    <cfRule type="cellIs" dxfId="70" priority="82" operator="equal">
      <formula>TODAY()</formula>
    </cfRule>
  </conditionalFormatting>
  <conditionalFormatting sqref="F109">
    <cfRule type="cellIs" dxfId="69" priority="83" operator="equal">
      <formula>TODAY()</formula>
    </cfRule>
    <cfRule type="cellIs" dxfId="68" priority="84" operator="equal">
      <formula>TODAY()</formula>
    </cfRule>
  </conditionalFormatting>
  <conditionalFormatting sqref="L118">
    <cfRule type="cellIs" dxfId="67" priority="85" operator="equal">
      <formula>TODAY()</formula>
    </cfRule>
    <cfRule type="cellIs" dxfId="66" priority="86" operator="equal">
      <formula>TODAY()</formula>
    </cfRule>
  </conditionalFormatting>
  <conditionalFormatting sqref="J118:K118">
    <cfRule type="cellIs" dxfId="65" priority="87" operator="equal">
      <formula>TODAY()</formula>
    </cfRule>
    <cfRule type="cellIs" dxfId="64" priority="88" operator="equal">
      <formula>TODAY()</formula>
    </cfRule>
  </conditionalFormatting>
  <conditionalFormatting sqref="A115:D116 L115:L116">
    <cfRule type="cellIs" dxfId="63" priority="89" operator="equal">
      <formula>TODAY()</formula>
    </cfRule>
    <cfRule type="cellIs" dxfId="62" priority="90" operator="equal">
      <formula>TODAY()</formula>
    </cfRule>
  </conditionalFormatting>
  <conditionalFormatting sqref="E115:K116">
    <cfRule type="cellIs" dxfId="61" priority="91" operator="equal">
      <formula>TODAY()</formula>
    </cfRule>
    <cfRule type="cellIs" dxfId="60" priority="92" operator="equal">
      <formula>TODAY()</formula>
    </cfRule>
  </conditionalFormatting>
  <conditionalFormatting sqref="A135:AMI135">
    <cfRule type="cellIs" dxfId="59" priority="93" operator="equal">
      <formula>TODAY()</formula>
    </cfRule>
    <cfRule type="cellIs" dxfId="58" priority="94" operator="equal">
      <formula>TODAY()</formula>
    </cfRule>
  </conditionalFormatting>
  <conditionalFormatting sqref="G137">
    <cfRule type="cellIs" dxfId="57" priority="95" operator="equal">
      <formula>TODAY()</formula>
    </cfRule>
    <cfRule type="cellIs" dxfId="56" priority="96" operator="equal">
      <formula>TODAY()</formula>
    </cfRule>
  </conditionalFormatting>
  <conditionalFormatting sqref="H137">
    <cfRule type="cellIs" dxfId="55" priority="97" operator="equal">
      <formula>TODAY()</formula>
    </cfRule>
    <cfRule type="cellIs" dxfId="54" priority="98" operator="equal">
      <formula>TODAY()</formula>
    </cfRule>
  </conditionalFormatting>
  <conditionalFormatting sqref="A140:AMI140">
    <cfRule type="cellIs" dxfId="53" priority="99" operator="equal">
      <formula>TODAY()</formula>
    </cfRule>
    <cfRule type="cellIs" dxfId="52" priority="100" operator="equal">
      <formula>TODAY()</formula>
    </cfRule>
  </conditionalFormatting>
  <conditionalFormatting sqref="O5">
    <cfRule type="cellIs" dxfId="51" priority="101" operator="equal">
      <formula>TODAY()</formula>
    </cfRule>
    <cfRule type="cellIs" dxfId="50" priority="102" operator="equal">
      <formula>TODAY()</formula>
    </cfRule>
  </conditionalFormatting>
  <conditionalFormatting sqref="B168:L168 B166:H166 J166:L166 K167:L167 A159:L162 B163:L165 B170:L172">
    <cfRule type="cellIs" dxfId="49" priority="103" operator="equal">
      <formula>TODAY()</formula>
    </cfRule>
    <cfRule type="cellIs" dxfId="48" priority="104" operator="equal">
      <formula>TODAY()</formula>
    </cfRule>
  </conditionalFormatting>
  <conditionalFormatting sqref="B167:H167 J167">
    <cfRule type="cellIs" dxfId="47" priority="105" operator="equal">
      <formula>TODAY()</formula>
    </cfRule>
    <cfRule type="cellIs" dxfId="46" priority="106" operator="equal">
      <formula>TODAY()</formula>
    </cfRule>
  </conditionalFormatting>
  <conditionalFormatting sqref="L169">
    <cfRule type="cellIs" dxfId="45" priority="107" operator="equal">
      <formula>TODAY()</formula>
    </cfRule>
    <cfRule type="cellIs" dxfId="44" priority="108" operator="equal">
      <formula>TODAY()</formula>
    </cfRule>
  </conditionalFormatting>
  <conditionalFormatting sqref="B169:K169">
    <cfRule type="cellIs" dxfId="43" priority="109" operator="equal">
      <formula>TODAY()</formula>
    </cfRule>
    <cfRule type="cellIs" dxfId="42" priority="110" operator="equal">
      <formula>TODAY()</formula>
    </cfRule>
  </conditionalFormatting>
  <conditionalFormatting sqref="A163:A172">
    <cfRule type="cellIs" dxfId="41" priority="111" operator="equal">
      <formula>TODAY()</formula>
    </cfRule>
    <cfRule type="cellIs" dxfId="40" priority="112" operator="equal">
      <formula>TODAY()</formula>
    </cfRule>
  </conditionalFormatting>
  <printOptions horizontalCentered="1" verticalCentered="1"/>
  <pageMargins left="0" right="0" top="0" bottom="0" header="0.51180555555555496" footer="0.51180555555555496"/>
  <pageSetup paperSize="9" scale="10" firstPageNumber="0" orientation="landscape" horizontalDpi="300" verticalDpi="30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A1:AMK205"/>
  <sheetViews>
    <sheetView zoomScale="85" zoomScaleNormal="85" workbookViewId="0">
      <selection activeCell="J86" sqref="J86"/>
    </sheetView>
  </sheetViews>
  <sheetFormatPr defaultColWidth="8.453125" defaultRowHeight="14.5" x14ac:dyDescent="0.35"/>
  <cols>
    <col min="1" max="1" width="13.453125" style="120" customWidth="1"/>
    <col min="2" max="2" width="21.453125" style="15" customWidth="1"/>
    <col min="3" max="3" width="17.453125" style="120" customWidth="1"/>
    <col min="4" max="4" width="19.54296875" style="15" customWidth="1"/>
    <col min="5" max="5" width="33.453125" style="15" customWidth="1"/>
    <col min="6" max="6" width="13.453125" style="120" customWidth="1"/>
    <col min="7" max="7" width="12.54296875" style="120" customWidth="1"/>
    <col min="8" max="8" width="17.453125" style="15" customWidth="1"/>
    <col min="9" max="9" width="16.453125" style="120" customWidth="1"/>
    <col min="10" max="10" width="15.453125" style="15" customWidth="1"/>
    <col min="11" max="11" width="20.453125" style="120" customWidth="1"/>
    <col min="12" max="13" width="21.453125" style="120" customWidth="1"/>
    <col min="14" max="14" width="8.453125" style="120" customWidth="1"/>
    <col min="15" max="15" width="11.54296875" style="120" customWidth="1"/>
    <col min="16" max="17" width="8.453125" style="120" customWidth="1"/>
    <col min="18" max="18" width="15.453125" style="120" customWidth="1"/>
    <col min="19" max="1025" width="8.453125" style="120" customWidth="1"/>
    <col min="1026" max="16384" width="8.453125" style="13"/>
  </cols>
  <sheetData>
    <row r="1" spans="1:20" ht="18.5" x14ac:dyDescent="0.35">
      <c r="A1" s="341" t="s">
        <v>2093</v>
      </c>
      <c r="C1" s="120">
        <f>COUNTIF(K5:K297,"Nu")</f>
        <v>188</v>
      </c>
      <c r="E1" s="15" t="s">
        <v>516</v>
      </c>
      <c r="F1" s="189">
        <f>SUM(I5:I28)/4.7</f>
        <v>1526.5957446808511</v>
      </c>
      <c r="G1" s="120" t="s">
        <v>515</v>
      </c>
      <c r="H1" s="115">
        <f>SUM(I29:I64)/4.76</f>
        <v>3570.2731092436975</v>
      </c>
      <c r="I1" s="120" t="s">
        <v>514</v>
      </c>
      <c r="J1" s="115">
        <f>SUM(I65:I105)/4.76</f>
        <v>2512.0903361344535</v>
      </c>
      <c r="K1" s="120" t="s">
        <v>2092</v>
      </c>
      <c r="L1" s="189">
        <f>(SUM(I106:I353)+SUM(S2:T3))/4.76</f>
        <v>9983.8865546218476</v>
      </c>
      <c r="R1" s="120" t="s">
        <v>2091</v>
      </c>
      <c r="S1" s="120" t="s">
        <v>2090</v>
      </c>
      <c r="T1" s="120" t="s">
        <v>2089</v>
      </c>
    </row>
    <row r="2" spans="1:20" x14ac:dyDescent="0.35">
      <c r="G2" s="120" t="s">
        <v>2088</v>
      </c>
      <c r="H2" s="115">
        <f>SUM(F1:N1)</f>
        <v>17592.84574468085</v>
      </c>
      <c r="R2" s="120" t="s">
        <v>2087</v>
      </c>
      <c r="S2" s="120">
        <v>1760</v>
      </c>
      <c r="T2" s="120">
        <v>1379</v>
      </c>
    </row>
    <row r="3" spans="1:20" x14ac:dyDescent="0.35">
      <c r="R3" s="120" t="s">
        <v>2086</v>
      </c>
      <c r="S3" s="120">
        <v>2095</v>
      </c>
      <c r="T3" s="120">
        <f>30+3485.2</f>
        <v>3515.2</v>
      </c>
    </row>
    <row r="4" spans="1:20" x14ac:dyDescent="0.35">
      <c r="A4" s="238" t="s">
        <v>0</v>
      </c>
      <c r="B4" s="235" t="s">
        <v>2085</v>
      </c>
      <c r="C4" s="235" t="s">
        <v>2084</v>
      </c>
      <c r="D4" s="235" t="s">
        <v>2083</v>
      </c>
      <c r="E4" s="235" t="s">
        <v>2</v>
      </c>
      <c r="F4" s="237" t="s">
        <v>3</v>
      </c>
      <c r="G4" s="236" t="s">
        <v>2082</v>
      </c>
      <c r="H4" s="235" t="s">
        <v>2081</v>
      </c>
      <c r="I4" s="235" t="s">
        <v>8</v>
      </c>
      <c r="J4" s="235" t="s">
        <v>9</v>
      </c>
      <c r="K4" s="235" t="s">
        <v>2080</v>
      </c>
      <c r="L4" s="235" t="s">
        <v>2079</v>
      </c>
      <c r="M4" s="120" t="s">
        <v>2078</v>
      </c>
      <c r="S4" s="120">
        <f>SUM(S2:S3)</f>
        <v>3855</v>
      </c>
      <c r="T4" s="120">
        <f>SUM(T2:T3)</f>
        <v>4894.2</v>
      </c>
    </row>
    <row r="5" spans="1:20" ht="116" x14ac:dyDescent="0.35">
      <c r="A5" s="198">
        <v>43553</v>
      </c>
      <c r="B5" s="339" t="s">
        <v>2077</v>
      </c>
      <c r="C5" s="338" t="s">
        <v>216</v>
      </c>
      <c r="D5" s="337"/>
      <c r="E5" s="22" t="s">
        <v>2076</v>
      </c>
      <c r="F5" s="336">
        <v>43556</v>
      </c>
      <c r="G5" s="140">
        <v>0.625</v>
      </c>
      <c r="H5" s="22" t="s">
        <v>2021</v>
      </c>
      <c r="I5" s="231">
        <v>2710</v>
      </c>
      <c r="J5" s="222" t="s">
        <v>2075</v>
      </c>
      <c r="K5" s="173" t="s">
        <v>1370</v>
      </c>
      <c r="L5" s="121" t="s">
        <v>216</v>
      </c>
    </row>
    <row r="6" spans="1:20" ht="43.5" x14ac:dyDescent="0.35">
      <c r="A6" s="198">
        <v>43556</v>
      </c>
      <c r="B6" s="339" t="s">
        <v>1431</v>
      </c>
      <c r="C6" s="338" t="s">
        <v>2062</v>
      </c>
      <c r="D6" s="337"/>
      <c r="E6" s="22" t="s">
        <v>2074</v>
      </c>
      <c r="F6" s="336">
        <v>43556</v>
      </c>
      <c r="G6" s="140" t="s">
        <v>2073</v>
      </c>
      <c r="H6" s="22" t="s">
        <v>2072</v>
      </c>
      <c r="I6" s="231">
        <v>153</v>
      </c>
      <c r="J6" s="17" t="s">
        <v>539</v>
      </c>
      <c r="K6" s="173" t="s">
        <v>1370</v>
      </c>
      <c r="L6" s="121" t="s">
        <v>314</v>
      </c>
    </row>
    <row r="7" spans="1:20" ht="29" x14ac:dyDescent="0.35">
      <c r="A7" s="198">
        <v>43556</v>
      </c>
      <c r="B7" s="339" t="s">
        <v>2071</v>
      </c>
      <c r="C7" s="338" t="s">
        <v>330</v>
      </c>
      <c r="D7" s="337"/>
      <c r="E7" s="22" t="s">
        <v>2070</v>
      </c>
      <c r="F7" s="336">
        <v>43557</v>
      </c>
      <c r="G7" s="140">
        <v>0.5</v>
      </c>
      <c r="H7" s="22" t="s">
        <v>1946</v>
      </c>
      <c r="I7" s="340">
        <v>0</v>
      </c>
      <c r="J7" s="17" t="s">
        <v>455</v>
      </c>
      <c r="K7" s="173" t="s">
        <v>1370</v>
      </c>
      <c r="L7" s="121" t="s">
        <v>330</v>
      </c>
    </row>
    <row r="8" spans="1:20" ht="43.5" x14ac:dyDescent="0.35">
      <c r="A8" s="198">
        <v>43556</v>
      </c>
      <c r="B8" s="22" t="s">
        <v>1122</v>
      </c>
      <c r="C8" s="335" t="s">
        <v>2069</v>
      </c>
      <c r="D8" s="22"/>
      <c r="E8" s="22" t="s">
        <v>2068</v>
      </c>
      <c r="F8" s="126">
        <v>43557</v>
      </c>
      <c r="G8" s="140">
        <v>0.8125</v>
      </c>
      <c r="H8" s="22" t="s">
        <v>1522</v>
      </c>
      <c r="I8" s="213">
        <v>152</v>
      </c>
      <c r="J8" s="222" t="s">
        <v>2067</v>
      </c>
      <c r="K8" s="173" t="s">
        <v>1370</v>
      </c>
      <c r="L8" s="121" t="s">
        <v>216</v>
      </c>
    </row>
    <row r="9" spans="1:20" ht="43.5" x14ac:dyDescent="0.35">
      <c r="A9" s="198">
        <v>43551</v>
      </c>
      <c r="B9" s="339" t="s">
        <v>1972</v>
      </c>
      <c r="C9" s="338" t="s">
        <v>2066</v>
      </c>
      <c r="D9" s="337"/>
      <c r="E9" s="22" t="s">
        <v>2065</v>
      </c>
      <c r="F9" s="336">
        <v>43557</v>
      </c>
      <c r="G9" s="140" t="s">
        <v>2064</v>
      </c>
      <c r="H9" s="22" t="s">
        <v>2063</v>
      </c>
      <c r="I9" s="231">
        <v>152</v>
      </c>
      <c r="J9" s="17" t="s">
        <v>257</v>
      </c>
      <c r="K9" s="173" t="s">
        <v>1370</v>
      </c>
      <c r="L9" s="121" t="s">
        <v>17</v>
      </c>
    </row>
    <row r="10" spans="1:20" x14ac:dyDescent="0.35">
      <c r="A10" s="198">
        <v>43556</v>
      </c>
      <c r="B10" s="339" t="s">
        <v>1431</v>
      </c>
      <c r="C10" s="338" t="s">
        <v>2062</v>
      </c>
      <c r="D10" s="337"/>
      <c r="E10" s="22" t="s">
        <v>2061</v>
      </c>
      <c r="F10" s="336">
        <v>43557</v>
      </c>
      <c r="G10" s="140" t="s">
        <v>2060</v>
      </c>
      <c r="H10" s="22" t="s">
        <v>2059</v>
      </c>
      <c r="I10" s="231">
        <v>115</v>
      </c>
      <c r="J10" s="17" t="s">
        <v>257</v>
      </c>
      <c r="K10" s="173" t="s">
        <v>1370</v>
      </c>
      <c r="L10" s="121" t="s">
        <v>314</v>
      </c>
    </row>
    <row r="11" spans="1:20" ht="72.5" x14ac:dyDescent="0.35">
      <c r="A11" s="198">
        <v>43557</v>
      </c>
      <c r="B11" s="22" t="s">
        <v>1877</v>
      </c>
      <c r="C11" s="335" t="s">
        <v>17</v>
      </c>
      <c r="D11" s="22"/>
      <c r="E11" s="22" t="s">
        <v>2058</v>
      </c>
      <c r="F11" s="126">
        <v>43558</v>
      </c>
      <c r="G11" s="140">
        <v>0.5</v>
      </c>
      <c r="H11" s="22" t="s">
        <v>1394</v>
      </c>
      <c r="I11" s="191">
        <v>0</v>
      </c>
      <c r="J11" s="17" t="s">
        <v>15</v>
      </c>
      <c r="K11" s="173" t="s">
        <v>1370</v>
      </c>
      <c r="L11" s="121" t="s">
        <v>17</v>
      </c>
    </row>
    <row r="12" spans="1:20" x14ac:dyDescent="0.35">
      <c r="A12" s="198">
        <v>43549</v>
      </c>
      <c r="B12" s="22" t="s">
        <v>2057</v>
      </c>
      <c r="C12" s="335" t="s">
        <v>1950</v>
      </c>
      <c r="D12" s="22"/>
      <c r="E12" s="22" t="s">
        <v>2056</v>
      </c>
      <c r="F12" s="126">
        <v>43558</v>
      </c>
      <c r="G12" s="140">
        <v>0.52083333333333304</v>
      </c>
      <c r="H12" s="137" t="s">
        <v>1279</v>
      </c>
      <c r="I12" s="213">
        <v>896</v>
      </c>
      <c r="J12" s="17" t="s">
        <v>2055</v>
      </c>
      <c r="K12" s="173" t="s">
        <v>1370</v>
      </c>
      <c r="L12" s="121" t="s">
        <v>1960</v>
      </c>
    </row>
    <row r="13" spans="1:20" ht="116" x14ac:dyDescent="0.35">
      <c r="A13" s="155">
        <v>43554</v>
      </c>
      <c r="B13" s="17" t="s">
        <v>2054</v>
      </c>
      <c r="C13" s="65" t="s">
        <v>15</v>
      </c>
      <c r="D13" s="17" t="s">
        <v>15</v>
      </c>
      <c r="E13" s="17" t="s">
        <v>2053</v>
      </c>
      <c r="F13" s="125">
        <v>43558</v>
      </c>
      <c r="G13" s="177">
        <v>0.60416666666666696</v>
      </c>
      <c r="H13" s="17" t="s">
        <v>1962</v>
      </c>
      <c r="I13" s="191" t="s">
        <v>15</v>
      </c>
      <c r="J13" s="17" t="s">
        <v>15</v>
      </c>
      <c r="K13" s="173" t="s">
        <v>1370</v>
      </c>
      <c r="L13" s="65" t="s">
        <v>17</v>
      </c>
    </row>
    <row r="14" spans="1:20" ht="43.5" x14ac:dyDescent="0.35">
      <c r="A14" s="155">
        <v>43554</v>
      </c>
      <c r="B14" s="17" t="s">
        <v>1122</v>
      </c>
      <c r="C14" s="65" t="s">
        <v>15</v>
      </c>
      <c r="D14" s="17" t="s">
        <v>15</v>
      </c>
      <c r="E14" s="17" t="s">
        <v>2052</v>
      </c>
      <c r="F14" s="125">
        <v>43558</v>
      </c>
      <c r="G14" s="177">
        <v>0.79166666666666696</v>
      </c>
      <c r="H14" s="281" t="s">
        <v>1522</v>
      </c>
      <c r="I14" s="213">
        <v>568</v>
      </c>
      <c r="J14" s="222" t="s">
        <v>2051</v>
      </c>
      <c r="K14" s="173" t="s">
        <v>1370</v>
      </c>
      <c r="L14" s="65" t="s">
        <v>216</v>
      </c>
    </row>
    <row r="15" spans="1:20" ht="29" x14ac:dyDescent="0.35">
      <c r="A15" s="155">
        <v>43558</v>
      </c>
      <c r="B15" s="17" t="s">
        <v>2050</v>
      </c>
      <c r="C15" s="302" t="s">
        <v>17</v>
      </c>
      <c r="D15" s="17"/>
      <c r="E15" s="17" t="s">
        <v>2049</v>
      </c>
      <c r="F15" s="125">
        <v>43559</v>
      </c>
      <c r="G15" s="177">
        <v>0.53125</v>
      </c>
      <c r="H15" s="137" t="s">
        <v>311</v>
      </c>
      <c r="I15" s="191">
        <v>0</v>
      </c>
      <c r="J15" s="17" t="s">
        <v>455</v>
      </c>
      <c r="K15" s="173" t="s">
        <v>1370</v>
      </c>
      <c r="L15" s="65" t="s">
        <v>1960</v>
      </c>
    </row>
    <row r="16" spans="1:20" ht="43.5" x14ac:dyDescent="0.35">
      <c r="A16" s="155">
        <v>43553</v>
      </c>
      <c r="B16" s="17" t="s">
        <v>2048</v>
      </c>
      <c r="C16" s="302" t="s">
        <v>2047</v>
      </c>
      <c r="D16" s="17"/>
      <c r="E16" s="17" t="s">
        <v>2046</v>
      </c>
      <c r="F16" s="125">
        <v>43559</v>
      </c>
      <c r="G16" s="125" t="s">
        <v>2045</v>
      </c>
      <c r="H16" s="137" t="s">
        <v>2044</v>
      </c>
      <c r="I16" s="213">
        <v>72</v>
      </c>
      <c r="J16" s="17" t="s">
        <v>2043</v>
      </c>
      <c r="K16" s="173" t="s">
        <v>1370</v>
      </c>
      <c r="L16" s="65" t="s">
        <v>1960</v>
      </c>
    </row>
    <row r="17" spans="1:12" ht="87" x14ac:dyDescent="0.35">
      <c r="A17" s="155">
        <v>43558</v>
      </c>
      <c r="B17" s="17" t="s">
        <v>2042</v>
      </c>
      <c r="C17" s="302" t="s">
        <v>2041</v>
      </c>
      <c r="D17" s="17"/>
      <c r="E17" s="17" t="s">
        <v>2040</v>
      </c>
      <c r="F17" s="125">
        <v>43559</v>
      </c>
      <c r="G17" s="177" t="s">
        <v>1627</v>
      </c>
      <c r="H17" s="137" t="s">
        <v>2039</v>
      </c>
      <c r="I17" s="213">
        <v>127.6</v>
      </c>
      <c r="J17" s="17" t="s">
        <v>257</v>
      </c>
      <c r="K17" s="173" t="s">
        <v>1370</v>
      </c>
      <c r="L17" s="65" t="s">
        <v>22</v>
      </c>
    </row>
    <row r="18" spans="1:12" ht="217.5" x14ac:dyDescent="0.35">
      <c r="A18" s="329">
        <v>43559</v>
      </c>
      <c r="B18" s="62" t="s">
        <v>2038</v>
      </c>
      <c r="C18" s="333" t="s">
        <v>2037</v>
      </c>
      <c r="D18" s="62"/>
      <c r="E18" s="62" t="s">
        <v>2036</v>
      </c>
      <c r="F18" s="327">
        <v>43560</v>
      </c>
      <c r="G18" s="331">
        <v>0.5625</v>
      </c>
      <c r="H18" s="326" t="s">
        <v>2021</v>
      </c>
      <c r="I18" s="191">
        <v>0</v>
      </c>
      <c r="J18" s="17" t="s">
        <v>15</v>
      </c>
      <c r="K18" s="173" t="s">
        <v>1370</v>
      </c>
      <c r="L18" s="65" t="s">
        <v>216</v>
      </c>
    </row>
    <row r="19" spans="1:12" ht="130.5" x14ac:dyDescent="0.35">
      <c r="A19" s="329">
        <v>43554</v>
      </c>
      <c r="B19" s="62" t="s">
        <v>1674</v>
      </c>
      <c r="C19" s="334" t="s">
        <v>15</v>
      </c>
      <c r="D19" s="62" t="s">
        <v>15</v>
      </c>
      <c r="E19" s="62" t="s">
        <v>2035</v>
      </c>
      <c r="F19" s="327">
        <v>43560</v>
      </c>
      <c r="G19" s="331">
        <v>0.625</v>
      </c>
      <c r="H19" s="62" t="s">
        <v>2034</v>
      </c>
      <c r="I19" s="191" t="s">
        <v>15</v>
      </c>
      <c r="J19" s="17" t="s">
        <v>15</v>
      </c>
      <c r="K19" s="173" t="s">
        <v>1370</v>
      </c>
      <c r="L19" s="65" t="s">
        <v>216</v>
      </c>
    </row>
    <row r="20" spans="1:12" ht="43.5" x14ac:dyDescent="0.35">
      <c r="A20" s="329">
        <v>43557</v>
      </c>
      <c r="B20" s="62" t="s">
        <v>1385</v>
      </c>
      <c r="C20" s="334" t="s">
        <v>17</v>
      </c>
      <c r="D20" s="62"/>
      <c r="E20" s="62" t="s">
        <v>2033</v>
      </c>
      <c r="F20" s="327">
        <v>43560</v>
      </c>
      <c r="G20" s="331">
        <v>0.70833333333333304</v>
      </c>
      <c r="H20" s="62" t="s">
        <v>1834</v>
      </c>
      <c r="I20" s="191">
        <v>0</v>
      </c>
      <c r="J20" s="17" t="s">
        <v>15</v>
      </c>
      <c r="K20" s="173" t="s">
        <v>1370</v>
      </c>
      <c r="L20" s="65" t="s">
        <v>17</v>
      </c>
    </row>
    <row r="21" spans="1:12" ht="29" x14ac:dyDescent="0.35">
      <c r="A21" s="329">
        <v>43558</v>
      </c>
      <c r="B21" s="62" t="s">
        <v>1471</v>
      </c>
      <c r="C21" s="334" t="s">
        <v>898</v>
      </c>
      <c r="D21" s="62"/>
      <c r="E21" s="62" t="s">
        <v>2032</v>
      </c>
      <c r="F21" s="327">
        <v>43560</v>
      </c>
      <c r="G21" s="331" t="s">
        <v>2028</v>
      </c>
      <c r="H21" s="62" t="s">
        <v>2027</v>
      </c>
      <c r="I21" s="213">
        <v>260</v>
      </c>
      <c r="J21" s="222" t="s">
        <v>2031</v>
      </c>
      <c r="K21" s="173" t="s">
        <v>1370</v>
      </c>
      <c r="L21" s="65" t="s">
        <v>2030</v>
      </c>
    </row>
    <row r="22" spans="1:12" ht="29" x14ac:dyDescent="0.35">
      <c r="A22" s="329">
        <v>43558</v>
      </c>
      <c r="B22" s="62" t="s">
        <v>1539</v>
      </c>
      <c r="C22" s="334" t="s">
        <v>898</v>
      </c>
      <c r="D22" s="62"/>
      <c r="E22" s="62" t="s">
        <v>2029</v>
      </c>
      <c r="F22" s="327">
        <v>43560</v>
      </c>
      <c r="G22" s="331" t="s">
        <v>2028</v>
      </c>
      <c r="H22" s="62" t="s">
        <v>2027</v>
      </c>
      <c r="I22" s="213">
        <v>548</v>
      </c>
      <c r="J22" s="222" t="s">
        <v>2026</v>
      </c>
      <c r="K22" s="173" t="s">
        <v>1370</v>
      </c>
      <c r="L22" s="65" t="s">
        <v>216</v>
      </c>
    </row>
    <row r="23" spans="1:12" ht="58" x14ac:dyDescent="0.35">
      <c r="A23" s="329">
        <v>43559</v>
      </c>
      <c r="B23" s="62" t="s">
        <v>1812</v>
      </c>
      <c r="C23" s="334"/>
      <c r="D23" s="62"/>
      <c r="E23" s="62" t="s">
        <v>2025</v>
      </c>
      <c r="F23" s="327">
        <v>43560</v>
      </c>
      <c r="G23" s="331" t="s">
        <v>1514</v>
      </c>
      <c r="H23" s="77" t="s">
        <v>126</v>
      </c>
      <c r="I23" s="213">
        <v>172</v>
      </c>
      <c r="J23" s="17" t="s">
        <v>1509</v>
      </c>
      <c r="K23" s="173"/>
      <c r="L23" s="65"/>
    </row>
    <row r="24" spans="1:12" ht="58" x14ac:dyDescent="0.35">
      <c r="A24" s="329">
        <v>43559</v>
      </c>
      <c r="B24" s="62" t="s">
        <v>2024</v>
      </c>
      <c r="C24" s="333" t="s">
        <v>2023</v>
      </c>
      <c r="D24" s="62"/>
      <c r="E24" s="62" t="s">
        <v>2022</v>
      </c>
      <c r="F24" s="327">
        <v>43561</v>
      </c>
      <c r="G24" s="331">
        <v>0.58333333333333304</v>
      </c>
      <c r="H24" s="330" t="s">
        <v>2021</v>
      </c>
      <c r="I24" s="213">
        <v>590</v>
      </c>
      <c r="J24" s="332" t="s">
        <v>2020</v>
      </c>
      <c r="K24" s="173" t="s">
        <v>1370</v>
      </c>
      <c r="L24" s="65" t="s">
        <v>216</v>
      </c>
    </row>
    <row r="25" spans="1:12" ht="130.5" x14ac:dyDescent="0.35">
      <c r="A25" s="329">
        <v>43546</v>
      </c>
      <c r="B25" s="62" t="s">
        <v>2019</v>
      </c>
      <c r="C25" s="328" t="s">
        <v>2018</v>
      </c>
      <c r="D25" s="62"/>
      <c r="E25" s="62" t="s">
        <v>2017</v>
      </c>
      <c r="F25" s="327">
        <v>43561</v>
      </c>
      <c r="G25" s="331" t="s">
        <v>2016</v>
      </c>
      <c r="H25" s="330" t="s">
        <v>2015</v>
      </c>
      <c r="I25" s="213">
        <v>600</v>
      </c>
      <c r="J25" s="101" t="s">
        <v>2014</v>
      </c>
      <c r="K25" s="173" t="s">
        <v>1370</v>
      </c>
      <c r="L25" s="65" t="s">
        <v>22</v>
      </c>
    </row>
    <row r="26" spans="1:12" ht="43.5" x14ac:dyDescent="0.35">
      <c r="A26" s="329" t="s">
        <v>2013</v>
      </c>
      <c r="B26" s="62" t="s">
        <v>2012</v>
      </c>
      <c r="C26" s="328" t="s">
        <v>2011</v>
      </c>
      <c r="D26" s="62"/>
      <c r="E26" s="62" t="s">
        <v>2010</v>
      </c>
      <c r="F26" s="327">
        <v>43561</v>
      </c>
      <c r="G26" s="62" t="s">
        <v>2009</v>
      </c>
      <c r="H26" s="326" t="s">
        <v>2008</v>
      </c>
      <c r="I26" s="191">
        <v>0</v>
      </c>
      <c r="J26" s="17" t="s">
        <v>2007</v>
      </c>
      <c r="K26" s="173" t="s">
        <v>1370</v>
      </c>
      <c r="L26" s="65" t="s">
        <v>22</v>
      </c>
    </row>
    <row r="27" spans="1:12" ht="29" x14ac:dyDescent="0.35">
      <c r="A27" s="329">
        <v>43559</v>
      </c>
      <c r="B27" s="62" t="s">
        <v>2006</v>
      </c>
      <c r="C27" s="328" t="s">
        <v>17</v>
      </c>
      <c r="D27" s="62"/>
      <c r="E27" s="62" t="s">
        <v>2005</v>
      </c>
      <c r="F27" s="327">
        <v>43562</v>
      </c>
      <c r="G27" s="76">
        <v>0.54166666666666696</v>
      </c>
      <c r="H27" s="326" t="s">
        <v>1834</v>
      </c>
      <c r="I27" s="191">
        <v>0</v>
      </c>
      <c r="J27" s="17" t="s">
        <v>15</v>
      </c>
      <c r="K27" s="173" t="s">
        <v>1370</v>
      </c>
      <c r="L27" s="65"/>
    </row>
    <row r="28" spans="1:12" ht="29" x14ac:dyDescent="0.35">
      <c r="A28" s="329">
        <v>43560</v>
      </c>
      <c r="B28" s="62" t="s">
        <v>2004</v>
      </c>
      <c r="C28" s="328" t="s">
        <v>17</v>
      </c>
      <c r="D28" s="62"/>
      <c r="E28" s="62" t="s">
        <v>2003</v>
      </c>
      <c r="F28" s="327">
        <v>43562</v>
      </c>
      <c r="G28" s="62" t="s">
        <v>1667</v>
      </c>
      <c r="H28" s="326" t="s">
        <v>2002</v>
      </c>
      <c r="I28" s="213">
        <v>59.4</v>
      </c>
      <c r="J28" s="17" t="s">
        <v>257</v>
      </c>
      <c r="K28" s="173" t="s">
        <v>1370</v>
      </c>
      <c r="L28" s="65" t="s">
        <v>1960</v>
      </c>
    </row>
    <row r="29" spans="1:12" ht="29" x14ac:dyDescent="0.35">
      <c r="A29" s="155">
        <v>43562</v>
      </c>
      <c r="B29" s="17" t="s">
        <v>1718</v>
      </c>
      <c r="C29" s="65" t="s">
        <v>1797</v>
      </c>
      <c r="D29" s="17" t="s">
        <v>15</v>
      </c>
      <c r="E29" s="17" t="s">
        <v>2001</v>
      </c>
      <c r="F29" s="125">
        <v>43563</v>
      </c>
      <c r="G29" s="177">
        <v>0.39583333333333298</v>
      </c>
      <c r="H29" s="17" t="s">
        <v>15</v>
      </c>
      <c r="I29" s="213">
        <v>400</v>
      </c>
      <c r="J29" s="227" t="s">
        <v>1794</v>
      </c>
      <c r="K29" s="173" t="s">
        <v>1370</v>
      </c>
      <c r="L29" s="65" t="s">
        <v>17</v>
      </c>
    </row>
    <row r="30" spans="1:12" ht="116" x14ac:dyDescent="0.35">
      <c r="A30" s="325">
        <v>43560</v>
      </c>
      <c r="B30" s="227" t="s">
        <v>1914</v>
      </c>
      <c r="C30" s="324" t="s">
        <v>1882</v>
      </c>
      <c r="D30" s="227"/>
      <c r="E30" s="227" t="s">
        <v>2000</v>
      </c>
      <c r="F30" s="323">
        <v>43563</v>
      </c>
      <c r="G30" s="322">
        <v>0.52083333333333304</v>
      </c>
      <c r="H30" s="321" t="s">
        <v>1999</v>
      </c>
      <c r="I30" s="213">
        <v>260</v>
      </c>
      <c r="J30" s="17" t="s">
        <v>257</v>
      </c>
      <c r="K30" s="173" t="s">
        <v>1370</v>
      </c>
      <c r="L30" s="65" t="s">
        <v>314</v>
      </c>
    </row>
    <row r="31" spans="1:12" ht="29" x14ac:dyDescent="0.35">
      <c r="A31" s="203">
        <v>43558</v>
      </c>
      <c r="B31" s="160" t="s">
        <v>1998</v>
      </c>
      <c r="C31" s="320" t="s">
        <v>1997</v>
      </c>
      <c r="D31" s="160"/>
      <c r="E31" s="160" t="s">
        <v>1996</v>
      </c>
      <c r="F31" s="163">
        <v>43563</v>
      </c>
      <c r="G31" s="161">
        <v>0.58333333333333304</v>
      </c>
      <c r="H31" s="162" t="s">
        <v>126</v>
      </c>
      <c r="I31" s="213">
        <v>100</v>
      </c>
      <c r="J31" s="17" t="s">
        <v>1509</v>
      </c>
      <c r="K31" s="173" t="s">
        <v>1370</v>
      </c>
      <c r="L31" s="65" t="s">
        <v>22</v>
      </c>
    </row>
    <row r="32" spans="1:12" ht="72.5" x14ac:dyDescent="0.35">
      <c r="A32" s="155">
        <v>43562</v>
      </c>
      <c r="B32" s="17" t="s">
        <v>1995</v>
      </c>
      <c r="C32" s="65" t="s">
        <v>1994</v>
      </c>
      <c r="D32" s="17" t="s">
        <v>15</v>
      </c>
      <c r="E32" s="17" t="s">
        <v>1993</v>
      </c>
      <c r="F32" s="125">
        <v>43563</v>
      </c>
      <c r="G32" s="177">
        <v>0.66666666666666696</v>
      </c>
      <c r="H32" s="17" t="s">
        <v>1992</v>
      </c>
      <c r="I32" s="191" t="s">
        <v>15</v>
      </c>
      <c r="J32" s="17" t="s">
        <v>15</v>
      </c>
      <c r="K32" s="173" t="s">
        <v>1370</v>
      </c>
      <c r="L32" s="65" t="s">
        <v>17</v>
      </c>
    </row>
    <row r="33" spans="1:12" ht="29" x14ac:dyDescent="0.35">
      <c r="A33" s="155">
        <v>43561</v>
      </c>
      <c r="B33" s="17" t="s">
        <v>1991</v>
      </c>
      <c r="C33" s="65" t="s">
        <v>1990</v>
      </c>
      <c r="D33" s="17" t="s">
        <v>15</v>
      </c>
      <c r="E33" s="17" t="s">
        <v>1989</v>
      </c>
      <c r="F33" s="125">
        <v>43563</v>
      </c>
      <c r="G33" s="177">
        <v>0.70833333333333304</v>
      </c>
      <c r="H33" s="17" t="s">
        <v>1988</v>
      </c>
      <c r="I33" s="213">
        <v>176</v>
      </c>
      <c r="J33" s="17" t="s">
        <v>257</v>
      </c>
      <c r="K33" s="173" t="s">
        <v>1370</v>
      </c>
      <c r="L33" s="65" t="s">
        <v>17</v>
      </c>
    </row>
    <row r="34" spans="1:12" ht="58" x14ac:dyDescent="0.35">
      <c r="A34" s="203">
        <v>43558</v>
      </c>
      <c r="B34" s="160" t="s">
        <v>1987</v>
      </c>
      <c r="C34" s="320" t="s">
        <v>17</v>
      </c>
      <c r="D34" s="160"/>
      <c r="E34" s="160" t="s">
        <v>1986</v>
      </c>
      <c r="F34" s="125">
        <v>43563</v>
      </c>
      <c r="G34" s="161">
        <v>0.8125</v>
      </c>
      <c r="H34" s="162" t="s">
        <v>1763</v>
      </c>
      <c r="I34" s="191">
        <v>0</v>
      </c>
      <c r="J34" s="17" t="s">
        <v>15</v>
      </c>
      <c r="K34" s="173" t="s">
        <v>1370</v>
      </c>
      <c r="L34" s="65" t="s">
        <v>17</v>
      </c>
    </row>
    <row r="35" spans="1:12" ht="29" x14ac:dyDescent="0.35">
      <c r="A35" s="155">
        <v>43564</v>
      </c>
      <c r="B35" s="17" t="s">
        <v>1985</v>
      </c>
      <c r="C35" s="207" t="s">
        <v>1984</v>
      </c>
      <c r="D35" s="17"/>
      <c r="E35" s="17" t="s">
        <v>1983</v>
      </c>
      <c r="F35" s="125">
        <v>43564</v>
      </c>
      <c r="G35" s="26">
        <v>0.625</v>
      </c>
      <c r="H35" s="109" t="s">
        <v>1154</v>
      </c>
      <c r="I35" s="213">
        <v>150</v>
      </c>
      <c r="J35" s="227" t="s">
        <v>1982</v>
      </c>
      <c r="K35" s="313" t="s">
        <v>1370</v>
      </c>
      <c r="L35" s="65" t="s">
        <v>22</v>
      </c>
    </row>
    <row r="36" spans="1:12" ht="58" x14ac:dyDescent="0.35">
      <c r="A36" s="155">
        <v>43564</v>
      </c>
      <c r="B36" s="17" t="s">
        <v>1981</v>
      </c>
      <c r="C36" s="302" t="s">
        <v>1980</v>
      </c>
      <c r="D36" s="17"/>
      <c r="E36" s="17" t="s">
        <v>1979</v>
      </c>
      <c r="F36" s="125">
        <v>43565</v>
      </c>
      <c r="G36" s="26">
        <v>0.39583333333333298</v>
      </c>
      <c r="H36" s="109" t="s">
        <v>1978</v>
      </c>
      <c r="I36" s="213">
        <v>298</v>
      </c>
      <c r="J36" s="17" t="s">
        <v>257</v>
      </c>
      <c r="K36" s="173" t="s">
        <v>1370</v>
      </c>
      <c r="L36" s="65" t="s">
        <v>17</v>
      </c>
    </row>
    <row r="37" spans="1:12" ht="43.5" x14ac:dyDescent="0.35">
      <c r="A37" s="155">
        <v>43564</v>
      </c>
      <c r="B37" s="17" t="s">
        <v>1877</v>
      </c>
      <c r="C37" s="302" t="s">
        <v>17</v>
      </c>
      <c r="D37" s="17"/>
      <c r="E37" s="17" t="s">
        <v>1977</v>
      </c>
      <c r="F37" s="125">
        <v>43565</v>
      </c>
      <c r="G37" s="26">
        <v>0.5</v>
      </c>
      <c r="H37" s="109" t="s">
        <v>1946</v>
      </c>
      <c r="I37" s="191">
        <v>0</v>
      </c>
      <c r="J37" s="17" t="s">
        <v>15</v>
      </c>
      <c r="K37" s="173" t="s">
        <v>1370</v>
      </c>
      <c r="L37" s="65" t="s">
        <v>17</v>
      </c>
    </row>
    <row r="38" spans="1:12" ht="29" x14ac:dyDescent="0.35">
      <c r="A38" s="155">
        <v>43564</v>
      </c>
      <c r="B38" s="17" t="s">
        <v>1976</v>
      </c>
      <c r="C38" s="207" t="s">
        <v>1975</v>
      </c>
      <c r="D38" s="17"/>
      <c r="E38" s="17" t="s">
        <v>1974</v>
      </c>
      <c r="F38" s="125">
        <v>43565</v>
      </c>
      <c r="G38" s="26">
        <v>0.58333333333333304</v>
      </c>
      <c r="H38" s="109" t="s">
        <v>1973</v>
      </c>
      <c r="I38" s="191">
        <v>0</v>
      </c>
      <c r="J38" s="17" t="s">
        <v>15</v>
      </c>
      <c r="K38" s="173" t="s">
        <v>1370</v>
      </c>
      <c r="L38" s="65" t="s">
        <v>17</v>
      </c>
    </row>
    <row r="39" spans="1:12" ht="29" x14ac:dyDescent="0.35">
      <c r="A39" s="155">
        <v>43565</v>
      </c>
      <c r="B39" s="17" t="s">
        <v>1972</v>
      </c>
      <c r="C39" s="207"/>
      <c r="D39" s="17"/>
      <c r="E39" s="17" t="s">
        <v>1971</v>
      </c>
      <c r="F39" s="125">
        <v>43565</v>
      </c>
      <c r="G39" s="26">
        <v>0.61805555555555602</v>
      </c>
      <c r="H39" s="109" t="s">
        <v>1970</v>
      </c>
      <c r="I39" s="213">
        <v>95</v>
      </c>
      <c r="J39" s="17" t="s">
        <v>257</v>
      </c>
      <c r="K39" s="173" t="s">
        <v>1370</v>
      </c>
      <c r="L39" s="65" t="s">
        <v>17</v>
      </c>
    </row>
    <row r="40" spans="1:12" ht="58" x14ac:dyDescent="0.35">
      <c r="A40" s="155">
        <v>43563</v>
      </c>
      <c r="B40" s="17" t="s">
        <v>1833</v>
      </c>
      <c r="C40" s="65" t="s">
        <v>1969</v>
      </c>
      <c r="D40" s="17" t="s">
        <v>15</v>
      </c>
      <c r="E40" s="17" t="s">
        <v>1968</v>
      </c>
      <c r="F40" s="125">
        <v>43565</v>
      </c>
      <c r="G40" s="177">
        <v>0.70833333333333304</v>
      </c>
      <c r="H40" s="17" t="s">
        <v>1967</v>
      </c>
      <c r="I40" s="213">
        <v>334</v>
      </c>
      <c r="J40" s="17" t="s">
        <v>125</v>
      </c>
      <c r="K40" s="173" t="s">
        <v>1370</v>
      </c>
      <c r="L40" s="65" t="s">
        <v>17</v>
      </c>
    </row>
    <row r="41" spans="1:12" ht="29" x14ac:dyDescent="0.35">
      <c r="A41" s="155">
        <v>43564</v>
      </c>
      <c r="B41" s="17" t="s">
        <v>1895</v>
      </c>
      <c r="C41" s="302" t="s">
        <v>1894</v>
      </c>
      <c r="D41" s="17" t="s">
        <v>1893</v>
      </c>
      <c r="E41" s="17" t="s">
        <v>1966</v>
      </c>
      <c r="F41" s="125">
        <v>43566</v>
      </c>
      <c r="G41" s="177">
        <v>0.5</v>
      </c>
      <c r="H41" s="17" t="s">
        <v>1965</v>
      </c>
      <c r="I41" s="213">
        <v>190</v>
      </c>
      <c r="J41" s="227" t="s">
        <v>1890</v>
      </c>
      <c r="K41" s="173" t="s">
        <v>1370</v>
      </c>
      <c r="L41" s="65" t="s">
        <v>17</v>
      </c>
    </row>
    <row r="42" spans="1:12" ht="116" x14ac:dyDescent="0.35">
      <c r="A42" s="203">
        <v>43559</v>
      </c>
      <c r="B42" s="160" t="s">
        <v>1945</v>
      </c>
      <c r="C42" s="320" t="s">
        <v>17</v>
      </c>
      <c r="D42" s="160"/>
      <c r="E42" s="160" t="s">
        <v>1944</v>
      </c>
      <c r="F42" s="163">
        <v>43566</v>
      </c>
      <c r="G42" s="161">
        <v>0.5</v>
      </c>
      <c r="H42" s="162" t="s">
        <v>1943</v>
      </c>
      <c r="I42" s="213">
        <v>1000</v>
      </c>
      <c r="J42" s="17" t="s">
        <v>1901</v>
      </c>
      <c r="K42" s="173" t="s">
        <v>1370</v>
      </c>
      <c r="L42" s="65" t="s">
        <v>17</v>
      </c>
    </row>
    <row r="43" spans="1:12" ht="29" x14ac:dyDescent="0.35">
      <c r="A43" s="203">
        <v>43558</v>
      </c>
      <c r="B43" s="160" t="s">
        <v>1964</v>
      </c>
      <c r="C43" s="320" t="s">
        <v>17</v>
      </c>
      <c r="D43" s="160"/>
      <c r="E43" s="160" t="s">
        <v>1963</v>
      </c>
      <c r="F43" s="163">
        <v>43566</v>
      </c>
      <c r="G43" s="161">
        <v>0.58333333333333304</v>
      </c>
      <c r="H43" s="162" t="s">
        <v>1962</v>
      </c>
      <c r="I43" s="191">
        <v>0</v>
      </c>
      <c r="J43" s="17" t="s">
        <v>15</v>
      </c>
      <c r="K43" s="173" t="s">
        <v>1370</v>
      </c>
      <c r="L43" s="65" t="s">
        <v>17</v>
      </c>
    </row>
    <row r="44" spans="1:12" ht="29" x14ac:dyDescent="0.35">
      <c r="A44" s="204">
        <v>43565</v>
      </c>
      <c r="B44" s="185" t="s">
        <v>1961</v>
      </c>
      <c r="C44" s="309" t="s">
        <v>1960</v>
      </c>
      <c r="D44" s="185"/>
      <c r="E44" s="185" t="s">
        <v>1959</v>
      </c>
      <c r="F44" s="186">
        <v>43566</v>
      </c>
      <c r="G44" s="184">
        <v>0.70833333333333304</v>
      </c>
      <c r="H44" s="214" t="s">
        <v>1958</v>
      </c>
      <c r="I44" s="213">
        <v>150</v>
      </c>
      <c r="J44" s="17" t="s">
        <v>125</v>
      </c>
      <c r="K44" s="173" t="s">
        <v>1370</v>
      </c>
      <c r="L44" s="65" t="s">
        <v>17</v>
      </c>
    </row>
    <row r="45" spans="1:12" ht="174" x14ac:dyDescent="0.35">
      <c r="A45" s="204">
        <v>43560</v>
      </c>
      <c r="B45" s="185" t="s">
        <v>1957</v>
      </c>
      <c r="C45" s="309" t="s">
        <v>17</v>
      </c>
      <c r="D45" s="185"/>
      <c r="E45" s="185" t="s">
        <v>1956</v>
      </c>
      <c r="F45" s="186">
        <v>43566</v>
      </c>
      <c r="G45" s="184">
        <v>0.85416666666666696</v>
      </c>
      <c r="H45" s="214" t="s">
        <v>1902</v>
      </c>
      <c r="I45" s="213">
        <v>2500</v>
      </c>
      <c r="J45" s="17" t="s">
        <v>1955</v>
      </c>
      <c r="K45" s="173" t="s">
        <v>1370</v>
      </c>
      <c r="L45" s="65" t="s">
        <v>17</v>
      </c>
    </row>
    <row r="46" spans="1:12" ht="58" x14ac:dyDescent="0.35">
      <c r="A46" s="155">
        <v>43565</v>
      </c>
      <c r="B46" s="17" t="s">
        <v>1954</v>
      </c>
      <c r="C46" s="302" t="s">
        <v>1953</v>
      </c>
      <c r="D46" s="17"/>
      <c r="E46" s="17" t="s">
        <v>1048</v>
      </c>
      <c r="F46" s="125">
        <v>43567</v>
      </c>
      <c r="G46" s="26">
        <v>0.41666666666666702</v>
      </c>
      <c r="H46" s="109" t="s">
        <v>1952</v>
      </c>
      <c r="I46" s="213">
        <v>199</v>
      </c>
      <c r="J46" s="17" t="s">
        <v>257</v>
      </c>
      <c r="K46" s="173" t="s">
        <v>1370</v>
      </c>
      <c r="L46" s="65"/>
    </row>
    <row r="47" spans="1:12" ht="29" x14ac:dyDescent="0.35">
      <c r="A47" s="155">
        <v>43564</v>
      </c>
      <c r="B47" s="17" t="s">
        <v>1951</v>
      </c>
      <c r="C47" s="302" t="s">
        <v>1950</v>
      </c>
      <c r="D47" s="17"/>
      <c r="E47" s="17" t="s">
        <v>1949</v>
      </c>
      <c r="F47" s="125">
        <v>43567</v>
      </c>
      <c r="G47" s="26">
        <v>0.47916666666666702</v>
      </c>
      <c r="H47" s="109" t="s">
        <v>1948</v>
      </c>
      <c r="I47" s="213">
        <v>95</v>
      </c>
      <c r="J47" s="17" t="s">
        <v>257</v>
      </c>
      <c r="K47" s="173" t="s">
        <v>1370</v>
      </c>
      <c r="L47" s="65" t="s">
        <v>17</v>
      </c>
    </row>
    <row r="48" spans="1:12" x14ac:dyDescent="0.35">
      <c r="A48" s="155">
        <v>43564</v>
      </c>
      <c r="B48" s="17" t="s">
        <v>1877</v>
      </c>
      <c r="C48" s="302" t="s">
        <v>17</v>
      </c>
      <c r="D48" s="17"/>
      <c r="E48" s="17" t="s">
        <v>1947</v>
      </c>
      <c r="F48" s="125">
        <v>43567</v>
      </c>
      <c r="G48" s="26">
        <v>0.5</v>
      </c>
      <c r="H48" s="109" t="s">
        <v>1946</v>
      </c>
      <c r="I48" s="191">
        <v>0</v>
      </c>
      <c r="J48" s="17" t="s">
        <v>15</v>
      </c>
      <c r="K48" s="173" t="s">
        <v>1370</v>
      </c>
      <c r="L48" s="65" t="s">
        <v>17</v>
      </c>
    </row>
    <row r="49" spans="1:12" ht="116" x14ac:dyDescent="0.35">
      <c r="A49" s="203">
        <v>43559</v>
      </c>
      <c r="B49" s="160" t="s">
        <v>1945</v>
      </c>
      <c r="C49" s="320" t="s">
        <v>17</v>
      </c>
      <c r="D49" s="160"/>
      <c r="E49" s="160" t="s">
        <v>1944</v>
      </c>
      <c r="F49" s="163">
        <v>43567</v>
      </c>
      <c r="G49" s="161">
        <v>0.5</v>
      </c>
      <c r="H49" s="162" t="s">
        <v>1943</v>
      </c>
      <c r="I49" s="213">
        <v>1000</v>
      </c>
      <c r="J49" s="17" t="s">
        <v>1901</v>
      </c>
      <c r="K49" s="173" t="s">
        <v>1370</v>
      </c>
      <c r="L49" s="65" t="s">
        <v>17</v>
      </c>
    </row>
    <row r="50" spans="1:12" x14ac:dyDescent="0.35">
      <c r="A50" s="155">
        <v>43564</v>
      </c>
      <c r="B50" s="17" t="s">
        <v>1942</v>
      </c>
      <c r="C50" s="302" t="s">
        <v>1941</v>
      </c>
      <c r="D50" s="17"/>
      <c r="E50" s="17" t="s">
        <v>1940</v>
      </c>
      <c r="F50" s="125">
        <v>43567</v>
      </c>
      <c r="G50" s="26">
        <v>0.58333333333333304</v>
      </c>
      <c r="H50" s="109" t="s">
        <v>311</v>
      </c>
      <c r="I50" s="191">
        <v>0</v>
      </c>
      <c r="J50" s="17" t="s">
        <v>1939</v>
      </c>
      <c r="K50" s="173" t="s">
        <v>1370</v>
      </c>
      <c r="L50" s="65" t="s">
        <v>22</v>
      </c>
    </row>
    <row r="51" spans="1:12" ht="29" x14ac:dyDescent="0.35">
      <c r="A51" s="155">
        <v>43566</v>
      </c>
      <c r="B51" s="17" t="s">
        <v>1664</v>
      </c>
      <c r="C51" s="302" t="s">
        <v>1663</v>
      </c>
      <c r="D51" s="17"/>
      <c r="E51" s="17" t="s">
        <v>1938</v>
      </c>
      <c r="F51" s="125">
        <v>43567</v>
      </c>
      <c r="G51" s="26">
        <v>0.58333333333333304</v>
      </c>
      <c r="H51" s="109" t="s">
        <v>1661</v>
      </c>
      <c r="I51" s="191">
        <v>0</v>
      </c>
      <c r="J51" s="17" t="s">
        <v>1867</v>
      </c>
      <c r="K51" s="173" t="s">
        <v>1370</v>
      </c>
      <c r="L51" s="65" t="s">
        <v>216</v>
      </c>
    </row>
    <row r="52" spans="1:12" ht="217.5" x14ac:dyDescent="0.35">
      <c r="A52" s="204">
        <v>43558</v>
      </c>
      <c r="B52" s="185" t="s">
        <v>1937</v>
      </c>
      <c r="C52" s="309" t="s">
        <v>17</v>
      </c>
      <c r="D52" s="185"/>
      <c r="E52" s="185" t="s">
        <v>1936</v>
      </c>
      <c r="F52" s="186">
        <v>43567</v>
      </c>
      <c r="G52" s="184">
        <v>0.66666666666666696</v>
      </c>
      <c r="H52" s="214" t="s">
        <v>1383</v>
      </c>
      <c r="I52" s="213">
        <v>5885</v>
      </c>
      <c r="J52" s="227" t="s">
        <v>1935</v>
      </c>
      <c r="K52" s="173" t="s">
        <v>1370</v>
      </c>
      <c r="L52" s="65" t="s">
        <v>17</v>
      </c>
    </row>
    <row r="53" spans="1:12" ht="29" x14ac:dyDescent="0.35">
      <c r="A53" s="155">
        <v>43567</v>
      </c>
      <c r="B53" s="17" t="s">
        <v>1934</v>
      </c>
      <c r="C53" s="302" t="s">
        <v>1122</v>
      </c>
      <c r="D53" s="17"/>
      <c r="E53" s="17" t="s">
        <v>1933</v>
      </c>
      <c r="F53" s="125">
        <v>43567</v>
      </c>
      <c r="G53" s="26" t="s">
        <v>1514</v>
      </c>
      <c r="H53" s="109" t="s">
        <v>539</v>
      </c>
      <c r="I53" s="191">
        <v>0</v>
      </c>
      <c r="J53" s="17"/>
      <c r="K53" s="65" t="s">
        <v>1370</v>
      </c>
      <c r="L53" s="65"/>
    </row>
    <row r="54" spans="1:12" ht="43.5" x14ac:dyDescent="0.35">
      <c r="A54" s="155">
        <v>43566</v>
      </c>
      <c r="B54" s="17" t="s">
        <v>1932</v>
      </c>
      <c r="C54" s="302" t="s">
        <v>22</v>
      </c>
      <c r="D54" s="17"/>
      <c r="E54" s="17" t="s">
        <v>1931</v>
      </c>
      <c r="F54" s="125">
        <v>43567</v>
      </c>
      <c r="G54" s="26">
        <v>0.58333333333333304</v>
      </c>
      <c r="H54" s="109" t="s">
        <v>1930</v>
      </c>
      <c r="I54" s="213">
        <v>100</v>
      </c>
      <c r="J54" s="17" t="s">
        <v>1929</v>
      </c>
      <c r="K54" s="65" t="s">
        <v>1370</v>
      </c>
      <c r="L54" s="65" t="s">
        <v>22</v>
      </c>
    </row>
    <row r="55" spans="1:12" ht="29" x14ac:dyDescent="0.35">
      <c r="A55" s="204">
        <v>43564</v>
      </c>
      <c r="B55" s="185" t="s">
        <v>1928</v>
      </c>
      <c r="C55" s="309" t="s">
        <v>15</v>
      </c>
      <c r="D55" s="185"/>
      <c r="E55" s="185" t="s">
        <v>1927</v>
      </c>
      <c r="F55" s="186">
        <v>43567</v>
      </c>
      <c r="G55" s="184">
        <v>0.61458333333333304</v>
      </c>
      <c r="H55" s="214" t="s">
        <v>210</v>
      </c>
      <c r="I55" s="213">
        <v>150</v>
      </c>
      <c r="J55" s="17" t="s">
        <v>257</v>
      </c>
      <c r="K55" s="173"/>
      <c r="L55" s="65"/>
    </row>
    <row r="56" spans="1:12" ht="43.5" x14ac:dyDescent="0.35">
      <c r="A56" s="204">
        <v>43563</v>
      </c>
      <c r="B56" s="185" t="s">
        <v>1445</v>
      </c>
      <c r="C56" s="210" t="s">
        <v>15</v>
      </c>
      <c r="D56" s="185" t="s">
        <v>15</v>
      </c>
      <c r="E56" s="185" t="s">
        <v>1926</v>
      </c>
      <c r="F56" s="186">
        <v>43567</v>
      </c>
      <c r="G56" s="219">
        <v>0.70833333333333304</v>
      </c>
      <c r="H56" s="185" t="s">
        <v>1128</v>
      </c>
      <c r="I56" s="213">
        <v>150</v>
      </c>
      <c r="J56" s="17" t="s">
        <v>1925</v>
      </c>
      <c r="K56" s="173" t="s">
        <v>1370</v>
      </c>
      <c r="L56" s="65" t="s">
        <v>17</v>
      </c>
    </row>
    <row r="57" spans="1:12" ht="29" x14ac:dyDescent="0.35">
      <c r="A57" s="204">
        <v>43563</v>
      </c>
      <c r="B57" s="185" t="s">
        <v>1924</v>
      </c>
      <c r="C57" s="210" t="s">
        <v>1923</v>
      </c>
      <c r="D57" s="185" t="s">
        <v>15</v>
      </c>
      <c r="E57" s="185" t="s">
        <v>1922</v>
      </c>
      <c r="F57" s="186">
        <v>43567</v>
      </c>
      <c r="G57" s="219">
        <v>0.77083333333333304</v>
      </c>
      <c r="H57" s="185" t="s">
        <v>1412</v>
      </c>
      <c r="I57" s="213">
        <v>390</v>
      </c>
      <c r="J57" s="17" t="s">
        <v>1921</v>
      </c>
      <c r="K57" s="173" t="s">
        <v>1370</v>
      </c>
      <c r="L57" s="65" t="s">
        <v>17</v>
      </c>
    </row>
    <row r="58" spans="1:12" ht="58" x14ac:dyDescent="0.35">
      <c r="A58" s="204">
        <v>43563</v>
      </c>
      <c r="B58" s="185" t="s">
        <v>1920</v>
      </c>
      <c r="C58" s="309" t="s">
        <v>1919</v>
      </c>
      <c r="D58" s="185"/>
      <c r="E58" s="185" t="s">
        <v>1918</v>
      </c>
      <c r="F58" s="186">
        <v>43567</v>
      </c>
      <c r="G58" s="219">
        <v>0.66666666666666696</v>
      </c>
      <c r="H58" s="185" t="s">
        <v>311</v>
      </c>
      <c r="I58" s="213">
        <v>324</v>
      </c>
      <c r="J58" s="17" t="s">
        <v>257</v>
      </c>
      <c r="K58" s="173" t="s">
        <v>1370</v>
      </c>
      <c r="L58" s="65" t="s">
        <v>22</v>
      </c>
    </row>
    <row r="59" spans="1:12" ht="43.5" x14ac:dyDescent="0.35">
      <c r="A59" s="155">
        <v>43566</v>
      </c>
      <c r="B59" s="17" t="s">
        <v>1917</v>
      </c>
      <c r="C59" s="302" t="s">
        <v>1916</v>
      </c>
      <c r="D59" s="17"/>
      <c r="E59" s="17" t="s">
        <v>1915</v>
      </c>
      <c r="F59" s="125">
        <v>43568</v>
      </c>
      <c r="G59" s="177">
        <v>0.58333333333333304</v>
      </c>
      <c r="H59" s="17" t="s">
        <v>1834</v>
      </c>
      <c r="I59" s="191">
        <v>0</v>
      </c>
      <c r="J59" s="17"/>
      <c r="K59" s="65" t="s">
        <v>1370</v>
      </c>
      <c r="L59" s="65" t="s">
        <v>22</v>
      </c>
    </row>
    <row r="60" spans="1:12" ht="58" x14ac:dyDescent="0.35">
      <c r="A60" s="155">
        <v>43566</v>
      </c>
      <c r="B60" s="17" t="s">
        <v>1914</v>
      </c>
      <c r="C60" s="302" t="s">
        <v>1913</v>
      </c>
      <c r="D60" s="17"/>
      <c r="E60" s="17" t="s">
        <v>1912</v>
      </c>
      <c r="F60" s="125">
        <v>43568</v>
      </c>
      <c r="G60" s="177">
        <v>0.47916666666666702</v>
      </c>
      <c r="H60" s="17" t="s">
        <v>1911</v>
      </c>
      <c r="I60" s="213">
        <v>142.5</v>
      </c>
      <c r="J60" s="17" t="s">
        <v>1910</v>
      </c>
      <c r="K60" s="65" t="s">
        <v>1370</v>
      </c>
      <c r="L60" s="65" t="s">
        <v>314</v>
      </c>
    </row>
    <row r="61" spans="1:12" ht="43.5" x14ac:dyDescent="0.35">
      <c r="A61" s="155">
        <v>43566</v>
      </c>
      <c r="B61" s="17" t="s">
        <v>1909</v>
      </c>
      <c r="C61" s="302" t="s">
        <v>1908</v>
      </c>
      <c r="D61" s="17"/>
      <c r="E61" s="17" t="s">
        <v>1907</v>
      </c>
      <c r="F61" s="125">
        <v>43568</v>
      </c>
      <c r="G61" s="177">
        <v>0.5</v>
      </c>
      <c r="H61" s="17" t="s">
        <v>1906</v>
      </c>
      <c r="I61" s="213">
        <v>127</v>
      </c>
      <c r="J61" s="17" t="s">
        <v>257</v>
      </c>
      <c r="K61" s="65" t="s">
        <v>1370</v>
      </c>
      <c r="L61" s="65" t="s">
        <v>17</v>
      </c>
    </row>
    <row r="62" spans="1:12" ht="174" x14ac:dyDescent="0.35">
      <c r="A62" s="204">
        <v>43542</v>
      </c>
      <c r="B62" s="185" t="s">
        <v>1905</v>
      </c>
      <c r="C62" s="309" t="s">
        <v>1904</v>
      </c>
      <c r="D62" s="185"/>
      <c r="E62" s="185" t="s">
        <v>1903</v>
      </c>
      <c r="F62" s="186">
        <v>43568</v>
      </c>
      <c r="G62" s="219">
        <v>0.54166666666666696</v>
      </c>
      <c r="H62" s="214" t="s">
        <v>1902</v>
      </c>
      <c r="I62" s="213">
        <v>1800</v>
      </c>
      <c r="J62" s="17" t="s">
        <v>1901</v>
      </c>
      <c r="K62" s="173" t="s">
        <v>1370</v>
      </c>
      <c r="L62" s="65" t="s">
        <v>17</v>
      </c>
    </row>
    <row r="63" spans="1:12" x14ac:dyDescent="0.35">
      <c r="A63" s="155">
        <v>43568</v>
      </c>
      <c r="B63" s="17" t="s">
        <v>1900</v>
      </c>
      <c r="C63" s="302" t="s">
        <v>1524</v>
      </c>
      <c r="D63" s="17"/>
      <c r="E63" s="17" t="s">
        <v>1899</v>
      </c>
      <c r="F63" s="125">
        <v>43569</v>
      </c>
      <c r="G63" s="177">
        <v>0.45833333333333298</v>
      </c>
      <c r="H63" s="109" t="s">
        <v>1128</v>
      </c>
      <c r="I63" s="213">
        <v>199</v>
      </c>
      <c r="J63" s="17" t="s">
        <v>257</v>
      </c>
      <c r="K63" s="65" t="s">
        <v>1370</v>
      </c>
      <c r="L63" s="65" t="s">
        <v>1602</v>
      </c>
    </row>
    <row r="64" spans="1:12" ht="145" x14ac:dyDescent="0.35">
      <c r="A64" s="204">
        <v>43564</v>
      </c>
      <c r="B64" s="185" t="s">
        <v>1898</v>
      </c>
      <c r="C64" s="309" t="s">
        <v>1897</v>
      </c>
      <c r="D64" s="185"/>
      <c r="E64" s="185" t="s">
        <v>1896</v>
      </c>
      <c r="F64" s="186">
        <v>43569</v>
      </c>
      <c r="G64" s="219">
        <v>0.45833333333333298</v>
      </c>
      <c r="H64" s="214" t="s">
        <v>1412</v>
      </c>
      <c r="I64" s="213">
        <v>780</v>
      </c>
      <c r="J64" s="17" t="s">
        <v>257</v>
      </c>
      <c r="K64" s="173" t="s">
        <v>1370</v>
      </c>
      <c r="L64" s="65" t="s">
        <v>22</v>
      </c>
    </row>
    <row r="65" spans="1:13" ht="58" x14ac:dyDescent="0.35">
      <c r="A65" s="155">
        <v>43564</v>
      </c>
      <c r="B65" s="17" t="s">
        <v>1895</v>
      </c>
      <c r="C65" s="302" t="s">
        <v>1894</v>
      </c>
      <c r="D65" s="17" t="s">
        <v>1893</v>
      </c>
      <c r="E65" s="17" t="s">
        <v>1892</v>
      </c>
      <c r="F65" s="125">
        <v>43569</v>
      </c>
      <c r="G65" s="177">
        <v>0.5</v>
      </c>
      <c r="H65" s="109" t="s">
        <v>1891</v>
      </c>
      <c r="I65" s="213">
        <v>137.5</v>
      </c>
      <c r="J65" s="227" t="s">
        <v>1890</v>
      </c>
      <c r="K65" s="173" t="s">
        <v>1370</v>
      </c>
      <c r="L65" s="65" t="s">
        <v>17</v>
      </c>
    </row>
    <row r="66" spans="1:13" ht="43.5" x14ac:dyDescent="0.35">
      <c r="A66" s="155">
        <v>43563</v>
      </c>
      <c r="B66" s="17" t="s">
        <v>1889</v>
      </c>
      <c r="C66" s="302" t="s">
        <v>1864</v>
      </c>
      <c r="D66" s="17"/>
      <c r="E66" s="17" t="s">
        <v>1888</v>
      </c>
      <c r="F66" s="125">
        <v>43570</v>
      </c>
      <c r="G66" s="177">
        <v>0.41666666666666702</v>
      </c>
      <c r="H66" s="109" t="s">
        <v>1834</v>
      </c>
      <c r="I66" s="191">
        <v>0</v>
      </c>
      <c r="J66" s="17" t="s">
        <v>15</v>
      </c>
      <c r="K66" s="173" t="s">
        <v>1370</v>
      </c>
      <c r="L66" s="65" t="s">
        <v>17</v>
      </c>
    </row>
    <row r="67" spans="1:13" ht="58" x14ac:dyDescent="0.35">
      <c r="A67" s="155">
        <v>43564</v>
      </c>
      <c r="B67" s="17" t="s">
        <v>1887</v>
      </c>
      <c r="C67" s="302" t="s">
        <v>1598</v>
      </c>
      <c r="D67" s="17"/>
      <c r="E67" s="17" t="s">
        <v>1886</v>
      </c>
      <c r="F67" s="125">
        <v>43570</v>
      </c>
      <c r="G67" s="177">
        <v>0.58333333333333304</v>
      </c>
      <c r="H67" s="109" t="s">
        <v>1598</v>
      </c>
      <c r="I67" s="191">
        <v>0</v>
      </c>
      <c r="J67" s="17" t="s">
        <v>15</v>
      </c>
      <c r="K67" s="173" t="s">
        <v>1370</v>
      </c>
      <c r="L67" s="65" t="s">
        <v>1598</v>
      </c>
    </row>
    <row r="68" spans="1:13" ht="43.5" x14ac:dyDescent="0.35">
      <c r="A68" s="155">
        <v>43570</v>
      </c>
      <c r="B68" s="17" t="s">
        <v>262</v>
      </c>
      <c r="C68" s="302" t="s">
        <v>17</v>
      </c>
      <c r="D68" s="17"/>
      <c r="E68" s="17" t="s">
        <v>1885</v>
      </c>
      <c r="F68" s="125">
        <v>43570</v>
      </c>
      <c r="G68" s="177">
        <v>0.48958333333333298</v>
      </c>
      <c r="H68" s="109" t="s">
        <v>1383</v>
      </c>
      <c r="I68" s="213">
        <v>144</v>
      </c>
      <c r="J68" s="227" t="s">
        <v>1884</v>
      </c>
      <c r="K68" s="173" t="s">
        <v>1370</v>
      </c>
      <c r="L68" s="65" t="s">
        <v>17</v>
      </c>
    </row>
    <row r="69" spans="1:13" ht="29" x14ac:dyDescent="0.35">
      <c r="A69" s="155">
        <v>43570</v>
      </c>
      <c r="B69" s="17" t="s">
        <v>1883</v>
      </c>
      <c r="C69" s="302" t="s">
        <v>1882</v>
      </c>
      <c r="D69" s="17"/>
      <c r="E69" s="17" t="s">
        <v>1881</v>
      </c>
      <c r="F69" s="125">
        <v>43571</v>
      </c>
      <c r="G69" s="177" t="s">
        <v>1880</v>
      </c>
      <c r="H69" s="109" t="s">
        <v>1879</v>
      </c>
      <c r="I69" s="213">
        <v>114</v>
      </c>
      <c r="J69" s="17" t="s">
        <v>257</v>
      </c>
      <c r="K69" s="173" t="s">
        <v>1370</v>
      </c>
      <c r="L69" s="65" t="s">
        <v>314</v>
      </c>
    </row>
    <row r="70" spans="1:13" ht="29" x14ac:dyDescent="0.35">
      <c r="A70" s="155">
        <v>43566</v>
      </c>
      <c r="B70" s="17" t="s">
        <v>1878</v>
      </c>
      <c r="C70" s="302" t="s">
        <v>17</v>
      </c>
      <c r="D70" s="17"/>
      <c r="E70" s="17" t="s">
        <v>1747</v>
      </c>
      <c r="F70" s="125">
        <v>43571</v>
      </c>
      <c r="G70" s="177">
        <v>0.47916666666666702</v>
      </c>
      <c r="H70" s="109" t="s">
        <v>210</v>
      </c>
      <c r="I70" s="191">
        <v>0</v>
      </c>
      <c r="J70" s="17" t="s">
        <v>15</v>
      </c>
      <c r="K70" s="173" t="s">
        <v>1370</v>
      </c>
      <c r="L70" s="65" t="s">
        <v>17</v>
      </c>
    </row>
    <row r="71" spans="1:13" ht="29" x14ac:dyDescent="0.35">
      <c r="A71" s="155">
        <v>43570</v>
      </c>
      <c r="B71" s="17" t="s">
        <v>1877</v>
      </c>
      <c r="C71" s="302" t="s">
        <v>17</v>
      </c>
      <c r="D71" s="17"/>
      <c r="E71" s="17" t="s">
        <v>1876</v>
      </c>
      <c r="F71" s="125">
        <v>43571</v>
      </c>
      <c r="G71" s="177">
        <v>0.48958333333333298</v>
      </c>
      <c r="H71" s="109" t="s">
        <v>1383</v>
      </c>
      <c r="I71" s="191">
        <v>0</v>
      </c>
      <c r="J71" s="17" t="s">
        <v>15</v>
      </c>
      <c r="K71" s="173" t="s">
        <v>1370</v>
      </c>
      <c r="L71" s="65" t="s">
        <v>17</v>
      </c>
    </row>
    <row r="72" spans="1:13" s="312" customFormat="1" ht="72.5" x14ac:dyDescent="0.35">
      <c r="A72" s="155">
        <v>43570</v>
      </c>
      <c r="B72" s="17" t="s">
        <v>1875</v>
      </c>
      <c r="C72" s="302" t="s">
        <v>216</v>
      </c>
      <c r="D72" s="17"/>
      <c r="E72" s="17" t="s">
        <v>1874</v>
      </c>
      <c r="F72" s="125">
        <v>43571</v>
      </c>
      <c r="G72" s="177">
        <v>0.5</v>
      </c>
      <c r="H72" s="109" t="s">
        <v>126</v>
      </c>
      <c r="I72" s="191">
        <v>0</v>
      </c>
      <c r="J72" s="17" t="s">
        <v>15</v>
      </c>
      <c r="K72" s="173" t="s">
        <v>1370</v>
      </c>
      <c r="L72" s="65" t="s">
        <v>216</v>
      </c>
      <c r="M72" s="120"/>
    </row>
    <row r="73" spans="1:13" ht="29" x14ac:dyDescent="0.35">
      <c r="A73" s="319">
        <v>43569</v>
      </c>
      <c r="B73" s="314" t="s">
        <v>1873</v>
      </c>
      <c r="C73" s="318" t="s">
        <v>1872</v>
      </c>
      <c r="D73" s="314" t="s">
        <v>1870</v>
      </c>
      <c r="E73" s="314" t="s">
        <v>1871</v>
      </c>
      <c r="F73" s="317">
        <v>43571</v>
      </c>
      <c r="G73" s="316" t="s">
        <v>1870</v>
      </c>
      <c r="H73" s="314" t="s">
        <v>1731</v>
      </c>
      <c r="I73" s="315">
        <v>0</v>
      </c>
      <c r="J73" s="314" t="s">
        <v>15</v>
      </c>
      <c r="K73" s="313" t="s">
        <v>1370</v>
      </c>
      <c r="L73" s="313" t="s">
        <v>216</v>
      </c>
      <c r="M73" s="312"/>
    </row>
    <row r="74" spans="1:13" ht="58" x14ac:dyDescent="0.35">
      <c r="A74" s="155">
        <v>43569</v>
      </c>
      <c r="B74" s="17" t="s">
        <v>1664</v>
      </c>
      <c r="C74" s="302" t="s">
        <v>1869</v>
      </c>
      <c r="D74" s="17"/>
      <c r="E74" s="17" t="s">
        <v>1868</v>
      </c>
      <c r="F74" s="125">
        <v>43571</v>
      </c>
      <c r="G74" s="26">
        <v>0.58333333333333304</v>
      </c>
      <c r="H74" s="109" t="s">
        <v>1661</v>
      </c>
      <c r="I74" s="191">
        <v>0</v>
      </c>
      <c r="J74" s="17" t="s">
        <v>1867</v>
      </c>
      <c r="K74" s="173" t="s">
        <v>1370</v>
      </c>
      <c r="L74" s="65" t="s">
        <v>216</v>
      </c>
    </row>
    <row r="75" spans="1:13" ht="29" x14ac:dyDescent="0.35">
      <c r="A75" s="155">
        <v>43569</v>
      </c>
      <c r="B75" s="17" t="s">
        <v>216</v>
      </c>
      <c r="C75" s="302" t="s">
        <v>216</v>
      </c>
      <c r="D75" s="17"/>
      <c r="E75" s="17" t="s">
        <v>1866</v>
      </c>
      <c r="F75" s="125">
        <v>43571</v>
      </c>
      <c r="G75" s="26">
        <v>0.70833333333333304</v>
      </c>
      <c r="H75" s="109" t="s">
        <v>126</v>
      </c>
      <c r="I75" s="191">
        <v>0</v>
      </c>
      <c r="J75" s="17" t="s">
        <v>455</v>
      </c>
      <c r="K75" s="173" t="s">
        <v>1370</v>
      </c>
      <c r="L75" s="65" t="s">
        <v>216</v>
      </c>
    </row>
    <row r="76" spans="1:13" ht="43.5" x14ac:dyDescent="0.35">
      <c r="A76" s="155">
        <v>43563</v>
      </c>
      <c r="B76" s="17" t="s">
        <v>1865</v>
      </c>
      <c r="C76" s="302" t="s">
        <v>1864</v>
      </c>
      <c r="D76" s="17" t="s">
        <v>15</v>
      </c>
      <c r="E76" s="17" t="s">
        <v>1863</v>
      </c>
      <c r="F76" s="125">
        <v>43571</v>
      </c>
      <c r="G76" s="177">
        <v>0.79166666666666696</v>
      </c>
      <c r="H76" s="17" t="s">
        <v>1862</v>
      </c>
      <c r="I76" s="191" t="s">
        <v>15</v>
      </c>
      <c r="J76" s="17" t="s">
        <v>15</v>
      </c>
      <c r="K76" s="173" t="s">
        <v>1370</v>
      </c>
      <c r="L76" s="65"/>
    </row>
    <row r="77" spans="1:13" ht="43.5" x14ac:dyDescent="0.35">
      <c r="A77" s="294">
        <v>43571</v>
      </c>
      <c r="B77" s="281" t="s">
        <v>1718</v>
      </c>
      <c r="C77" s="311" t="s">
        <v>1717</v>
      </c>
      <c r="D77" s="281" t="s">
        <v>15</v>
      </c>
      <c r="E77" s="281" t="s">
        <v>1861</v>
      </c>
      <c r="F77" s="283">
        <v>43572</v>
      </c>
      <c r="G77" s="282">
        <v>0.39583333333333298</v>
      </c>
      <c r="H77" s="281" t="s">
        <v>1010</v>
      </c>
      <c r="I77" s="213">
        <v>400</v>
      </c>
      <c r="J77" s="227" t="s">
        <v>1794</v>
      </c>
      <c r="K77" s="173" t="s">
        <v>1370</v>
      </c>
      <c r="L77" s="65" t="s">
        <v>216</v>
      </c>
    </row>
    <row r="78" spans="1:13" ht="72.5" x14ac:dyDescent="0.35">
      <c r="A78" s="294">
        <v>43571</v>
      </c>
      <c r="B78" s="281" t="s">
        <v>1860</v>
      </c>
      <c r="C78" s="311" t="s">
        <v>1859</v>
      </c>
      <c r="D78" s="281" t="s">
        <v>1858</v>
      </c>
      <c r="E78" s="281" t="s">
        <v>1857</v>
      </c>
      <c r="F78" s="283">
        <v>43572</v>
      </c>
      <c r="G78" s="282">
        <v>0.58333333333333304</v>
      </c>
      <c r="H78" s="281" t="s">
        <v>1856</v>
      </c>
      <c r="I78" s="191">
        <v>0</v>
      </c>
      <c r="J78" s="17" t="s">
        <v>455</v>
      </c>
      <c r="K78" s="173" t="s">
        <v>1370</v>
      </c>
      <c r="L78" s="65" t="s">
        <v>216</v>
      </c>
    </row>
    <row r="79" spans="1:13" ht="43.5" x14ac:dyDescent="0.35">
      <c r="A79" s="155">
        <v>43564</v>
      </c>
      <c r="B79" s="17" t="s">
        <v>1855</v>
      </c>
      <c r="C79" s="302" t="s">
        <v>1854</v>
      </c>
      <c r="D79" s="17" t="s">
        <v>15</v>
      </c>
      <c r="E79" s="17" t="s">
        <v>1853</v>
      </c>
      <c r="F79" s="125">
        <v>43572</v>
      </c>
      <c r="G79" s="177" t="s">
        <v>1514</v>
      </c>
      <c r="H79" s="17" t="s">
        <v>1701</v>
      </c>
      <c r="I79" s="213">
        <v>84</v>
      </c>
      <c r="J79" s="17" t="s">
        <v>1700</v>
      </c>
      <c r="K79" s="65" t="s">
        <v>1370</v>
      </c>
      <c r="L79" s="65" t="s">
        <v>22</v>
      </c>
    </row>
    <row r="80" spans="1:13" x14ac:dyDescent="0.35">
      <c r="A80" s="155">
        <v>43571</v>
      </c>
      <c r="B80" s="17" t="s">
        <v>1852</v>
      </c>
      <c r="C80" s="65" t="s">
        <v>22</v>
      </c>
      <c r="D80" s="17"/>
      <c r="E80" s="17" t="s">
        <v>1851</v>
      </c>
      <c r="F80" s="125">
        <v>43572</v>
      </c>
      <c r="G80" s="177" t="s">
        <v>1514</v>
      </c>
      <c r="H80" s="17" t="s">
        <v>1701</v>
      </c>
      <c r="I80" s="191">
        <v>0</v>
      </c>
      <c r="J80" s="17" t="s">
        <v>455</v>
      </c>
      <c r="K80" s="65" t="s">
        <v>1370</v>
      </c>
      <c r="L80" s="65" t="s">
        <v>22</v>
      </c>
    </row>
    <row r="81" spans="1:12" ht="232" x14ac:dyDescent="0.35">
      <c r="A81" s="155">
        <v>43571</v>
      </c>
      <c r="B81" s="17" t="s">
        <v>1512</v>
      </c>
      <c r="C81" s="302" t="s">
        <v>1850</v>
      </c>
      <c r="D81" s="17" t="s">
        <v>15</v>
      </c>
      <c r="E81" s="17" t="s">
        <v>1849</v>
      </c>
      <c r="F81" s="125">
        <v>43572</v>
      </c>
      <c r="G81" s="177">
        <v>0.70833333333333304</v>
      </c>
      <c r="H81" s="17" t="s">
        <v>126</v>
      </c>
      <c r="I81" s="213">
        <v>150</v>
      </c>
      <c r="J81" s="17" t="s">
        <v>1848</v>
      </c>
      <c r="K81" s="65" t="s">
        <v>1370</v>
      </c>
      <c r="L81" s="65" t="s">
        <v>17</v>
      </c>
    </row>
    <row r="82" spans="1:12" ht="58" x14ac:dyDescent="0.35">
      <c r="A82" s="204">
        <v>43572</v>
      </c>
      <c r="B82" s="185" t="s">
        <v>1445</v>
      </c>
      <c r="C82" s="210" t="s">
        <v>15</v>
      </c>
      <c r="D82" s="185" t="s">
        <v>15</v>
      </c>
      <c r="E82" s="185" t="s">
        <v>1847</v>
      </c>
      <c r="F82" s="186">
        <v>43573</v>
      </c>
      <c r="G82" s="219">
        <v>0.75</v>
      </c>
      <c r="H82" s="185" t="s">
        <v>210</v>
      </c>
      <c r="I82" s="191" t="s">
        <v>15</v>
      </c>
      <c r="J82" s="17" t="s">
        <v>15</v>
      </c>
      <c r="K82" s="173" t="s">
        <v>1370</v>
      </c>
      <c r="L82" s="65" t="s">
        <v>17</v>
      </c>
    </row>
    <row r="83" spans="1:12" ht="29" x14ac:dyDescent="0.35">
      <c r="A83" s="155">
        <v>43572</v>
      </c>
      <c r="B83" s="17" t="s">
        <v>1846</v>
      </c>
      <c r="C83" s="65" t="s">
        <v>1722</v>
      </c>
      <c r="D83" s="17" t="s">
        <v>15</v>
      </c>
      <c r="E83" s="17" t="s">
        <v>1845</v>
      </c>
      <c r="F83" s="125">
        <v>43573</v>
      </c>
      <c r="G83" s="177">
        <v>0.58333333333333304</v>
      </c>
      <c r="H83" s="17" t="s">
        <v>1720</v>
      </c>
      <c r="I83" s="191" t="s">
        <v>15</v>
      </c>
      <c r="J83" s="17" t="s">
        <v>15</v>
      </c>
      <c r="K83" s="173" t="s">
        <v>1370</v>
      </c>
      <c r="L83" s="65" t="s">
        <v>17</v>
      </c>
    </row>
    <row r="84" spans="1:12" ht="43.5" x14ac:dyDescent="0.35">
      <c r="A84" s="155">
        <v>43572</v>
      </c>
      <c r="B84" s="17" t="s">
        <v>1844</v>
      </c>
      <c r="C84" s="65">
        <v>722622155</v>
      </c>
      <c r="D84" s="17"/>
      <c r="E84" s="17" t="s">
        <v>1843</v>
      </c>
      <c r="F84" s="125">
        <v>43573</v>
      </c>
      <c r="G84" s="177">
        <v>0.75</v>
      </c>
      <c r="H84" s="17" t="s">
        <v>1834</v>
      </c>
      <c r="I84" s="191">
        <v>0</v>
      </c>
      <c r="J84" s="17" t="s">
        <v>455</v>
      </c>
      <c r="K84" s="173" t="s">
        <v>1370</v>
      </c>
      <c r="L84" s="65" t="s">
        <v>22</v>
      </c>
    </row>
    <row r="85" spans="1:12" ht="29" x14ac:dyDescent="0.35">
      <c r="A85" s="294">
        <v>43573</v>
      </c>
      <c r="B85" s="281" t="s">
        <v>1842</v>
      </c>
      <c r="C85" s="311" t="s">
        <v>1841</v>
      </c>
      <c r="D85" s="281"/>
      <c r="E85" s="281" t="s">
        <v>1840</v>
      </c>
      <c r="F85" s="283">
        <v>43573</v>
      </c>
      <c r="G85" s="282" t="s">
        <v>1839</v>
      </c>
      <c r="H85" s="281" t="s">
        <v>493</v>
      </c>
      <c r="I85" s="310">
        <v>0</v>
      </c>
      <c r="J85" s="227" t="s">
        <v>15</v>
      </c>
      <c r="K85" s="173" t="s">
        <v>1370</v>
      </c>
      <c r="L85" s="65" t="s">
        <v>22</v>
      </c>
    </row>
    <row r="86" spans="1:12" ht="217.5" x14ac:dyDescent="0.35">
      <c r="A86" s="155">
        <v>43567</v>
      </c>
      <c r="B86" s="17" t="s">
        <v>1606</v>
      </c>
      <c r="C86" s="65" t="s">
        <v>1752</v>
      </c>
      <c r="D86" s="17"/>
      <c r="E86" s="17" t="s">
        <v>1838</v>
      </c>
      <c r="F86" s="125">
        <v>43574</v>
      </c>
      <c r="G86" s="65" t="s">
        <v>1750</v>
      </c>
      <c r="H86" s="17" t="s">
        <v>1749</v>
      </c>
      <c r="I86" s="213">
        <v>1775</v>
      </c>
      <c r="J86" s="42" t="s">
        <v>1837</v>
      </c>
      <c r="K86" s="173" t="s">
        <v>1370</v>
      </c>
      <c r="L86" s="65" t="s">
        <v>216</v>
      </c>
    </row>
    <row r="87" spans="1:12" ht="43.5" x14ac:dyDescent="0.35">
      <c r="A87" s="155">
        <v>43569</v>
      </c>
      <c r="B87" s="17" t="s">
        <v>1836</v>
      </c>
      <c r="C87" s="302" t="s">
        <v>1415</v>
      </c>
      <c r="D87" s="17"/>
      <c r="E87" s="17" t="s">
        <v>1835</v>
      </c>
      <c r="F87" s="125">
        <v>43574</v>
      </c>
      <c r="G87" s="177">
        <v>0.375</v>
      </c>
      <c r="H87" s="17" t="s">
        <v>1834</v>
      </c>
      <c r="I87" s="191">
        <v>0</v>
      </c>
      <c r="J87" s="17" t="s">
        <v>15</v>
      </c>
      <c r="K87" s="173" t="s">
        <v>1370</v>
      </c>
      <c r="L87" s="65" t="s">
        <v>22</v>
      </c>
    </row>
    <row r="88" spans="1:12" ht="87" x14ac:dyDescent="0.35">
      <c r="A88" s="155">
        <v>43573</v>
      </c>
      <c r="B88" s="17" t="s">
        <v>1833</v>
      </c>
      <c r="C88" s="207" t="s">
        <v>1832</v>
      </c>
      <c r="D88" s="17"/>
      <c r="E88" s="17" t="s">
        <v>1831</v>
      </c>
      <c r="F88" s="125">
        <v>43574</v>
      </c>
      <c r="G88" s="177">
        <v>0.46875</v>
      </c>
      <c r="H88" s="17" t="s">
        <v>1830</v>
      </c>
      <c r="I88" s="213">
        <v>273.60000000000002</v>
      </c>
      <c r="J88" s="227" t="s">
        <v>1829</v>
      </c>
      <c r="K88" s="173" t="s">
        <v>1370</v>
      </c>
      <c r="L88" s="65" t="s">
        <v>17</v>
      </c>
    </row>
    <row r="89" spans="1:12" ht="29" x14ac:dyDescent="0.35">
      <c r="A89" s="155">
        <v>43572</v>
      </c>
      <c r="B89" s="17" t="s">
        <v>1308</v>
      </c>
      <c r="C89" s="65" t="s">
        <v>15</v>
      </c>
      <c r="D89" s="17" t="s">
        <v>15</v>
      </c>
      <c r="E89" s="17" t="s">
        <v>1828</v>
      </c>
      <c r="F89" s="125">
        <v>43574</v>
      </c>
      <c r="G89" s="177">
        <v>0.5</v>
      </c>
      <c r="H89" s="17" t="s">
        <v>210</v>
      </c>
      <c r="I89" s="213">
        <v>137.19999999999999</v>
      </c>
      <c r="J89" s="17" t="s">
        <v>1827</v>
      </c>
      <c r="K89" s="173" t="s">
        <v>1370</v>
      </c>
      <c r="L89" s="65" t="s">
        <v>17</v>
      </c>
    </row>
    <row r="90" spans="1:12" x14ac:dyDescent="0.35">
      <c r="A90" s="155">
        <v>43573</v>
      </c>
      <c r="B90" s="17" t="s">
        <v>1826</v>
      </c>
      <c r="C90" s="65" t="s">
        <v>1825</v>
      </c>
      <c r="D90" s="17" t="s">
        <v>15</v>
      </c>
      <c r="E90" s="17" t="s">
        <v>1824</v>
      </c>
      <c r="F90" s="125">
        <v>43574</v>
      </c>
      <c r="G90" s="177">
        <v>0.52083333333333304</v>
      </c>
      <c r="H90" s="17" t="s">
        <v>1823</v>
      </c>
      <c r="I90" s="213">
        <v>594</v>
      </c>
      <c r="J90" s="17" t="s">
        <v>1822</v>
      </c>
      <c r="K90" s="173" t="s">
        <v>1370</v>
      </c>
      <c r="L90" s="65" t="s">
        <v>17</v>
      </c>
    </row>
    <row r="91" spans="1:12" ht="29" x14ac:dyDescent="0.35">
      <c r="A91" s="155">
        <v>43573</v>
      </c>
      <c r="B91" s="17" t="s">
        <v>1821</v>
      </c>
      <c r="C91" s="302" t="s">
        <v>1524</v>
      </c>
      <c r="D91" s="17"/>
      <c r="E91" s="17" t="s">
        <v>1820</v>
      </c>
      <c r="F91" s="125">
        <v>43574</v>
      </c>
      <c r="G91" s="177">
        <v>0.58333333333333304</v>
      </c>
      <c r="H91" s="17" t="s">
        <v>1819</v>
      </c>
      <c r="I91" s="191">
        <v>0</v>
      </c>
      <c r="J91" s="17" t="s">
        <v>15</v>
      </c>
      <c r="K91" s="173" t="s">
        <v>1370</v>
      </c>
      <c r="L91" s="65" t="s">
        <v>216</v>
      </c>
    </row>
    <row r="92" spans="1:12" ht="58" x14ac:dyDescent="0.35">
      <c r="A92" s="204">
        <v>43571</v>
      </c>
      <c r="B92" s="185" t="s">
        <v>1428</v>
      </c>
      <c r="C92" s="309" t="s">
        <v>1427</v>
      </c>
      <c r="D92" s="185"/>
      <c r="E92" s="185" t="s">
        <v>1818</v>
      </c>
      <c r="F92" s="186">
        <v>43574</v>
      </c>
      <c r="G92" s="219">
        <v>0.66666666666666696</v>
      </c>
      <c r="H92" s="185" t="s">
        <v>1817</v>
      </c>
      <c r="I92" s="213">
        <v>550</v>
      </c>
      <c r="J92" s="227" t="s">
        <v>1816</v>
      </c>
      <c r="K92" s="173" t="s">
        <v>1370</v>
      </c>
      <c r="L92" s="65" t="s">
        <v>17</v>
      </c>
    </row>
    <row r="93" spans="1:12" ht="43.5" x14ac:dyDescent="0.35">
      <c r="A93" s="155">
        <v>43571</v>
      </c>
      <c r="B93" s="17" t="s">
        <v>1815</v>
      </c>
      <c r="C93" s="302" t="s">
        <v>17</v>
      </c>
      <c r="D93" s="17"/>
      <c r="E93" s="17" t="s">
        <v>1814</v>
      </c>
      <c r="F93" s="125">
        <v>43574</v>
      </c>
      <c r="G93" s="177">
        <v>0.66666666666666696</v>
      </c>
      <c r="H93" s="17" t="s">
        <v>1813</v>
      </c>
      <c r="I93" s="191">
        <v>0</v>
      </c>
      <c r="J93" s="17" t="s">
        <v>455</v>
      </c>
      <c r="K93" s="173" t="s">
        <v>1370</v>
      </c>
      <c r="L93" s="65" t="s">
        <v>17</v>
      </c>
    </row>
    <row r="94" spans="1:12" ht="72.5" x14ac:dyDescent="0.35">
      <c r="A94" s="155">
        <v>43571</v>
      </c>
      <c r="B94" s="17" t="s">
        <v>1812</v>
      </c>
      <c r="C94" s="302" t="s">
        <v>1811</v>
      </c>
      <c r="D94" s="17"/>
      <c r="E94" s="17" t="s">
        <v>1810</v>
      </c>
      <c r="F94" s="125">
        <v>43574</v>
      </c>
      <c r="G94" s="177" t="s">
        <v>1514</v>
      </c>
      <c r="H94" s="17" t="s">
        <v>1809</v>
      </c>
      <c r="I94" s="213">
        <v>215.25</v>
      </c>
      <c r="J94" s="17" t="s">
        <v>1808</v>
      </c>
      <c r="K94" s="173" t="s">
        <v>1370</v>
      </c>
      <c r="L94" s="65" t="s">
        <v>22</v>
      </c>
    </row>
    <row r="95" spans="1:12" ht="130.5" x14ac:dyDescent="0.35">
      <c r="A95" s="204">
        <v>43570</v>
      </c>
      <c r="B95" s="185" t="s">
        <v>1807</v>
      </c>
      <c r="C95" s="309" t="s">
        <v>1806</v>
      </c>
      <c r="D95" s="185" t="s">
        <v>1805</v>
      </c>
      <c r="E95" s="185" t="s">
        <v>1804</v>
      </c>
      <c r="F95" s="186">
        <v>43575</v>
      </c>
      <c r="G95" s="219">
        <v>0.45833333333333298</v>
      </c>
      <c r="H95" s="185" t="s">
        <v>1803</v>
      </c>
      <c r="I95" s="213">
        <v>612</v>
      </c>
      <c r="J95" s="17" t="s">
        <v>1802</v>
      </c>
      <c r="K95" s="173" t="s">
        <v>1370</v>
      </c>
      <c r="L95" s="65" t="s">
        <v>22</v>
      </c>
    </row>
    <row r="96" spans="1:12" ht="43.5" x14ac:dyDescent="0.35">
      <c r="A96" s="155">
        <v>43574</v>
      </c>
      <c r="B96" s="17" t="s">
        <v>1801</v>
      </c>
      <c r="C96" s="302" t="s">
        <v>1800</v>
      </c>
      <c r="D96" s="17"/>
      <c r="E96" s="17" t="s">
        <v>1799</v>
      </c>
      <c r="F96" s="125">
        <v>43575</v>
      </c>
      <c r="G96" s="177">
        <v>0.58333333333333304</v>
      </c>
      <c r="H96" s="17" t="s">
        <v>311</v>
      </c>
      <c r="I96" s="213">
        <v>200</v>
      </c>
      <c r="J96" s="17" t="s">
        <v>1798</v>
      </c>
      <c r="K96" s="173" t="s">
        <v>1370</v>
      </c>
      <c r="L96" s="65" t="s">
        <v>22</v>
      </c>
    </row>
    <row r="97" spans="1:16" ht="188.5" x14ac:dyDescent="0.35">
      <c r="A97" s="204">
        <v>43562</v>
      </c>
      <c r="B97" s="185" t="s">
        <v>1718</v>
      </c>
      <c r="C97" s="210" t="s">
        <v>1797</v>
      </c>
      <c r="D97" s="185" t="s">
        <v>15</v>
      </c>
      <c r="E97" s="185" t="s">
        <v>1796</v>
      </c>
      <c r="F97" s="186">
        <v>43575</v>
      </c>
      <c r="G97" s="219">
        <v>0.54166666666666696</v>
      </c>
      <c r="H97" s="185" t="s">
        <v>1795</v>
      </c>
      <c r="I97" s="213">
        <v>1504</v>
      </c>
      <c r="J97" s="227" t="s">
        <v>1794</v>
      </c>
      <c r="K97" s="173" t="s">
        <v>1370</v>
      </c>
      <c r="L97" s="65" t="s">
        <v>17</v>
      </c>
    </row>
    <row r="98" spans="1:16" ht="130.5" x14ac:dyDescent="0.35">
      <c r="A98" s="155">
        <v>43572</v>
      </c>
      <c r="B98" s="17" t="s">
        <v>216</v>
      </c>
      <c r="C98" s="65" t="s">
        <v>1793</v>
      </c>
      <c r="D98" s="17" t="s">
        <v>15</v>
      </c>
      <c r="E98" s="17" t="s">
        <v>1792</v>
      </c>
      <c r="F98" s="125">
        <v>43575</v>
      </c>
      <c r="G98" s="177">
        <v>0.85416666666666696</v>
      </c>
      <c r="H98" s="17" t="s">
        <v>1791</v>
      </c>
      <c r="I98" s="213">
        <v>957</v>
      </c>
      <c r="J98" s="227" t="s">
        <v>1790</v>
      </c>
      <c r="K98" s="173" t="s">
        <v>1370</v>
      </c>
      <c r="L98" s="65" t="s">
        <v>17</v>
      </c>
    </row>
    <row r="99" spans="1:16" ht="29" x14ac:dyDescent="0.35">
      <c r="A99" s="204">
        <v>43571</v>
      </c>
      <c r="B99" s="185" t="s">
        <v>1789</v>
      </c>
      <c r="C99" s="210" t="s">
        <v>1788</v>
      </c>
      <c r="D99" s="185" t="s">
        <v>15</v>
      </c>
      <c r="E99" s="185" t="s">
        <v>1787</v>
      </c>
      <c r="F99" s="186">
        <v>43576</v>
      </c>
      <c r="G99" s="219">
        <v>0.45833333333333298</v>
      </c>
      <c r="H99" s="185" t="s">
        <v>1412</v>
      </c>
      <c r="I99" s="308">
        <v>550</v>
      </c>
      <c r="J99" s="17" t="s">
        <v>257</v>
      </c>
      <c r="K99" s="173" t="s">
        <v>1370</v>
      </c>
      <c r="L99" s="65" t="s">
        <v>22</v>
      </c>
    </row>
    <row r="100" spans="1:16" ht="43.5" x14ac:dyDescent="0.35">
      <c r="A100" s="155">
        <v>43571</v>
      </c>
      <c r="B100" s="17" t="s">
        <v>821</v>
      </c>
      <c r="C100" s="65" t="s">
        <v>1786</v>
      </c>
      <c r="D100" s="17"/>
      <c r="E100" s="17" t="s">
        <v>1785</v>
      </c>
      <c r="F100" s="125">
        <v>43576</v>
      </c>
      <c r="G100" s="177">
        <v>0.5</v>
      </c>
      <c r="H100" s="17" t="s">
        <v>311</v>
      </c>
      <c r="I100" s="213">
        <v>343</v>
      </c>
      <c r="J100" s="227" t="s">
        <v>1784</v>
      </c>
      <c r="K100" s="173" t="s">
        <v>1370</v>
      </c>
      <c r="L100" s="65" t="s">
        <v>216</v>
      </c>
      <c r="O100" s="64"/>
      <c r="P100" s="64"/>
    </row>
    <row r="101" spans="1:16" ht="43.5" x14ac:dyDescent="0.35">
      <c r="A101" s="155">
        <v>43574</v>
      </c>
      <c r="B101" s="17" t="s">
        <v>1783</v>
      </c>
      <c r="C101" s="65">
        <v>768347861</v>
      </c>
      <c r="D101" s="17"/>
      <c r="E101" s="17" t="s">
        <v>1782</v>
      </c>
      <c r="F101" s="125">
        <v>43576</v>
      </c>
      <c r="G101" s="177">
        <v>0.5</v>
      </c>
      <c r="H101" s="17" t="s">
        <v>1781</v>
      </c>
      <c r="I101" s="301">
        <v>110</v>
      </c>
      <c r="J101" s="17" t="s">
        <v>257</v>
      </c>
      <c r="K101" s="173" t="s">
        <v>1370</v>
      </c>
      <c r="L101" s="65" t="s">
        <v>17</v>
      </c>
      <c r="O101" s="64"/>
      <c r="P101" s="64"/>
    </row>
    <row r="102" spans="1:16" ht="72.5" x14ac:dyDescent="0.35">
      <c r="A102" s="204">
        <v>43572</v>
      </c>
      <c r="B102" s="185" t="s">
        <v>1780</v>
      </c>
      <c r="C102" s="210" t="s">
        <v>1779</v>
      </c>
      <c r="D102" s="185" t="s">
        <v>15</v>
      </c>
      <c r="E102" s="185" t="s">
        <v>1778</v>
      </c>
      <c r="F102" s="186">
        <v>43576</v>
      </c>
      <c r="G102" s="219">
        <v>0.58333333333333304</v>
      </c>
      <c r="H102" s="185" t="s">
        <v>210</v>
      </c>
      <c r="I102" s="307">
        <v>210</v>
      </c>
      <c r="J102" s="17" t="s">
        <v>1777</v>
      </c>
      <c r="K102" s="173" t="s">
        <v>1370</v>
      </c>
      <c r="L102" s="65" t="s">
        <v>17</v>
      </c>
      <c r="O102" s="64"/>
      <c r="P102" s="64"/>
    </row>
    <row r="103" spans="1:16" ht="43.5" x14ac:dyDescent="0.35">
      <c r="A103" s="204">
        <v>43574</v>
      </c>
      <c r="B103" s="185" t="s">
        <v>1776</v>
      </c>
      <c r="C103" s="210">
        <v>764614111</v>
      </c>
      <c r="D103" s="185"/>
      <c r="E103" s="185" t="s">
        <v>1775</v>
      </c>
      <c r="F103" s="186">
        <v>43576</v>
      </c>
      <c r="G103" s="219" t="s">
        <v>1774</v>
      </c>
      <c r="H103" s="185" t="s">
        <v>1773</v>
      </c>
      <c r="I103" s="301">
        <v>350</v>
      </c>
      <c r="J103" s="32" t="s">
        <v>257</v>
      </c>
      <c r="K103" s="173" t="s">
        <v>1370</v>
      </c>
      <c r="L103" s="65" t="s">
        <v>22</v>
      </c>
      <c r="O103" s="64"/>
      <c r="P103" s="64"/>
    </row>
    <row r="104" spans="1:16" ht="290" x14ac:dyDescent="0.35">
      <c r="A104" s="204">
        <v>43572</v>
      </c>
      <c r="B104" s="185" t="s">
        <v>1772</v>
      </c>
      <c r="C104" s="210" t="s">
        <v>15</v>
      </c>
      <c r="D104" s="185" t="s">
        <v>15</v>
      </c>
      <c r="E104" s="185" t="s">
        <v>1771</v>
      </c>
      <c r="F104" s="186">
        <v>43576</v>
      </c>
      <c r="G104" s="306">
        <v>0.72916666666666696</v>
      </c>
      <c r="H104" s="185" t="s">
        <v>1447</v>
      </c>
      <c r="I104" s="213">
        <v>2452</v>
      </c>
      <c r="J104" s="42" t="s">
        <v>1770</v>
      </c>
      <c r="K104" s="173" t="s">
        <v>1370</v>
      </c>
      <c r="L104" s="65" t="s">
        <v>17</v>
      </c>
      <c r="O104" s="64"/>
      <c r="P104" s="64"/>
    </row>
    <row r="105" spans="1:16" ht="43.5" x14ac:dyDescent="0.35">
      <c r="A105" s="204">
        <v>43572</v>
      </c>
      <c r="B105" s="185" t="s">
        <v>1445</v>
      </c>
      <c r="C105" s="210" t="s">
        <v>1444</v>
      </c>
      <c r="D105" s="29" t="s">
        <v>15</v>
      </c>
      <c r="E105" s="29" t="s">
        <v>1769</v>
      </c>
      <c r="F105" s="142">
        <v>43576</v>
      </c>
      <c r="G105" s="305">
        <v>0.5</v>
      </c>
      <c r="H105" s="29" t="s">
        <v>1442</v>
      </c>
      <c r="I105" s="304">
        <v>95</v>
      </c>
      <c r="J105" s="17" t="s">
        <v>1441</v>
      </c>
      <c r="K105" s="65" t="s">
        <v>1370</v>
      </c>
      <c r="L105" s="65" t="s">
        <v>17</v>
      </c>
      <c r="O105" s="64"/>
      <c r="P105" s="64"/>
    </row>
    <row r="106" spans="1:16" ht="58" x14ac:dyDescent="0.35">
      <c r="A106" s="204">
        <v>43572</v>
      </c>
      <c r="B106" s="185" t="s">
        <v>1699</v>
      </c>
      <c r="C106" s="210" t="s">
        <v>15</v>
      </c>
      <c r="D106" s="185" t="s">
        <v>15</v>
      </c>
      <c r="E106" s="185" t="s">
        <v>1698</v>
      </c>
      <c r="F106" s="186">
        <v>43577</v>
      </c>
      <c r="G106" s="219">
        <v>0.41666666666666702</v>
      </c>
      <c r="H106" s="185" t="s">
        <v>210</v>
      </c>
      <c r="I106" s="301">
        <v>2250</v>
      </c>
      <c r="J106" s="17" t="s">
        <v>1697</v>
      </c>
      <c r="K106" s="173" t="s">
        <v>1370</v>
      </c>
      <c r="L106" s="65" t="s">
        <v>17</v>
      </c>
      <c r="O106" s="64"/>
      <c r="P106" s="64"/>
    </row>
    <row r="107" spans="1:16" ht="29" x14ac:dyDescent="0.35">
      <c r="A107" s="155">
        <v>43573</v>
      </c>
      <c r="B107" s="17" t="s">
        <v>1768</v>
      </c>
      <c r="C107" s="207" t="s">
        <v>1654</v>
      </c>
      <c r="D107" s="17"/>
      <c r="E107" s="17" t="s">
        <v>1767</v>
      </c>
      <c r="F107" s="125">
        <v>43577</v>
      </c>
      <c r="G107" s="177" t="s">
        <v>1644</v>
      </c>
      <c r="H107" s="109" t="s">
        <v>1652</v>
      </c>
      <c r="I107" s="191">
        <v>0</v>
      </c>
      <c r="J107" s="17" t="s">
        <v>455</v>
      </c>
      <c r="K107" s="173" t="s">
        <v>1370</v>
      </c>
      <c r="L107" s="65" t="s">
        <v>22</v>
      </c>
      <c r="O107" s="64"/>
      <c r="P107" s="64"/>
    </row>
    <row r="108" spans="1:16" ht="43.5" x14ac:dyDescent="0.35">
      <c r="A108" s="155">
        <v>43574</v>
      </c>
      <c r="B108" s="17" t="s">
        <v>1766</v>
      </c>
      <c r="C108" s="207" t="s">
        <v>1765</v>
      </c>
      <c r="D108" s="17"/>
      <c r="E108" s="17" t="s">
        <v>1764</v>
      </c>
      <c r="F108" s="125">
        <v>43577</v>
      </c>
      <c r="G108" s="177">
        <v>0.66666666666666696</v>
      </c>
      <c r="H108" s="109" t="s">
        <v>1763</v>
      </c>
      <c r="I108" s="191">
        <v>0</v>
      </c>
      <c r="J108" s="17" t="s">
        <v>455</v>
      </c>
      <c r="K108" s="173" t="s">
        <v>1370</v>
      </c>
      <c r="L108" s="65" t="s">
        <v>22</v>
      </c>
    </row>
    <row r="109" spans="1:16" ht="58" x14ac:dyDescent="0.35">
      <c r="A109" s="125">
        <v>43576</v>
      </c>
      <c r="B109" s="17" t="s">
        <v>1762</v>
      </c>
      <c r="C109" s="65" t="s">
        <v>1761</v>
      </c>
      <c r="D109" s="17" t="s">
        <v>15</v>
      </c>
      <c r="E109" s="17" t="s">
        <v>1760</v>
      </c>
      <c r="F109" s="125">
        <v>43578</v>
      </c>
      <c r="G109" s="177">
        <v>0.58333333333333304</v>
      </c>
      <c r="H109" s="17" t="s">
        <v>1759</v>
      </c>
      <c r="I109" s="156">
        <v>206.5</v>
      </c>
      <c r="J109" s="17" t="s">
        <v>125</v>
      </c>
      <c r="K109" s="65" t="s">
        <v>1370</v>
      </c>
      <c r="L109" s="65" t="s">
        <v>1508</v>
      </c>
    </row>
    <row r="110" spans="1:16" ht="58" x14ac:dyDescent="0.35">
      <c r="A110" s="125">
        <v>43577</v>
      </c>
      <c r="B110" s="17" t="s">
        <v>1758</v>
      </c>
      <c r="C110" s="65">
        <v>729057479</v>
      </c>
      <c r="D110" s="17"/>
      <c r="E110" s="17" t="s">
        <v>1757</v>
      </c>
      <c r="F110" s="125">
        <v>43578</v>
      </c>
      <c r="G110" s="17" t="s">
        <v>1756</v>
      </c>
      <c r="H110" s="17" t="s">
        <v>1701</v>
      </c>
      <c r="I110" s="213">
        <v>1800</v>
      </c>
      <c r="J110" s="17" t="s">
        <v>1755</v>
      </c>
      <c r="K110" s="65" t="s">
        <v>1370</v>
      </c>
      <c r="L110" s="65" t="s">
        <v>22</v>
      </c>
    </row>
    <row r="111" spans="1:16" ht="58" x14ac:dyDescent="0.35">
      <c r="A111" s="125">
        <v>43574</v>
      </c>
      <c r="B111" s="17" t="s">
        <v>1754</v>
      </c>
      <c r="C111" s="207" t="s">
        <v>17</v>
      </c>
      <c r="D111" s="17"/>
      <c r="E111" s="17" t="s">
        <v>1753</v>
      </c>
      <c r="F111" s="125">
        <v>43578</v>
      </c>
      <c r="G111" s="177">
        <v>0.38541666666666702</v>
      </c>
      <c r="H111" s="109" t="s">
        <v>493</v>
      </c>
      <c r="I111" s="191">
        <v>0</v>
      </c>
      <c r="J111" s="17" t="s">
        <v>15</v>
      </c>
      <c r="K111" s="65" t="s">
        <v>1370</v>
      </c>
      <c r="L111" s="65" t="s">
        <v>17</v>
      </c>
    </row>
    <row r="112" spans="1:16" ht="58" x14ac:dyDescent="0.35">
      <c r="A112" s="125">
        <v>43567</v>
      </c>
      <c r="B112" s="17" t="s">
        <v>1606</v>
      </c>
      <c r="C112" s="65" t="s">
        <v>1752</v>
      </c>
      <c r="D112" s="17"/>
      <c r="E112" s="17" t="s">
        <v>1751</v>
      </c>
      <c r="F112" s="125">
        <v>43578</v>
      </c>
      <c r="G112" s="65" t="s">
        <v>1750</v>
      </c>
      <c r="H112" s="17" t="s">
        <v>1749</v>
      </c>
      <c r="I112" s="191">
        <v>0</v>
      </c>
      <c r="J112" s="17" t="s">
        <v>15</v>
      </c>
      <c r="K112" s="65" t="s">
        <v>1370</v>
      </c>
      <c r="L112" s="65" t="s">
        <v>216</v>
      </c>
    </row>
    <row r="113" spans="1:13" ht="58" x14ac:dyDescent="0.35">
      <c r="A113" s="125">
        <v>43573</v>
      </c>
      <c r="B113" s="17" t="s">
        <v>1748</v>
      </c>
      <c r="C113" s="65" t="s">
        <v>17</v>
      </c>
      <c r="D113" s="17" t="s">
        <v>15</v>
      </c>
      <c r="E113" s="17" t="s">
        <v>1747</v>
      </c>
      <c r="F113" s="125">
        <v>43578</v>
      </c>
      <c r="G113" s="177">
        <v>0.45833333333333298</v>
      </c>
      <c r="H113" s="17" t="s">
        <v>1746</v>
      </c>
      <c r="I113" s="65" t="s">
        <v>15</v>
      </c>
      <c r="J113" s="17" t="s">
        <v>15</v>
      </c>
      <c r="K113" s="65" t="s">
        <v>1370</v>
      </c>
      <c r="L113" s="65" t="s">
        <v>17</v>
      </c>
    </row>
    <row r="114" spans="1:13" ht="43.5" x14ac:dyDescent="0.35">
      <c r="A114" s="125">
        <v>43571</v>
      </c>
      <c r="B114" s="17" t="s">
        <v>1745</v>
      </c>
      <c r="C114" s="65" t="s">
        <v>17</v>
      </c>
      <c r="D114" s="17"/>
      <c r="E114" s="17" t="s">
        <v>1744</v>
      </c>
      <c r="F114" s="125">
        <v>43578</v>
      </c>
      <c r="G114" s="177">
        <v>0.58333333333333304</v>
      </c>
      <c r="H114" s="17" t="s">
        <v>1743</v>
      </c>
      <c r="I114" s="191">
        <v>0</v>
      </c>
      <c r="J114" s="17" t="s">
        <v>15</v>
      </c>
      <c r="K114" s="65" t="s">
        <v>1370</v>
      </c>
      <c r="L114" s="65" t="s">
        <v>17</v>
      </c>
    </row>
    <row r="115" spans="1:13" ht="43.5" x14ac:dyDescent="0.35">
      <c r="A115" s="125">
        <v>43574</v>
      </c>
      <c r="B115" s="17" t="s">
        <v>1723</v>
      </c>
      <c r="C115" s="65" t="s">
        <v>1742</v>
      </c>
      <c r="D115" s="17"/>
      <c r="E115" s="17" t="s">
        <v>1741</v>
      </c>
      <c r="F115" s="125">
        <v>43578</v>
      </c>
      <c r="G115" s="177">
        <v>0.58333333333333304</v>
      </c>
      <c r="H115" s="17" t="s">
        <v>1720</v>
      </c>
      <c r="I115" s="213">
        <v>1650</v>
      </c>
      <c r="J115" s="42" t="s">
        <v>1719</v>
      </c>
      <c r="K115" s="65" t="s">
        <v>1370</v>
      </c>
      <c r="L115" s="65" t="s">
        <v>1031</v>
      </c>
    </row>
    <row r="116" spans="1:13" ht="43.5" x14ac:dyDescent="0.35">
      <c r="A116" s="125">
        <v>43564</v>
      </c>
      <c r="B116" s="17" t="s">
        <v>1740</v>
      </c>
      <c r="C116" s="65">
        <v>722329178</v>
      </c>
      <c r="D116" s="17" t="s">
        <v>15</v>
      </c>
      <c r="E116" s="17" t="s">
        <v>1739</v>
      </c>
      <c r="F116" s="125">
        <v>43578</v>
      </c>
      <c r="G116" s="65" t="s">
        <v>1514</v>
      </c>
      <c r="H116" s="17" t="s">
        <v>1701</v>
      </c>
      <c r="I116" s="213">
        <v>63</v>
      </c>
      <c r="J116" s="17" t="s">
        <v>1700</v>
      </c>
      <c r="K116" s="65" t="s">
        <v>1370</v>
      </c>
      <c r="L116" s="65" t="s">
        <v>22</v>
      </c>
    </row>
    <row r="117" spans="1:13" ht="87" x14ac:dyDescent="0.35">
      <c r="A117" s="125">
        <v>43578</v>
      </c>
      <c r="B117" s="17" t="s">
        <v>1122</v>
      </c>
      <c r="C117" s="65"/>
      <c r="D117" s="17"/>
      <c r="E117" s="17" t="s">
        <v>1738</v>
      </c>
      <c r="F117" s="125">
        <v>43578</v>
      </c>
      <c r="G117" s="65" t="s">
        <v>1737</v>
      </c>
      <c r="H117" s="17"/>
      <c r="I117" s="112" t="s">
        <v>1736</v>
      </c>
      <c r="J117" s="17" t="s">
        <v>1735</v>
      </c>
      <c r="K117" s="65" t="s">
        <v>1370</v>
      </c>
      <c r="L117" s="65" t="s">
        <v>22</v>
      </c>
    </row>
    <row r="118" spans="1:13" x14ac:dyDescent="0.35">
      <c r="A118" s="155">
        <v>43577</v>
      </c>
      <c r="B118" s="17" t="s">
        <v>1122</v>
      </c>
      <c r="C118" s="65" t="s">
        <v>1122</v>
      </c>
      <c r="D118" s="17" t="s">
        <v>1524</v>
      </c>
      <c r="E118" s="17" t="s">
        <v>1694</v>
      </c>
      <c r="F118" s="125">
        <v>43578</v>
      </c>
      <c r="G118" s="177">
        <v>0.79166666666666696</v>
      </c>
      <c r="H118" s="17" t="s">
        <v>1522</v>
      </c>
      <c r="I118" s="144">
        <v>156.80000000000001</v>
      </c>
      <c r="J118" s="17" t="s">
        <v>1734</v>
      </c>
      <c r="K118" s="65" t="s">
        <v>1370</v>
      </c>
      <c r="L118" s="65" t="s">
        <v>1508</v>
      </c>
    </row>
    <row r="119" spans="1:13" ht="43.5" x14ac:dyDescent="0.35">
      <c r="A119" s="155">
        <v>43577</v>
      </c>
      <c r="B119" s="17" t="s">
        <v>1531</v>
      </c>
      <c r="C119" s="65" t="s">
        <v>15</v>
      </c>
      <c r="D119" s="17" t="s">
        <v>15</v>
      </c>
      <c r="E119" s="17" t="s">
        <v>1733</v>
      </c>
      <c r="F119" s="125">
        <v>43578</v>
      </c>
      <c r="G119" s="177" t="s">
        <v>1732</v>
      </c>
      <c r="H119" s="17" t="s">
        <v>1731</v>
      </c>
      <c r="I119" s="65" t="s">
        <v>15</v>
      </c>
      <c r="J119" s="17" t="s">
        <v>455</v>
      </c>
      <c r="K119" s="65" t="s">
        <v>1370</v>
      </c>
      <c r="L119" s="65" t="s">
        <v>17</v>
      </c>
    </row>
    <row r="120" spans="1:13" x14ac:dyDescent="0.35">
      <c r="A120" s="125">
        <v>43578</v>
      </c>
      <c r="B120" s="17" t="s">
        <v>1730</v>
      </c>
      <c r="C120" s="65" t="s">
        <v>15</v>
      </c>
      <c r="D120" s="17"/>
      <c r="E120" s="17" t="s">
        <v>1729</v>
      </c>
      <c r="F120" s="125">
        <v>43578</v>
      </c>
      <c r="G120" s="177">
        <v>0.75</v>
      </c>
      <c r="H120" s="17" t="s">
        <v>126</v>
      </c>
      <c r="I120" s="100">
        <v>115.5</v>
      </c>
      <c r="J120" s="17" t="s">
        <v>257</v>
      </c>
      <c r="K120" s="65" t="s">
        <v>1370</v>
      </c>
      <c r="L120" s="65" t="s">
        <v>17</v>
      </c>
    </row>
    <row r="121" spans="1:13" ht="217.5" x14ac:dyDescent="0.35">
      <c r="A121" s="155">
        <v>43577</v>
      </c>
      <c r="B121" s="17" t="s">
        <v>1728</v>
      </c>
      <c r="C121" s="65" t="s">
        <v>1727</v>
      </c>
      <c r="D121" s="17"/>
      <c r="E121" s="17" t="s">
        <v>1726</v>
      </c>
      <c r="F121" s="125">
        <v>43578</v>
      </c>
      <c r="G121" s="65" t="s">
        <v>1453</v>
      </c>
      <c r="H121" s="17" t="s">
        <v>1725</v>
      </c>
      <c r="I121" s="144">
        <v>1160</v>
      </c>
      <c r="J121" s="17" t="s">
        <v>1724</v>
      </c>
      <c r="K121" s="65" t="s">
        <v>1370</v>
      </c>
      <c r="L121" s="65" t="s">
        <v>17</v>
      </c>
      <c r="M121" s="120">
        <v>8</v>
      </c>
    </row>
    <row r="122" spans="1:13" ht="43.5" x14ac:dyDescent="0.35">
      <c r="A122" s="203">
        <v>43578</v>
      </c>
      <c r="B122" s="160" t="s">
        <v>1723</v>
      </c>
      <c r="C122" s="158" t="s">
        <v>1722</v>
      </c>
      <c r="D122" s="160"/>
      <c r="E122" s="160" t="s">
        <v>1721</v>
      </c>
      <c r="F122" s="163">
        <v>43579</v>
      </c>
      <c r="G122" s="303">
        <v>0.52083333333333304</v>
      </c>
      <c r="H122" s="160" t="s">
        <v>1720</v>
      </c>
      <c r="I122" s="213">
        <v>150</v>
      </c>
      <c r="J122" s="42" t="s">
        <v>1719</v>
      </c>
      <c r="K122" s="158" t="s">
        <v>1370</v>
      </c>
      <c r="L122" s="158" t="s">
        <v>1031</v>
      </c>
    </row>
    <row r="123" spans="1:13" ht="87" x14ac:dyDescent="0.35">
      <c r="A123" s="155">
        <v>43578</v>
      </c>
      <c r="B123" s="17" t="s">
        <v>1718</v>
      </c>
      <c r="C123" s="302" t="s">
        <v>1717</v>
      </c>
      <c r="D123" s="17" t="s">
        <v>15</v>
      </c>
      <c r="E123" s="17" t="s">
        <v>1716</v>
      </c>
      <c r="F123" s="125">
        <v>43579</v>
      </c>
      <c r="G123" s="177">
        <v>0.39583333333333298</v>
      </c>
      <c r="H123" s="17" t="s">
        <v>1010</v>
      </c>
      <c r="I123" s="144">
        <v>304</v>
      </c>
      <c r="J123" s="55" t="s">
        <v>1715</v>
      </c>
      <c r="K123" s="65" t="s">
        <v>1370</v>
      </c>
      <c r="L123" s="65" t="s">
        <v>216</v>
      </c>
    </row>
    <row r="124" spans="1:13" ht="72.5" x14ac:dyDescent="0.35">
      <c r="A124" s="204">
        <v>43566</v>
      </c>
      <c r="B124" s="185" t="s">
        <v>1714</v>
      </c>
      <c r="C124" s="185" t="s">
        <v>1713</v>
      </c>
      <c r="D124" s="185" t="s">
        <v>1712</v>
      </c>
      <c r="E124" s="185" t="s">
        <v>1711</v>
      </c>
      <c r="F124" s="186">
        <v>43579</v>
      </c>
      <c r="G124" s="210" t="s">
        <v>1710</v>
      </c>
      <c r="H124" s="185" t="s">
        <v>1709</v>
      </c>
      <c r="I124" s="213">
        <v>2760</v>
      </c>
      <c r="J124" s="227" t="s">
        <v>1708</v>
      </c>
      <c r="K124" s="173" t="s">
        <v>1370</v>
      </c>
      <c r="L124" s="65" t="s">
        <v>22</v>
      </c>
      <c r="M124" s="120">
        <v>1</v>
      </c>
    </row>
    <row r="125" spans="1:13" ht="29" x14ac:dyDescent="0.35">
      <c r="A125" s="155">
        <v>43564</v>
      </c>
      <c r="B125" s="17" t="s">
        <v>1707</v>
      </c>
      <c r="C125" s="65">
        <v>722329178</v>
      </c>
      <c r="D125" s="17" t="s">
        <v>15</v>
      </c>
      <c r="E125" s="17" t="s">
        <v>1706</v>
      </c>
      <c r="F125" s="125">
        <v>43579</v>
      </c>
      <c r="G125" s="65" t="s">
        <v>1514</v>
      </c>
      <c r="H125" s="17" t="s">
        <v>1701</v>
      </c>
      <c r="I125" s="213">
        <v>105</v>
      </c>
      <c r="J125" s="17" t="s">
        <v>1700</v>
      </c>
      <c r="K125" s="65" t="s">
        <v>1370</v>
      </c>
      <c r="L125" s="65" t="s">
        <v>22</v>
      </c>
      <c r="M125" s="120">
        <v>2</v>
      </c>
    </row>
    <row r="126" spans="1:13" ht="43.5" x14ac:dyDescent="0.35">
      <c r="A126" s="155">
        <v>43577</v>
      </c>
      <c r="B126" s="17" t="s">
        <v>1705</v>
      </c>
      <c r="C126" s="65">
        <v>722329178</v>
      </c>
      <c r="D126" s="17"/>
      <c r="E126" s="17" t="s">
        <v>1704</v>
      </c>
      <c r="F126" s="125">
        <v>43579</v>
      </c>
      <c r="G126" s="65" t="s">
        <v>1514</v>
      </c>
      <c r="H126" s="17" t="s">
        <v>1701</v>
      </c>
      <c r="I126" s="213">
        <v>157</v>
      </c>
      <c r="J126" s="17" t="s">
        <v>1700</v>
      </c>
      <c r="K126" s="65" t="s">
        <v>1370</v>
      </c>
      <c r="L126" s="65" t="s">
        <v>22</v>
      </c>
      <c r="M126" s="120">
        <v>3</v>
      </c>
    </row>
    <row r="127" spans="1:13" ht="58" x14ac:dyDescent="0.35">
      <c r="A127" s="155">
        <v>43564</v>
      </c>
      <c r="B127" s="17" t="s">
        <v>1703</v>
      </c>
      <c r="C127" s="65">
        <v>722329178</v>
      </c>
      <c r="D127" s="17" t="s">
        <v>15</v>
      </c>
      <c r="E127" s="17" t="s">
        <v>1702</v>
      </c>
      <c r="F127" s="125">
        <v>43579</v>
      </c>
      <c r="G127" s="65" t="s">
        <v>1514</v>
      </c>
      <c r="H127" s="17" t="s">
        <v>1701</v>
      </c>
      <c r="I127" s="213">
        <v>210</v>
      </c>
      <c r="J127" s="17" t="s">
        <v>1700</v>
      </c>
      <c r="K127" s="65" t="s">
        <v>1370</v>
      </c>
      <c r="L127" s="65" t="s">
        <v>22</v>
      </c>
      <c r="M127" s="120">
        <v>4</v>
      </c>
    </row>
    <row r="128" spans="1:13" ht="58" x14ac:dyDescent="0.35">
      <c r="A128" s="204">
        <v>43572</v>
      </c>
      <c r="B128" s="185" t="s">
        <v>1699</v>
      </c>
      <c r="C128" s="210" t="s">
        <v>15</v>
      </c>
      <c r="D128" s="185" t="s">
        <v>15</v>
      </c>
      <c r="E128" s="185" t="s">
        <v>1698</v>
      </c>
      <c r="F128" s="186">
        <v>43579</v>
      </c>
      <c r="G128" s="219">
        <v>0.41666666666666702</v>
      </c>
      <c r="H128" s="185" t="s">
        <v>210</v>
      </c>
      <c r="I128" s="301">
        <v>2250</v>
      </c>
      <c r="J128" s="17" t="s">
        <v>1697</v>
      </c>
      <c r="K128" s="173" t="s">
        <v>1370</v>
      </c>
      <c r="L128" s="65" t="s">
        <v>17</v>
      </c>
      <c r="M128" s="120">
        <v>5</v>
      </c>
    </row>
    <row r="129" spans="1:13" ht="188.5" x14ac:dyDescent="0.35">
      <c r="A129" s="155">
        <v>43575</v>
      </c>
      <c r="B129" s="17" t="s">
        <v>1696</v>
      </c>
      <c r="C129" s="65" t="s">
        <v>15</v>
      </c>
      <c r="D129" s="17" t="s">
        <v>15</v>
      </c>
      <c r="E129" s="17" t="s">
        <v>1695</v>
      </c>
      <c r="F129" s="125">
        <v>43579</v>
      </c>
      <c r="G129" s="177">
        <v>0.3125</v>
      </c>
      <c r="H129" s="17" t="s">
        <v>210</v>
      </c>
      <c r="I129" s="65" t="s">
        <v>15</v>
      </c>
      <c r="J129" s="17" t="s">
        <v>15</v>
      </c>
      <c r="K129" s="65" t="s">
        <v>1370</v>
      </c>
      <c r="L129" s="65" t="s">
        <v>17</v>
      </c>
      <c r="M129" s="120">
        <v>6</v>
      </c>
    </row>
    <row r="130" spans="1:13" x14ac:dyDescent="0.35">
      <c r="A130" s="155">
        <v>43577</v>
      </c>
      <c r="B130" s="17" t="s">
        <v>1122</v>
      </c>
      <c r="C130" s="65" t="s">
        <v>1524</v>
      </c>
      <c r="D130" s="17"/>
      <c r="E130" s="17" t="s">
        <v>1694</v>
      </c>
      <c r="F130" s="125">
        <v>43579</v>
      </c>
      <c r="G130" s="177">
        <v>0.70833333333333304</v>
      </c>
      <c r="H130" s="17" t="s">
        <v>1522</v>
      </c>
      <c r="I130" s="144">
        <v>176</v>
      </c>
      <c r="J130" s="17" t="s">
        <v>1693</v>
      </c>
      <c r="K130" s="65" t="s">
        <v>1370</v>
      </c>
      <c r="L130" s="65" t="s">
        <v>1508</v>
      </c>
      <c r="M130" s="120">
        <v>7</v>
      </c>
    </row>
    <row r="131" spans="1:13" ht="159.5" x14ac:dyDescent="0.35">
      <c r="A131" s="155">
        <v>43577</v>
      </c>
      <c r="B131" s="17" t="s">
        <v>1692</v>
      </c>
      <c r="C131" s="17" t="s">
        <v>1691</v>
      </c>
      <c r="D131" s="17"/>
      <c r="E131" s="17" t="s">
        <v>1690</v>
      </c>
      <c r="F131" s="125">
        <v>43579</v>
      </c>
      <c r="G131" s="177">
        <v>0.5625</v>
      </c>
      <c r="H131" s="17" t="s">
        <v>1689</v>
      </c>
      <c r="I131" s="144">
        <v>1081</v>
      </c>
      <c r="J131" s="42" t="s">
        <v>1688</v>
      </c>
      <c r="K131" s="173" t="s">
        <v>1370</v>
      </c>
      <c r="L131" s="65" t="s">
        <v>17</v>
      </c>
      <c r="M131" s="120">
        <v>9</v>
      </c>
    </row>
    <row r="132" spans="1:13" ht="43.5" x14ac:dyDescent="0.35">
      <c r="A132" s="294">
        <v>43579</v>
      </c>
      <c r="B132" s="281" t="s">
        <v>1687</v>
      </c>
      <c r="C132" s="284" t="s">
        <v>15</v>
      </c>
      <c r="D132" s="281" t="s">
        <v>15</v>
      </c>
      <c r="E132" s="281" t="s">
        <v>1686</v>
      </c>
      <c r="F132" s="283">
        <v>43580</v>
      </c>
      <c r="G132" s="282">
        <v>0.27083333333333298</v>
      </c>
      <c r="H132" s="281" t="s">
        <v>210</v>
      </c>
      <c r="I132" s="65" t="s">
        <v>15</v>
      </c>
      <c r="J132" s="17" t="s">
        <v>15</v>
      </c>
      <c r="K132" s="135" t="s">
        <v>1370</v>
      </c>
      <c r="L132" s="65" t="s">
        <v>17</v>
      </c>
      <c r="M132" s="120">
        <v>1</v>
      </c>
    </row>
    <row r="133" spans="1:13" ht="29" x14ac:dyDescent="0.35">
      <c r="A133" s="294">
        <v>43579</v>
      </c>
      <c r="B133" s="281" t="s">
        <v>1685</v>
      </c>
      <c r="C133" s="284">
        <v>744380510</v>
      </c>
      <c r="D133" s="281" t="s">
        <v>15</v>
      </c>
      <c r="E133" s="281" t="s">
        <v>1684</v>
      </c>
      <c r="F133" s="283">
        <v>43580</v>
      </c>
      <c r="G133" s="282" t="s">
        <v>1683</v>
      </c>
      <c r="H133" s="281" t="s">
        <v>1682</v>
      </c>
      <c r="I133" s="144">
        <v>525</v>
      </c>
      <c r="J133" s="17" t="s">
        <v>257</v>
      </c>
      <c r="K133" s="173" t="s">
        <v>1370</v>
      </c>
      <c r="L133" s="65" t="s">
        <v>1681</v>
      </c>
      <c r="M133" s="120">
        <v>2</v>
      </c>
    </row>
    <row r="134" spans="1:13" ht="43.5" x14ac:dyDescent="0.35">
      <c r="A134" s="155">
        <v>43578</v>
      </c>
      <c r="B134" s="17" t="s">
        <v>1680</v>
      </c>
      <c r="C134" s="17">
        <v>724205804</v>
      </c>
      <c r="D134" s="17"/>
      <c r="E134" s="17" t="s">
        <v>1679</v>
      </c>
      <c r="F134" s="125">
        <v>43580</v>
      </c>
      <c r="G134" s="177">
        <v>0.5</v>
      </c>
      <c r="H134" s="17" t="s">
        <v>1678</v>
      </c>
      <c r="I134" s="144">
        <v>174</v>
      </c>
      <c r="J134" s="42" t="s">
        <v>1677</v>
      </c>
      <c r="K134" s="173" t="s">
        <v>1370</v>
      </c>
      <c r="L134" s="65" t="s">
        <v>216</v>
      </c>
      <c r="M134" s="120">
        <v>3</v>
      </c>
    </row>
    <row r="135" spans="1:13" ht="174" x14ac:dyDescent="0.35">
      <c r="A135" s="155">
        <v>43551</v>
      </c>
      <c r="B135" s="17" t="s">
        <v>1674</v>
      </c>
      <c r="C135" s="207" t="s">
        <v>1673</v>
      </c>
      <c r="D135" s="17"/>
      <c r="E135" s="300" t="s">
        <v>1676</v>
      </c>
      <c r="F135" s="125">
        <v>43580</v>
      </c>
      <c r="G135" s="177">
        <v>0.52083333333333304</v>
      </c>
      <c r="H135" s="109" t="s">
        <v>1671</v>
      </c>
      <c r="I135" s="213">
        <v>1519</v>
      </c>
      <c r="J135" s="42" t="s">
        <v>1675</v>
      </c>
      <c r="K135" s="173" t="s">
        <v>1370</v>
      </c>
      <c r="L135" s="65" t="s">
        <v>17</v>
      </c>
      <c r="M135" s="120">
        <v>4</v>
      </c>
    </row>
    <row r="136" spans="1:13" ht="304.5" x14ac:dyDescent="0.35">
      <c r="A136" s="155">
        <v>43543</v>
      </c>
      <c r="B136" s="17" t="s">
        <v>1674</v>
      </c>
      <c r="C136" s="207" t="s">
        <v>1673</v>
      </c>
      <c r="D136" s="17"/>
      <c r="E136" s="17" t="s">
        <v>1672</v>
      </c>
      <c r="F136" s="125">
        <v>43580</v>
      </c>
      <c r="G136" s="177">
        <v>0.52083333333333304</v>
      </c>
      <c r="H136" s="109" t="s">
        <v>1671</v>
      </c>
      <c r="I136" s="213">
        <v>1637</v>
      </c>
      <c r="J136" s="17" t="s">
        <v>1670</v>
      </c>
      <c r="K136" s="173" t="s">
        <v>1370</v>
      </c>
      <c r="L136" s="65" t="s">
        <v>17</v>
      </c>
      <c r="M136" s="120">
        <v>5</v>
      </c>
    </row>
    <row r="137" spans="1:13" ht="43.5" x14ac:dyDescent="0.35">
      <c r="A137" s="299">
        <v>43579</v>
      </c>
      <c r="B137" s="298" t="s">
        <v>1669</v>
      </c>
      <c r="C137" s="293"/>
      <c r="D137" s="281"/>
      <c r="E137" s="281" t="s">
        <v>1668</v>
      </c>
      <c r="F137" s="283">
        <v>43580</v>
      </c>
      <c r="G137" s="282" t="s">
        <v>1667</v>
      </c>
      <c r="H137" s="292" t="s">
        <v>1666</v>
      </c>
      <c r="I137" s="213">
        <v>900</v>
      </c>
      <c r="J137" s="42" t="s">
        <v>1665</v>
      </c>
      <c r="K137" s="173" t="s">
        <v>1370</v>
      </c>
      <c r="L137" s="65"/>
      <c r="M137" s="120">
        <v>6</v>
      </c>
    </row>
    <row r="138" spans="1:13" ht="101.5" x14ac:dyDescent="0.35">
      <c r="A138" s="266">
        <v>43578</v>
      </c>
      <c r="B138" s="155" t="s">
        <v>1664</v>
      </c>
      <c r="C138" s="17" t="s">
        <v>1663</v>
      </c>
      <c r="D138" s="17"/>
      <c r="E138" s="17" t="s">
        <v>1662</v>
      </c>
      <c r="F138" s="125">
        <v>43580</v>
      </c>
      <c r="G138" s="177">
        <v>0.64583333333333304</v>
      </c>
      <c r="H138" s="109" t="s">
        <v>1661</v>
      </c>
      <c r="I138" s="297" t="s">
        <v>1660</v>
      </c>
      <c r="J138" s="17"/>
      <c r="K138" s="173" t="s">
        <v>1370</v>
      </c>
      <c r="L138" s="65"/>
      <c r="M138" s="120">
        <v>7</v>
      </c>
    </row>
    <row r="139" spans="1:13" ht="43.5" x14ac:dyDescent="0.35">
      <c r="A139" s="155">
        <v>43573</v>
      </c>
      <c r="B139" s="17" t="s">
        <v>1659</v>
      </c>
      <c r="C139" s="207" t="s">
        <v>1658</v>
      </c>
      <c r="D139" s="17"/>
      <c r="E139" s="17" t="s">
        <v>1657</v>
      </c>
      <c r="F139" s="125">
        <v>43580</v>
      </c>
      <c r="G139" s="177" t="s">
        <v>1594</v>
      </c>
      <c r="H139" s="109" t="s">
        <v>1656</v>
      </c>
      <c r="I139" s="213">
        <v>225</v>
      </c>
      <c r="J139" s="227" t="s">
        <v>1592</v>
      </c>
      <c r="K139" s="173" t="s">
        <v>1370</v>
      </c>
      <c r="L139" s="65" t="s">
        <v>22</v>
      </c>
      <c r="M139" s="120">
        <v>8</v>
      </c>
    </row>
    <row r="140" spans="1:13" ht="130.5" x14ac:dyDescent="0.35">
      <c r="A140" s="155">
        <v>43573</v>
      </c>
      <c r="B140" s="17" t="s">
        <v>1655</v>
      </c>
      <c r="C140" s="207" t="s">
        <v>1654</v>
      </c>
      <c r="D140" s="17"/>
      <c r="E140" s="17" t="s">
        <v>1653</v>
      </c>
      <c r="F140" s="125">
        <v>43580</v>
      </c>
      <c r="G140" s="177" t="s">
        <v>1644</v>
      </c>
      <c r="H140" s="109" t="s">
        <v>1652</v>
      </c>
      <c r="I140" s="213">
        <v>891</v>
      </c>
      <c r="J140" s="227" t="s">
        <v>1651</v>
      </c>
      <c r="K140" s="173" t="s">
        <v>1370</v>
      </c>
      <c r="L140" s="65" t="s">
        <v>22</v>
      </c>
      <c r="M140" s="120">
        <v>9</v>
      </c>
    </row>
    <row r="141" spans="1:13" ht="72.5" x14ac:dyDescent="0.35">
      <c r="A141" s="155">
        <v>43574</v>
      </c>
      <c r="B141" s="17" t="s">
        <v>1650</v>
      </c>
      <c r="C141" s="65">
        <v>722622155</v>
      </c>
      <c r="D141" s="17"/>
      <c r="E141" s="17" t="s">
        <v>1649</v>
      </c>
      <c r="F141" s="125">
        <v>43580</v>
      </c>
      <c r="G141" s="177">
        <v>0.58333333333333304</v>
      </c>
      <c r="H141" s="109" t="s">
        <v>1648</v>
      </c>
      <c r="I141" s="213">
        <v>365.5</v>
      </c>
      <c r="J141" s="227" t="s">
        <v>1647</v>
      </c>
      <c r="K141" s="173" t="s">
        <v>1370</v>
      </c>
      <c r="L141" s="65" t="s">
        <v>17</v>
      </c>
      <c r="M141" s="120">
        <v>10</v>
      </c>
    </row>
    <row r="142" spans="1:13" ht="58" x14ac:dyDescent="0.35">
      <c r="A142" s="294">
        <v>43579</v>
      </c>
      <c r="B142" s="281" t="s">
        <v>1461</v>
      </c>
      <c r="C142" s="284" t="s">
        <v>1646</v>
      </c>
      <c r="D142" s="281"/>
      <c r="E142" s="281" t="s">
        <v>1645</v>
      </c>
      <c r="F142" s="283">
        <v>43580</v>
      </c>
      <c r="G142" s="282" t="s">
        <v>1644</v>
      </c>
      <c r="H142" s="292" t="s">
        <v>1643</v>
      </c>
      <c r="I142" s="213">
        <v>250</v>
      </c>
      <c r="J142" s="17" t="s">
        <v>1642</v>
      </c>
      <c r="K142" s="173" t="s">
        <v>1370</v>
      </c>
      <c r="L142" s="65" t="s">
        <v>22</v>
      </c>
      <c r="M142" s="120">
        <v>11</v>
      </c>
    </row>
    <row r="143" spans="1:13" ht="58" x14ac:dyDescent="0.35">
      <c r="A143" s="155">
        <v>43572</v>
      </c>
      <c r="B143" s="17" t="s">
        <v>1641</v>
      </c>
      <c r="C143" s="65" t="s">
        <v>1640</v>
      </c>
      <c r="D143" s="17" t="s">
        <v>15</v>
      </c>
      <c r="E143" s="17" t="s">
        <v>1639</v>
      </c>
      <c r="F143" s="125">
        <v>43580</v>
      </c>
      <c r="G143" s="177">
        <v>0.58333333333333304</v>
      </c>
      <c r="H143" s="17" t="s">
        <v>1638</v>
      </c>
      <c r="I143" s="213">
        <v>675</v>
      </c>
      <c r="J143" s="227" t="s">
        <v>1637</v>
      </c>
      <c r="K143" s="173" t="s">
        <v>1370</v>
      </c>
      <c r="L143" s="65" t="s">
        <v>17</v>
      </c>
      <c r="M143" s="120">
        <v>12</v>
      </c>
    </row>
    <row r="144" spans="1:13" ht="29" x14ac:dyDescent="0.35">
      <c r="A144" s="155"/>
      <c r="B144" s="17" t="s">
        <v>1636</v>
      </c>
      <c r="C144" s="65"/>
      <c r="D144" s="17"/>
      <c r="E144" s="17"/>
      <c r="F144" s="125"/>
      <c r="G144" s="177"/>
      <c r="H144" s="17"/>
      <c r="I144" s="213">
        <v>450</v>
      </c>
      <c r="J144" s="227" t="s">
        <v>1635</v>
      </c>
      <c r="K144" s="173"/>
      <c r="L144" s="65"/>
    </row>
    <row r="145" spans="1:16" ht="43.5" x14ac:dyDescent="0.35">
      <c r="A145" s="204">
        <v>43572</v>
      </c>
      <c r="B145" s="185" t="s">
        <v>1634</v>
      </c>
      <c r="C145" s="296" t="s">
        <v>1633</v>
      </c>
      <c r="D145" s="185"/>
      <c r="E145" s="185" t="s">
        <v>1632</v>
      </c>
      <c r="F145" s="186">
        <v>43580</v>
      </c>
      <c r="G145" s="219">
        <v>0.875</v>
      </c>
      <c r="H145" s="214" t="s">
        <v>1631</v>
      </c>
      <c r="I145" s="213">
        <v>500</v>
      </c>
      <c r="J145" s="185" t="s">
        <v>1630</v>
      </c>
      <c r="K145" s="65" t="s">
        <v>1370</v>
      </c>
      <c r="L145" s="65" t="s">
        <v>22</v>
      </c>
      <c r="M145" s="120">
        <v>13</v>
      </c>
    </row>
    <row r="146" spans="1:16" ht="43.5" x14ac:dyDescent="0.35">
      <c r="A146" s="155">
        <v>43575</v>
      </c>
      <c r="B146" s="17" t="s">
        <v>1629</v>
      </c>
      <c r="C146" s="65">
        <v>720232804</v>
      </c>
      <c r="D146" s="17" t="s">
        <v>15</v>
      </c>
      <c r="E146" s="17" t="s">
        <v>1628</v>
      </c>
      <c r="F146" s="125">
        <v>43580</v>
      </c>
      <c r="G146" s="65" t="s">
        <v>1627</v>
      </c>
      <c r="H146" s="17" t="s">
        <v>1626</v>
      </c>
      <c r="I146" s="144">
        <v>345</v>
      </c>
      <c r="J146" s="42" t="s">
        <v>1625</v>
      </c>
      <c r="K146" s="173" t="s">
        <v>1370</v>
      </c>
      <c r="L146" s="65" t="s">
        <v>216</v>
      </c>
      <c r="M146" s="120">
        <v>14</v>
      </c>
      <c r="P146" s="120">
        <v>2</v>
      </c>
    </row>
    <row r="147" spans="1:16" ht="58" x14ac:dyDescent="0.35">
      <c r="A147" s="294">
        <v>43579</v>
      </c>
      <c r="B147" s="281" t="s">
        <v>869</v>
      </c>
      <c r="C147" s="284" t="s">
        <v>314</v>
      </c>
      <c r="D147" s="281"/>
      <c r="E147" s="281" t="s">
        <v>1624</v>
      </c>
      <c r="F147" s="283">
        <v>43580</v>
      </c>
      <c r="G147" s="282">
        <v>0.625</v>
      </c>
      <c r="H147" s="281" t="s">
        <v>1516</v>
      </c>
      <c r="I147" s="144">
        <v>401</v>
      </c>
      <c r="J147" s="17" t="s">
        <v>392</v>
      </c>
      <c r="K147" s="173" t="s">
        <v>1370</v>
      </c>
      <c r="L147" s="65" t="s">
        <v>314</v>
      </c>
      <c r="M147" s="120">
        <v>15</v>
      </c>
    </row>
    <row r="148" spans="1:16" ht="72.5" x14ac:dyDescent="0.35">
      <c r="A148" s="155">
        <v>43576</v>
      </c>
      <c r="B148" s="17" t="s">
        <v>1623</v>
      </c>
      <c r="C148" s="65">
        <v>729155269</v>
      </c>
      <c r="D148" s="17" t="s">
        <v>15</v>
      </c>
      <c r="E148" s="17" t="s">
        <v>1622</v>
      </c>
      <c r="F148" s="125">
        <v>43580</v>
      </c>
      <c r="G148" s="177">
        <v>0.70833333333333304</v>
      </c>
      <c r="H148" s="17" t="s">
        <v>1621</v>
      </c>
      <c r="I148" s="144">
        <v>155</v>
      </c>
      <c r="J148" s="227" t="s">
        <v>1620</v>
      </c>
      <c r="K148" s="173" t="s">
        <v>1370</v>
      </c>
      <c r="L148" s="65" t="s">
        <v>1508</v>
      </c>
      <c r="M148" s="120">
        <v>16</v>
      </c>
    </row>
    <row r="149" spans="1:16" ht="43.5" x14ac:dyDescent="0.35">
      <c r="A149" s="155">
        <v>43578</v>
      </c>
      <c r="B149" s="17" t="s">
        <v>1619</v>
      </c>
      <c r="C149" s="65" t="s">
        <v>1618</v>
      </c>
      <c r="D149" s="17"/>
      <c r="E149" s="17" t="s">
        <v>1617</v>
      </c>
      <c r="F149" s="125">
        <v>43580</v>
      </c>
      <c r="G149" s="177">
        <v>0.66666666666666696</v>
      </c>
      <c r="H149" s="17" t="s">
        <v>1616</v>
      </c>
      <c r="I149" s="144">
        <v>225</v>
      </c>
      <c r="J149" s="17" t="s">
        <v>1615</v>
      </c>
      <c r="K149" s="65" t="s">
        <v>1370</v>
      </c>
      <c r="L149" s="65" t="s">
        <v>17</v>
      </c>
      <c r="M149" s="120">
        <v>17</v>
      </c>
    </row>
    <row r="150" spans="1:16" ht="58" x14ac:dyDescent="0.35">
      <c r="A150" s="155">
        <v>43578</v>
      </c>
      <c r="B150" s="17" t="s">
        <v>1614</v>
      </c>
      <c r="C150" s="65" t="s">
        <v>1613</v>
      </c>
      <c r="D150" s="17" t="s">
        <v>15</v>
      </c>
      <c r="E150" s="17" t="s">
        <v>1612</v>
      </c>
      <c r="F150" s="125">
        <v>43580</v>
      </c>
      <c r="G150" s="17" t="s">
        <v>1611</v>
      </c>
      <c r="H150" s="17" t="s">
        <v>1610</v>
      </c>
      <c r="I150" s="144">
        <v>449.1</v>
      </c>
      <c r="J150" s="17" t="s">
        <v>1609</v>
      </c>
      <c r="K150" s="65" t="s">
        <v>1370</v>
      </c>
      <c r="L150" s="65" t="s">
        <v>17</v>
      </c>
      <c r="M150" s="120">
        <v>18</v>
      </c>
    </row>
    <row r="151" spans="1:16" x14ac:dyDescent="0.35">
      <c r="A151" s="125">
        <v>43577</v>
      </c>
      <c r="B151" s="17" t="s">
        <v>1608</v>
      </c>
      <c r="C151" s="65">
        <v>761983100</v>
      </c>
      <c r="D151" s="17"/>
      <c r="E151" s="17" t="s">
        <v>1607</v>
      </c>
      <c r="F151" s="125">
        <v>43580</v>
      </c>
      <c r="G151" s="177">
        <v>0.75</v>
      </c>
      <c r="H151" s="17" t="s">
        <v>126</v>
      </c>
      <c r="I151" s="144">
        <v>90</v>
      </c>
      <c r="J151" s="17" t="s">
        <v>1432</v>
      </c>
      <c r="K151" s="65" t="s">
        <v>1370</v>
      </c>
      <c r="L151" s="65" t="s">
        <v>22</v>
      </c>
      <c r="M151" s="120">
        <v>23</v>
      </c>
    </row>
    <row r="152" spans="1:16" ht="43.5" x14ac:dyDescent="0.35">
      <c r="A152" s="294">
        <v>43579</v>
      </c>
      <c r="B152" s="281" t="s">
        <v>1606</v>
      </c>
      <c r="C152" s="284" t="s">
        <v>1605</v>
      </c>
      <c r="D152" s="281"/>
      <c r="E152" s="281" t="s">
        <v>1604</v>
      </c>
      <c r="F152" s="283">
        <v>43581</v>
      </c>
      <c r="G152" s="295">
        <v>0.41666666666666702</v>
      </c>
      <c r="H152" s="281" t="s">
        <v>1600</v>
      </c>
      <c r="I152" s="65">
        <v>0</v>
      </c>
      <c r="J152" s="17" t="s">
        <v>1603</v>
      </c>
      <c r="K152" s="65" t="s">
        <v>1370</v>
      </c>
      <c r="L152" s="65" t="s">
        <v>1602</v>
      </c>
      <c r="M152" s="120">
        <v>1</v>
      </c>
    </row>
    <row r="153" spans="1:16" ht="29" x14ac:dyDescent="0.35">
      <c r="A153" s="294">
        <v>43579</v>
      </c>
      <c r="B153" s="281" t="s">
        <v>1598</v>
      </c>
      <c r="C153" s="284"/>
      <c r="D153" s="281"/>
      <c r="E153" s="281" t="s">
        <v>1601</v>
      </c>
      <c r="F153" s="283">
        <v>43581</v>
      </c>
      <c r="G153" s="295">
        <v>0.41666666666666702</v>
      </c>
      <c r="H153" s="281" t="s">
        <v>1600</v>
      </c>
      <c r="I153" s="156">
        <v>137</v>
      </c>
      <c r="J153" s="17" t="s">
        <v>1599</v>
      </c>
      <c r="K153" s="65" t="s">
        <v>1370</v>
      </c>
      <c r="L153" s="65" t="s">
        <v>1598</v>
      </c>
      <c r="M153" s="120">
        <v>2</v>
      </c>
    </row>
    <row r="154" spans="1:16" ht="43.5" x14ac:dyDescent="0.35">
      <c r="A154" s="155">
        <v>43573</v>
      </c>
      <c r="B154" s="17" t="s">
        <v>1597</v>
      </c>
      <c r="C154" s="207" t="s">
        <v>1596</v>
      </c>
      <c r="D154" s="17"/>
      <c r="E154" s="17" t="s">
        <v>1595</v>
      </c>
      <c r="F154" s="125">
        <v>43581</v>
      </c>
      <c r="G154" s="177" t="s">
        <v>1594</v>
      </c>
      <c r="H154" s="109" t="s">
        <v>1593</v>
      </c>
      <c r="I154" s="213">
        <v>150</v>
      </c>
      <c r="J154" s="227" t="s">
        <v>1592</v>
      </c>
      <c r="K154" s="173" t="s">
        <v>1370</v>
      </c>
      <c r="L154" s="65" t="s">
        <v>22</v>
      </c>
      <c r="M154" s="120">
        <v>3</v>
      </c>
    </row>
    <row r="155" spans="1:16" ht="43.5" x14ac:dyDescent="0.35">
      <c r="A155" s="294">
        <v>43579</v>
      </c>
      <c r="B155" s="281" t="s">
        <v>1591</v>
      </c>
      <c r="C155" s="293" t="s">
        <v>545</v>
      </c>
      <c r="D155" s="281"/>
      <c r="E155" s="281" t="s">
        <v>1590</v>
      </c>
      <c r="F155" s="283">
        <v>43581</v>
      </c>
      <c r="G155" s="282" t="s">
        <v>545</v>
      </c>
      <c r="H155" s="292" t="s">
        <v>1589</v>
      </c>
      <c r="I155" s="191"/>
      <c r="J155" s="17" t="s">
        <v>1588</v>
      </c>
      <c r="K155" s="173"/>
      <c r="L155" s="65"/>
      <c r="M155" s="120">
        <v>4</v>
      </c>
    </row>
    <row r="156" spans="1:16" ht="72.5" x14ac:dyDescent="0.35">
      <c r="A156" s="155">
        <v>43573</v>
      </c>
      <c r="B156" s="17" t="s">
        <v>1587</v>
      </c>
      <c r="C156" s="207" t="s">
        <v>1586</v>
      </c>
      <c r="D156" s="17"/>
      <c r="E156" s="17" t="s">
        <v>1585</v>
      </c>
      <c r="F156" s="125">
        <v>43581</v>
      </c>
      <c r="G156" s="26" t="s">
        <v>1584</v>
      </c>
      <c r="H156" s="109" t="s">
        <v>1583</v>
      </c>
      <c r="I156" s="213">
        <v>252</v>
      </c>
      <c r="J156" s="17" t="s">
        <v>257</v>
      </c>
      <c r="K156" s="173" t="s">
        <v>1370</v>
      </c>
      <c r="L156" s="65" t="s">
        <v>22</v>
      </c>
      <c r="M156" s="120">
        <v>5</v>
      </c>
    </row>
    <row r="157" spans="1:16" ht="101.5" x14ac:dyDescent="0.35">
      <c r="A157" s="155">
        <v>43574</v>
      </c>
      <c r="B157" s="17" t="s">
        <v>1582</v>
      </c>
      <c r="C157" s="207" t="s">
        <v>1581</v>
      </c>
      <c r="D157" s="17"/>
      <c r="E157" s="17" t="s">
        <v>1580</v>
      </c>
      <c r="F157" s="125">
        <v>43581</v>
      </c>
      <c r="G157" s="26">
        <v>0.625</v>
      </c>
      <c r="H157" s="109" t="s">
        <v>1579</v>
      </c>
      <c r="I157" s="213">
        <v>825</v>
      </c>
      <c r="J157" s="227" t="s">
        <v>1578</v>
      </c>
      <c r="K157" s="173" t="s">
        <v>1370</v>
      </c>
      <c r="L157" s="65" t="s">
        <v>216</v>
      </c>
      <c r="M157" s="120">
        <v>6</v>
      </c>
    </row>
    <row r="158" spans="1:16" ht="43.5" x14ac:dyDescent="0.35">
      <c r="A158" s="155">
        <v>43574</v>
      </c>
      <c r="B158" s="17" t="s">
        <v>1577</v>
      </c>
      <c r="C158" s="207" t="s">
        <v>1576</v>
      </c>
      <c r="D158" s="17"/>
      <c r="E158" s="17" t="s">
        <v>1575</v>
      </c>
      <c r="F158" s="125">
        <v>43581</v>
      </c>
      <c r="G158" s="26" t="s">
        <v>1574</v>
      </c>
      <c r="H158" s="109" t="s">
        <v>1573</v>
      </c>
      <c r="I158" s="213">
        <v>135</v>
      </c>
      <c r="J158" s="17" t="s">
        <v>1572</v>
      </c>
      <c r="K158" s="173" t="s">
        <v>1370</v>
      </c>
      <c r="L158" s="65" t="s">
        <v>17</v>
      </c>
      <c r="M158" s="120">
        <v>7</v>
      </c>
    </row>
    <row r="159" spans="1:16" ht="58" x14ac:dyDescent="0.35">
      <c r="A159" s="155">
        <v>43574</v>
      </c>
      <c r="B159" s="17" t="s">
        <v>1571</v>
      </c>
      <c r="C159" s="207" t="s">
        <v>1570</v>
      </c>
      <c r="D159" s="17"/>
      <c r="E159" s="17" t="s">
        <v>1569</v>
      </c>
      <c r="F159" s="125">
        <v>43581</v>
      </c>
      <c r="G159" s="26" t="s">
        <v>1568</v>
      </c>
      <c r="H159" s="109" t="s">
        <v>1567</v>
      </c>
      <c r="I159" s="213">
        <v>330</v>
      </c>
      <c r="J159" s="17" t="s">
        <v>257</v>
      </c>
      <c r="K159" s="173" t="s">
        <v>1370</v>
      </c>
      <c r="L159" s="65" t="s">
        <v>216</v>
      </c>
      <c r="M159" s="120">
        <v>8</v>
      </c>
    </row>
    <row r="160" spans="1:16" ht="58" x14ac:dyDescent="0.35">
      <c r="A160" s="155">
        <v>43574</v>
      </c>
      <c r="B160" s="17" t="s">
        <v>1566</v>
      </c>
      <c r="C160" s="207" t="s">
        <v>1565</v>
      </c>
      <c r="D160" s="17"/>
      <c r="E160" s="17" t="s">
        <v>1564</v>
      </c>
      <c r="F160" s="125">
        <v>43581</v>
      </c>
      <c r="G160" s="26" t="s">
        <v>539</v>
      </c>
      <c r="H160" s="109" t="s">
        <v>1563</v>
      </c>
      <c r="I160" s="213">
        <v>342</v>
      </c>
      <c r="J160" s="17" t="s">
        <v>1562</v>
      </c>
      <c r="K160" s="173" t="s">
        <v>1370</v>
      </c>
      <c r="L160" s="65" t="s">
        <v>17</v>
      </c>
      <c r="M160" s="120">
        <v>9</v>
      </c>
    </row>
    <row r="161" spans="1:13" ht="43.5" x14ac:dyDescent="0.35">
      <c r="A161" s="155">
        <v>43567</v>
      </c>
      <c r="B161" s="17" t="s">
        <v>1561</v>
      </c>
      <c r="C161" s="207" t="s">
        <v>1560</v>
      </c>
      <c r="D161" s="17" t="s">
        <v>1559</v>
      </c>
      <c r="E161" s="17" t="s">
        <v>1558</v>
      </c>
      <c r="F161" s="125">
        <v>43581</v>
      </c>
      <c r="G161" s="177" t="s">
        <v>1557</v>
      </c>
      <c r="H161" s="109" t="s">
        <v>1556</v>
      </c>
      <c r="I161" s="213">
        <v>107</v>
      </c>
      <c r="J161" s="17" t="s">
        <v>257</v>
      </c>
      <c r="K161" s="173" t="s">
        <v>1370</v>
      </c>
      <c r="L161" s="65" t="s">
        <v>17</v>
      </c>
      <c r="M161" s="120">
        <v>10</v>
      </c>
    </row>
    <row r="162" spans="1:13" ht="29" x14ac:dyDescent="0.35">
      <c r="A162" s="155">
        <v>43572</v>
      </c>
      <c r="B162" s="17" t="s">
        <v>1122</v>
      </c>
      <c r="C162" s="65" t="s">
        <v>1524</v>
      </c>
      <c r="D162" s="17" t="s">
        <v>15</v>
      </c>
      <c r="E162" s="17" t="s">
        <v>1555</v>
      </c>
      <c r="F162" s="125">
        <v>43581</v>
      </c>
      <c r="G162" s="177">
        <v>0.45833333333333298</v>
      </c>
      <c r="H162" s="17" t="s">
        <v>1554</v>
      </c>
      <c r="I162" s="213">
        <v>300</v>
      </c>
      <c r="J162" s="17" t="s">
        <v>257</v>
      </c>
      <c r="K162" s="173" t="s">
        <v>1370</v>
      </c>
      <c r="L162" s="65" t="s">
        <v>17</v>
      </c>
      <c r="M162" s="120">
        <v>12</v>
      </c>
    </row>
    <row r="163" spans="1:13" ht="43.5" x14ac:dyDescent="0.35">
      <c r="A163" s="204">
        <v>43574</v>
      </c>
      <c r="B163" s="185" t="s">
        <v>1553</v>
      </c>
      <c r="C163" s="210">
        <v>722476581</v>
      </c>
      <c r="D163" s="185" t="s">
        <v>15</v>
      </c>
      <c r="E163" s="185" t="s">
        <v>1552</v>
      </c>
      <c r="F163" s="186">
        <v>43581</v>
      </c>
      <c r="G163" s="219">
        <v>0.625</v>
      </c>
      <c r="H163" s="185" t="s">
        <v>1551</v>
      </c>
      <c r="I163" s="213">
        <v>260</v>
      </c>
      <c r="J163" s="17" t="s">
        <v>1550</v>
      </c>
      <c r="K163" s="173" t="s">
        <v>1370</v>
      </c>
      <c r="L163" s="65" t="s">
        <v>17</v>
      </c>
      <c r="M163" s="120">
        <v>13</v>
      </c>
    </row>
    <row r="164" spans="1:13" ht="29" x14ac:dyDescent="0.35">
      <c r="A164" s="198">
        <v>43578</v>
      </c>
      <c r="B164" s="22" t="s">
        <v>1549</v>
      </c>
      <c r="C164" s="121" t="s">
        <v>1548</v>
      </c>
      <c r="D164" s="22"/>
      <c r="E164" s="22" t="s">
        <v>1547</v>
      </c>
      <c r="F164" s="126">
        <v>43581</v>
      </c>
      <c r="G164" s="121" t="s">
        <v>1546</v>
      </c>
      <c r="H164" s="22" t="s">
        <v>1545</v>
      </c>
      <c r="I164" s="143">
        <v>375</v>
      </c>
      <c r="J164" s="22" t="s">
        <v>257</v>
      </c>
      <c r="K164" s="291"/>
      <c r="L164" s="121"/>
      <c r="M164" s="120">
        <v>14</v>
      </c>
    </row>
    <row r="165" spans="1:13" ht="43.5" x14ac:dyDescent="0.35">
      <c r="A165" s="125">
        <v>43576</v>
      </c>
      <c r="B165" s="17" t="s">
        <v>1544</v>
      </c>
      <c r="C165" s="65">
        <v>727372115</v>
      </c>
      <c r="D165" s="290" t="s">
        <v>1543</v>
      </c>
      <c r="E165" s="17" t="s">
        <v>1542</v>
      </c>
      <c r="F165" s="125">
        <v>43581</v>
      </c>
      <c r="G165" s="17" t="s">
        <v>1541</v>
      </c>
      <c r="H165" s="17" t="s">
        <v>1540</v>
      </c>
      <c r="I165" s="144">
        <v>150</v>
      </c>
      <c r="J165" s="17" t="s">
        <v>257</v>
      </c>
      <c r="K165" s="65" t="s">
        <v>1370</v>
      </c>
      <c r="L165" s="65" t="s">
        <v>1508</v>
      </c>
      <c r="M165" s="120">
        <v>15</v>
      </c>
    </row>
    <row r="166" spans="1:13" ht="43.5" x14ac:dyDescent="0.35">
      <c r="A166" s="155">
        <v>43576</v>
      </c>
      <c r="B166" s="17" t="s">
        <v>1539</v>
      </c>
      <c r="C166" s="65" t="s">
        <v>1538</v>
      </c>
      <c r="D166" s="290"/>
      <c r="E166" s="17" t="s">
        <v>1537</v>
      </c>
      <c r="F166" s="125">
        <v>43581</v>
      </c>
      <c r="G166" s="26">
        <v>0.79166666666666696</v>
      </c>
      <c r="H166" s="17" t="s">
        <v>1536</v>
      </c>
      <c r="I166" s="144">
        <v>949</v>
      </c>
      <c r="J166" s="55" t="s">
        <v>1535</v>
      </c>
      <c r="K166" s="173" t="s">
        <v>1370</v>
      </c>
      <c r="L166" s="65" t="s">
        <v>216</v>
      </c>
      <c r="M166" s="120">
        <v>16</v>
      </c>
    </row>
    <row r="167" spans="1:13" ht="58" x14ac:dyDescent="0.35">
      <c r="A167" s="155">
        <v>43576</v>
      </c>
      <c r="B167" s="17" t="s">
        <v>821</v>
      </c>
      <c r="C167" s="65"/>
      <c r="D167" s="290"/>
      <c r="E167" s="17" t="s">
        <v>1534</v>
      </c>
      <c r="F167" s="125">
        <v>43581</v>
      </c>
      <c r="G167" s="26">
        <v>0.83333333333333304</v>
      </c>
      <c r="H167" s="17" t="s">
        <v>1533</v>
      </c>
      <c r="I167" s="144">
        <v>649</v>
      </c>
      <c r="J167" s="55" t="s">
        <v>1532</v>
      </c>
      <c r="K167" s="173" t="s">
        <v>1370</v>
      </c>
      <c r="L167" s="65" t="s">
        <v>216</v>
      </c>
      <c r="M167" s="120">
        <v>17</v>
      </c>
    </row>
    <row r="168" spans="1:13" ht="43.5" x14ac:dyDescent="0.35">
      <c r="A168" s="155">
        <v>43575</v>
      </c>
      <c r="B168" s="17" t="s">
        <v>1531</v>
      </c>
      <c r="C168" s="65" t="s">
        <v>15</v>
      </c>
      <c r="D168" s="17" t="s">
        <v>15</v>
      </c>
      <c r="E168" s="17" t="s">
        <v>1530</v>
      </c>
      <c r="F168" s="125">
        <v>43581</v>
      </c>
      <c r="G168" s="177">
        <v>0.45833333333333298</v>
      </c>
      <c r="H168" s="17" t="s">
        <v>1529</v>
      </c>
      <c r="I168" s="65" t="s">
        <v>15</v>
      </c>
      <c r="J168" s="17" t="s">
        <v>455</v>
      </c>
      <c r="K168" s="65" t="s">
        <v>1370</v>
      </c>
      <c r="L168" s="65" t="s">
        <v>17</v>
      </c>
      <c r="M168" s="120">
        <v>18</v>
      </c>
    </row>
    <row r="169" spans="1:13" x14ac:dyDescent="0.35">
      <c r="A169" s="155">
        <v>43577</v>
      </c>
      <c r="B169" s="17" t="s">
        <v>1122</v>
      </c>
      <c r="C169" s="65" t="s">
        <v>1122</v>
      </c>
      <c r="D169" s="17" t="s">
        <v>1524</v>
      </c>
      <c r="E169" s="17" t="s">
        <v>1528</v>
      </c>
      <c r="F169" s="125">
        <v>43581</v>
      </c>
      <c r="G169" s="177">
        <v>0.70833333333333304</v>
      </c>
      <c r="H169" s="17" t="s">
        <v>1522</v>
      </c>
      <c r="I169" s="144">
        <v>176</v>
      </c>
      <c r="J169" s="55" t="s">
        <v>1527</v>
      </c>
      <c r="K169" s="65" t="s">
        <v>1370</v>
      </c>
      <c r="L169" s="65" t="s">
        <v>1508</v>
      </c>
      <c r="M169" s="120">
        <v>19</v>
      </c>
    </row>
    <row r="170" spans="1:13" s="289" customFormat="1" ht="58" x14ac:dyDescent="0.35">
      <c r="A170" s="155">
        <v>43577</v>
      </c>
      <c r="B170" s="17" t="s">
        <v>1122</v>
      </c>
      <c r="C170" s="65" t="s">
        <v>1122</v>
      </c>
      <c r="D170" s="17" t="s">
        <v>1524</v>
      </c>
      <c r="E170" s="17" t="s">
        <v>1526</v>
      </c>
      <c r="F170" s="125">
        <v>43581</v>
      </c>
      <c r="G170" s="177">
        <v>0.47916666666666702</v>
      </c>
      <c r="H170" s="17" t="s">
        <v>1522</v>
      </c>
      <c r="I170" s="144">
        <v>525</v>
      </c>
      <c r="J170" s="17" t="s">
        <v>1525</v>
      </c>
      <c r="K170" s="65" t="s">
        <v>1501</v>
      </c>
      <c r="L170" s="65" t="s">
        <v>1520</v>
      </c>
      <c r="M170" s="120">
        <v>20</v>
      </c>
    </row>
    <row r="171" spans="1:13" ht="130.5" x14ac:dyDescent="0.35">
      <c r="A171" s="155">
        <v>43577</v>
      </c>
      <c r="B171" s="17" t="s">
        <v>1122</v>
      </c>
      <c r="C171" s="65" t="s">
        <v>1122</v>
      </c>
      <c r="D171" s="17" t="s">
        <v>1524</v>
      </c>
      <c r="E171" s="17" t="s">
        <v>1523</v>
      </c>
      <c r="F171" s="125">
        <v>43581</v>
      </c>
      <c r="G171" s="177">
        <v>0.47916666666666702</v>
      </c>
      <c r="H171" s="17" t="s">
        <v>1522</v>
      </c>
      <c r="I171" s="144">
        <v>672</v>
      </c>
      <c r="J171" s="17" t="s">
        <v>1521</v>
      </c>
      <c r="K171" s="65" t="s">
        <v>1501</v>
      </c>
      <c r="L171" s="65" t="s">
        <v>1520</v>
      </c>
      <c r="M171" s="120">
        <v>21</v>
      </c>
    </row>
    <row r="172" spans="1:13" ht="43.5" x14ac:dyDescent="0.35">
      <c r="A172" s="288">
        <v>43577</v>
      </c>
      <c r="B172" s="280" t="s">
        <v>1519</v>
      </c>
      <c r="C172" s="156" t="s">
        <v>22</v>
      </c>
      <c r="D172" s="280">
        <v>729057479</v>
      </c>
      <c r="E172" s="280" t="s">
        <v>1518</v>
      </c>
      <c r="F172" s="286">
        <v>43581</v>
      </c>
      <c r="G172" s="287" t="s">
        <v>1517</v>
      </c>
      <c r="H172" s="280" t="s">
        <v>1516</v>
      </c>
      <c r="I172" s="144">
        <v>345</v>
      </c>
      <c r="J172" s="280" t="s">
        <v>385</v>
      </c>
      <c r="K172" s="156" t="s">
        <v>1501</v>
      </c>
      <c r="L172" s="156" t="s">
        <v>22</v>
      </c>
    </row>
    <row r="173" spans="1:13" ht="43.5" x14ac:dyDescent="0.35">
      <c r="A173" s="286">
        <v>43577</v>
      </c>
      <c r="B173" s="280" t="s">
        <v>124</v>
      </c>
      <c r="C173" s="156"/>
      <c r="D173" s="280"/>
      <c r="E173" s="280" t="s">
        <v>1515</v>
      </c>
      <c r="F173" s="286">
        <v>43581</v>
      </c>
      <c r="G173" s="285" t="s">
        <v>1514</v>
      </c>
      <c r="H173" s="280" t="s">
        <v>126</v>
      </c>
      <c r="I173" s="144">
        <f>120 +75/2</f>
        <v>157.5</v>
      </c>
      <c r="J173" s="280" t="s">
        <v>1513</v>
      </c>
      <c r="K173" s="156" t="s">
        <v>1501</v>
      </c>
      <c r="L173" s="156" t="s">
        <v>22</v>
      </c>
    </row>
    <row r="174" spans="1:13" ht="29" x14ac:dyDescent="0.35">
      <c r="A174" s="283">
        <v>43579</v>
      </c>
      <c r="B174" s="281" t="s">
        <v>1512</v>
      </c>
      <c r="C174" s="284"/>
      <c r="D174" s="281"/>
      <c r="E174" s="281" t="s">
        <v>1511</v>
      </c>
      <c r="F174" s="283">
        <v>43581</v>
      </c>
      <c r="G174" s="282">
        <v>0.75</v>
      </c>
      <c r="H174" s="281" t="s">
        <v>1510</v>
      </c>
      <c r="I174" s="144">
        <v>210</v>
      </c>
      <c r="J174" s="227" t="s">
        <v>1509</v>
      </c>
      <c r="K174" s="173" t="s">
        <v>1370</v>
      </c>
      <c r="L174" s="65" t="s">
        <v>1508</v>
      </c>
    </row>
    <row r="175" spans="1:13" ht="72.5" x14ac:dyDescent="0.35">
      <c r="A175" s="125">
        <v>43561</v>
      </c>
      <c r="B175" s="17" t="s">
        <v>1507</v>
      </c>
      <c r="C175" s="65">
        <v>723257864</v>
      </c>
      <c r="D175" s="17" t="s">
        <v>15</v>
      </c>
      <c r="E175" s="17" t="s">
        <v>1506</v>
      </c>
      <c r="F175" s="125">
        <v>43582</v>
      </c>
      <c r="G175" s="65" t="s">
        <v>49</v>
      </c>
      <c r="H175" s="17" t="s">
        <v>49</v>
      </c>
      <c r="I175" s="213">
        <v>240</v>
      </c>
      <c r="J175" s="17" t="s">
        <v>257</v>
      </c>
      <c r="K175" s="173" t="s">
        <v>1370</v>
      </c>
      <c r="L175" s="65" t="s">
        <v>17</v>
      </c>
      <c r="M175" s="120">
        <v>11</v>
      </c>
    </row>
    <row r="176" spans="1:13" ht="43.5" x14ac:dyDescent="0.35">
      <c r="A176" s="278">
        <v>43577</v>
      </c>
      <c r="B176" s="275" t="s">
        <v>1505</v>
      </c>
      <c r="C176" s="273"/>
      <c r="D176" s="275"/>
      <c r="E176" s="280" t="s">
        <v>1504</v>
      </c>
      <c r="F176" s="278">
        <v>43582</v>
      </c>
      <c r="G176" s="277" t="s">
        <v>1503</v>
      </c>
      <c r="H176" s="277" t="s">
        <v>1503</v>
      </c>
      <c r="I176" s="273">
        <v>0</v>
      </c>
      <c r="J176" s="275" t="s">
        <v>1502</v>
      </c>
      <c r="K176" s="273" t="s">
        <v>1501</v>
      </c>
      <c r="L176" s="273" t="s">
        <v>22</v>
      </c>
    </row>
    <row r="177" spans="1:12" ht="87" x14ac:dyDescent="0.35">
      <c r="A177" s="248">
        <v>43543</v>
      </c>
      <c r="B177" s="21" t="s">
        <v>1500</v>
      </c>
      <c r="C177" s="272" t="s">
        <v>1499</v>
      </c>
      <c r="D177" s="21" t="s">
        <v>15</v>
      </c>
      <c r="E177" s="21" t="s">
        <v>1498</v>
      </c>
      <c r="F177" s="248">
        <v>43582</v>
      </c>
      <c r="G177" s="249" t="s">
        <v>1497</v>
      </c>
      <c r="H177" s="271" t="s">
        <v>1496</v>
      </c>
      <c r="I177" s="269">
        <v>162</v>
      </c>
      <c r="J177" s="21" t="s">
        <v>1495</v>
      </c>
      <c r="K177" s="239" t="s">
        <v>1370</v>
      </c>
      <c r="L177" s="65"/>
    </row>
    <row r="178" spans="1:12" x14ac:dyDescent="0.35">
      <c r="A178" s="248">
        <v>43582</v>
      </c>
      <c r="B178" s="21" t="s">
        <v>1494</v>
      </c>
      <c r="C178" s="272" t="s">
        <v>15</v>
      </c>
      <c r="D178" s="21" t="s">
        <v>15</v>
      </c>
      <c r="E178" s="21" t="s">
        <v>15</v>
      </c>
      <c r="F178" s="248">
        <v>43582</v>
      </c>
      <c r="G178" s="249" t="s">
        <v>15</v>
      </c>
      <c r="H178" s="271" t="s">
        <v>15</v>
      </c>
      <c r="I178" s="269">
        <v>170</v>
      </c>
      <c r="J178" s="21" t="s">
        <v>1493</v>
      </c>
      <c r="K178" s="239"/>
      <c r="L178" s="64"/>
    </row>
    <row r="179" spans="1:12" ht="43.5" x14ac:dyDescent="0.35">
      <c r="A179" s="278">
        <v>43546</v>
      </c>
      <c r="B179" s="275" t="s">
        <v>1492</v>
      </c>
      <c r="C179" s="279" t="s">
        <v>1491</v>
      </c>
      <c r="D179" s="275"/>
      <c r="E179" s="275" t="s">
        <v>1490</v>
      </c>
      <c r="F179" s="278">
        <v>43582</v>
      </c>
      <c r="G179" s="277" t="s">
        <v>1489</v>
      </c>
      <c r="H179" s="276" t="s">
        <v>1488</v>
      </c>
      <c r="I179" s="269">
        <v>108</v>
      </c>
      <c r="J179" s="275" t="s">
        <v>1487</v>
      </c>
      <c r="K179" s="273" t="s">
        <v>1370</v>
      </c>
      <c r="L179" s="273" t="s">
        <v>22</v>
      </c>
    </row>
    <row r="180" spans="1:12" ht="72.5" x14ac:dyDescent="0.35">
      <c r="A180" s="248">
        <v>43581</v>
      </c>
      <c r="B180" s="21" t="s">
        <v>1486</v>
      </c>
      <c r="C180" s="272" t="s">
        <v>898</v>
      </c>
      <c r="D180" s="21"/>
      <c r="E180" s="21" t="s">
        <v>1485</v>
      </c>
      <c r="F180" s="248">
        <v>43582</v>
      </c>
      <c r="G180" s="96">
        <v>0.5</v>
      </c>
      <c r="H180" s="271" t="s">
        <v>1484</v>
      </c>
      <c r="I180" s="274">
        <v>262.5</v>
      </c>
      <c r="J180" s="21" t="s">
        <v>1483</v>
      </c>
      <c r="K180" s="239" t="s">
        <v>1370</v>
      </c>
      <c r="L180" s="273" t="s">
        <v>22</v>
      </c>
    </row>
    <row r="181" spans="1:12" ht="58" x14ac:dyDescent="0.35">
      <c r="A181" s="248">
        <v>43578</v>
      </c>
      <c r="B181" s="21" t="s">
        <v>1482</v>
      </c>
      <c r="C181" s="272" t="s">
        <v>1481</v>
      </c>
      <c r="D181" s="21"/>
      <c r="E181" s="21" t="s">
        <v>1480</v>
      </c>
      <c r="F181" s="248">
        <v>43582</v>
      </c>
      <c r="G181" s="249">
        <v>0.5</v>
      </c>
      <c r="H181" s="271" t="s">
        <v>1479</v>
      </c>
      <c r="I181" s="269">
        <v>424</v>
      </c>
      <c r="J181" s="270" t="s">
        <v>1478</v>
      </c>
      <c r="K181" s="64"/>
      <c r="L181" s="64"/>
    </row>
    <row r="182" spans="1:12" ht="43.5" x14ac:dyDescent="0.35">
      <c r="A182" s="248">
        <v>43578</v>
      </c>
      <c r="B182" s="21" t="s">
        <v>1477</v>
      </c>
      <c r="C182" s="272" t="s">
        <v>1476</v>
      </c>
      <c r="D182" s="21"/>
      <c r="E182" s="21" t="s">
        <v>1475</v>
      </c>
      <c r="F182" s="248">
        <v>43582</v>
      </c>
      <c r="G182" s="249" t="s">
        <v>1474</v>
      </c>
      <c r="H182" s="271" t="s">
        <v>1473</v>
      </c>
      <c r="I182" s="269">
        <v>574</v>
      </c>
      <c r="J182" s="270" t="s">
        <v>1472</v>
      </c>
      <c r="K182" s="239" t="s">
        <v>1370</v>
      </c>
      <c r="L182" s="64" t="s">
        <v>216</v>
      </c>
    </row>
    <row r="183" spans="1:12" ht="145" x14ac:dyDescent="0.35">
      <c r="A183" s="248">
        <v>43576</v>
      </c>
      <c r="B183" s="21" t="s">
        <v>1471</v>
      </c>
      <c r="C183" s="21" t="s">
        <v>1470</v>
      </c>
      <c r="D183" s="21"/>
      <c r="E183" s="21" t="s">
        <v>1469</v>
      </c>
      <c r="F183" s="248">
        <v>43582</v>
      </c>
      <c r="G183" s="249">
        <v>0.5</v>
      </c>
      <c r="H183" s="21" t="s">
        <v>1468</v>
      </c>
      <c r="I183" s="268">
        <v>1231</v>
      </c>
      <c r="J183" s="270" t="s">
        <v>1467</v>
      </c>
      <c r="K183" s="239" t="s">
        <v>1370</v>
      </c>
      <c r="L183" s="64" t="s">
        <v>216</v>
      </c>
    </row>
    <row r="184" spans="1:12" ht="87" x14ac:dyDescent="0.35">
      <c r="A184" s="248" t="s">
        <v>1466</v>
      </c>
      <c r="B184" s="21" t="s">
        <v>1465</v>
      </c>
      <c r="C184" s="64">
        <v>737233596</v>
      </c>
      <c r="D184" s="21"/>
      <c r="E184" s="21" t="s">
        <v>1464</v>
      </c>
      <c r="F184" s="248">
        <v>43582</v>
      </c>
      <c r="G184" s="64" t="s">
        <v>1463</v>
      </c>
      <c r="H184" s="21" t="s">
        <v>1462</v>
      </c>
      <c r="I184" s="269">
        <v>315</v>
      </c>
      <c r="J184" s="21" t="s">
        <v>257</v>
      </c>
      <c r="K184" s="239" t="s">
        <v>1370</v>
      </c>
      <c r="L184" s="64" t="s">
        <v>17</v>
      </c>
    </row>
    <row r="185" spans="1:12" ht="43.5" x14ac:dyDescent="0.35">
      <c r="A185" s="248">
        <v>43571</v>
      </c>
      <c r="B185" s="21" t="s">
        <v>1461</v>
      </c>
      <c r="C185" s="64">
        <v>726157827</v>
      </c>
      <c r="D185" s="21"/>
      <c r="E185" s="21" t="s">
        <v>1460</v>
      </c>
      <c r="F185" s="248">
        <v>43582</v>
      </c>
      <c r="G185" s="248" t="s">
        <v>1459</v>
      </c>
      <c r="H185" s="21" t="s">
        <v>1458</v>
      </c>
      <c r="I185" s="269">
        <v>700</v>
      </c>
      <c r="J185" s="21" t="s">
        <v>1457</v>
      </c>
      <c r="K185" s="239" t="s">
        <v>1370</v>
      </c>
      <c r="L185" s="64" t="s">
        <v>22</v>
      </c>
    </row>
    <row r="186" spans="1:12" ht="87" x14ac:dyDescent="0.35">
      <c r="A186" s="186">
        <v>43574</v>
      </c>
      <c r="B186" s="185" t="s">
        <v>1456</v>
      </c>
      <c r="C186" s="210" t="s">
        <v>1455</v>
      </c>
      <c r="D186" s="185"/>
      <c r="E186" s="185" t="s">
        <v>1454</v>
      </c>
      <c r="F186" s="186">
        <v>43582</v>
      </c>
      <c r="G186" s="186" t="s">
        <v>1453</v>
      </c>
      <c r="H186" s="185" t="s">
        <v>1452</v>
      </c>
      <c r="I186" s="213">
        <v>1001.7</v>
      </c>
      <c r="J186" s="17" t="s">
        <v>1451</v>
      </c>
      <c r="K186" s="239" t="s">
        <v>1370</v>
      </c>
      <c r="L186" s="64" t="s">
        <v>22</v>
      </c>
    </row>
    <row r="187" spans="1:12" ht="174" x14ac:dyDescent="0.35">
      <c r="A187" s="186">
        <v>43579</v>
      </c>
      <c r="B187" s="185" t="s">
        <v>1450</v>
      </c>
      <c r="C187" s="210"/>
      <c r="D187" s="185"/>
      <c r="E187" s="185" t="s">
        <v>1449</v>
      </c>
      <c r="F187" s="186">
        <v>43582</v>
      </c>
      <c r="G187" s="215" t="s">
        <v>1448</v>
      </c>
      <c r="H187" s="185" t="s">
        <v>1447</v>
      </c>
      <c r="I187" s="213">
        <f>3.5*140+160+150+75</f>
        <v>875</v>
      </c>
      <c r="J187" s="42" t="s">
        <v>1446</v>
      </c>
      <c r="K187" s="239" t="s">
        <v>1370</v>
      </c>
      <c r="L187" s="64"/>
    </row>
    <row r="188" spans="1:12" ht="29" x14ac:dyDescent="0.35">
      <c r="A188" s="198">
        <v>43577</v>
      </c>
      <c r="B188" s="22" t="s">
        <v>1445</v>
      </c>
      <c r="C188" s="121" t="s">
        <v>1444</v>
      </c>
      <c r="D188" s="22" t="s">
        <v>15</v>
      </c>
      <c r="E188" s="22" t="s">
        <v>1443</v>
      </c>
      <c r="F188" s="126">
        <v>43582</v>
      </c>
      <c r="G188" s="140">
        <v>0.5</v>
      </c>
      <c r="H188" s="22" t="s">
        <v>1442</v>
      </c>
      <c r="I188" s="143">
        <v>105</v>
      </c>
      <c r="J188" s="22" t="s">
        <v>1441</v>
      </c>
      <c r="K188" s="239" t="s">
        <v>1370</v>
      </c>
      <c r="L188" s="121" t="s">
        <v>17</v>
      </c>
    </row>
    <row r="189" spans="1:12" ht="72.5" x14ac:dyDescent="0.35">
      <c r="A189" s="248">
        <v>43577</v>
      </c>
      <c r="B189" s="64" t="s">
        <v>1440</v>
      </c>
      <c r="C189" s="64">
        <v>726776266</v>
      </c>
      <c r="D189" s="21"/>
      <c r="E189" s="21" t="s">
        <v>1439</v>
      </c>
      <c r="F189" s="248">
        <v>43582</v>
      </c>
      <c r="G189" s="64" t="s">
        <v>972</v>
      </c>
      <c r="H189" s="21" t="s">
        <v>1438</v>
      </c>
      <c r="I189" s="268">
        <v>75</v>
      </c>
      <c r="J189" s="21" t="s">
        <v>257</v>
      </c>
      <c r="K189" s="239" t="s">
        <v>1370</v>
      </c>
      <c r="L189" s="64" t="s">
        <v>17</v>
      </c>
    </row>
    <row r="190" spans="1:12" ht="72.5" x14ac:dyDescent="0.35">
      <c r="A190" s="266">
        <v>43580</v>
      </c>
      <c r="B190" s="15" t="s">
        <v>1437</v>
      </c>
      <c r="C190" s="120" t="s">
        <v>1436</v>
      </c>
      <c r="D190" s="15" t="s">
        <v>15</v>
      </c>
      <c r="E190" s="15" t="s">
        <v>1435</v>
      </c>
      <c r="F190" s="266">
        <v>43582</v>
      </c>
      <c r="G190" s="15" t="s">
        <v>1434</v>
      </c>
      <c r="H190" s="15" t="s">
        <v>1433</v>
      </c>
      <c r="I190" s="265">
        <v>453</v>
      </c>
      <c r="J190" s="15" t="s">
        <v>1432</v>
      </c>
    </row>
    <row r="191" spans="1:12" ht="29" x14ac:dyDescent="0.35">
      <c r="A191" s="266">
        <v>43581</v>
      </c>
      <c r="B191" s="15" t="s">
        <v>1431</v>
      </c>
      <c r="C191" s="120" t="s">
        <v>15</v>
      </c>
      <c r="D191" s="15" t="s">
        <v>15</v>
      </c>
      <c r="E191" s="15" t="s">
        <v>1430</v>
      </c>
      <c r="F191" s="266">
        <v>43582</v>
      </c>
      <c r="G191" s="267">
        <v>0.41666666666666702</v>
      </c>
      <c r="H191" s="15" t="s">
        <v>210</v>
      </c>
      <c r="I191" s="265">
        <v>225</v>
      </c>
      <c r="J191" s="15" t="s">
        <v>1429</v>
      </c>
      <c r="K191" s="239" t="s">
        <v>1370</v>
      </c>
      <c r="L191" s="120" t="s">
        <v>17</v>
      </c>
    </row>
    <row r="192" spans="1:12" ht="58" x14ac:dyDescent="0.35">
      <c r="A192" s="266">
        <v>43581</v>
      </c>
      <c r="B192" s="15" t="s">
        <v>1428</v>
      </c>
      <c r="C192" s="120" t="s">
        <v>1427</v>
      </c>
      <c r="E192" s="15" t="s">
        <v>1426</v>
      </c>
      <c r="F192" s="266">
        <v>43582</v>
      </c>
      <c r="G192" s="120" t="s">
        <v>1425</v>
      </c>
      <c r="H192" s="15" t="s">
        <v>1424</v>
      </c>
      <c r="I192" s="265">
        <v>135</v>
      </c>
      <c r="J192" s="15" t="s">
        <v>257</v>
      </c>
      <c r="K192" s="120" t="s">
        <v>1370</v>
      </c>
      <c r="L192" s="120" t="s">
        <v>17</v>
      </c>
    </row>
    <row r="193" spans="1:12" ht="43.5" x14ac:dyDescent="0.35">
      <c r="A193" s="266">
        <v>43581</v>
      </c>
      <c r="B193" s="15" t="s">
        <v>22</v>
      </c>
      <c r="C193" s="120" t="s">
        <v>22</v>
      </c>
      <c r="E193" s="15" t="s">
        <v>1423</v>
      </c>
      <c r="F193" s="266">
        <v>43582</v>
      </c>
      <c r="G193" s="15" t="s">
        <v>1422</v>
      </c>
      <c r="H193" s="15" t="s">
        <v>311</v>
      </c>
      <c r="I193" s="265">
        <v>300</v>
      </c>
      <c r="J193" s="15" t="s">
        <v>385</v>
      </c>
      <c r="K193" s="120" t="s">
        <v>1370</v>
      </c>
      <c r="L193" s="120" t="s">
        <v>22</v>
      </c>
    </row>
    <row r="194" spans="1:12" s="260" customFormat="1" ht="72.5" x14ac:dyDescent="0.35">
      <c r="A194" s="264">
        <v>43574</v>
      </c>
      <c r="B194" s="262" t="s">
        <v>1421</v>
      </c>
      <c r="C194" s="261" t="s">
        <v>17</v>
      </c>
      <c r="D194" s="262"/>
      <c r="E194" s="262" t="s">
        <v>1420</v>
      </c>
      <c r="F194" s="264">
        <v>43589</v>
      </c>
      <c r="G194" s="264" t="s">
        <v>1419</v>
      </c>
      <c r="H194" s="262" t="s">
        <v>1418</v>
      </c>
      <c r="I194" s="263" t="s">
        <v>1417</v>
      </c>
      <c r="J194" s="262" t="s">
        <v>257</v>
      </c>
      <c r="K194" s="261" t="s">
        <v>1370</v>
      </c>
      <c r="L194" s="261" t="s">
        <v>17</v>
      </c>
    </row>
    <row r="195" spans="1:12" ht="43.5" x14ac:dyDescent="0.35">
      <c r="A195" s="257">
        <v>43574</v>
      </c>
      <c r="B195" s="255" t="s">
        <v>1416</v>
      </c>
      <c r="C195" s="259" t="s">
        <v>1415</v>
      </c>
      <c r="D195" s="255"/>
      <c r="E195" s="255" t="s">
        <v>1414</v>
      </c>
      <c r="F195" s="257">
        <v>43590</v>
      </c>
      <c r="G195" s="258" t="s">
        <v>1413</v>
      </c>
      <c r="H195" s="255" t="s">
        <v>1412</v>
      </c>
      <c r="I195" s="247" t="s">
        <v>1411</v>
      </c>
      <c r="J195" s="21" t="s">
        <v>1410</v>
      </c>
      <c r="K195" s="239" t="s">
        <v>1370</v>
      </c>
      <c r="L195" s="64" t="s">
        <v>22</v>
      </c>
    </row>
    <row r="196" spans="1:12" ht="145" x14ac:dyDescent="0.35">
      <c r="A196" s="257">
        <v>43562</v>
      </c>
      <c r="B196" s="255" t="s">
        <v>1409</v>
      </c>
      <c r="C196" s="256" t="s">
        <v>1408</v>
      </c>
      <c r="D196" s="255" t="s">
        <v>15</v>
      </c>
      <c r="E196" s="255" t="s">
        <v>1407</v>
      </c>
      <c r="F196" s="257">
        <v>43590</v>
      </c>
      <c r="G196" s="256" t="s">
        <v>49</v>
      </c>
      <c r="H196" s="255" t="s">
        <v>1406</v>
      </c>
      <c r="I196" s="247" t="s">
        <v>1405</v>
      </c>
      <c r="J196" s="21" t="s">
        <v>1404</v>
      </c>
      <c r="K196" s="239" t="s">
        <v>1370</v>
      </c>
      <c r="L196" s="64" t="s">
        <v>17</v>
      </c>
    </row>
    <row r="197" spans="1:12" ht="58" x14ac:dyDescent="0.35">
      <c r="A197" s="186">
        <v>43571</v>
      </c>
      <c r="B197" s="185" t="s">
        <v>1403</v>
      </c>
      <c r="C197" s="210" t="s">
        <v>1402</v>
      </c>
      <c r="D197" s="32" t="s">
        <v>1401</v>
      </c>
      <c r="E197" s="185" t="s">
        <v>1400</v>
      </c>
      <c r="F197" s="186">
        <v>43597</v>
      </c>
      <c r="G197" s="219">
        <v>0.70833333333333304</v>
      </c>
      <c r="H197" s="185" t="s">
        <v>1399</v>
      </c>
      <c r="I197" s="191" t="s">
        <v>1398</v>
      </c>
      <c r="J197" s="17" t="s">
        <v>1397</v>
      </c>
      <c r="K197" s="173" t="s">
        <v>1370</v>
      </c>
      <c r="L197" s="65" t="s">
        <v>22</v>
      </c>
    </row>
    <row r="198" spans="1:12" ht="72.5" x14ac:dyDescent="0.35">
      <c r="A198" s="257">
        <v>43538</v>
      </c>
      <c r="B198" s="255" t="s">
        <v>1396</v>
      </c>
      <c r="C198" s="256"/>
      <c r="D198" s="255"/>
      <c r="E198" s="255" t="s">
        <v>1395</v>
      </c>
      <c r="F198" s="257">
        <v>43603</v>
      </c>
      <c r="G198" s="256" t="s">
        <v>540</v>
      </c>
      <c r="H198" s="255" t="s">
        <v>1394</v>
      </c>
      <c r="I198" s="247" t="s">
        <v>1393</v>
      </c>
      <c r="J198" s="21" t="s">
        <v>545</v>
      </c>
      <c r="K198" s="173" t="s">
        <v>1370</v>
      </c>
      <c r="L198" s="64" t="s">
        <v>17</v>
      </c>
    </row>
    <row r="199" spans="1:12" ht="29" x14ac:dyDescent="0.35">
      <c r="A199" s="248">
        <v>43553</v>
      </c>
      <c r="B199" s="254" t="s">
        <v>437</v>
      </c>
      <c r="C199" s="253" t="s">
        <v>17</v>
      </c>
      <c r="D199" s="252"/>
      <c r="E199" s="21" t="s">
        <v>1392</v>
      </c>
      <c r="F199" s="251">
        <v>43617</v>
      </c>
      <c r="G199" s="249" t="s">
        <v>17</v>
      </c>
      <c r="H199" s="21" t="s">
        <v>17</v>
      </c>
      <c r="I199" s="250" t="s">
        <v>1391</v>
      </c>
      <c r="J199" s="21" t="s">
        <v>539</v>
      </c>
      <c r="K199" s="173" t="s">
        <v>1370</v>
      </c>
      <c r="L199" s="65" t="s">
        <v>17</v>
      </c>
    </row>
    <row r="200" spans="1:12" ht="101.5" x14ac:dyDescent="0.35">
      <c r="A200" s="248">
        <v>43571</v>
      </c>
      <c r="B200" s="254" t="s">
        <v>1390</v>
      </c>
      <c r="C200" s="253" t="s">
        <v>17</v>
      </c>
      <c r="D200" s="252"/>
      <c r="E200" s="21" t="s">
        <v>962</v>
      </c>
      <c r="F200" s="251">
        <v>43630</v>
      </c>
      <c r="G200" s="249">
        <v>0.625</v>
      </c>
      <c r="H200" s="21" t="s">
        <v>1383</v>
      </c>
      <c r="I200" s="250" t="s">
        <v>1389</v>
      </c>
      <c r="J200" s="21" t="s">
        <v>1388</v>
      </c>
      <c r="K200" s="239" t="s">
        <v>1370</v>
      </c>
      <c r="L200" s="64" t="s">
        <v>17</v>
      </c>
    </row>
    <row r="201" spans="1:12" ht="29" x14ac:dyDescent="0.35">
      <c r="A201" s="248">
        <v>43561</v>
      </c>
      <c r="B201" s="21" t="s">
        <v>767</v>
      </c>
      <c r="C201" s="64"/>
      <c r="D201" s="21"/>
      <c r="E201" s="21" t="s">
        <v>958</v>
      </c>
      <c r="F201" s="248">
        <v>43631</v>
      </c>
      <c r="G201" s="64" t="s">
        <v>1387</v>
      </c>
      <c r="H201" s="21" t="s">
        <v>1387</v>
      </c>
      <c r="I201" s="247" t="s">
        <v>1387</v>
      </c>
      <c r="J201" s="21" t="s">
        <v>1387</v>
      </c>
      <c r="K201" s="239" t="s">
        <v>1386</v>
      </c>
      <c r="L201" s="64" t="s">
        <v>330</v>
      </c>
    </row>
    <row r="202" spans="1:12" ht="58" x14ac:dyDescent="0.35">
      <c r="A202" s="248">
        <v>43573</v>
      </c>
      <c r="B202" s="21" t="s">
        <v>1385</v>
      </c>
      <c r="C202" s="64" t="s">
        <v>1384</v>
      </c>
      <c r="D202" s="21" t="s">
        <v>15</v>
      </c>
      <c r="E202" s="21" t="s">
        <v>957</v>
      </c>
      <c r="F202" s="248">
        <v>43631</v>
      </c>
      <c r="G202" s="249">
        <v>0.625</v>
      </c>
      <c r="H202" s="21" t="s">
        <v>1383</v>
      </c>
      <c r="I202" s="64" t="s">
        <v>1382</v>
      </c>
      <c r="J202" s="21" t="s">
        <v>262</v>
      </c>
      <c r="K202" s="239" t="s">
        <v>1370</v>
      </c>
      <c r="L202" s="64" t="s">
        <v>17</v>
      </c>
    </row>
    <row r="203" spans="1:12" ht="130.5" x14ac:dyDescent="0.35">
      <c r="A203" s="248">
        <v>43571</v>
      </c>
      <c r="B203" s="21" t="s">
        <v>553</v>
      </c>
      <c r="C203" s="64" t="s">
        <v>15</v>
      </c>
      <c r="D203" s="21" t="s">
        <v>15</v>
      </c>
      <c r="E203" s="21" t="s">
        <v>1381</v>
      </c>
      <c r="F203" s="248">
        <v>43652</v>
      </c>
      <c r="G203" s="64" t="s">
        <v>1380</v>
      </c>
      <c r="H203" s="21" t="s">
        <v>437</v>
      </c>
      <c r="I203" s="247" t="s">
        <v>1379</v>
      </c>
      <c r="J203" s="21" t="s">
        <v>437</v>
      </c>
      <c r="K203" s="239" t="s">
        <v>1370</v>
      </c>
      <c r="L203" s="64" t="s">
        <v>17</v>
      </c>
    </row>
    <row r="204" spans="1:12" ht="101.5" x14ac:dyDescent="0.35">
      <c r="A204" s="248">
        <v>43570</v>
      </c>
      <c r="B204" s="21" t="s">
        <v>1378</v>
      </c>
      <c r="C204" s="64" t="s">
        <v>17</v>
      </c>
      <c r="D204" s="21"/>
      <c r="E204" s="21" t="s">
        <v>1377</v>
      </c>
      <c r="F204" s="248">
        <v>43708</v>
      </c>
      <c r="G204" s="64" t="s">
        <v>539</v>
      </c>
      <c r="H204" s="21" t="s">
        <v>1376</v>
      </c>
      <c r="I204" s="247" t="s">
        <v>1375</v>
      </c>
      <c r="J204" s="21" t="s">
        <v>49</v>
      </c>
      <c r="K204" s="239" t="s">
        <v>1370</v>
      </c>
      <c r="L204" s="64" t="s">
        <v>17</v>
      </c>
    </row>
    <row r="205" spans="1:12" ht="40.5" x14ac:dyDescent="0.35">
      <c r="A205" s="243">
        <v>43522</v>
      </c>
      <c r="B205" s="246" t="s">
        <v>1374</v>
      </c>
      <c r="C205" s="245" t="s">
        <v>1373</v>
      </c>
      <c r="D205" s="244" t="s">
        <v>1372</v>
      </c>
      <c r="E205" s="240" t="s">
        <v>1371</v>
      </c>
      <c r="F205" s="243" t="s">
        <v>539</v>
      </c>
      <c r="G205" s="242" t="s">
        <v>545</v>
      </c>
      <c r="H205" s="240" t="s">
        <v>15</v>
      </c>
      <c r="I205" s="241" t="s">
        <v>15</v>
      </c>
      <c r="J205" s="240" t="s">
        <v>540</v>
      </c>
      <c r="K205" s="239" t="s">
        <v>1370</v>
      </c>
      <c r="L205" s="64" t="s">
        <v>15</v>
      </c>
    </row>
  </sheetData>
  <hyperlinks>
    <hyperlink ref="D165" r:id="rId1" xr:uid="{00000000-0004-0000-1000-000000000000}"/>
    <hyperlink ref="D205" r:id="rId2" xr:uid="{00000000-0004-0000-1000-000001000000}"/>
  </hyperlinks>
  <pageMargins left="0.7" right="0.7" top="0.75" bottom="0.75" header="0.51180555555555496" footer="0.51180555555555496"/>
  <pageSetup paperSize="9" firstPageNumber="0" orientation="landscape" horizontalDpi="300" verticalDpi="300"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A1:AMK179"/>
  <sheetViews>
    <sheetView topLeftCell="A138" zoomScale="55" zoomScaleNormal="55" workbookViewId="0">
      <selection activeCell="O141" sqref="O141"/>
    </sheetView>
  </sheetViews>
  <sheetFormatPr defaultColWidth="8.453125" defaultRowHeight="14.5" x14ac:dyDescent="0.35"/>
  <cols>
    <col min="1" max="1" width="13.453125" style="120" customWidth="1"/>
    <col min="2" max="2" width="21.453125" style="15" customWidth="1"/>
    <col min="3" max="3" width="17.453125" style="120" customWidth="1"/>
    <col min="4" max="4" width="19.54296875" style="15" customWidth="1"/>
    <col min="5" max="5" width="33.453125" style="15" customWidth="1"/>
    <col min="6" max="6" width="13.453125" style="120" customWidth="1"/>
    <col min="7" max="7" width="12.54296875" style="120" customWidth="1"/>
    <col min="8" max="8" width="17.453125" style="15" customWidth="1"/>
    <col min="9" max="9" width="16.453125" style="120" customWidth="1"/>
    <col min="10" max="10" width="15.453125" style="15" customWidth="1"/>
    <col min="11" max="11" width="20.453125" style="120" customWidth="1"/>
    <col min="12" max="13" width="21.453125" style="120" customWidth="1"/>
    <col min="14" max="1025" width="8.453125" style="120" customWidth="1"/>
    <col min="1026" max="16384" width="8.453125" style="13"/>
  </cols>
  <sheetData>
    <row r="1" spans="1:15" s="13" customFormat="1" ht="18.5" x14ac:dyDescent="0.35">
      <c r="A1" s="488" t="s">
        <v>2093</v>
      </c>
      <c r="B1" s="15"/>
      <c r="C1" s="120">
        <f>COUNTIF(K5:K301,"Nu")</f>
        <v>12</v>
      </c>
      <c r="D1" s="15"/>
      <c r="E1" s="15" t="s">
        <v>516</v>
      </c>
      <c r="F1" s="189">
        <f>SUM(I5:I52)/4.7</f>
        <v>5796.8723404255325</v>
      </c>
      <c r="G1" s="120" t="s">
        <v>515</v>
      </c>
      <c r="H1" s="115">
        <f>SUM(I53:I93)/4.7</f>
        <v>2628.2872340425533</v>
      </c>
      <c r="I1" s="120" t="s">
        <v>514</v>
      </c>
      <c r="J1" s="115">
        <f>SUM(I94:I115)/4.77</f>
        <v>605.55555555555566</v>
      </c>
      <c r="K1" s="120" t="s">
        <v>2092</v>
      </c>
      <c r="L1" s="189">
        <f>SUM(I116:I153)/4.77</f>
        <v>2724.4654088050315</v>
      </c>
      <c r="M1" s="120"/>
      <c r="N1" s="120"/>
    </row>
    <row r="2" spans="1:15" s="13" customFormat="1" x14ac:dyDescent="0.35">
      <c r="A2" s="120"/>
      <c r="B2" s="15"/>
      <c r="C2" s="120"/>
      <c r="D2" s="15"/>
      <c r="E2" s="15"/>
      <c r="F2" s="120"/>
      <c r="G2" s="120" t="s">
        <v>2088</v>
      </c>
      <c r="H2" s="115">
        <f>SUM(F1:L1)</f>
        <v>11755.180538828672</v>
      </c>
      <c r="I2" s="120"/>
      <c r="J2" s="15"/>
      <c r="K2" s="120"/>
      <c r="L2" s="120"/>
      <c r="M2" s="120"/>
      <c r="N2" s="120"/>
    </row>
    <row r="4" spans="1:15" s="13" customFormat="1" x14ac:dyDescent="0.35">
      <c r="A4" s="238" t="s">
        <v>0</v>
      </c>
      <c r="B4" s="235" t="s">
        <v>2085</v>
      </c>
      <c r="C4" s="235" t="s">
        <v>2084</v>
      </c>
      <c r="D4" s="235" t="s">
        <v>2083</v>
      </c>
      <c r="E4" s="235" t="s">
        <v>2</v>
      </c>
      <c r="F4" s="237" t="s">
        <v>3</v>
      </c>
      <c r="G4" s="236" t="s">
        <v>2082</v>
      </c>
      <c r="H4" s="235" t="s">
        <v>2081</v>
      </c>
      <c r="I4" s="235" t="s">
        <v>8</v>
      </c>
      <c r="J4" s="235" t="s">
        <v>9</v>
      </c>
      <c r="K4" s="235" t="s">
        <v>2080</v>
      </c>
      <c r="L4" s="235" t="s">
        <v>2079</v>
      </c>
      <c r="M4" s="487" t="s">
        <v>2661</v>
      </c>
      <c r="N4" s="120" t="s">
        <v>2078</v>
      </c>
      <c r="O4" s="13" t="s">
        <v>5400</v>
      </c>
    </row>
    <row r="5" spans="1:15" s="13" customFormat="1" ht="58" x14ac:dyDescent="0.35">
      <c r="A5" s="455">
        <v>43521</v>
      </c>
      <c r="B5" s="17" t="s">
        <v>2657</v>
      </c>
      <c r="C5" s="302" t="s">
        <v>2348</v>
      </c>
      <c r="D5" s="467" t="s">
        <v>15</v>
      </c>
      <c r="E5" s="109" t="s">
        <v>2660</v>
      </c>
      <c r="F5" s="453">
        <v>43525</v>
      </c>
      <c r="G5" s="452">
        <v>0.41666666666666702</v>
      </c>
      <c r="H5" s="17" t="s">
        <v>2659</v>
      </c>
      <c r="I5" s="231">
        <v>1647</v>
      </c>
      <c r="J5" s="17" t="s">
        <v>2658</v>
      </c>
      <c r="K5" s="403" t="s">
        <v>2177</v>
      </c>
      <c r="L5" s="65" t="s">
        <v>15</v>
      </c>
      <c r="M5" s="154" t="s">
        <v>15</v>
      </c>
      <c r="N5" s="120"/>
    </row>
    <row r="6" spans="1:15" s="13" customFormat="1" ht="58" x14ac:dyDescent="0.35">
      <c r="A6" s="455">
        <v>43521</v>
      </c>
      <c r="B6" s="17" t="s">
        <v>2657</v>
      </c>
      <c r="C6" s="302" t="s">
        <v>2348</v>
      </c>
      <c r="D6" s="467" t="s">
        <v>15</v>
      </c>
      <c r="E6" s="109" t="s">
        <v>2656</v>
      </c>
      <c r="F6" s="453">
        <v>43525</v>
      </c>
      <c r="G6" s="452">
        <v>0.375</v>
      </c>
      <c r="H6" s="17" t="s">
        <v>2655</v>
      </c>
      <c r="I6" s="231">
        <v>0</v>
      </c>
      <c r="J6" s="17" t="s">
        <v>2654</v>
      </c>
      <c r="K6" s="403" t="s">
        <v>2177</v>
      </c>
      <c r="L6" s="65" t="s">
        <v>15</v>
      </c>
      <c r="M6" s="154" t="s">
        <v>15</v>
      </c>
      <c r="N6" s="120"/>
    </row>
    <row r="7" spans="1:15" s="13" customFormat="1" ht="29" x14ac:dyDescent="0.35">
      <c r="A7" s="455">
        <v>43521</v>
      </c>
      <c r="B7" s="109" t="s">
        <v>2519</v>
      </c>
      <c r="C7" s="438" t="s">
        <v>2518</v>
      </c>
      <c r="D7" s="467" t="s">
        <v>15</v>
      </c>
      <c r="E7" s="109" t="s">
        <v>2653</v>
      </c>
      <c r="F7" s="453">
        <v>43525</v>
      </c>
      <c r="G7" s="452">
        <v>0.58333333333333304</v>
      </c>
      <c r="H7" s="109" t="s">
        <v>1271</v>
      </c>
      <c r="I7" s="231">
        <v>1990</v>
      </c>
      <c r="J7" s="109" t="s">
        <v>2652</v>
      </c>
      <c r="K7" s="403" t="s">
        <v>2177</v>
      </c>
      <c r="L7" s="65" t="s">
        <v>15</v>
      </c>
      <c r="M7" s="154" t="s">
        <v>15</v>
      </c>
      <c r="N7" s="120"/>
    </row>
    <row r="8" spans="1:15" s="13" customFormat="1" ht="43.5" x14ac:dyDescent="0.35">
      <c r="A8" s="455">
        <v>43521</v>
      </c>
      <c r="B8" s="109" t="s">
        <v>2651</v>
      </c>
      <c r="C8" s="438" t="s">
        <v>1640</v>
      </c>
      <c r="D8" s="467" t="s">
        <v>15</v>
      </c>
      <c r="E8" s="109" t="s">
        <v>2650</v>
      </c>
      <c r="F8" s="453">
        <v>43525</v>
      </c>
      <c r="G8" s="452">
        <v>0.41666666666666702</v>
      </c>
      <c r="H8" s="109" t="s">
        <v>1638</v>
      </c>
      <c r="I8" s="231">
        <v>847</v>
      </c>
      <c r="J8" s="109" t="s">
        <v>2649</v>
      </c>
      <c r="K8" s="403" t="s">
        <v>2177</v>
      </c>
      <c r="L8" s="65" t="s">
        <v>15</v>
      </c>
      <c r="M8" s="154" t="s">
        <v>15</v>
      </c>
      <c r="N8" s="120"/>
    </row>
    <row r="9" spans="1:15" s="13" customFormat="1" ht="43.5" x14ac:dyDescent="0.35">
      <c r="A9" s="455">
        <v>43521</v>
      </c>
      <c r="B9" s="109" t="s">
        <v>2648</v>
      </c>
      <c r="C9" s="438" t="s">
        <v>15</v>
      </c>
      <c r="D9" s="467" t="s">
        <v>15</v>
      </c>
      <c r="E9" s="109" t="s">
        <v>2647</v>
      </c>
      <c r="F9" s="453">
        <v>43525</v>
      </c>
      <c r="G9" s="452">
        <v>0.5</v>
      </c>
      <c r="H9" s="109" t="s">
        <v>2646</v>
      </c>
      <c r="I9" s="231">
        <v>449</v>
      </c>
      <c r="J9" s="109" t="s">
        <v>2645</v>
      </c>
      <c r="K9" s="403" t="s">
        <v>2177</v>
      </c>
      <c r="L9" s="65" t="s">
        <v>15</v>
      </c>
      <c r="M9" s="154" t="s">
        <v>15</v>
      </c>
      <c r="N9" s="120"/>
    </row>
    <row r="10" spans="1:15" s="13" customFormat="1" ht="29" x14ac:dyDescent="0.35">
      <c r="A10" s="455">
        <v>43522</v>
      </c>
      <c r="B10" s="109" t="s">
        <v>2644</v>
      </c>
      <c r="C10" s="438" t="s">
        <v>49</v>
      </c>
      <c r="D10" s="467" t="s">
        <v>15</v>
      </c>
      <c r="E10" s="109" t="s">
        <v>2643</v>
      </c>
      <c r="F10" s="453">
        <v>43525</v>
      </c>
      <c r="G10" s="452">
        <v>0.70833333333333304</v>
      </c>
      <c r="H10" s="109" t="s">
        <v>2642</v>
      </c>
      <c r="I10" s="231">
        <v>140</v>
      </c>
      <c r="J10" s="109" t="s">
        <v>2641</v>
      </c>
      <c r="K10" s="403" t="s">
        <v>2177</v>
      </c>
      <c r="L10" s="65" t="s">
        <v>15</v>
      </c>
      <c r="M10" s="154" t="s">
        <v>15</v>
      </c>
      <c r="N10" s="120"/>
    </row>
    <row r="11" spans="1:15" s="13" customFormat="1" ht="116" x14ac:dyDescent="0.35">
      <c r="A11" s="455">
        <v>43522</v>
      </c>
      <c r="B11" s="109" t="s">
        <v>2030</v>
      </c>
      <c r="C11" s="438" t="s">
        <v>15</v>
      </c>
      <c r="D11" s="467" t="s">
        <v>15</v>
      </c>
      <c r="E11" s="109" t="s">
        <v>2640</v>
      </c>
      <c r="F11" s="453">
        <v>43525</v>
      </c>
      <c r="G11" s="452" t="s">
        <v>2639</v>
      </c>
      <c r="H11" s="109" t="s">
        <v>2638</v>
      </c>
      <c r="I11" s="231">
        <v>2973</v>
      </c>
      <c r="J11" s="109" t="s">
        <v>2637</v>
      </c>
      <c r="K11" s="403" t="s">
        <v>2177</v>
      </c>
      <c r="L11" s="65" t="s">
        <v>15</v>
      </c>
      <c r="M11" s="154" t="s">
        <v>15</v>
      </c>
      <c r="N11" s="120"/>
    </row>
    <row r="12" spans="1:15" s="13" customFormat="1" ht="87" x14ac:dyDescent="0.35">
      <c r="A12" s="455">
        <v>43522</v>
      </c>
      <c r="B12" s="109" t="s">
        <v>2636</v>
      </c>
      <c r="C12" s="438" t="s">
        <v>2635</v>
      </c>
      <c r="D12" s="467" t="s">
        <v>15</v>
      </c>
      <c r="E12" s="109" t="s">
        <v>2634</v>
      </c>
      <c r="F12" s="453">
        <v>43525</v>
      </c>
      <c r="G12" s="452">
        <v>0.5</v>
      </c>
      <c r="H12" s="109" t="s">
        <v>2633</v>
      </c>
      <c r="I12" s="231" t="s">
        <v>2632</v>
      </c>
      <c r="J12" s="109" t="s">
        <v>2631</v>
      </c>
      <c r="K12" s="403" t="s">
        <v>2177</v>
      </c>
      <c r="L12" s="65" t="s">
        <v>15</v>
      </c>
      <c r="M12" s="154" t="s">
        <v>15</v>
      </c>
      <c r="N12" s="120"/>
    </row>
    <row r="13" spans="1:15" s="13" customFormat="1" ht="87" x14ac:dyDescent="0.35">
      <c r="A13" s="455">
        <v>43523</v>
      </c>
      <c r="B13" s="109" t="s">
        <v>647</v>
      </c>
      <c r="C13" s="438" t="s">
        <v>15</v>
      </c>
      <c r="D13" s="467" t="s">
        <v>15</v>
      </c>
      <c r="E13" s="466" t="s">
        <v>2629</v>
      </c>
      <c r="F13" s="453">
        <v>43525</v>
      </c>
      <c r="G13" s="452">
        <v>0.5</v>
      </c>
      <c r="H13" s="109" t="s">
        <v>2628</v>
      </c>
      <c r="I13" s="231">
        <v>398</v>
      </c>
      <c r="J13" s="109" t="s">
        <v>2630</v>
      </c>
      <c r="K13" s="403" t="s">
        <v>2177</v>
      </c>
      <c r="L13" s="65" t="s">
        <v>15</v>
      </c>
      <c r="M13" s="154" t="s">
        <v>15</v>
      </c>
      <c r="N13" s="120"/>
    </row>
    <row r="14" spans="1:15" s="13" customFormat="1" ht="87" x14ac:dyDescent="0.35">
      <c r="A14" s="455">
        <v>43523</v>
      </c>
      <c r="B14" s="109" t="s">
        <v>2624</v>
      </c>
      <c r="C14" s="438" t="s">
        <v>15</v>
      </c>
      <c r="D14" s="467" t="s">
        <v>15</v>
      </c>
      <c r="E14" s="466" t="s">
        <v>2629</v>
      </c>
      <c r="F14" s="453">
        <v>43525</v>
      </c>
      <c r="G14" s="452">
        <v>0.5</v>
      </c>
      <c r="H14" s="109" t="s">
        <v>2628</v>
      </c>
      <c r="I14" s="231">
        <v>0</v>
      </c>
      <c r="J14" s="109" t="s">
        <v>15</v>
      </c>
      <c r="K14" s="403" t="s">
        <v>2177</v>
      </c>
      <c r="L14" s="65" t="s">
        <v>15</v>
      </c>
      <c r="M14" s="154" t="s">
        <v>15</v>
      </c>
      <c r="N14" s="120"/>
    </row>
    <row r="15" spans="1:15" s="13" customFormat="1" ht="72.5" x14ac:dyDescent="0.35">
      <c r="A15" s="455">
        <v>43523</v>
      </c>
      <c r="B15" s="109" t="s">
        <v>1842</v>
      </c>
      <c r="C15" s="438" t="s">
        <v>1841</v>
      </c>
      <c r="D15" s="467" t="s">
        <v>15</v>
      </c>
      <c r="E15" s="109" t="s">
        <v>2627</v>
      </c>
      <c r="F15" s="453">
        <v>43525</v>
      </c>
      <c r="G15" s="452" t="s">
        <v>2626</v>
      </c>
      <c r="H15" s="109" t="s">
        <v>2625</v>
      </c>
      <c r="I15" s="486">
        <v>135</v>
      </c>
      <c r="J15" s="17" t="s">
        <v>1592</v>
      </c>
      <c r="K15" s="403" t="s">
        <v>2177</v>
      </c>
      <c r="L15" s="65" t="s">
        <v>15</v>
      </c>
      <c r="M15" s="154" t="s">
        <v>15</v>
      </c>
      <c r="N15" s="120"/>
    </row>
    <row r="16" spans="1:15" s="13" customFormat="1" ht="43.5" x14ac:dyDescent="0.35">
      <c r="A16" s="455">
        <v>43523</v>
      </c>
      <c r="B16" s="109" t="s">
        <v>2624</v>
      </c>
      <c r="C16" s="438" t="s">
        <v>15</v>
      </c>
      <c r="D16" s="467" t="s">
        <v>15</v>
      </c>
      <c r="E16" s="109" t="s">
        <v>2623</v>
      </c>
      <c r="F16" s="453">
        <v>43525</v>
      </c>
      <c r="G16" s="452">
        <v>0.66666666666666696</v>
      </c>
      <c r="H16" s="109" t="s">
        <v>2622</v>
      </c>
      <c r="I16" s="231">
        <v>0</v>
      </c>
      <c r="J16" s="109" t="s">
        <v>15</v>
      </c>
      <c r="K16" s="403" t="s">
        <v>2177</v>
      </c>
      <c r="L16" s="65" t="s">
        <v>15</v>
      </c>
      <c r="M16" s="154" t="s">
        <v>15</v>
      </c>
      <c r="N16" s="120"/>
    </row>
    <row r="17" spans="1:13" s="13" customFormat="1" ht="58" x14ac:dyDescent="0.35">
      <c r="A17" s="155">
        <v>43523</v>
      </c>
      <c r="B17" s="17" t="s">
        <v>2621</v>
      </c>
      <c r="C17" s="65" t="s">
        <v>2620</v>
      </c>
      <c r="D17" s="17" t="s">
        <v>15</v>
      </c>
      <c r="E17" s="17" t="s">
        <v>2619</v>
      </c>
      <c r="F17" s="125">
        <v>43525</v>
      </c>
      <c r="G17" s="177">
        <v>0.41666666666666702</v>
      </c>
      <c r="H17" s="17" t="s">
        <v>2618</v>
      </c>
      <c r="I17" s="213">
        <v>300</v>
      </c>
      <c r="J17" s="17" t="s">
        <v>2617</v>
      </c>
      <c r="K17" s="403" t="s">
        <v>2177</v>
      </c>
      <c r="L17" s="65" t="s">
        <v>15</v>
      </c>
      <c r="M17" s="154" t="s">
        <v>15</v>
      </c>
    </row>
    <row r="18" spans="1:13" s="13" customFormat="1" ht="58" x14ac:dyDescent="0.35">
      <c r="A18" s="155">
        <v>43523</v>
      </c>
      <c r="B18" s="17" t="s">
        <v>2439</v>
      </c>
      <c r="C18" s="65" t="s">
        <v>2438</v>
      </c>
      <c r="D18" s="17" t="s">
        <v>15</v>
      </c>
      <c r="E18" s="17" t="s">
        <v>2616</v>
      </c>
      <c r="F18" s="125">
        <v>43525</v>
      </c>
      <c r="G18" s="177">
        <v>0.45833333333333298</v>
      </c>
      <c r="H18" s="17" t="s">
        <v>2436</v>
      </c>
      <c r="I18" s="213">
        <v>378</v>
      </c>
      <c r="J18" s="17" t="s">
        <v>2615</v>
      </c>
      <c r="K18" s="403" t="s">
        <v>2177</v>
      </c>
      <c r="L18" s="65" t="s">
        <v>15</v>
      </c>
      <c r="M18" s="154" t="s">
        <v>15</v>
      </c>
    </row>
    <row r="19" spans="1:13" s="13" customFormat="1" ht="29" x14ac:dyDescent="0.35">
      <c r="A19" s="455">
        <v>43523</v>
      </c>
      <c r="B19" s="109" t="s">
        <v>2360</v>
      </c>
      <c r="C19" s="438" t="s">
        <v>2614</v>
      </c>
      <c r="D19" s="467" t="s">
        <v>15</v>
      </c>
      <c r="E19" s="109" t="s">
        <v>2613</v>
      </c>
      <c r="F19" s="125">
        <v>43525</v>
      </c>
      <c r="G19" s="452">
        <v>0.54166666666666696</v>
      </c>
      <c r="H19" s="109" t="s">
        <v>1394</v>
      </c>
      <c r="I19" s="231">
        <v>0</v>
      </c>
      <c r="J19" s="109" t="s">
        <v>2612</v>
      </c>
      <c r="K19" s="403" t="s">
        <v>2177</v>
      </c>
      <c r="L19" s="65" t="s">
        <v>15</v>
      </c>
      <c r="M19" s="154" t="s">
        <v>15</v>
      </c>
    </row>
    <row r="20" spans="1:13" s="13" customFormat="1" ht="87" x14ac:dyDescent="0.35">
      <c r="A20" s="485">
        <v>43524</v>
      </c>
      <c r="B20" s="17" t="s">
        <v>2611</v>
      </c>
      <c r="C20" s="302" t="s">
        <v>2610</v>
      </c>
      <c r="D20" s="454" t="s">
        <v>15</v>
      </c>
      <c r="E20" s="17" t="s">
        <v>2609</v>
      </c>
      <c r="F20" s="484">
        <v>43525</v>
      </c>
      <c r="G20" s="177">
        <v>0.45833333333333298</v>
      </c>
      <c r="H20" s="17" t="s">
        <v>2608</v>
      </c>
      <c r="I20" s="213">
        <v>289</v>
      </c>
      <c r="J20" s="17" t="s">
        <v>2607</v>
      </c>
      <c r="K20" s="403" t="s">
        <v>2177</v>
      </c>
      <c r="L20" s="65" t="s">
        <v>15</v>
      </c>
      <c r="M20" s="154" t="s">
        <v>15</v>
      </c>
    </row>
    <row r="21" spans="1:13" s="13" customFormat="1" ht="43.5" x14ac:dyDescent="0.35">
      <c r="A21" s="455">
        <v>43524</v>
      </c>
      <c r="B21" s="109" t="s">
        <v>2462</v>
      </c>
      <c r="C21" s="438" t="s">
        <v>2461</v>
      </c>
      <c r="D21" s="467" t="s">
        <v>15</v>
      </c>
      <c r="E21" s="466" t="s">
        <v>2606</v>
      </c>
      <c r="F21" s="453">
        <v>43525</v>
      </c>
      <c r="G21" s="452">
        <v>0.45833333333333298</v>
      </c>
      <c r="H21" s="109" t="s">
        <v>2459</v>
      </c>
      <c r="I21" s="231">
        <v>1800</v>
      </c>
      <c r="J21" s="109" t="s">
        <v>257</v>
      </c>
      <c r="K21" s="403" t="s">
        <v>2177</v>
      </c>
      <c r="L21" s="65" t="s">
        <v>15</v>
      </c>
      <c r="M21" s="154" t="s">
        <v>15</v>
      </c>
    </row>
    <row r="22" spans="1:13" s="13" customFormat="1" ht="72.5" x14ac:dyDescent="0.35">
      <c r="A22" s="455">
        <v>43524</v>
      </c>
      <c r="B22" s="109" t="s">
        <v>216</v>
      </c>
      <c r="C22" s="438" t="s">
        <v>2605</v>
      </c>
      <c r="D22" s="467" t="s">
        <v>15</v>
      </c>
      <c r="E22" s="109" t="s">
        <v>2604</v>
      </c>
      <c r="F22" s="453">
        <v>43525</v>
      </c>
      <c r="G22" s="452">
        <v>0.66666666666666696</v>
      </c>
      <c r="H22" s="109" t="s">
        <v>2603</v>
      </c>
      <c r="I22" s="340">
        <v>0</v>
      </c>
      <c r="J22" s="17" t="s">
        <v>2602</v>
      </c>
      <c r="K22" s="403" t="s">
        <v>2177</v>
      </c>
      <c r="L22" s="65" t="s">
        <v>15</v>
      </c>
      <c r="M22" s="154" t="s">
        <v>15</v>
      </c>
    </row>
    <row r="23" spans="1:13" s="13" customFormat="1" ht="43.5" x14ac:dyDescent="0.35">
      <c r="A23" s="455" t="s">
        <v>2601</v>
      </c>
      <c r="B23" s="109" t="s">
        <v>1445</v>
      </c>
      <c r="C23" s="438" t="s">
        <v>2518</v>
      </c>
      <c r="D23" s="467" t="s">
        <v>15</v>
      </c>
      <c r="E23" s="109" t="s">
        <v>2600</v>
      </c>
      <c r="F23" s="453">
        <v>43525</v>
      </c>
      <c r="G23" s="452">
        <v>0.4375</v>
      </c>
      <c r="H23" s="109" t="s">
        <v>2599</v>
      </c>
      <c r="I23" s="231">
        <v>150</v>
      </c>
      <c r="J23" s="109" t="s">
        <v>2598</v>
      </c>
      <c r="K23" s="403" t="s">
        <v>2177</v>
      </c>
      <c r="L23" s="65" t="s">
        <v>15</v>
      </c>
      <c r="M23" s="154" t="s">
        <v>15</v>
      </c>
    </row>
    <row r="24" spans="1:13" s="13" customFormat="1" ht="29" x14ac:dyDescent="0.35">
      <c r="A24" s="485">
        <v>43505</v>
      </c>
      <c r="B24" s="17" t="s">
        <v>2597</v>
      </c>
      <c r="C24" s="302" t="s">
        <v>2596</v>
      </c>
      <c r="D24" s="454" t="s">
        <v>2595</v>
      </c>
      <c r="E24" s="17" t="s">
        <v>2594</v>
      </c>
      <c r="F24" s="484">
        <v>43526</v>
      </c>
      <c r="G24" s="483">
        <v>0.58333333333333304</v>
      </c>
      <c r="H24" s="17" t="s">
        <v>2165</v>
      </c>
      <c r="I24" s="213" t="s">
        <v>2593</v>
      </c>
      <c r="J24" s="17" t="s">
        <v>257</v>
      </c>
      <c r="K24" s="403" t="s">
        <v>2177</v>
      </c>
      <c r="L24" s="65" t="s">
        <v>15</v>
      </c>
      <c r="M24" s="154" t="s">
        <v>15</v>
      </c>
    </row>
    <row r="25" spans="1:13" s="13" customFormat="1" ht="29" x14ac:dyDescent="0.35">
      <c r="A25" s="155">
        <v>43522</v>
      </c>
      <c r="B25" s="17" t="s">
        <v>2592</v>
      </c>
      <c r="C25" s="302" t="s">
        <v>2590</v>
      </c>
      <c r="D25" s="17" t="s">
        <v>15</v>
      </c>
      <c r="E25" s="17" t="s">
        <v>2591</v>
      </c>
      <c r="F25" s="125">
        <v>43526</v>
      </c>
      <c r="G25" s="65" t="s">
        <v>2590</v>
      </c>
      <c r="H25" s="17" t="s">
        <v>2590</v>
      </c>
      <c r="I25" s="307">
        <v>500</v>
      </c>
      <c r="J25" s="17" t="s">
        <v>2387</v>
      </c>
      <c r="K25" s="403" t="s">
        <v>2177</v>
      </c>
      <c r="L25" s="65" t="s">
        <v>15</v>
      </c>
      <c r="M25" s="154" t="s">
        <v>15</v>
      </c>
    </row>
    <row r="26" spans="1:13" s="13" customFormat="1" ht="87" x14ac:dyDescent="0.35">
      <c r="A26" s="155">
        <v>43522</v>
      </c>
      <c r="B26" s="17" t="s">
        <v>2589</v>
      </c>
      <c r="C26" s="302" t="s">
        <v>2588</v>
      </c>
      <c r="D26" s="17" t="s">
        <v>15</v>
      </c>
      <c r="E26" s="17" t="s">
        <v>2587</v>
      </c>
      <c r="F26" s="125">
        <v>43526</v>
      </c>
      <c r="G26" s="177">
        <v>0.45833333333333298</v>
      </c>
      <c r="H26" s="17" t="s">
        <v>2586</v>
      </c>
      <c r="I26" s="213">
        <v>670.4</v>
      </c>
      <c r="J26" s="17" t="s">
        <v>2585</v>
      </c>
      <c r="K26" s="403" t="s">
        <v>2177</v>
      </c>
      <c r="L26" s="65" t="s">
        <v>15</v>
      </c>
      <c r="M26" s="154" t="s">
        <v>15</v>
      </c>
    </row>
    <row r="27" spans="1:13" s="13" customFormat="1" ht="29" x14ac:dyDescent="0.35">
      <c r="A27" s="455">
        <v>29</v>
      </c>
      <c r="B27" s="109" t="s">
        <v>2584</v>
      </c>
      <c r="C27" s="438" t="s">
        <v>2583</v>
      </c>
      <c r="D27" s="479" t="s">
        <v>2582</v>
      </c>
      <c r="E27" s="17" t="s">
        <v>2581</v>
      </c>
      <c r="F27" s="453">
        <v>43527</v>
      </c>
      <c r="G27" s="452">
        <v>0.60416666666666696</v>
      </c>
      <c r="H27" s="109" t="s">
        <v>2580</v>
      </c>
      <c r="I27" s="231">
        <v>840</v>
      </c>
      <c r="J27" s="109" t="s">
        <v>257</v>
      </c>
      <c r="K27" s="403" t="s">
        <v>2177</v>
      </c>
      <c r="L27" s="65" t="s">
        <v>15</v>
      </c>
      <c r="M27" s="154" t="s">
        <v>15</v>
      </c>
    </row>
    <row r="28" spans="1:13" s="13" customFormat="1" ht="43.5" x14ac:dyDescent="0.35">
      <c r="A28" s="485">
        <v>43505</v>
      </c>
      <c r="B28" s="17" t="s">
        <v>2579</v>
      </c>
      <c r="C28" s="302" t="s">
        <v>2578</v>
      </c>
      <c r="D28" s="454" t="s">
        <v>2577</v>
      </c>
      <c r="E28" s="17" t="s">
        <v>2576</v>
      </c>
      <c r="F28" s="484">
        <v>43527</v>
      </c>
      <c r="G28" s="483">
        <v>0.5</v>
      </c>
      <c r="H28" s="17" t="s">
        <v>2165</v>
      </c>
      <c r="I28" s="482" t="s">
        <v>2575</v>
      </c>
      <c r="J28" s="481" t="s">
        <v>2574</v>
      </c>
      <c r="K28" s="403" t="s">
        <v>2177</v>
      </c>
      <c r="L28" s="65" t="s">
        <v>15</v>
      </c>
      <c r="M28" s="154" t="s">
        <v>15</v>
      </c>
    </row>
    <row r="29" spans="1:13" s="13" customFormat="1" ht="43.5" x14ac:dyDescent="0.35">
      <c r="A29" s="155">
        <v>43522</v>
      </c>
      <c r="B29" s="17" t="s">
        <v>2573</v>
      </c>
      <c r="C29" s="480" t="s">
        <v>2572</v>
      </c>
      <c r="D29" s="17" t="s">
        <v>2571</v>
      </c>
      <c r="E29" s="17" t="s">
        <v>2570</v>
      </c>
      <c r="F29" s="125">
        <v>43527</v>
      </c>
      <c r="G29" s="177">
        <v>0.47916666666666702</v>
      </c>
      <c r="H29" s="17" t="s">
        <v>2569</v>
      </c>
      <c r="I29" s="213">
        <v>520</v>
      </c>
      <c r="J29" s="17" t="s">
        <v>257</v>
      </c>
      <c r="K29" s="403" t="s">
        <v>2177</v>
      </c>
      <c r="L29" s="65" t="s">
        <v>15</v>
      </c>
      <c r="M29" s="154" t="s">
        <v>15</v>
      </c>
    </row>
    <row r="30" spans="1:13" s="13" customFormat="1" ht="43.5" x14ac:dyDescent="0.35">
      <c r="A30" s="455">
        <v>43522</v>
      </c>
      <c r="B30" s="109" t="s">
        <v>2568</v>
      </c>
      <c r="C30" s="438" t="s">
        <v>15</v>
      </c>
      <c r="D30" s="467" t="s">
        <v>15</v>
      </c>
      <c r="E30" s="17" t="s">
        <v>2567</v>
      </c>
      <c r="F30" s="453">
        <v>43527</v>
      </c>
      <c r="G30" s="452" t="s">
        <v>1514</v>
      </c>
      <c r="H30" s="109" t="s">
        <v>2566</v>
      </c>
      <c r="I30" s="231">
        <v>2220</v>
      </c>
      <c r="J30" s="109" t="s">
        <v>2565</v>
      </c>
      <c r="K30" s="403" t="s">
        <v>2177</v>
      </c>
      <c r="L30" s="65" t="s">
        <v>15</v>
      </c>
      <c r="M30" s="154" t="s">
        <v>15</v>
      </c>
    </row>
    <row r="31" spans="1:13" s="13" customFormat="1" ht="130.5" x14ac:dyDescent="0.35">
      <c r="A31" s="155">
        <v>43523</v>
      </c>
      <c r="B31" s="17" t="s">
        <v>2564</v>
      </c>
      <c r="C31" s="302" t="s">
        <v>2563</v>
      </c>
      <c r="D31" s="17" t="s">
        <v>15</v>
      </c>
      <c r="E31" s="17" t="s">
        <v>2562</v>
      </c>
      <c r="F31" s="174">
        <v>43527</v>
      </c>
      <c r="G31" s="65" t="s">
        <v>2561</v>
      </c>
      <c r="H31" s="17" t="s">
        <v>2560</v>
      </c>
      <c r="I31" s="213">
        <v>135</v>
      </c>
      <c r="J31" s="17" t="s">
        <v>2559</v>
      </c>
      <c r="K31" s="403" t="s">
        <v>2177</v>
      </c>
      <c r="L31" s="65" t="s">
        <v>15</v>
      </c>
      <c r="M31" s="154" t="s">
        <v>15</v>
      </c>
    </row>
    <row r="32" spans="1:13" s="13" customFormat="1" ht="58" x14ac:dyDescent="0.35">
      <c r="A32" s="455">
        <v>43524</v>
      </c>
      <c r="B32" s="109" t="s">
        <v>2558</v>
      </c>
      <c r="C32" s="438" t="s">
        <v>2557</v>
      </c>
      <c r="D32" s="479" t="s">
        <v>15</v>
      </c>
      <c r="E32" s="17" t="s">
        <v>2556</v>
      </c>
      <c r="F32" s="453">
        <v>43527</v>
      </c>
      <c r="G32" s="452">
        <v>0.66666666666666696</v>
      </c>
      <c r="H32" s="109" t="s">
        <v>2555</v>
      </c>
      <c r="I32" s="231">
        <v>610</v>
      </c>
      <c r="J32" s="109" t="s">
        <v>2554</v>
      </c>
      <c r="K32" s="403" t="s">
        <v>2177</v>
      </c>
      <c r="L32" s="65" t="s">
        <v>15</v>
      </c>
      <c r="M32" s="154" t="s">
        <v>15</v>
      </c>
    </row>
    <row r="33" spans="1:15" s="13" customFormat="1" ht="58" x14ac:dyDescent="0.35">
      <c r="A33" s="455">
        <v>43521</v>
      </c>
      <c r="B33" s="109" t="s">
        <v>2553</v>
      </c>
      <c r="C33" s="438" t="s">
        <v>2552</v>
      </c>
      <c r="D33" s="17" t="s">
        <v>15</v>
      </c>
      <c r="E33" s="17" t="s">
        <v>2551</v>
      </c>
      <c r="F33" s="453">
        <v>43528</v>
      </c>
      <c r="G33" s="452">
        <v>0.33333333333333298</v>
      </c>
      <c r="H33" s="109" t="s">
        <v>2550</v>
      </c>
      <c r="I33" s="231">
        <v>300</v>
      </c>
      <c r="J33" s="109" t="s">
        <v>257</v>
      </c>
      <c r="K33" s="403" t="s">
        <v>2177</v>
      </c>
      <c r="L33" s="65" t="s">
        <v>15</v>
      </c>
      <c r="M33" s="154" t="s">
        <v>15</v>
      </c>
    </row>
    <row r="34" spans="1:15" s="13" customFormat="1" ht="29" x14ac:dyDescent="0.35">
      <c r="A34" s="455">
        <v>43521</v>
      </c>
      <c r="B34" s="109" t="s">
        <v>2549</v>
      </c>
      <c r="C34" s="438" t="s">
        <v>2548</v>
      </c>
      <c r="D34" s="17" t="s">
        <v>15</v>
      </c>
      <c r="E34" s="17" t="s">
        <v>2547</v>
      </c>
      <c r="F34" s="453">
        <v>43528</v>
      </c>
      <c r="G34" s="452">
        <v>0.58333333333333304</v>
      </c>
      <c r="H34" s="109" t="s">
        <v>2546</v>
      </c>
      <c r="I34" s="340">
        <v>0</v>
      </c>
      <c r="J34" s="109" t="s">
        <v>2545</v>
      </c>
      <c r="K34" s="403" t="s">
        <v>2177</v>
      </c>
      <c r="L34" s="65" t="s">
        <v>15</v>
      </c>
      <c r="M34" s="154" t="s">
        <v>15</v>
      </c>
    </row>
    <row r="35" spans="1:15" s="13" customFormat="1" ht="72.5" x14ac:dyDescent="0.35">
      <c r="A35" s="455">
        <v>43523</v>
      </c>
      <c r="B35" s="109" t="s">
        <v>2544</v>
      </c>
      <c r="C35" s="438" t="s">
        <v>2543</v>
      </c>
      <c r="D35" s="17" t="s">
        <v>15</v>
      </c>
      <c r="E35" s="17" t="s">
        <v>2542</v>
      </c>
      <c r="F35" s="453">
        <v>43528</v>
      </c>
      <c r="G35" s="452">
        <v>0.41666666666666702</v>
      </c>
      <c r="H35" s="109" t="s">
        <v>2541</v>
      </c>
      <c r="I35" s="231">
        <v>1050</v>
      </c>
      <c r="J35" s="109" t="s">
        <v>2540</v>
      </c>
      <c r="K35" s="403" t="s">
        <v>2177</v>
      </c>
      <c r="L35" s="65" t="s">
        <v>15</v>
      </c>
      <c r="M35" s="154" t="s">
        <v>15</v>
      </c>
    </row>
    <row r="36" spans="1:15" s="13" customFormat="1" ht="58" x14ac:dyDescent="0.35">
      <c r="A36" s="455">
        <v>43524</v>
      </c>
      <c r="B36" s="109" t="s">
        <v>2539</v>
      </c>
      <c r="C36" s="438" t="s">
        <v>15</v>
      </c>
      <c r="D36" s="17" t="s">
        <v>15</v>
      </c>
      <c r="E36" s="17" t="s">
        <v>2538</v>
      </c>
      <c r="F36" s="453">
        <v>43528</v>
      </c>
      <c r="G36" s="452" t="s">
        <v>2537</v>
      </c>
      <c r="H36" s="109" t="s">
        <v>17</v>
      </c>
      <c r="I36" s="231">
        <v>2315</v>
      </c>
      <c r="J36" s="468" t="s">
        <v>2493</v>
      </c>
      <c r="K36" s="403" t="s">
        <v>2177</v>
      </c>
      <c r="L36" s="65" t="s">
        <v>15</v>
      </c>
      <c r="M36" s="154" t="s">
        <v>15</v>
      </c>
    </row>
    <row r="37" spans="1:15" s="13" customFormat="1" ht="72.5" x14ac:dyDescent="0.35">
      <c r="A37" s="455">
        <v>43528</v>
      </c>
      <c r="B37" s="109" t="s">
        <v>2536</v>
      </c>
      <c r="C37" s="438" t="s">
        <v>2456</v>
      </c>
      <c r="D37" s="17" t="s">
        <v>15</v>
      </c>
      <c r="E37" s="17" t="s">
        <v>2535</v>
      </c>
      <c r="F37" s="453">
        <v>43529</v>
      </c>
      <c r="G37" s="452">
        <v>0.65625</v>
      </c>
      <c r="H37" s="109" t="s">
        <v>2534</v>
      </c>
      <c r="I37" s="463">
        <v>158.4</v>
      </c>
      <c r="J37" s="478" t="s">
        <v>2533</v>
      </c>
      <c r="K37" s="403" t="s">
        <v>2177</v>
      </c>
      <c r="L37" s="65" t="s">
        <v>15</v>
      </c>
      <c r="M37" s="154" t="s">
        <v>15</v>
      </c>
    </row>
    <row r="38" spans="1:15" s="13" customFormat="1" ht="72.5" x14ac:dyDescent="0.35">
      <c r="A38" s="455">
        <v>43528</v>
      </c>
      <c r="B38" s="109" t="s">
        <v>2532</v>
      </c>
      <c r="C38" s="438" t="s">
        <v>2404</v>
      </c>
      <c r="D38" s="17" t="s">
        <v>15</v>
      </c>
      <c r="E38" s="17" t="s">
        <v>2531</v>
      </c>
      <c r="F38" s="453">
        <v>43529</v>
      </c>
      <c r="G38" s="452" t="s">
        <v>2530</v>
      </c>
      <c r="H38" s="109" t="s">
        <v>2529</v>
      </c>
      <c r="I38" s="231">
        <v>360</v>
      </c>
      <c r="J38" s="109" t="s">
        <v>392</v>
      </c>
      <c r="K38" s="403" t="s">
        <v>2177</v>
      </c>
      <c r="L38" s="65" t="s">
        <v>15</v>
      </c>
      <c r="M38" s="154" t="s">
        <v>15</v>
      </c>
    </row>
    <row r="39" spans="1:15" s="13" customFormat="1" ht="43.5" x14ac:dyDescent="0.35">
      <c r="A39" s="455">
        <v>43527</v>
      </c>
      <c r="B39" s="109" t="s">
        <v>2410</v>
      </c>
      <c r="C39" s="438" t="s">
        <v>2409</v>
      </c>
      <c r="D39" s="17" t="s">
        <v>15</v>
      </c>
      <c r="E39" s="17" t="s">
        <v>2528</v>
      </c>
      <c r="F39" s="453">
        <v>43529</v>
      </c>
      <c r="G39" s="452" t="s">
        <v>1514</v>
      </c>
      <c r="H39" s="109" t="s">
        <v>2407</v>
      </c>
      <c r="I39" s="463">
        <v>60</v>
      </c>
      <c r="J39" s="109" t="s">
        <v>2406</v>
      </c>
      <c r="K39" s="403" t="s">
        <v>2177</v>
      </c>
      <c r="L39" s="65" t="s">
        <v>15</v>
      </c>
      <c r="M39" s="154" t="s">
        <v>15</v>
      </c>
    </row>
    <row r="40" spans="1:15" s="13" customFormat="1" x14ac:dyDescent="0.35">
      <c r="A40" s="455">
        <v>43529</v>
      </c>
      <c r="B40" s="109" t="s">
        <v>2320</v>
      </c>
      <c r="C40" s="438" t="s">
        <v>2527</v>
      </c>
      <c r="D40" s="17" t="s">
        <v>15</v>
      </c>
      <c r="E40" s="17" t="s">
        <v>2526</v>
      </c>
      <c r="F40" s="453">
        <v>43529</v>
      </c>
      <c r="G40" s="452">
        <v>0.8125</v>
      </c>
      <c r="H40" s="109" t="s">
        <v>2525</v>
      </c>
      <c r="I40" s="463">
        <v>270</v>
      </c>
      <c r="J40" s="109" t="s">
        <v>257</v>
      </c>
      <c r="K40" s="403" t="s">
        <v>2177</v>
      </c>
      <c r="L40" s="65" t="s">
        <v>15</v>
      </c>
      <c r="M40" s="154" t="s">
        <v>15</v>
      </c>
    </row>
    <row r="41" spans="1:15" s="13" customFormat="1" ht="72.5" x14ac:dyDescent="0.35">
      <c r="A41" s="455">
        <v>43529</v>
      </c>
      <c r="B41" s="109" t="s">
        <v>2524</v>
      </c>
      <c r="C41" s="438" t="s">
        <v>2523</v>
      </c>
      <c r="D41" s="17" t="s">
        <v>15</v>
      </c>
      <c r="E41" s="17" t="s">
        <v>2522</v>
      </c>
      <c r="F41" s="453">
        <v>43530</v>
      </c>
      <c r="G41" s="452">
        <v>0.45833333333333298</v>
      </c>
      <c r="H41" s="109" t="s">
        <v>2521</v>
      </c>
      <c r="I41" s="231">
        <v>90</v>
      </c>
      <c r="J41" s="109" t="s">
        <v>257</v>
      </c>
      <c r="K41" s="403" t="s">
        <v>2177</v>
      </c>
      <c r="L41" s="65" t="s">
        <v>15</v>
      </c>
      <c r="M41" s="154" t="s">
        <v>15</v>
      </c>
    </row>
    <row r="42" spans="1:15" s="13" customFormat="1" ht="43.5" x14ac:dyDescent="0.35">
      <c r="A42" s="455">
        <v>43528</v>
      </c>
      <c r="B42" s="109" t="s">
        <v>1812</v>
      </c>
      <c r="C42" s="438" t="s">
        <v>1854</v>
      </c>
      <c r="D42" s="17" t="s">
        <v>15</v>
      </c>
      <c r="E42" s="17" t="s">
        <v>2501</v>
      </c>
      <c r="F42" s="453">
        <v>43530</v>
      </c>
      <c r="G42" s="452">
        <v>0.75</v>
      </c>
      <c r="H42" s="109" t="s">
        <v>2407</v>
      </c>
      <c r="I42" s="231">
        <v>100</v>
      </c>
      <c r="J42" s="109" t="s">
        <v>2411</v>
      </c>
      <c r="K42" s="403" t="s">
        <v>2177</v>
      </c>
      <c r="L42" s="65" t="s">
        <v>15</v>
      </c>
      <c r="M42" s="154" t="s">
        <v>15</v>
      </c>
    </row>
    <row r="43" spans="1:15" s="13" customFormat="1" x14ac:dyDescent="0.35">
      <c r="A43" s="455">
        <v>43529</v>
      </c>
      <c r="B43" s="109" t="s">
        <v>1877</v>
      </c>
      <c r="C43" s="438" t="s">
        <v>15</v>
      </c>
      <c r="D43" s="17" t="s">
        <v>15</v>
      </c>
      <c r="E43" s="17" t="s">
        <v>2520</v>
      </c>
      <c r="F43" s="453">
        <v>43530</v>
      </c>
      <c r="G43" s="452">
        <v>0.66666666666666696</v>
      </c>
      <c r="H43" s="109" t="s">
        <v>2503</v>
      </c>
      <c r="I43" s="231">
        <v>0</v>
      </c>
      <c r="J43" s="109" t="s">
        <v>15</v>
      </c>
      <c r="K43" s="403" t="s">
        <v>2177</v>
      </c>
      <c r="L43" s="65" t="s">
        <v>15</v>
      </c>
      <c r="M43" s="154" t="s">
        <v>15</v>
      </c>
    </row>
    <row r="44" spans="1:15" s="13" customFormat="1" ht="43.5" x14ac:dyDescent="0.35">
      <c r="A44" s="455">
        <v>43521</v>
      </c>
      <c r="B44" s="109" t="s">
        <v>2519</v>
      </c>
      <c r="C44" s="438" t="s">
        <v>2518</v>
      </c>
      <c r="D44" s="17" t="s">
        <v>15</v>
      </c>
      <c r="E44" s="109" t="s">
        <v>2517</v>
      </c>
      <c r="F44" s="453">
        <v>43531</v>
      </c>
      <c r="G44" s="452">
        <v>0.39583333333333298</v>
      </c>
      <c r="H44" s="109" t="s">
        <v>1602</v>
      </c>
      <c r="I44" s="231">
        <v>1194</v>
      </c>
      <c r="J44" s="468" t="s">
        <v>2516</v>
      </c>
      <c r="K44" s="403" t="s">
        <v>2177</v>
      </c>
      <c r="L44" s="65" t="s">
        <v>15</v>
      </c>
      <c r="M44" s="154" t="s">
        <v>15</v>
      </c>
    </row>
    <row r="45" spans="1:15" s="13" customFormat="1" ht="43.5" x14ac:dyDescent="0.35">
      <c r="A45" s="455">
        <v>43529</v>
      </c>
      <c r="B45" s="109" t="s">
        <v>216</v>
      </c>
      <c r="C45" s="438" t="s">
        <v>15</v>
      </c>
      <c r="D45" s="17" t="s">
        <v>15</v>
      </c>
      <c r="E45" s="109" t="s">
        <v>2515</v>
      </c>
      <c r="F45" s="453">
        <v>43531</v>
      </c>
      <c r="G45" s="452">
        <v>0.54166666666666696</v>
      </c>
      <c r="H45" s="109" t="s">
        <v>2514</v>
      </c>
      <c r="I45" s="231">
        <v>199</v>
      </c>
      <c r="J45" s="468" t="s">
        <v>2513</v>
      </c>
      <c r="K45" s="403" t="s">
        <v>2177</v>
      </c>
      <c r="L45" s="65" t="s">
        <v>15</v>
      </c>
      <c r="M45" s="154" t="s">
        <v>15</v>
      </c>
    </row>
    <row r="46" spans="1:15" s="13" customFormat="1" ht="174" x14ac:dyDescent="0.35">
      <c r="A46" s="455">
        <v>43528</v>
      </c>
      <c r="B46" s="109" t="s">
        <v>2512</v>
      </c>
      <c r="C46" s="438" t="s">
        <v>2511</v>
      </c>
      <c r="D46" s="17" t="s">
        <v>15</v>
      </c>
      <c r="E46" s="109" t="s">
        <v>2510</v>
      </c>
      <c r="F46" s="453">
        <v>43531</v>
      </c>
      <c r="G46" s="452" t="s">
        <v>2509</v>
      </c>
      <c r="H46" s="109" t="s">
        <v>2508</v>
      </c>
      <c r="I46" s="340">
        <v>0</v>
      </c>
      <c r="J46" s="109" t="s">
        <v>2507</v>
      </c>
      <c r="K46" s="403" t="s">
        <v>2177</v>
      </c>
      <c r="L46" s="65" t="s">
        <v>15</v>
      </c>
      <c r="M46" s="154" t="s">
        <v>15</v>
      </c>
    </row>
    <row r="47" spans="1:15" s="13" customFormat="1" ht="29" x14ac:dyDescent="0.35">
      <c r="A47" s="455">
        <v>43529</v>
      </c>
      <c r="B47" s="109" t="s">
        <v>2506</v>
      </c>
      <c r="C47" s="438" t="s">
        <v>15</v>
      </c>
      <c r="D47" s="17" t="s">
        <v>15</v>
      </c>
      <c r="E47" s="109" t="s">
        <v>2287</v>
      </c>
      <c r="F47" s="453">
        <v>43531</v>
      </c>
      <c r="G47" s="452">
        <v>0.66666666666666696</v>
      </c>
      <c r="H47" s="109" t="s">
        <v>2505</v>
      </c>
      <c r="I47" s="340">
        <v>0</v>
      </c>
      <c r="J47" s="109" t="s">
        <v>2287</v>
      </c>
      <c r="K47" s="403" t="s">
        <v>2177</v>
      </c>
      <c r="L47" s="65" t="s">
        <v>15</v>
      </c>
      <c r="M47" s="154" t="s">
        <v>15</v>
      </c>
    </row>
    <row r="48" spans="1:15" s="13" customFormat="1" ht="43.5" x14ac:dyDescent="0.35">
      <c r="A48" s="455">
        <v>43529</v>
      </c>
      <c r="B48" s="109" t="s">
        <v>262</v>
      </c>
      <c r="C48" s="438" t="s">
        <v>15</v>
      </c>
      <c r="D48" s="17" t="s">
        <v>15</v>
      </c>
      <c r="E48" s="109" t="s">
        <v>2504</v>
      </c>
      <c r="F48" s="453">
        <v>43531</v>
      </c>
      <c r="G48" s="452">
        <v>0.75</v>
      </c>
      <c r="H48" s="109" t="s">
        <v>2503</v>
      </c>
      <c r="I48" s="463">
        <v>3360</v>
      </c>
      <c r="J48" s="468" t="s">
        <v>2502</v>
      </c>
      <c r="K48" s="403" t="s">
        <v>2177</v>
      </c>
      <c r="L48" s="65" t="s">
        <v>15</v>
      </c>
      <c r="M48" s="154" t="s">
        <v>15</v>
      </c>
      <c r="O48" s="13">
        <f>3360/28</f>
        <v>120</v>
      </c>
    </row>
    <row r="49" spans="1:13" s="13" customFormat="1" ht="43.5" x14ac:dyDescent="0.35">
      <c r="A49" s="455">
        <v>43528</v>
      </c>
      <c r="B49" s="109" t="s">
        <v>1812</v>
      </c>
      <c r="C49" s="438" t="s">
        <v>1854</v>
      </c>
      <c r="D49" s="17" t="s">
        <v>15</v>
      </c>
      <c r="E49" s="17" t="s">
        <v>2501</v>
      </c>
      <c r="F49" s="453">
        <v>43531</v>
      </c>
      <c r="G49" s="452">
        <v>0.75</v>
      </c>
      <c r="H49" s="109" t="s">
        <v>2407</v>
      </c>
      <c r="I49" s="463">
        <v>100</v>
      </c>
      <c r="J49" s="109" t="s">
        <v>2411</v>
      </c>
      <c r="K49" s="403" t="s">
        <v>2177</v>
      </c>
      <c r="L49" s="65" t="s">
        <v>15</v>
      </c>
      <c r="M49" s="154" t="s">
        <v>15</v>
      </c>
    </row>
    <row r="50" spans="1:13" s="13" customFormat="1" ht="87" x14ac:dyDescent="0.35">
      <c r="A50" s="455">
        <v>43528</v>
      </c>
      <c r="B50" s="109" t="s">
        <v>2500</v>
      </c>
      <c r="C50" s="438" t="s">
        <v>2499</v>
      </c>
      <c r="D50" s="17" t="s">
        <v>15</v>
      </c>
      <c r="E50" s="17" t="s">
        <v>2498</v>
      </c>
      <c r="F50" s="453">
        <v>43531</v>
      </c>
      <c r="G50" s="452">
        <v>0.79166666666666696</v>
      </c>
      <c r="H50" s="109" t="s">
        <v>2407</v>
      </c>
      <c r="I50" s="231">
        <v>476</v>
      </c>
      <c r="J50" s="109" t="s">
        <v>257</v>
      </c>
      <c r="K50" s="403" t="s">
        <v>2177</v>
      </c>
      <c r="L50" s="65" t="s">
        <v>15</v>
      </c>
      <c r="M50" s="154" t="s">
        <v>15</v>
      </c>
    </row>
    <row r="51" spans="1:13" s="13" customFormat="1" ht="43.5" x14ac:dyDescent="0.35">
      <c r="A51" s="455">
        <v>43527</v>
      </c>
      <c r="B51" s="109" t="s">
        <v>2410</v>
      </c>
      <c r="C51" s="438" t="s">
        <v>2409</v>
      </c>
      <c r="D51" s="17" t="s">
        <v>15</v>
      </c>
      <c r="E51" s="109" t="s">
        <v>2497</v>
      </c>
      <c r="F51" s="453">
        <v>43531</v>
      </c>
      <c r="G51" s="452" t="s">
        <v>1514</v>
      </c>
      <c r="H51" s="109" t="s">
        <v>2407</v>
      </c>
      <c r="I51" s="231">
        <v>22.5</v>
      </c>
      <c r="J51" s="109" t="s">
        <v>2406</v>
      </c>
      <c r="K51" s="403" t="s">
        <v>2177</v>
      </c>
      <c r="L51" s="65" t="s">
        <v>15</v>
      </c>
      <c r="M51" s="154" t="s">
        <v>15</v>
      </c>
    </row>
    <row r="52" spans="1:13" s="13" customFormat="1" ht="43.5" x14ac:dyDescent="0.35">
      <c r="A52" s="455">
        <v>43521</v>
      </c>
      <c r="B52" s="109" t="s">
        <v>2496</v>
      </c>
      <c r="C52" s="438" t="s">
        <v>15</v>
      </c>
      <c r="D52" s="17" t="s">
        <v>15</v>
      </c>
      <c r="E52" s="109" t="s">
        <v>2495</v>
      </c>
      <c r="F52" s="453">
        <v>43531</v>
      </c>
      <c r="G52" s="452">
        <v>0.41666666666666702</v>
      </c>
      <c r="H52" s="109" t="s">
        <v>2494</v>
      </c>
      <c r="I52" s="231">
        <v>199</v>
      </c>
      <c r="J52" s="321" t="s">
        <v>2493</v>
      </c>
      <c r="K52" s="403" t="s">
        <v>2177</v>
      </c>
      <c r="L52" s="65" t="s">
        <v>15</v>
      </c>
      <c r="M52" s="154" t="s">
        <v>15</v>
      </c>
    </row>
    <row r="53" spans="1:13" s="13" customFormat="1" ht="72.5" x14ac:dyDescent="0.35">
      <c r="A53" s="455">
        <v>43531</v>
      </c>
      <c r="B53" s="109" t="s">
        <v>2492</v>
      </c>
      <c r="C53" s="438" t="s">
        <v>2491</v>
      </c>
      <c r="D53" s="17" t="s">
        <v>15</v>
      </c>
      <c r="E53" s="109" t="s">
        <v>2490</v>
      </c>
      <c r="F53" s="453">
        <v>43532</v>
      </c>
      <c r="G53" s="452">
        <v>0.33333333333333298</v>
      </c>
      <c r="H53" s="109" t="s">
        <v>2489</v>
      </c>
      <c r="I53" s="231">
        <v>99</v>
      </c>
      <c r="J53" s="477" t="s">
        <v>2488</v>
      </c>
      <c r="K53" s="403" t="s">
        <v>2177</v>
      </c>
      <c r="L53" s="65" t="s">
        <v>15</v>
      </c>
      <c r="M53" s="154" t="s">
        <v>15</v>
      </c>
    </row>
    <row r="54" spans="1:13" s="13" customFormat="1" ht="58" x14ac:dyDescent="0.35">
      <c r="A54" s="155">
        <v>43527</v>
      </c>
      <c r="B54" s="17" t="s">
        <v>2485</v>
      </c>
      <c r="C54" s="65" t="s">
        <v>1598</v>
      </c>
      <c r="D54" s="17" t="s">
        <v>15</v>
      </c>
      <c r="E54" s="17" t="s">
        <v>2487</v>
      </c>
      <c r="F54" s="174">
        <v>43532</v>
      </c>
      <c r="G54" s="177">
        <v>0.33333333333333298</v>
      </c>
      <c r="H54" s="17" t="s">
        <v>2486</v>
      </c>
      <c r="I54" s="476">
        <v>144</v>
      </c>
      <c r="J54" s="475" t="s">
        <v>2482</v>
      </c>
      <c r="K54" s="403" t="s">
        <v>2177</v>
      </c>
      <c r="L54" s="65" t="s">
        <v>15</v>
      </c>
      <c r="M54" s="154" t="s">
        <v>15</v>
      </c>
    </row>
    <row r="55" spans="1:13" s="13" customFormat="1" ht="58" x14ac:dyDescent="0.35">
      <c r="A55" s="155">
        <v>43527</v>
      </c>
      <c r="B55" s="17" t="s">
        <v>2485</v>
      </c>
      <c r="C55" s="65" t="s">
        <v>1598</v>
      </c>
      <c r="D55" s="17" t="s">
        <v>15</v>
      </c>
      <c r="E55" s="17" t="s">
        <v>2484</v>
      </c>
      <c r="F55" s="174">
        <v>43532</v>
      </c>
      <c r="G55" s="177">
        <v>0.33333333333333298</v>
      </c>
      <c r="H55" s="17" t="s">
        <v>2483</v>
      </c>
      <c r="I55" s="213">
        <v>144</v>
      </c>
      <c r="J55" s="55" t="s">
        <v>2482</v>
      </c>
      <c r="K55" s="403" t="s">
        <v>2177</v>
      </c>
      <c r="L55" s="65" t="s">
        <v>15</v>
      </c>
      <c r="M55" s="154" t="s">
        <v>15</v>
      </c>
    </row>
    <row r="56" spans="1:13" s="13" customFormat="1" ht="58" x14ac:dyDescent="0.35">
      <c r="A56" s="155">
        <v>43530</v>
      </c>
      <c r="B56" s="17" t="s">
        <v>2481</v>
      </c>
      <c r="C56" s="302" t="s">
        <v>2480</v>
      </c>
      <c r="D56" s="17" t="s">
        <v>15</v>
      </c>
      <c r="E56" s="17" t="s">
        <v>2474</v>
      </c>
      <c r="F56" s="174">
        <v>43532</v>
      </c>
      <c r="G56" s="177" t="s">
        <v>2479</v>
      </c>
      <c r="H56" s="17" t="s">
        <v>2478</v>
      </c>
      <c r="I56" s="213">
        <v>85</v>
      </c>
      <c r="J56" s="17" t="s">
        <v>2477</v>
      </c>
      <c r="K56" s="403" t="s">
        <v>2177</v>
      </c>
      <c r="L56" s="65" t="s">
        <v>15</v>
      </c>
      <c r="M56" s="154" t="s">
        <v>15</v>
      </c>
    </row>
    <row r="57" spans="1:13" s="13" customFormat="1" ht="58" x14ac:dyDescent="0.35">
      <c r="A57" s="155">
        <v>43530</v>
      </c>
      <c r="B57" s="17" t="s">
        <v>2476</v>
      </c>
      <c r="C57" s="302" t="s">
        <v>2475</v>
      </c>
      <c r="D57" s="17" t="s">
        <v>15</v>
      </c>
      <c r="E57" s="17" t="s">
        <v>2474</v>
      </c>
      <c r="F57" s="174">
        <v>43532</v>
      </c>
      <c r="G57" s="177" t="s">
        <v>2473</v>
      </c>
      <c r="H57" s="17" t="s">
        <v>2472</v>
      </c>
      <c r="I57" s="213">
        <v>85</v>
      </c>
      <c r="J57" s="17" t="s">
        <v>2471</v>
      </c>
      <c r="K57" s="403" t="s">
        <v>2177</v>
      </c>
      <c r="L57" s="65" t="s">
        <v>15</v>
      </c>
      <c r="M57" s="154" t="s">
        <v>15</v>
      </c>
    </row>
    <row r="58" spans="1:13" s="13" customFormat="1" ht="43.5" x14ac:dyDescent="0.35">
      <c r="A58" s="155">
        <v>43530</v>
      </c>
      <c r="B58" s="17" t="s">
        <v>2470</v>
      </c>
      <c r="C58" s="302" t="s">
        <v>2469</v>
      </c>
      <c r="D58" s="17" t="s">
        <v>15</v>
      </c>
      <c r="E58" s="17" t="s">
        <v>2468</v>
      </c>
      <c r="F58" s="174">
        <v>43532</v>
      </c>
      <c r="G58" s="177">
        <v>0.45833333333333298</v>
      </c>
      <c r="H58" s="17" t="s">
        <v>2467</v>
      </c>
      <c r="I58" s="213">
        <v>170</v>
      </c>
      <c r="J58" s="17" t="s">
        <v>2466</v>
      </c>
      <c r="K58" s="403" t="s">
        <v>2177</v>
      </c>
      <c r="L58" s="65" t="s">
        <v>15</v>
      </c>
      <c r="M58" s="154" t="s">
        <v>15</v>
      </c>
    </row>
    <row r="59" spans="1:13" s="13" customFormat="1" ht="58" x14ac:dyDescent="0.35">
      <c r="A59" s="155">
        <v>43531</v>
      </c>
      <c r="B59" s="17" t="s">
        <v>2284</v>
      </c>
      <c r="C59" s="302" t="s">
        <v>1717</v>
      </c>
      <c r="D59" s="17" t="s">
        <v>15</v>
      </c>
      <c r="E59" s="17" t="s">
        <v>2465</v>
      </c>
      <c r="F59" s="174">
        <v>43532</v>
      </c>
      <c r="G59" s="177">
        <v>0.375</v>
      </c>
      <c r="H59" s="17" t="s">
        <v>2464</v>
      </c>
      <c r="I59" s="474">
        <v>351</v>
      </c>
      <c r="J59" s="17" t="s">
        <v>2463</v>
      </c>
      <c r="K59" s="403" t="s">
        <v>2177</v>
      </c>
      <c r="L59" s="65" t="s">
        <v>15</v>
      </c>
      <c r="M59" s="154" t="s">
        <v>15</v>
      </c>
    </row>
    <row r="60" spans="1:13" s="13" customFormat="1" ht="43.5" x14ac:dyDescent="0.35">
      <c r="A60" s="455">
        <v>43528</v>
      </c>
      <c r="B60" s="109" t="s">
        <v>2462</v>
      </c>
      <c r="C60" s="438" t="s">
        <v>2461</v>
      </c>
      <c r="D60" s="467" t="s">
        <v>15</v>
      </c>
      <c r="E60" s="466" t="s">
        <v>2460</v>
      </c>
      <c r="F60" s="453">
        <v>43532</v>
      </c>
      <c r="G60" s="452">
        <v>0.375</v>
      </c>
      <c r="H60" s="109" t="s">
        <v>2459</v>
      </c>
      <c r="I60" s="231">
        <v>304</v>
      </c>
      <c r="J60" s="468" t="s">
        <v>2458</v>
      </c>
      <c r="K60" s="403" t="s">
        <v>2177</v>
      </c>
      <c r="L60" s="65" t="s">
        <v>15</v>
      </c>
      <c r="M60" s="154" t="s">
        <v>15</v>
      </c>
    </row>
    <row r="61" spans="1:13" s="13" customFormat="1" ht="29" x14ac:dyDescent="0.35">
      <c r="A61" s="455">
        <v>43530</v>
      </c>
      <c r="B61" s="109" t="s">
        <v>2457</v>
      </c>
      <c r="C61" s="438" t="s">
        <v>2456</v>
      </c>
      <c r="D61" s="467" t="s">
        <v>15</v>
      </c>
      <c r="E61" s="466" t="s">
        <v>2455</v>
      </c>
      <c r="F61" s="453">
        <v>43532</v>
      </c>
      <c r="G61" s="452">
        <v>0.4375</v>
      </c>
      <c r="H61" s="109" t="s">
        <v>2454</v>
      </c>
      <c r="I61" s="231">
        <v>432</v>
      </c>
      <c r="J61" s="456" t="s">
        <v>2453</v>
      </c>
      <c r="K61" s="403" t="s">
        <v>2177</v>
      </c>
      <c r="L61" s="65" t="s">
        <v>15</v>
      </c>
      <c r="M61" s="154" t="s">
        <v>15</v>
      </c>
    </row>
    <row r="62" spans="1:13" s="13" customFormat="1" ht="58" x14ac:dyDescent="0.35">
      <c r="A62" s="455">
        <v>43530</v>
      </c>
      <c r="B62" s="109" t="s">
        <v>2452</v>
      </c>
      <c r="C62" s="438" t="s">
        <v>2451</v>
      </c>
      <c r="D62" s="467" t="s">
        <v>15</v>
      </c>
      <c r="E62" s="466" t="s">
        <v>2450</v>
      </c>
      <c r="F62" s="453">
        <v>43532</v>
      </c>
      <c r="G62" s="452">
        <v>0.41666666666666702</v>
      </c>
      <c r="H62" s="109" t="s">
        <v>2449</v>
      </c>
      <c r="I62" s="231">
        <v>342</v>
      </c>
      <c r="J62" s="109" t="s">
        <v>257</v>
      </c>
      <c r="K62" s="403" t="s">
        <v>2177</v>
      </c>
      <c r="L62" s="65" t="s">
        <v>15</v>
      </c>
      <c r="M62" s="154" t="s">
        <v>15</v>
      </c>
    </row>
    <row r="63" spans="1:13" s="13" customFormat="1" ht="58" x14ac:dyDescent="0.35">
      <c r="A63" s="455">
        <v>43528</v>
      </c>
      <c r="B63" s="109" t="s">
        <v>1641</v>
      </c>
      <c r="C63" s="438" t="s">
        <v>1640</v>
      </c>
      <c r="D63" s="467" t="s">
        <v>15</v>
      </c>
      <c r="E63" s="466" t="s">
        <v>2448</v>
      </c>
      <c r="F63" s="453">
        <v>43532</v>
      </c>
      <c r="G63" s="452">
        <v>0.45833333333333298</v>
      </c>
      <c r="H63" s="109" t="s">
        <v>1638</v>
      </c>
      <c r="I63" s="231">
        <v>1447</v>
      </c>
      <c r="J63" s="471" t="s">
        <v>2447</v>
      </c>
      <c r="K63" s="403" t="s">
        <v>2177</v>
      </c>
      <c r="L63" s="65" t="s">
        <v>15</v>
      </c>
      <c r="M63" s="154" t="s">
        <v>15</v>
      </c>
    </row>
    <row r="64" spans="1:13" s="13" customFormat="1" ht="87" x14ac:dyDescent="0.35">
      <c r="A64" s="455">
        <v>43530</v>
      </c>
      <c r="B64" s="109" t="s">
        <v>2446</v>
      </c>
      <c r="C64" s="438" t="s">
        <v>2404</v>
      </c>
      <c r="D64" s="467" t="s">
        <v>15</v>
      </c>
      <c r="E64" s="466" t="s">
        <v>2445</v>
      </c>
      <c r="F64" s="453">
        <v>43532</v>
      </c>
      <c r="G64" s="452">
        <v>0.5</v>
      </c>
      <c r="H64" s="109" t="s">
        <v>2444</v>
      </c>
      <c r="I64" s="472">
        <v>300</v>
      </c>
      <c r="J64" s="473" t="s">
        <v>2443</v>
      </c>
      <c r="K64" s="403" t="s">
        <v>2177</v>
      </c>
      <c r="L64" s="65" t="s">
        <v>15</v>
      </c>
      <c r="M64" s="154" t="s">
        <v>15</v>
      </c>
    </row>
    <row r="65" spans="1:13" s="13" customFormat="1" ht="43.5" x14ac:dyDescent="0.35">
      <c r="A65" s="455">
        <v>43528</v>
      </c>
      <c r="B65" s="109" t="s">
        <v>2442</v>
      </c>
      <c r="C65" s="438" t="s">
        <v>15</v>
      </c>
      <c r="D65" s="17" t="s">
        <v>15</v>
      </c>
      <c r="E65" s="109" t="s">
        <v>2441</v>
      </c>
      <c r="F65" s="453">
        <v>43532</v>
      </c>
      <c r="G65" s="452">
        <v>0.54166666666666696</v>
      </c>
      <c r="H65" s="109" t="s">
        <v>1737</v>
      </c>
      <c r="I65" s="472">
        <v>936</v>
      </c>
      <c r="J65" s="471" t="s">
        <v>2440</v>
      </c>
      <c r="K65" s="403" t="s">
        <v>2177</v>
      </c>
      <c r="L65" s="65" t="s">
        <v>15</v>
      </c>
      <c r="M65" s="154" t="s">
        <v>15</v>
      </c>
    </row>
    <row r="66" spans="1:13" s="13" customFormat="1" ht="58" x14ac:dyDescent="0.35">
      <c r="A66" s="455">
        <v>43525</v>
      </c>
      <c r="B66" s="17" t="s">
        <v>2439</v>
      </c>
      <c r="C66" s="65" t="s">
        <v>2438</v>
      </c>
      <c r="D66" s="17" t="s">
        <v>15</v>
      </c>
      <c r="E66" s="466" t="s">
        <v>2437</v>
      </c>
      <c r="F66" s="453">
        <v>43532</v>
      </c>
      <c r="G66" s="452">
        <v>0.5</v>
      </c>
      <c r="H66" s="17" t="s">
        <v>2436</v>
      </c>
      <c r="I66" s="231">
        <v>243</v>
      </c>
      <c r="J66" s="471" t="s">
        <v>2435</v>
      </c>
      <c r="K66" s="403" t="s">
        <v>2177</v>
      </c>
      <c r="L66" s="65" t="s">
        <v>15</v>
      </c>
      <c r="M66" s="154" t="s">
        <v>15</v>
      </c>
    </row>
    <row r="67" spans="1:13" s="13" customFormat="1" x14ac:dyDescent="0.35">
      <c r="A67" s="455">
        <v>43525</v>
      </c>
      <c r="B67" s="109" t="s">
        <v>2434</v>
      </c>
      <c r="C67" s="438" t="s">
        <v>15</v>
      </c>
      <c r="D67" s="17" t="s">
        <v>15</v>
      </c>
      <c r="E67" s="109" t="s">
        <v>2433</v>
      </c>
      <c r="F67" s="453">
        <v>43532</v>
      </c>
      <c r="G67" s="452">
        <v>0.625</v>
      </c>
      <c r="H67" s="109" t="s">
        <v>2432</v>
      </c>
      <c r="I67" s="463">
        <v>199</v>
      </c>
      <c r="J67" s="470" t="s">
        <v>257</v>
      </c>
      <c r="K67" s="403" t="s">
        <v>2177</v>
      </c>
      <c r="L67" s="65" t="s">
        <v>15</v>
      </c>
      <c r="M67" s="154" t="s">
        <v>15</v>
      </c>
    </row>
    <row r="68" spans="1:13" s="13" customFormat="1" ht="29" x14ac:dyDescent="0.35">
      <c r="A68" s="455">
        <v>43530</v>
      </c>
      <c r="B68" s="109" t="s">
        <v>1772</v>
      </c>
      <c r="C68" s="438" t="s">
        <v>2431</v>
      </c>
      <c r="D68" s="17" t="s">
        <v>15</v>
      </c>
      <c r="E68" s="109" t="s">
        <v>2430</v>
      </c>
      <c r="F68" s="453">
        <v>43532</v>
      </c>
      <c r="G68" s="452">
        <v>0.66666666666666696</v>
      </c>
      <c r="H68" s="109" t="s">
        <v>2429</v>
      </c>
      <c r="I68" s="463">
        <v>343</v>
      </c>
      <c r="J68" s="469" t="s">
        <v>2428</v>
      </c>
      <c r="K68" s="403" t="s">
        <v>2177</v>
      </c>
      <c r="L68" s="65" t="s">
        <v>15</v>
      </c>
      <c r="M68" s="154" t="s">
        <v>15</v>
      </c>
    </row>
    <row r="69" spans="1:13" s="13" customFormat="1" ht="29" x14ac:dyDescent="0.35">
      <c r="A69" s="455">
        <v>43530</v>
      </c>
      <c r="B69" s="109" t="s">
        <v>2427</v>
      </c>
      <c r="C69" s="438" t="s">
        <v>2404</v>
      </c>
      <c r="D69" s="467" t="s">
        <v>15</v>
      </c>
      <c r="E69" s="466" t="s">
        <v>2426</v>
      </c>
      <c r="F69" s="453">
        <v>43532</v>
      </c>
      <c r="G69" s="452">
        <v>0.66666666666666696</v>
      </c>
      <c r="H69" s="109" t="s">
        <v>2402</v>
      </c>
      <c r="I69" s="231">
        <v>152</v>
      </c>
      <c r="J69" s="109" t="s">
        <v>257</v>
      </c>
      <c r="K69" s="403" t="s">
        <v>2177</v>
      </c>
      <c r="L69" s="65" t="s">
        <v>15</v>
      </c>
      <c r="M69" s="154" t="s">
        <v>15</v>
      </c>
    </row>
    <row r="70" spans="1:13" s="13" customFormat="1" ht="29" x14ac:dyDescent="0.35">
      <c r="A70" s="439">
        <v>43508</v>
      </c>
      <c r="B70" s="109" t="s">
        <v>2255</v>
      </c>
      <c r="C70" s="438" t="s">
        <v>2254</v>
      </c>
      <c r="D70" s="109" t="s">
        <v>2253</v>
      </c>
      <c r="E70" s="109" t="s">
        <v>2425</v>
      </c>
      <c r="F70" s="174">
        <v>43532</v>
      </c>
      <c r="G70" s="436">
        <v>0.70833333333333304</v>
      </c>
      <c r="H70" s="17" t="s">
        <v>985</v>
      </c>
      <c r="I70" s="231">
        <v>161.5</v>
      </c>
      <c r="J70" s="109" t="s">
        <v>2251</v>
      </c>
      <c r="K70" s="403" t="s">
        <v>2177</v>
      </c>
      <c r="L70" s="65" t="s">
        <v>15</v>
      </c>
      <c r="M70" s="154" t="s">
        <v>15</v>
      </c>
    </row>
    <row r="71" spans="1:13" s="13" customFormat="1" ht="43.5" x14ac:dyDescent="0.35">
      <c r="A71" s="455">
        <v>43529</v>
      </c>
      <c r="B71" s="109" t="s">
        <v>1602</v>
      </c>
      <c r="C71" s="438" t="s">
        <v>15</v>
      </c>
      <c r="D71" s="17" t="s">
        <v>15</v>
      </c>
      <c r="E71" s="109" t="s">
        <v>2424</v>
      </c>
      <c r="F71" s="453">
        <v>43532</v>
      </c>
      <c r="G71" s="452">
        <v>0.70833333333333304</v>
      </c>
      <c r="H71" s="109" t="s">
        <v>2423</v>
      </c>
      <c r="I71" s="231">
        <v>152</v>
      </c>
      <c r="J71" s="468" t="s">
        <v>2422</v>
      </c>
      <c r="K71" s="403" t="s">
        <v>2177</v>
      </c>
      <c r="L71" s="65" t="s">
        <v>15</v>
      </c>
      <c r="M71" s="154" t="s">
        <v>15</v>
      </c>
    </row>
    <row r="72" spans="1:13" s="13" customFormat="1" ht="43.5" x14ac:dyDescent="0.35">
      <c r="A72" s="455">
        <v>43529</v>
      </c>
      <c r="B72" s="109" t="s">
        <v>2421</v>
      </c>
      <c r="C72" s="438" t="s">
        <v>15</v>
      </c>
      <c r="D72" s="109" t="s">
        <v>15</v>
      </c>
      <c r="E72" s="109" t="s">
        <v>2420</v>
      </c>
      <c r="F72" s="453">
        <v>43532</v>
      </c>
      <c r="G72" s="452">
        <v>0.70833333333333304</v>
      </c>
      <c r="H72" s="109" t="s">
        <v>2419</v>
      </c>
      <c r="I72" s="231">
        <v>608</v>
      </c>
      <c r="J72" s="468" t="s">
        <v>2418</v>
      </c>
      <c r="K72" s="403" t="s">
        <v>2177</v>
      </c>
      <c r="L72" s="65" t="s">
        <v>15</v>
      </c>
      <c r="M72" s="154" t="s">
        <v>15</v>
      </c>
    </row>
    <row r="73" spans="1:13" s="13" customFormat="1" ht="43.5" x14ac:dyDescent="0.35">
      <c r="A73" s="155">
        <v>43530</v>
      </c>
      <c r="B73" s="17" t="s">
        <v>2417</v>
      </c>
      <c r="C73" s="302" t="s">
        <v>2416</v>
      </c>
      <c r="D73" s="17" t="s">
        <v>15</v>
      </c>
      <c r="E73" s="17" t="s">
        <v>2415</v>
      </c>
      <c r="F73" s="174">
        <v>43532</v>
      </c>
      <c r="G73" s="177">
        <v>0.70833333333333304</v>
      </c>
      <c r="H73" s="17" t="s">
        <v>2414</v>
      </c>
      <c r="I73" s="213">
        <v>101</v>
      </c>
      <c r="J73" s="17" t="s">
        <v>2413</v>
      </c>
      <c r="K73" s="403" t="s">
        <v>2177</v>
      </c>
      <c r="L73" s="65" t="s">
        <v>15</v>
      </c>
      <c r="M73" s="154" t="s">
        <v>15</v>
      </c>
    </row>
    <row r="74" spans="1:13" s="13" customFormat="1" ht="72.5" x14ac:dyDescent="0.35">
      <c r="A74" s="455">
        <v>43528</v>
      </c>
      <c r="B74" s="109" t="s">
        <v>1812</v>
      </c>
      <c r="C74" s="438" t="s">
        <v>1854</v>
      </c>
      <c r="D74" s="17" t="s">
        <v>15</v>
      </c>
      <c r="E74" s="17" t="s">
        <v>2412</v>
      </c>
      <c r="F74" s="453">
        <v>43532</v>
      </c>
      <c r="G74" s="452">
        <v>0.75</v>
      </c>
      <c r="H74" s="109" t="s">
        <v>2407</v>
      </c>
      <c r="I74" s="231">
        <v>188</v>
      </c>
      <c r="J74" s="109" t="s">
        <v>2411</v>
      </c>
      <c r="K74" s="403" t="s">
        <v>2177</v>
      </c>
      <c r="L74" s="65" t="s">
        <v>15</v>
      </c>
      <c r="M74" s="154" t="s">
        <v>15</v>
      </c>
    </row>
    <row r="75" spans="1:13" s="13" customFormat="1" ht="43.5" x14ac:dyDescent="0.35">
      <c r="A75" s="455">
        <v>43527</v>
      </c>
      <c r="B75" s="109" t="s">
        <v>2410</v>
      </c>
      <c r="C75" s="438" t="s">
        <v>2409</v>
      </c>
      <c r="D75" s="17" t="s">
        <v>15</v>
      </c>
      <c r="E75" s="109" t="s">
        <v>2408</v>
      </c>
      <c r="F75" s="453">
        <v>43532</v>
      </c>
      <c r="G75" s="452" t="s">
        <v>1514</v>
      </c>
      <c r="H75" s="109" t="s">
        <v>2407</v>
      </c>
      <c r="I75" s="448">
        <v>100</v>
      </c>
      <c r="J75" s="137" t="s">
        <v>2406</v>
      </c>
      <c r="K75" s="403" t="s">
        <v>2177</v>
      </c>
      <c r="L75" s="65" t="s">
        <v>15</v>
      </c>
      <c r="M75" s="154" t="s">
        <v>15</v>
      </c>
    </row>
    <row r="76" spans="1:13" s="13" customFormat="1" ht="43.5" x14ac:dyDescent="0.35">
      <c r="A76" s="455">
        <v>43530</v>
      </c>
      <c r="B76" s="109" t="s">
        <v>2405</v>
      </c>
      <c r="C76" s="438" t="s">
        <v>2404</v>
      </c>
      <c r="D76" s="467" t="s">
        <v>15</v>
      </c>
      <c r="E76" s="466" t="s">
        <v>2403</v>
      </c>
      <c r="F76" s="453">
        <v>43533</v>
      </c>
      <c r="G76" s="452">
        <v>0.66666666666666696</v>
      </c>
      <c r="H76" s="109" t="s">
        <v>2402</v>
      </c>
      <c r="I76" s="231">
        <v>192</v>
      </c>
      <c r="J76" s="465" t="s">
        <v>257</v>
      </c>
      <c r="K76" s="403" t="s">
        <v>2177</v>
      </c>
      <c r="L76" s="65" t="s">
        <v>15</v>
      </c>
      <c r="M76" s="154" t="s">
        <v>15</v>
      </c>
    </row>
    <row r="77" spans="1:13" s="13" customFormat="1" ht="58" x14ac:dyDescent="0.35">
      <c r="A77" s="455">
        <v>43514</v>
      </c>
      <c r="B77" s="109" t="s">
        <v>2401</v>
      </c>
      <c r="C77" s="438" t="s">
        <v>2400</v>
      </c>
      <c r="D77" s="17" t="s">
        <v>15</v>
      </c>
      <c r="E77" s="17" t="s">
        <v>2399</v>
      </c>
      <c r="F77" s="453">
        <v>43533</v>
      </c>
      <c r="G77" s="452">
        <v>0.75</v>
      </c>
      <c r="H77" s="109" t="s">
        <v>1516</v>
      </c>
      <c r="I77" s="231" t="s">
        <v>2398</v>
      </c>
      <c r="J77" s="464" t="s">
        <v>2397</v>
      </c>
      <c r="K77" s="403" t="s">
        <v>2177</v>
      </c>
      <c r="L77" s="65" t="s">
        <v>15</v>
      </c>
      <c r="M77" s="154" t="s">
        <v>15</v>
      </c>
    </row>
    <row r="78" spans="1:13" s="13" customFormat="1" x14ac:dyDescent="0.35">
      <c r="A78" s="455">
        <v>43519</v>
      </c>
      <c r="B78" s="109" t="s">
        <v>2396</v>
      </c>
      <c r="C78" s="438" t="s">
        <v>545</v>
      </c>
      <c r="D78" s="17" t="s">
        <v>15</v>
      </c>
      <c r="E78" s="17" t="s">
        <v>2395</v>
      </c>
      <c r="F78" s="453">
        <v>43533</v>
      </c>
      <c r="G78" s="452" t="s">
        <v>539</v>
      </c>
      <c r="H78" s="109" t="s">
        <v>545</v>
      </c>
      <c r="I78" s="463">
        <v>585</v>
      </c>
      <c r="J78" s="461" t="s">
        <v>2390</v>
      </c>
      <c r="K78" s="403" t="s">
        <v>2177</v>
      </c>
      <c r="L78" s="65" t="s">
        <v>15</v>
      </c>
      <c r="M78" s="154" t="s">
        <v>15</v>
      </c>
    </row>
    <row r="79" spans="1:13" s="13" customFormat="1" ht="87" x14ac:dyDescent="0.35">
      <c r="A79" s="455">
        <v>43519</v>
      </c>
      <c r="B79" s="109" t="s">
        <v>2394</v>
      </c>
      <c r="C79" s="302" t="s">
        <v>2393</v>
      </c>
      <c r="D79" s="454" t="s">
        <v>2392</v>
      </c>
      <c r="E79" s="17" t="s">
        <v>2391</v>
      </c>
      <c r="F79" s="453">
        <v>43533</v>
      </c>
      <c r="G79" s="452">
        <v>0.91666666666666696</v>
      </c>
      <c r="H79" s="109" t="s">
        <v>545</v>
      </c>
      <c r="I79" s="462">
        <v>585</v>
      </c>
      <c r="J79" s="461" t="s">
        <v>2390</v>
      </c>
      <c r="K79" s="403" t="s">
        <v>2177</v>
      </c>
      <c r="L79" s="65" t="s">
        <v>15</v>
      </c>
      <c r="M79" s="154" t="s">
        <v>15</v>
      </c>
    </row>
    <row r="80" spans="1:13" s="13" customFormat="1" ht="43.5" x14ac:dyDescent="0.35">
      <c r="A80" s="455">
        <v>43523</v>
      </c>
      <c r="B80" s="109" t="s">
        <v>1512</v>
      </c>
      <c r="C80" s="438" t="s">
        <v>1850</v>
      </c>
      <c r="D80" s="17" t="s">
        <v>15</v>
      </c>
      <c r="E80" s="109" t="s">
        <v>2389</v>
      </c>
      <c r="F80" s="453">
        <v>43533</v>
      </c>
      <c r="G80" s="452">
        <v>0.66666666666666696</v>
      </c>
      <c r="H80" s="109" t="s">
        <v>2388</v>
      </c>
      <c r="I80" s="231">
        <v>50</v>
      </c>
      <c r="J80" s="109" t="s">
        <v>2387</v>
      </c>
      <c r="K80" s="403" t="s">
        <v>2177</v>
      </c>
      <c r="L80" s="65" t="s">
        <v>15</v>
      </c>
      <c r="M80" s="154" t="s">
        <v>15</v>
      </c>
    </row>
    <row r="81" spans="1:13" s="13" customFormat="1" ht="43.5" x14ac:dyDescent="0.35">
      <c r="A81" s="455">
        <v>43525</v>
      </c>
      <c r="B81" s="109" t="s">
        <v>2386</v>
      </c>
      <c r="C81" s="438" t="s">
        <v>2385</v>
      </c>
      <c r="D81" s="454" t="s">
        <v>2384</v>
      </c>
      <c r="E81" s="109" t="s">
        <v>2383</v>
      </c>
      <c r="F81" s="453">
        <v>43533</v>
      </c>
      <c r="G81" s="452">
        <v>0.72916666666666696</v>
      </c>
      <c r="H81" s="109" t="s">
        <v>2165</v>
      </c>
      <c r="I81" s="231">
        <v>650</v>
      </c>
      <c r="J81" s="109" t="s">
        <v>2382</v>
      </c>
      <c r="K81" s="403" t="s">
        <v>2177</v>
      </c>
      <c r="L81" s="65" t="s">
        <v>15</v>
      </c>
      <c r="M81" s="154" t="s">
        <v>15</v>
      </c>
    </row>
    <row r="82" spans="1:13" s="13" customFormat="1" ht="43.5" x14ac:dyDescent="0.35">
      <c r="A82" s="455">
        <v>43529</v>
      </c>
      <c r="B82" s="109" t="s">
        <v>2381</v>
      </c>
      <c r="C82" s="438" t="s">
        <v>2380</v>
      </c>
      <c r="D82" s="454" t="s">
        <v>15</v>
      </c>
      <c r="E82" s="109" t="s">
        <v>2379</v>
      </c>
      <c r="F82" s="453">
        <v>43534</v>
      </c>
      <c r="G82" s="452">
        <v>0.5</v>
      </c>
      <c r="H82" s="109" t="s">
        <v>2378</v>
      </c>
      <c r="I82" s="231">
        <v>152</v>
      </c>
      <c r="J82" s="109" t="s">
        <v>2377</v>
      </c>
      <c r="K82" s="403" t="s">
        <v>2177</v>
      </c>
      <c r="L82" s="65" t="s">
        <v>15</v>
      </c>
      <c r="M82" s="154" t="s">
        <v>15</v>
      </c>
    </row>
    <row r="83" spans="1:13" s="13" customFormat="1" ht="29" x14ac:dyDescent="0.35">
      <c r="A83" s="455">
        <v>43530</v>
      </c>
      <c r="B83" s="109" t="s">
        <v>2376</v>
      </c>
      <c r="C83" s="438" t="s">
        <v>1520</v>
      </c>
      <c r="D83" s="454" t="s">
        <v>15</v>
      </c>
      <c r="E83" s="109" t="s">
        <v>2375</v>
      </c>
      <c r="F83" s="453">
        <v>43535</v>
      </c>
      <c r="G83" s="452">
        <v>0.45833333333333298</v>
      </c>
      <c r="H83" s="109" t="s">
        <v>1520</v>
      </c>
      <c r="I83" s="231">
        <v>450</v>
      </c>
      <c r="J83" s="109" t="s">
        <v>2374</v>
      </c>
      <c r="K83" s="403" t="s">
        <v>2177</v>
      </c>
      <c r="L83" s="65" t="s">
        <v>15</v>
      </c>
      <c r="M83" s="154" t="s">
        <v>15</v>
      </c>
    </row>
    <row r="84" spans="1:13" s="13" customFormat="1" ht="87" x14ac:dyDescent="0.35">
      <c r="A84" s="155">
        <v>43532</v>
      </c>
      <c r="B84" s="17" t="s">
        <v>2373</v>
      </c>
      <c r="C84" s="65" t="s">
        <v>15</v>
      </c>
      <c r="D84" s="17" t="s">
        <v>15</v>
      </c>
      <c r="E84" s="17" t="s">
        <v>2372</v>
      </c>
      <c r="F84" s="125">
        <v>43535</v>
      </c>
      <c r="G84" s="177">
        <v>0.47916666666666702</v>
      </c>
      <c r="H84" s="17" t="s">
        <v>126</v>
      </c>
      <c r="I84" s="191" t="s">
        <v>15</v>
      </c>
      <c r="J84" s="17" t="s">
        <v>15</v>
      </c>
      <c r="K84" s="403" t="s">
        <v>2177</v>
      </c>
      <c r="L84" s="65" t="s">
        <v>15</v>
      </c>
      <c r="M84" s="154" t="s">
        <v>15</v>
      </c>
    </row>
    <row r="85" spans="1:13" s="13" customFormat="1" ht="72.5" x14ac:dyDescent="0.35">
      <c r="A85" s="155">
        <v>43532</v>
      </c>
      <c r="B85" s="17" t="s">
        <v>2371</v>
      </c>
      <c r="C85" s="65">
        <v>723666535</v>
      </c>
      <c r="D85" s="17" t="s">
        <v>15</v>
      </c>
      <c r="E85" s="17" t="s">
        <v>2370</v>
      </c>
      <c r="F85" s="125">
        <v>43536</v>
      </c>
      <c r="G85" s="177">
        <v>0.5</v>
      </c>
      <c r="H85" s="17" t="s">
        <v>2342</v>
      </c>
      <c r="I85" s="191">
        <v>0</v>
      </c>
      <c r="J85" s="17" t="s">
        <v>15</v>
      </c>
      <c r="K85" s="403" t="s">
        <v>2177</v>
      </c>
      <c r="L85" s="65" t="s">
        <v>15</v>
      </c>
      <c r="M85" s="154" t="s">
        <v>15</v>
      </c>
    </row>
    <row r="86" spans="1:13" s="13" customFormat="1" ht="29" x14ac:dyDescent="0.35">
      <c r="A86" s="155">
        <v>43535</v>
      </c>
      <c r="B86" s="17" t="s">
        <v>2369</v>
      </c>
      <c r="C86" s="65">
        <v>732992727</v>
      </c>
      <c r="D86" s="17" t="s">
        <v>15</v>
      </c>
      <c r="E86" s="17" t="s">
        <v>2368</v>
      </c>
      <c r="F86" s="125">
        <v>43536</v>
      </c>
      <c r="G86" s="177">
        <v>0.45833333333333298</v>
      </c>
      <c r="H86" s="17" t="s">
        <v>2367</v>
      </c>
      <c r="I86" s="213">
        <v>166.25</v>
      </c>
      <c r="J86" s="460" t="s">
        <v>257</v>
      </c>
      <c r="K86" s="403" t="s">
        <v>2177</v>
      </c>
      <c r="L86" s="65" t="s">
        <v>17</v>
      </c>
      <c r="M86" s="154" t="s">
        <v>17</v>
      </c>
    </row>
    <row r="87" spans="1:13" s="13" customFormat="1" x14ac:dyDescent="0.35">
      <c r="A87" s="155">
        <v>43535</v>
      </c>
      <c r="B87" s="17" t="s">
        <v>262</v>
      </c>
      <c r="C87" s="65" t="s">
        <v>15</v>
      </c>
      <c r="D87" s="17" t="s">
        <v>15</v>
      </c>
      <c r="E87" s="17" t="s">
        <v>2366</v>
      </c>
      <c r="F87" s="125">
        <v>43536</v>
      </c>
      <c r="G87" s="177">
        <v>0.5</v>
      </c>
      <c r="H87" s="17" t="s">
        <v>262</v>
      </c>
      <c r="I87" s="213" t="s">
        <v>15</v>
      </c>
      <c r="J87" s="460" t="s">
        <v>15</v>
      </c>
      <c r="K87" s="403" t="s">
        <v>2177</v>
      </c>
      <c r="L87" s="65" t="s">
        <v>15</v>
      </c>
      <c r="M87" s="154" t="s">
        <v>15</v>
      </c>
    </row>
    <row r="88" spans="1:13" s="13" customFormat="1" ht="43.5" x14ac:dyDescent="0.35">
      <c r="A88" s="155">
        <v>43535</v>
      </c>
      <c r="B88" s="17" t="s">
        <v>2365</v>
      </c>
      <c r="C88" s="65">
        <v>722450598</v>
      </c>
      <c r="D88" s="17" t="s">
        <v>15</v>
      </c>
      <c r="E88" s="17" t="s">
        <v>2364</v>
      </c>
      <c r="F88" s="125">
        <v>43536</v>
      </c>
      <c r="G88" s="177">
        <v>0.45833333333333298</v>
      </c>
      <c r="H88" s="17" t="s">
        <v>2363</v>
      </c>
      <c r="I88" s="213">
        <v>268.2</v>
      </c>
      <c r="J88" s="55" t="s">
        <v>2362</v>
      </c>
      <c r="K88" s="403" t="s">
        <v>2177</v>
      </c>
      <c r="L88" s="65" t="s">
        <v>17</v>
      </c>
      <c r="M88" s="154" t="s">
        <v>17</v>
      </c>
    </row>
    <row r="89" spans="1:13" s="13" customFormat="1" ht="29" x14ac:dyDescent="0.35">
      <c r="A89" s="155">
        <v>43536</v>
      </c>
      <c r="B89" s="109" t="s">
        <v>2255</v>
      </c>
      <c r="C89" s="438" t="s">
        <v>2254</v>
      </c>
      <c r="D89" s="109" t="s">
        <v>2253</v>
      </c>
      <c r="E89" s="109" t="s">
        <v>2361</v>
      </c>
      <c r="F89" s="125">
        <v>43536</v>
      </c>
      <c r="G89" s="177">
        <v>0.83333333333333304</v>
      </c>
      <c r="H89" s="17" t="s">
        <v>985</v>
      </c>
      <c r="I89" s="213">
        <v>282</v>
      </c>
      <c r="J89" s="460" t="s">
        <v>257</v>
      </c>
      <c r="K89" s="403" t="s">
        <v>2177</v>
      </c>
      <c r="L89" s="65" t="s">
        <v>2183</v>
      </c>
      <c r="M89" s="154" t="s">
        <v>2304</v>
      </c>
    </row>
    <row r="90" spans="1:13" s="13" customFormat="1" x14ac:dyDescent="0.35">
      <c r="A90" s="155">
        <v>43536</v>
      </c>
      <c r="B90" s="17" t="s">
        <v>2360</v>
      </c>
      <c r="C90" s="65" t="s">
        <v>15</v>
      </c>
      <c r="D90" s="17" t="s">
        <v>15</v>
      </c>
      <c r="E90" s="17" t="s">
        <v>2359</v>
      </c>
      <c r="F90" s="125">
        <v>43536</v>
      </c>
      <c r="G90" s="177">
        <v>0.625</v>
      </c>
      <c r="H90" s="17" t="s">
        <v>15</v>
      </c>
      <c r="I90" s="213">
        <v>152</v>
      </c>
      <c r="J90" s="456" t="s">
        <v>1901</v>
      </c>
      <c r="K90" s="403" t="s">
        <v>2177</v>
      </c>
      <c r="L90" s="65" t="s">
        <v>17</v>
      </c>
      <c r="M90" s="154" t="s">
        <v>330</v>
      </c>
    </row>
    <row r="91" spans="1:13" s="13" customFormat="1" ht="43.5" x14ac:dyDescent="0.35">
      <c r="A91" s="155">
        <v>43521</v>
      </c>
      <c r="B91" s="459" t="s">
        <v>2316</v>
      </c>
      <c r="C91" s="458" t="s">
        <v>2315</v>
      </c>
      <c r="D91" s="454" t="s">
        <v>2314</v>
      </c>
      <c r="E91" s="17" t="s">
        <v>2358</v>
      </c>
      <c r="F91" s="125">
        <v>43537</v>
      </c>
      <c r="G91" s="177">
        <v>0.75</v>
      </c>
      <c r="H91" s="17" t="s">
        <v>2312</v>
      </c>
      <c r="I91" s="213">
        <v>120</v>
      </c>
      <c r="J91" s="55" t="s">
        <v>2357</v>
      </c>
      <c r="K91" s="403" t="s">
        <v>2177</v>
      </c>
      <c r="L91" s="65" t="s">
        <v>15</v>
      </c>
      <c r="M91" s="154" t="s">
        <v>17</v>
      </c>
    </row>
    <row r="92" spans="1:13" s="13" customFormat="1" ht="29" x14ac:dyDescent="0.35">
      <c r="A92" s="155">
        <v>43509</v>
      </c>
      <c r="B92" s="459" t="s">
        <v>2356</v>
      </c>
      <c r="C92" s="458"/>
      <c r="D92" s="454"/>
      <c r="E92" s="17" t="s">
        <v>2355</v>
      </c>
      <c r="F92" s="125">
        <v>43538</v>
      </c>
      <c r="G92" s="177">
        <v>0.45833333333333298</v>
      </c>
      <c r="H92" s="17" t="s">
        <v>2354</v>
      </c>
      <c r="I92" s="213">
        <v>0</v>
      </c>
      <c r="J92" s="55" t="s">
        <v>2353</v>
      </c>
      <c r="K92" s="403" t="s">
        <v>2177</v>
      </c>
      <c r="L92" s="65" t="s">
        <v>22</v>
      </c>
      <c r="M92" s="154" t="s">
        <v>22</v>
      </c>
    </row>
    <row r="93" spans="1:13" s="13" customFormat="1" ht="87" x14ac:dyDescent="0.35">
      <c r="A93" s="455">
        <v>43530</v>
      </c>
      <c r="B93" s="109" t="s">
        <v>2352</v>
      </c>
      <c r="C93" s="438" t="s">
        <v>17</v>
      </c>
      <c r="D93" s="454" t="s">
        <v>15</v>
      </c>
      <c r="E93" s="109" t="s">
        <v>2351</v>
      </c>
      <c r="F93" s="453">
        <v>43538</v>
      </c>
      <c r="G93" s="452">
        <v>0.3125</v>
      </c>
      <c r="H93" s="109" t="s">
        <v>2350</v>
      </c>
      <c r="I93" s="231">
        <v>1614</v>
      </c>
      <c r="J93" s="456" t="s">
        <v>2349</v>
      </c>
      <c r="K93" s="403" t="s">
        <v>2177</v>
      </c>
      <c r="L93" s="65" t="s">
        <v>15</v>
      </c>
      <c r="M93" s="154" t="s">
        <v>17</v>
      </c>
    </row>
    <row r="94" spans="1:13" s="13" customFormat="1" ht="29" x14ac:dyDescent="0.35">
      <c r="A94" s="455">
        <v>43538</v>
      </c>
      <c r="B94" s="109" t="s">
        <v>2284</v>
      </c>
      <c r="C94" s="302" t="s">
        <v>2348</v>
      </c>
      <c r="D94" s="454"/>
      <c r="E94" s="109" t="s">
        <v>2347</v>
      </c>
      <c r="F94" s="453">
        <v>43539</v>
      </c>
      <c r="G94" s="452">
        <v>0.39583333333333298</v>
      </c>
      <c r="H94" s="109" t="s">
        <v>2284</v>
      </c>
      <c r="I94" s="430">
        <v>200</v>
      </c>
      <c r="J94" s="456" t="s">
        <v>2346</v>
      </c>
      <c r="K94" s="403" t="s">
        <v>2177</v>
      </c>
      <c r="L94" s="65"/>
      <c r="M94" s="154"/>
    </row>
    <row r="95" spans="1:13" s="13" customFormat="1" ht="29" x14ac:dyDescent="0.35">
      <c r="A95" s="455">
        <v>43537</v>
      </c>
      <c r="B95" s="109" t="s">
        <v>2345</v>
      </c>
      <c r="C95" s="438" t="s">
        <v>2344</v>
      </c>
      <c r="D95" s="454"/>
      <c r="E95" s="109" t="s">
        <v>2343</v>
      </c>
      <c r="F95" s="453">
        <v>43539</v>
      </c>
      <c r="G95" s="452">
        <v>0.83333333333333304</v>
      </c>
      <c r="H95" s="109" t="s">
        <v>2342</v>
      </c>
      <c r="I95" s="457">
        <v>0</v>
      </c>
      <c r="J95" s="456"/>
      <c r="K95" s="403" t="s">
        <v>2177</v>
      </c>
      <c r="L95" s="65" t="s">
        <v>216</v>
      </c>
      <c r="M95" s="154"/>
    </row>
    <row r="96" spans="1:13" s="13" customFormat="1" ht="29" x14ac:dyDescent="0.35">
      <c r="A96" s="455">
        <v>43538</v>
      </c>
      <c r="B96" s="109" t="s">
        <v>2341</v>
      </c>
      <c r="C96" s="438" t="s">
        <v>1602</v>
      </c>
      <c r="D96" s="454"/>
      <c r="E96" s="109" t="s">
        <v>2340</v>
      </c>
      <c r="F96" s="453">
        <v>43539</v>
      </c>
      <c r="G96" s="452">
        <v>0.72916666666666696</v>
      </c>
      <c r="H96" s="109" t="s">
        <v>2264</v>
      </c>
      <c r="I96" s="457">
        <v>0</v>
      </c>
      <c r="J96" s="456"/>
      <c r="K96" s="403" t="s">
        <v>2177</v>
      </c>
      <c r="L96" s="65" t="s">
        <v>216</v>
      </c>
      <c r="M96" s="154"/>
    </row>
    <row r="97" spans="1:13" s="13" customFormat="1" ht="29" x14ac:dyDescent="0.35">
      <c r="A97" s="455">
        <v>43538</v>
      </c>
      <c r="B97" s="109" t="s">
        <v>2339</v>
      </c>
      <c r="C97" s="438" t="s">
        <v>2338</v>
      </c>
      <c r="D97" s="454"/>
      <c r="E97" s="109" t="s">
        <v>2337</v>
      </c>
      <c r="F97" s="453">
        <v>43540</v>
      </c>
      <c r="G97" s="452">
        <v>0.39583333333333298</v>
      </c>
      <c r="H97" s="109" t="s">
        <v>1301</v>
      </c>
      <c r="I97" s="231">
        <v>99</v>
      </c>
      <c r="J97" s="456" t="s">
        <v>2336</v>
      </c>
      <c r="K97" s="403" t="s">
        <v>2177</v>
      </c>
      <c r="L97" s="65" t="s">
        <v>17</v>
      </c>
      <c r="M97" s="154" t="s">
        <v>17</v>
      </c>
    </row>
    <row r="98" spans="1:13" s="13" customFormat="1" ht="29" x14ac:dyDescent="0.35">
      <c r="A98" s="455">
        <v>43532</v>
      </c>
      <c r="B98" s="109" t="s">
        <v>2335</v>
      </c>
      <c r="C98" s="438" t="s">
        <v>2334</v>
      </c>
      <c r="D98" s="454" t="s">
        <v>2333</v>
      </c>
      <c r="E98" s="109" t="s">
        <v>2332</v>
      </c>
      <c r="F98" s="453">
        <v>43540</v>
      </c>
      <c r="G98" s="452">
        <v>0.5</v>
      </c>
      <c r="H98" s="109" t="s">
        <v>2165</v>
      </c>
      <c r="I98" s="231">
        <v>400</v>
      </c>
      <c r="J98" s="109" t="s">
        <v>2331</v>
      </c>
      <c r="K98" s="403" t="s">
        <v>2177</v>
      </c>
      <c r="L98" s="65" t="s">
        <v>17</v>
      </c>
      <c r="M98" s="154" t="s">
        <v>17</v>
      </c>
    </row>
    <row r="99" spans="1:13" s="13" customFormat="1" ht="58" x14ac:dyDescent="0.35">
      <c r="A99" s="155">
        <v>43536</v>
      </c>
      <c r="B99" s="17" t="s">
        <v>2330</v>
      </c>
      <c r="C99" s="65" t="s">
        <v>2329</v>
      </c>
      <c r="D99" s="290" t="s">
        <v>2328</v>
      </c>
      <c r="E99" s="17" t="s">
        <v>2327</v>
      </c>
      <c r="F99" s="125">
        <v>43540</v>
      </c>
      <c r="G99" s="177">
        <v>0.5</v>
      </c>
      <c r="H99" s="17" t="s">
        <v>2326</v>
      </c>
      <c r="I99" s="213">
        <v>137.5</v>
      </c>
      <c r="J99" s="55" t="s">
        <v>2325</v>
      </c>
      <c r="K99" s="403" t="s">
        <v>2177</v>
      </c>
      <c r="L99" s="65" t="s">
        <v>17</v>
      </c>
      <c r="M99" s="154" t="s">
        <v>15</v>
      </c>
    </row>
    <row r="100" spans="1:13" s="13" customFormat="1" ht="87" x14ac:dyDescent="0.35">
      <c r="A100" s="451">
        <v>43534</v>
      </c>
      <c r="B100" s="137" t="s">
        <v>2324</v>
      </c>
      <c r="C100" s="434" t="s">
        <v>2323</v>
      </c>
      <c r="D100" s="337" t="s">
        <v>15</v>
      </c>
      <c r="E100" s="137" t="s">
        <v>2322</v>
      </c>
      <c r="F100" s="450">
        <v>43541</v>
      </c>
      <c r="G100" s="449">
        <v>0.41666666666666702</v>
      </c>
      <c r="H100" s="137" t="s">
        <v>2321</v>
      </c>
      <c r="I100" s="448">
        <v>455</v>
      </c>
      <c r="J100" s="137" t="s">
        <v>257</v>
      </c>
      <c r="K100" s="403" t="s">
        <v>2177</v>
      </c>
      <c r="L100" s="121" t="s">
        <v>15</v>
      </c>
      <c r="M100" s="194"/>
    </row>
    <row r="101" spans="1:13" s="13" customFormat="1" ht="72.5" x14ac:dyDescent="0.35">
      <c r="A101" s="451">
        <v>43539</v>
      </c>
      <c r="B101" s="137" t="s">
        <v>2320</v>
      </c>
      <c r="C101" s="434" t="s">
        <v>2319</v>
      </c>
      <c r="D101" s="337"/>
      <c r="E101" s="137" t="s">
        <v>2318</v>
      </c>
      <c r="F101" s="450">
        <v>43541</v>
      </c>
      <c r="G101" s="449">
        <v>0.60416666666666696</v>
      </c>
      <c r="H101" s="137" t="s">
        <v>2317</v>
      </c>
      <c r="I101" s="448">
        <v>152</v>
      </c>
      <c r="J101" s="137" t="s">
        <v>178</v>
      </c>
      <c r="K101" s="403" t="s">
        <v>2177</v>
      </c>
      <c r="L101" s="121" t="s">
        <v>330</v>
      </c>
      <c r="M101" s="194"/>
    </row>
    <row r="102" spans="1:13" s="13" customFormat="1" ht="43.5" x14ac:dyDescent="0.35">
      <c r="A102" s="198">
        <v>43521</v>
      </c>
      <c r="B102" s="339" t="s">
        <v>2316</v>
      </c>
      <c r="C102" s="444" t="s">
        <v>2315</v>
      </c>
      <c r="D102" s="337" t="s">
        <v>2314</v>
      </c>
      <c r="E102" s="22" t="s">
        <v>2313</v>
      </c>
      <c r="F102" s="336">
        <v>43541</v>
      </c>
      <c r="G102" s="140">
        <v>0.75</v>
      </c>
      <c r="H102" s="22" t="s">
        <v>2312</v>
      </c>
      <c r="I102" s="446">
        <v>308</v>
      </c>
      <c r="J102" s="447" t="s">
        <v>2311</v>
      </c>
      <c r="K102" s="403" t="s">
        <v>2177</v>
      </c>
      <c r="L102" s="121" t="s">
        <v>15</v>
      </c>
      <c r="M102" s="194"/>
    </row>
    <row r="103" spans="1:13" s="13" customFormat="1" ht="29" x14ac:dyDescent="0.35">
      <c r="A103" s="198">
        <v>43539</v>
      </c>
      <c r="B103" s="339" t="s">
        <v>1731</v>
      </c>
      <c r="C103" s="444" t="s">
        <v>2310</v>
      </c>
      <c r="D103" s="337"/>
      <c r="E103" s="22" t="s">
        <v>2292</v>
      </c>
      <c r="F103" s="336">
        <v>43542</v>
      </c>
      <c r="G103" s="140">
        <v>0.45833333333333298</v>
      </c>
      <c r="H103" s="22" t="s">
        <v>2264</v>
      </c>
      <c r="I103" s="139">
        <v>0</v>
      </c>
      <c r="J103" s="137" t="s">
        <v>15</v>
      </c>
      <c r="K103" s="403" t="s">
        <v>2177</v>
      </c>
      <c r="L103" s="121" t="s">
        <v>22</v>
      </c>
      <c r="M103" s="194"/>
    </row>
    <row r="104" spans="1:13" s="13" customFormat="1" x14ac:dyDescent="0.35">
      <c r="A104" s="198">
        <v>43537</v>
      </c>
      <c r="B104" s="339" t="s">
        <v>2309</v>
      </c>
      <c r="C104" s="444" t="s">
        <v>2304</v>
      </c>
      <c r="D104" s="337"/>
      <c r="E104" s="22" t="s">
        <v>2308</v>
      </c>
      <c r="F104" s="336">
        <v>43542</v>
      </c>
      <c r="G104" s="140">
        <v>0.5</v>
      </c>
      <c r="H104" s="22" t="s">
        <v>2307</v>
      </c>
      <c r="I104" s="139">
        <v>0</v>
      </c>
      <c r="J104" s="137" t="s">
        <v>15</v>
      </c>
      <c r="K104" s="403" t="s">
        <v>2177</v>
      </c>
      <c r="L104" s="121" t="s">
        <v>2304</v>
      </c>
      <c r="M104" s="194" t="s">
        <v>15</v>
      </c>
    </row>
    <row r="105" spans="1:13" s="13" customFormat="1" x14ac:dyDescent="0.35">
      <c r="A105" s="198">
        <v>43538</v>
      </c>
      <c r="B105" s="339" t="s">
        <v>2306</v>
      </c>
      <c r="C105" s="444" t="s">
        <v>2304</v>
      </c>
      <c r="D105" s="337"/>
      <c r="E105" s="22" t="s">
        <v>2305</v>
      </c>
      <c r="F105" s="336">
        <v>43542</v>
      </c>
      <c r="G105" s="140">
        <v>0.58333333333333304</v>
      </c>
      <c r="H105" s="22" t="s">
        <v>2304</v>
      </c>
      <c r="I105" s="139">
        <v>0</v>
      </c>
      <c r="J105" s="137" t="s">
        <v>15</v>
      </c>
      <c r="K105" s="403" t="s">
        <v>2177</v>
      </c>
      <c r="L105" s="121"/>
      <c r="M105" s="194"/>
    </row>
    <row r="106" spans="1:13" s="13" customFormat="1" ht="43.5" x14ac:dyDescent="0.35">
      <c r="A106" s="198">
        <v>43539</v>
      </c>
      <c r="B106" s="339" t="s">
        <v>2303</v>
      </c>
      <c r="C106" s="444" t="s">
        <v>216</v>
      </c>
      <c r="D106" s="337"/>
      <c r="E106" s="22" t="s">
        <v>2302</v>
      </c>
      <c r="F106" s="336">
        <v>43542</v>
      </c>
      <c r="G106" s="140">
        <v>0.58333333333333304</v>
      </c>
      <c r="H106" s="22" t="s">
        <v>2264</v>
      </c>
      <c r="I106" s="446">
        <v>200</v>
      </c>
      <c r="J106" s="445" t="s">
        <v>2301</v>
      </c>
      <c r="K106" s="403" t="s">
        <v>2177</v>
      </c>
      <c r="L106" s="121" t="s">
        <v>1602</v>
      </c>
      <c r="M106" s="194"/>
    </row>
    <row r="107" spans="1:13" s="13" customFormat="1" ht="43.5" x14ac:dyDescent="0.35">
      <c r="A107" s="198">
        <v>43540</v>
      </c>
      <c r="B107" s="339" t="s">
        <v>1539</v>
      </c>
      <c r="C107" s="444" t="s">
        <v>216</v>
      </c>
      <c r="D107" s="337"/>
      <c r="E107" s="22" t="s">
        <v>2300</v>
      </c>
      <c r="F107" s="336">
        <v>43542</v>
      </c>
      <c r="G107" s="140">
        <v>0.66666666666666696</v>
      </c>
      <c r="H107" s="22" t="s">
        <v>2299</v>
      </c>
      <c r="I107" s="446">
        <v>375</v>
      </c>
      <c r="J107" s="445" t="s">
        <v>2298</v>
      </c>
      <c r="K107" s="403" t="s">
        <v>2177</v>
      </c>
      <c r="L107" s="121" t="s">
        <v>1602</v>
      </c>
      <c r="M107" s="194"/>
    </row>
    <row r="108" spans="1:13" s="13" customFormat="1" ht="58" x14ac:dyDescent="0.35">
      <c r="A108" s="198">
        <v>43539</v>
      </c>
      <c r="B108" s="339" t="s">
        <v>2297</v>
      </c>
      <c r="C108" s="444" t="s">
        <v>216</v>
      </c>
      <c r="D108" s="337"/>
      <c r="E108" s="22" t="s">
        <v>2296</v>
      </c>
      <c r="F108" s="336">
        <v>43543</v>
      </c>
      <c r="G108" s="140">
        <v>0.47916666666666702</v>
      </c>
      <c r="H108" s="22" t="s">
        <v>2295</v>
      </c>
      <c r="I108" s="139">
        <v>0</v>
      </c>
      <c r="J108" s="137" t="s">
        <v>15</v>
      </c>
      <c r="K108" s="403" t="s">
        <v>2177</v>
      </c>
      <c r="L108" s="121" t="s">
        <v>216</v>
      </c>
      <c r="M108" s="194"/>
    </row>
    <row r="109" spans="1:13" s="13" customFormat="1" ht="29" x14ac:dyDescent="0.35">
      <c r="A109" s="198">
        <v>43539</v>
      </c>
      <c r="B109" s="339" t="s">
        <v>2294</v>
      </c>
      <c r="C109" s="338" t="s">
        <v>2293</v>
      </c>
      <c r="D109" s="337"/>
      <c r="E109" s="22" t="s">
        <v>2292</v>
      </c>
      <c r="F109" s="336">
        <v>43542</v>
      </c>
      <c r="G109" s="140">
        <v>0.45833333333333298</v>
      </c>
      <c r="H109" s="22" t="s">
        <v>1763</v>
      </c>
      <c r="I109" s="139">
        <v>0</v>
      </c>
      <c r="J109" s="137" t="s">
        <v>15</v>
      </c>
      <c r="K109" s="403" t="s">
        <v>2177</v>
      </c>
      <c r="L109" s="121" t="s">
        <v>22</v>
      </c>
      <c r="M109" s="194"/>
    </row>
    <row r="110" spans="1:13" s="13" customFormat="1" ht="29" x14ac:dyDescent="0.35">
      <c r="A110" s="198">
        <v>43539</v>
      </c>
      <c r="B110" s="339" t="s">
        <v>2291</v>
      </c>
      <c r="C110" s="444" t="s">
        <v>330</v>
      </c>
      <c r="D110" s="337"/>
      <c r="E110" s="22" t="s">
        <v>2290</v>
      </c>
      <c r="F110" s="336">
        <v>43543</v>
      </c>
      <c r="G110" s="140">
        <v>0.5</v>
      </c>
      <c r="H110" s="22" t="s">
        <v>1394</v>
      </c>
      <c r="I110" s="139">
        <v>0</v>
      </c>
      <c r="J110" s="137" t="s">
        <v>15</v>
      </c>
      <c r="K110" s="403" t="s">
        <v>2177</v>
      </c>
      <c r="L110" s="121" t="s">
        <v>330</v>
      </c>
      <c r="M110" s="194"/>
    </row>
    <row r="111" spans="1:13" s="13" customFormat="1" ht="29" x14ac:dyDescent="0.35">
      <c r="A111" s="198">
        <v>43540</v>
      </c>
      <c r="B111" s="339" t="s">
        <v>2289</v>
      </c>
      <c r="C111" s="338" t="s">
        <v>2288</v>
      </c>
      <c r="D111" s="443"/>
      <c r="E111" s="22" t="s">
        <v>2287</v>
      </c>
      <c r="F111" s="126">
        <v>43543</v>
      </c>
      <c r="G111" s="140">
        <v>0.66666666666666696</v>
      </c>
      <c r="H111" s="22" t="s">
        <v>2286</v>
      </c>
      <c r="I111" s="139" t="s">
        <v>15</v>
      </c>
      <c r="J111" s="137" t="s">
        <v>15</v>
      </c>
      <c r="K111" s="403" t="s">
        <v>2177</v>
      </c>
      <c r="L111" s="121" t="s">
        <v>22</v>
      </c>
      <c r="M111" s="194"/>
    </row>
    <row r="112" spans="1:13" s="13" customFormat="1" ht="29" x14ac:dyDescent="0.35">
      <c r="A112" s="198">
        <v>43539</v>
      </c>
      <c r="B112" s="339" t="s">
        <v>2057</v>
      </c>
      <c r="C112" s="338" t="s">
        <v>2223</v>
      </c>
      <c r="D112" s="337"/>
      <c r="E112" s="22" t="s">
        <v>2285</v>
      </c>
      <c r="F112" s="336">
        <v>43543</v>
      </c>
      <c r="G112" s="140">
        <v>0.5</v>
      </c>
      <c r="H112" s="22" t="s">
        <v>493</v>
      </c>
      <c r="I112" s="430">
        <v>144</v>
      </c>
      <c r="J112" s="429" t="s">
        <v>1592</v>
      </c>
      <c r="K112" s="403" t="s">
        <v>2177</v>
      </c>
      <c r="L112" s="121" t="s">
        <v>17</v>
      </c>
      <c r="M112" s="194" t="s">
        <v>17</v>
      </c>
    </row>
    <row r="113" spans="1:13" s="13" customFormat="1" x14ac:dyDescent="0.35">
      <c r="A113" s="439">
        <v>43522</v>
      </c>
      <c r="B113" s="109" t="s">
        <v>2284</v>
      </c>
      <c r="C113" s="438" t="s">
        <v>15</v>
      </c>
      <c r="D113" s="17" t="s">
        <v>15</v>
      </c>
      <c r="E113" s="109" t="s">
        <v>2283</v>
      </c>
      <c r="F113" s="174">
        <v>43543</v>
      </c>
      <c r="G113" s="436">
        <v>0.54166666666666696</v>
      </c>
      <c r="H113" s="109" t="s">
        <v>15</v>
      </c>
      <c r="I113" s="442" t="s">
        <v>15</v>
      </c>
      <c r="J113" s="441" t="s">
        <v>15</v>
      </c>
      <c r="K113" s="403" t="s">
        <v>2177</v>
      </c>
      <c r="L113" s="65" t="s">
        <v>15</v>
      </c>
      <c r="M113" s="154"/>
    </row>
    <row r="114" spans="1:13" s="13" customFormat="1" ht="29" x14ac:dyDescent="0.35">
      <c r="A114" s="439">
        <v>43539</v>
      </c>
      <c r="B114" s="109" t="s">
        <v>2282</v>
      </c>
      <c r="C114" s="438" t="s">
        <v>17</v>
      </c>
      <c r="D114" s="17"/>
      <c r="E114" s="109" t="s">
        <v>2281</v>
      </c>
      <c r="F114" s="174">
        <v>43544</v>
      </c>
      <c r="G114" s="436">
        <v>0.5</v>
      </c>
      <c r="H114" s="109" t="s">
        <v>210</v>
      </c>
      <c r="I114" s="340">
        <v>0</v>
      </c>
      <c r="J114" s="109" t="s">
        <v>15</v>
      </c>
      <c r="K114" s="403" t="s">
        <v>2177</v>
      </c>
      <c r="L114" s="65" t="s">
        <v>17</v>
      </c>
      <c r="M114" s="154"/>
    </row>
    <row r="115" spans="1:13" s="13" customFormat="1" ht="72.5" x14ac:dyDescent="0.35">
      <c r="A115" s="439">
        <v>43537</v>
      </c>
      <c r="B115" s="109" t="s">
        <v>2280</v>
      </c>
      <c r="C115" s="438" t="s">
        <v>2279</v>
      </c>
      <c r="D115" s="437" t="s">
        <v>2278</v>
      </c>
      <c r="E115" s="109" t="s">
        <v>2277</v>
      </c>
      <c r="F115" s="174">
        <v>43544</v>
      </c>
      <c r="G115" s="436">
        <v>0.75</v>
      </c>
      <c r="H115" s="109" t="s">
        <v>2165</v>
      </c>
      <c r="I115" s="231">
        <v>418</v>
      </c>
      <c r="J115" s="440" t="s">
        <v>2276</v>
      </c>
      <c r="K115" s="403" t="s">
        <v>2177</v>
      </c>
      <c r="L115" s="65" t="s">
        <v>22</v>
      </c>
      <c r="M115" s="154" t="s">
        <v>15</v>
      </c>
    </row>
    <row r="116" spans="1:13" s="13" customFormat="1" ht="72.5" x14ac:dyDescent="0.35">
      <c r="A116" s="439">
        <v>43543</v>
      </c>
      <c r="B116" s="109" t="s">
        <v>2190</v>
      </c>
      <c r="C116" s="438" t="s">
        <v>2275</v>
      </c>
      <c r="D116" s="437"/>
      <c r="E116" s="109" t="s">
        <v>2274</v>
      </c>
      <c r="F116" s="174">
        <v>43545</v>
      </c>
      <c r="G116" s="436">
        <v>0.75</v>
      </c>
      <c r="H116" s="109" t="s">
        <v>1154</v>
      </c>
      <c r="I116" s="231">
        <v>235</v>
      </c>
      <c r="J116" s="109" t="s">
        <v>257</v>
      </c>
      <c r="K116" s="403" t="s">
        <v>2177</v>
      </c>
      <c r="L116" s="65" t="s">
        <v>330</v>
      </c>
      <c r="M116" s="154"/>
    </row>
    <row r="117" spans="1:13" s="13" customFormat="1" ht="43.5" x14ac:dyDescent="0.35">
      <c r="A117" s="439">
        <v>43537</v>
      </c>
      <c r="B117" s="109" t="s">
        <v>1598</v>
      </c>
      <c r="C117" s="438"/>
      <c r="D117" s="437"/>
      <c r="E117" s="109" t="s">
        <v>2273</v>
      </c>
      <c r="F117" s="174">
        <v>43546</v>
      </c>
      <c r="G117" s="436">
        <v>0.47916666666666702</v>
      </c>
      <c r="H117" s="109" t="s">
        <v>2272</v>
      </c>
      <c r="I117" s="340">
        <v>0</v>
      </c>
      <c r="J117" s="109"/>
      <c r="K117" s="403" t="s">
        <v>2177</v>
      </c>
      <c r="L117" s="65" t="s">
        <v>1598</v>
      </c>
      <c r="M117" s="154"/>
    </row>
    <row r="118" spans="1:13" s="13" customFormat="1" ht="58" x14ac:dyDescent="0.35">
      <c r="A118" s="439">
        <v>43539</v>
      </c>
      <c r="B118" s="109" t="s">
        <v>2271</v>
      </c>
      <c r="C118" s="438" t="s">
        <v>2270</v>
      </c>
      <c r="D118" s="437"/>
      <c r="E118" s="109" t="s">
        <v>2269</v>
      </c>
      <c r="F118" s="174">
        <v>43546</v>
      </c>
      <c r="G118" s="436" t="s">
        <v>2268</v>
      </c>
      <c r="H118" s="109" t="s">
        <v>2267</v>
      </c>
      <c r="I118" s="213">
        <v>1560</v>
      </c>
      <c r="J118" s="160" t="s">
        <v>2266</v>
      </c>
      <c r="K118" s="403" t="s">
        <v>2177</v>
      </c>
      <c r="L118" s="65" t="s">
        <v>17</v>
      </c>
      <c r="M118" s="154"/>
    </row>
    <row r="119" spans="1:13" s="13" customFormat="1" ht="58" x14ac:dyDescent="0.35">
      <c r="A119" s="439">
        <v>43543</v>
      </c>
      <c r="B119" s="109" t="s">
        <v>1812</v>
      </c>
      <c r="C119" s="438" t="s">
        <v>1854</v>
      </c>
      <c r="D119" s="437"/>
      <c r="E119" s="109" t="s">
        <v>2265</v>
      </c>
      <c r="F119" s="174">
        <v>43546</v>
      </c>
      <c r="G119" s="436">
        <v>0.75</v>
      </c>
      <c r="H119" s="109" t="s">
        <v>2264</v>
      </c>
      <c r="I119" s="231">
        <v>170</v>
      </c>
      <c r="J119" s="109" t="s">
        <v>2263</v>
      </c>
      <c r="K119" s="403" t="s">
        <v>2177</v>
      </c>
      <c r="L119" s="65" t="s">
        <v>22</v>
      </c>
      <c r="M119" s="154"/>
    </row>
    <row r="120" spans="1:13" s="13" customFormat="1" ht="58" x14ac:dyDescent="0.35">
      <c r="A120" s="439">
        <v>43542</v>
      </c>
      <c r="B120" s="109" t="s">
        <v>2262</v>
      </c>
      <c r="C120" s="438" t="s">
        <v>2261</v>
      </c>
      <c r="D120" s="437"/>
      <c r="E120" s="109" t="s">
        <v>2260</v>
      </c>
      <c r="F120" s="174">
        <v>43546</v>
      </c>
      <c r="G120" s="436">
        <v>0.83333333333333304</v>
      </c>
      <c r="H120" s="109" t="s">
        <v>2259</v>
      </c>
      <c r="I120" s="231">
        <v>192</v>
      </c>
      <c r="J120" s="109" t="s">
        <v>178</v>
      </c>
      <c r="K120" s="403" t="s">
        <v>2177</v>
      </c>
      <c r="L120" s="65" t="s">
        <v>216</v>
      </c>
      <c r="M120" s="154"/>
    </row>
    <row r="121" spans="1:13" s="13" customFormat="1" ht="116" x14ac:dyDescent="0.35">
      <c r="A121" s="439">
        <v>43542</v>
      </c>
      <c r="B121" s="109" t="s">
        <v>2133</v>
      </c>
      <c r="C121" s="438" t="s">
        <v>2258</v>
      </c>
      <c r="D121" s="437"/>
      <c r="E121" s="109" t="s">
        <v>2257</v>
      </c>
      <c r="F121" s="174">
        <v>43547</v>
      </c>
      <c r="G121" s="436">
        <v>0.83333333333333304</v>
      </c>
      <c r="H121" s="109" t="s">
        <v>2256</v>
      </c>
      <c r="I121" s="231">
        <v>600</v>
      </c>
      <c r="J121" s="109" t="s">
        <v>178</v>
      </c>
      <c r="K121" s="403" t="s">
        <v>2177</v>
      </c>
      <c r="L121" s="65" t="s">
        <v>314</v>
      </c>
      <c r="M121" s="154"/>
    </row>
    <row r="122" spans="1:13" s="13" customFormat="1" ht="29" x14ac:dyDescent="0.35">
      <c r="A122" s="439">
        <v>43546</v>
      </c>
      <c r="B122" s="109" t="s">
        <v>2255</v>
      </c>
      <c r="C122" s="438" t="s">
        <v>2254</v>
      </c>
      <c r="D122" s="109" t="s">
        <v>2253</v>
      </c>
      <c r="E122" s="109" t="s">
        <v>2252</v>
      </c>
      <c r="F122" s="174">
        <v>43547</v>
      </c>
      <c r="G122" s="436">
        <v>0.66666666666666696</v>
      </c>
      <c r="H122" s="17" t="s">
        <v>985</v>
      </c>
      <c r="I122" s="231">
        <v>153</v>
      </c>
      <c r="J122" s="109" t="s">
        <v>2251</v>
      </c>
      <c r="K122" s="403" t="s">
        <v>2177</v>
      </c>
      <c r="L122" s="65" t="s">
        <v>22</v>
      </c>
      <c r="M122" s="154" t="s">
        <v>22</v>
      </c>
    </row>
    <row r="123" spans="1:13" s="13" customFormat="1" ht="43.5" x14ac:dyDescent="0.35">
      <c r="A123" s="439">
        <v>43543</v>
      </c>
      <c r="B123" s="109" t="s">
        <v>2250</v>
      </c>
      <c r="C123" s="438" t="s">
        <v>2249</v>
      </c>
      <c r="D123" s="437"/>
      <c r="E123" s="109" t="s">
        <v>2248</v>
      </c>
      <c r="F123" s="174">
        <v>43548</v>
      </c>
      <c r="G123" s="436">
        <v>0.45833333333333298</v>
      </c>
      <c r="H123" s="109" t="s">
        <v>2247</v>
      </c>
      <c r="I123" s="231">
        <v>132</v>
      </c>
      <c r="J123" s="109" t="s">
        <v>257</v>
      </c>
      <c r="K123" s="403" t="s">
        <v>2177</v>
      </c>
      <c r="L123" s="65" t="s">
        <v>314</v>
      </c>
      <c r="M123" s="154"/>
    </row>
    <row r="124" spans="1:13" s="13" customFormat="1" ht="29" x14ac:dyDescent="0.35">
      <c r="A124" s="439">
        <v>43543</v>
      </c>
      <c r="B124" s="109" t="s">
        <v>2246</v>
      </c>
      <c r="C124" s="438" t="s">
        <v>2245</v>
      </c>
      <c r="D124" s="437"/>
      <c r="E124" s="109" t="s">
        <v>2244</v>
      </c>
      <c r="F124" s="174">
        <v>43548</v>
      </c>
      <c r="G124" s="436">
        <v>0.45833333333333298</v>
      </c>
      <c r="H124" s="109" t="s">
        <v>311</v>
      </c>
      <c r="I124" s="231">
        <v>192</v>
      </c>
      <c r="J124" s="109" t="s">
        <v>2243</v>
      </c>
      <c r="K124" s="403" t="s">
        <v>2177</v>
      </c>
      <c r="L124" s="65" t="s">
        <v>1602</v>
      </c>
      <c r="M124" s="154"/>
    </row>
    <row r="125" spans="1:13" s="13" customFormat="1" ht="29" x14ac:dyDescent="0.35">
      <c r="A125" s="439">
        <v>43546</v>
      </c>
      <c r="B125" s="109" t="s">
        <v>2242</v>
      </c>
      <c r="C125" s="438" t="s">
        <v>2241</v>
      </c>
      <c r="D125" s="437"/>
      <c r="E125" s="109" t="s">
        <v>2240</v>
      </c>
      <c r="F125" s="174">
        <v>43548</v>
      </c>
      <c r="G125" s="436">
        <v>0.52083333333333304</v>
      </c>
      <c r="H125" s="109" t="s">
        <v>2239</v>
      </c>
      <c r="I125" s="231">
        <v>255</v>
      </c>
      <c r="J125" s="109" t="s">
        <v>257</v>
      </c>
      <c r="K125" s="403" t="s">
        <v>2177</v>
      </c>
      <c r="L125" s="65" t="s">
        <v>17</v>
      </c>
      <c r="M125" s="154"/>
    </row>
    <row r="126" spans="1:13" s="13" customFormat="1" ht="43.5" x14ac:dyDescent="0.35">
      <c r="A126" s="439">
        <v>43543</v>
      </c>
      <c r="B126" s="65" t="s">
        <v>2238</v>
      </c>
      <c r="C126" s="302" t="s">
        <v>2237</v>
      </c>
      <c r="D126" s="437"/>
      <c r="E126" s="109" t="s">
        <v>2236</v>
      </c>
      <c r="F126" s="174">
        <v>43548</v>
      </c>
      <c r="G126" s="436">
        <v>0.58333333333333304</v>
      </c>
      <c r="H126" s="109" t="s">
        <v>2165</v>
      </c>
      <c r="I126" s="231">
        <v>400</v>
      </c>
      <c r="J126" s="109" t="s">
        <v>2235</v>
      </c>
      <c r="K126" s="403" t="s">
        <v>2177</v>
      </c>
      <c r="L126" s="65" t="s">
        <v>22</v>
      </c>
      <c r="M126" s="154"/>
    </row>
    <row r="127" spans="1:13" s="13" customFormat="1" ht="58" x14ac:dyDescent="0.35">
      <c r="A127" s="439">
        <v>43546</v>
      </c>
      <c r="B127" s="17" t="s">
        <v>2234</v>
      </c>
      <c r="C127" s="302" t="s">
        <v>2233</v>
      </c>
      <c r="D127" s="437"/>
      <c r="E127" s="109" t="s">
        <v>2232</v>
      </c>
      <c r="F127" s="174">
        <v>43549</v>
      </c>
      <c r="G127" s="436">
        <v>0.52083333333333304</v>
      </c>
      <c r="H127" s="109" t="s">
        <v>2231</v>
      </c>
      <c r="I127" s="231">
        <v>267.3</v>
      </c>
      <c r="J127" s="149" t="s">
        <v>2230</v>
      </c>
      <c r="K127" s="403" t="s">
        <v>2177</v>
      </c>
      <c r="L127" s="65" t="s">
        <v>22</v>
      </c>
      <c r="M127" s="154"/>
    </row>
    <row r="128" spans="1:13" s="13" customFormat="1" ht="87" x14ac:dyDescent="0.35">
      <c r="A128" s="439">
        <v>43549</v>
      </c>
      <c r="B128" s="109" t="s">
        <v>2229</v>
      </c>
      <c r="C128" s="438"/>
      <c r="D128" s="437"/>
      <c r="E128" s="109" t="s">
        <v>2228</v>
      </c>
      <c r="F128" s="174">
        <v>43549</v>
      </c>
      <c r="G128" s="436">
        <v>0.52083333333333304</v>
      </c>
      <c r="H128" s="109" t="s">
        <v>2227</v>
      </c>
      <c r="I128" s="340">
        <v>0</v>
      </c>
      <c r="J128" s="109" t="s">
        <v>455</v>
      </c>
      <c r="K128" s="403" t="s">
        <v>2177</v>
      </c>
      <c r="L128" s="65" t="s">
        <v>1602</v>
      </c>
      <c r="M128" s="154"/>
    </row>
    <row r="129" spans="1:13" s="13" customFormat="1" ht="43.5" x14ac:dyDescent="0.35">
      <c r="A129" s="435">
        <v>43549</v>
      </c>
      <c r="B129" s="137" t="s">
        <v>216</v>
      </c>
      <c r="C129" s="434"/>
      <c r="D129" s="433"/>
      <c r="E129" s="137" t="s">
        <v>2226</v>
      </c>
      <c r="F129" s="336">
        <v>43549</v>
      </c>
      <c r="G129" s="432">
        <v>0.6875</v>
      </c>
      <c r="H129" s="137" t="s">
        <v>2225</v>
      </c>
      <c r="I129" s="231">
        <v>398</v>
      </c>
      <c r="J129" s="431" t="s">
        <v>2224</v>
      </c>
      <c r="K129" s="403"/>
      <c r="L129" s="121" t="s">
        <v>216</v>
      </c>
      <c r="M129" s="194"/>
    </row>
    <row r="130" spans="1:13" s="13" customFormat="1" ht="29" x14ac:dyDescent="0.35">
      <c r="A130" s="427">
        <v>43544</v>
      </c>
      <c r="B130" s="426" t="s">
        <v>2057</v>
      </c>
      <c r="C130" s="425" t="s">
        <v>2223</v>
      </c>
      <c r="D130" s="424"/>
      <c r="E130" s="421" t="s">
        <v>2222</v>
      </c>
      <c r="F130" s="423">
        <v>43550</v>
      </c>
      <c r="G130" s="422">
        <v>0.5</v>
      </c>
      <c r="H130" s="421" t="s">
        <v>493</v>
      </c>
      <c r="I130" s="430">
        <v>100</v>
      </c>
      <c r="J130" s="429" t="s">
        <v>1592</v>
      </c>
      <c r="K130" s="403" t="s">
        <v>2177</v>
      </c>
      <c r="L130" s="121" t="s">
        <v>17</v>
      </c>
      <c r="M130" s="194" t="s">
        <v>17</v>
      </c>
    </row>
    <row r="131" spans="1:13" s="13" customFormat="1" ht="93" x14ac:dyDescent="0.35">
      <c r="A131" s="427" t="s">
        <v>2203</v>
      </c>
      <c r="B131" s="426" t="s">
        <v>1877</v>
      </c>
      <c r="C131" s="425"/>
      <c r="D131" s="424"/>
      <c r="E131" s="428" t="s">
        <v>2221</v>
      </c>
      <c r="F131" s="423" t="s">
        <v>2220</v>
      </c>
      <c r="G131" s="422">
        <v>0.5</v>
      </c>
      <c r="H131" s="421" t="s">
        <v>1394</v>
      </c>
      <c r="I131" s="430" t="s">
        <v>224</v>
      </c>
      <c r="J131" s="429"/>
      <c r="K131" s="403" t="s">
        <v>2177</v>
      </c>
      <c r="L131" s="121" t="s">
        <v>158</v>
      </c>
      <c r="M131" s="194"/>
    </row>
    <row r="132" spans="1:13" s="13" customFormat="1" ht="46.5" x14ac:dyDescent="0.35">
      <c r="A132" s="427">
        <v>43549</v>
      </c>
      <c r="B132" s="426" t="s">
        <v>2219</v>
      </c>
      <c r="C132" s="425" t="s">
        <v>1598</v>
      </c>
      <c r="D132" s="424"/>
      <c r="E132" s="428" t="s">
        <v>2218</v>
      </c>
      <c r="F132" s="423">
        <v>43550</v>
      </c>
      <c r="G132" s="422">
        <v>0.52083333333333304</v>
      </c>
      <c r="H132" s="421" t="s">
        <v>126</v>
      </c>
      <c r="I132" s="340">
        <v>0</v>
      </c>
      <c r="J132" s="17"/>
      <c r="K132" s="173" t="s">
        <v>1370</v>
      </c>
      <c r="L132" s="121" t="s">
        <v>1598</v>
      </c>
      <c r="M132" s="194"/>
    </row>
    <row r="133" spans="1:13" s="13" customFormat="1" ht="29" x14ac:dyDescent="0.35">
      <c r="A133" s="427">
        <v>43545</v>
      </c>
      <c r="B133" s="426" t="s">
        <v>2217</v>
      </c>
      <c r="C133" s="425" t="s">
        <v>17</v>
      </c>
      <c r="D133" s="424"/>
      <c r="E133" s="421" t="s">
        <v>2215</v>
      </c>
      <c r="F133" s="423">
        <v>43550</v>
      </c>
      <c r="G133" s="422">
        <v>0.5</v>
      </c>
      <c r="H133" s="421" t="s">
        <v>210</v>
      </c>
      <c r="I133" s="340"/>
      <c r="J133" s="17"/>
      <c r="K133" s="403" t="s">
        <v>2177</v>
      </c>
      <c r="L133" s="121" t="s">
        <v>17</v>
      </c>
      <c r="M133" s="194"/>
    </row>
    <row r="134" spans="1:13" s="13" customFormat="1" ht="29" x14ac:dyDescent="0.35">
      <c r="A134" s="427">
        <v>43546</v>
      </c>
      <c r="B134" s="426" t="s">
        <v>2216</v>
      </c>
      <c r="C134" s="425" t="s">
        <v>17</v>
      </c>
      <c r="D134" s="424"/>
      <c r="E134" s="421" t="s">
        <v>2215</v>
      </c>
      <c r="F134" s="423">
        <v>43551</v>
      </c>
      <c r="G134" s="422">
        <v>0.5</v>
      </c>
      <c r="H134" s="421" t="s">
        <v>210</v>
      </c>
      <c r="I134" s="340"/>
      <c r="J134" s="17"/>
      <c r="K134" s="403" t="s">
        <v>2177</v>
      </c>
      <c r="L134" s="121" t="s">
        <v>17</v>
      </c>
      <c r="M134" s="194"/>
    </row>
    <row r="135" spans="1:13" s="13" customFormat="1" ht="58" x14ac:dyDescent="0.35">
      <c r="A135" s="198">
        <v>43550</v>
      </c>
      <c r="B135" s="339" t="s">
        <v>2042</v>
      </c>
      <c r="C135" s="338" t="s">
        <v>2041</v>
      </c>
      <c r="D135" s="337"/>
      <c r="E135" s="22" t="s">
        <v>2214</v>
      </c>
      <c r="F135" s="336">
        <v>43551</v>
      </c>
      <c r="G135" s="140" t="s">
        <v>2213</v>
      </c>
      <c r="H135" s="22" t="s">
        <v>2039</v>
      </c>
      <c r="I135" s="231">
        <v>130</v>
      </c>
      <c r="J135" s="100" t="s">
        <v>257</v>
      </c>
      <c r="K135" s="173" t="s">
        <v>1370</v>
      </c>
      <c r="L135" s="121" t="s">
        <v>22</v>
      </c>
      <c r="M135" s="194"/>
    </row>
    <row r="136" spans="1:13" s="13" customFormat="1" ht="40.5" x14ac:dyDescent="0.35">
      <c r="A136" s="427">
        <v>43549</v>
      </c>
      <c r="B136" s="426" t="s">
        <v>2212</v>
      </c>
      <c r="C136" s="425" t="s">
        <v>1602</v>
      </c>
      <c r="D136" s="424"/>
      <c r="E136" s="421" t="s">
        <v>2211</v>
      </c>
      <c r="F136" s="423">
        <v>43551</v>
      </c>
      <c r="G136" s="422">
        <v>0.66666666666666696</v>
      </c>
      <c r="H136" s="421" t="s">
        <v>898</v>
      </c>
      <c r="I136" s="340">
        <v>0</v>
      </c>
      <c r="J136" s="17"/>
      <c r="K136" s="173" t="s">
        <v>1370</v>
      </c>
      <c r="L136" s="121" t="s">
        <v>216</v>
      </c>
      <c r="M136" s="194"/>
    </row>
    <row r="137" spans="1:13" s="13" customFormat="1" ht="43.5" x14ac:dyDescent="0.35">
      <c r="A137" s="420">
        <v>43549</v>
      </c>
      <c r="B137" s="419" t="s">
        <v>1731</v>
      </c>
      <c r="C137" s="418"/>
      <c r="D137" s="417"/>
      <c r="E137" s="414" t="s">
        <v>2210</v>
      </c>
      <c r="F137" s="416">
        <v>43551</v>
      </c>
      <c r="G137" s="415">
        <v>0.75</v>
      </c>
      <c r="H137" s="414" t="s">
        <v>2021</v>
      </c>
      <c r="I137" s="231">
        <v>1287</v>
      </c>
      <c r="J137" s="222" t="s">
        <v>2209</v>
      </c>
      <c r="K137" s="173" t="s">
        <v>1370</v>
      </c>
      <c r="L137" s="121" t="s">
        <v>216</v>
      </c>
      <c r="M137" s="194"/>
    </row>
    <row r="138" spans="1:13" s="13" customFormat="1" ht="43.5" x14ac:dyDescent="0.35">
      <c r="A138" s="420">
        <v>43550</v>
      </c>
      <c r="B138" s="419" t="s">
        <v>2208</v>
      </c>
      <c r="C138" s="418" t="s">
        <v>216</v>
      </c>
      <c r="D138" s="417"/>
      <c r="E138" s="414" t="s">
        <v>2207</v>
      </c>
      <c r="F138" s="416">
        <v>43552</v>
      </c>
      <c r="G138" s="415">
        <v>0.54166666666666696</v>
      </c>
      <c r="H138" s="414" t="s">
        <v>2021</v>
      </c>
      <c r="I138" s="340">
        <v>0</v>
      </c>
      <c r="J138" s="222"/>
      <c r="K138" s="173" t="s">
        <v>1370</v>
      </c>
      <c r="L138" s="121" t="s">
        <v>216</v>
      </c>
      <c r="M138" s="194"/>
    </row>
    <row r="139" spans="1:13" s="13" customFormat="1" ht="58" x14ac:dyDescent="0.35">
      <c r="A139" s="413" t="s">
        <v>2203</v>
      </c>
      <c r="B139" s="412" t="s">
        <v>2202</v>
      </c>
      <c r="C139" s="411" t="s">
        <v>2201</v>
      </c>
      <c r="D139" s="410"/>
      <c r="E139" s="407" t="s">
        <v>2206</v>
      </c>
      <c r="F139" s="409" t="s">
        <v>2205</v>
      </c>
      <c r="G139" s="408" t="s">
        <v>1514</v>
      </c>
      <c r="H139" s="407" t="s">
        <v>2197</v>
      </c>
      <c r="I139" s="231">
        <v>150</v>
      </c>
      <c r="J139" s="406" t="s">
        <v>2204</v>
      </c>
      <c r="K139" s="403" t="s">
        <v>2177</v>
      </c>
      <c r="L139" s="121" t="s">
        <v>330</v>
      </c>
      <c r="M139" s="194"/>
    </row>
    <row r="140" spans="1:13" s="13" customFormat="1" ht="58" x14ac:dyDescent="0.35">
      <c r="A140" s="413" t="s">
        <v>2203</v>
      </c>
      <c r="B140" s="412" t="s">
        <v>2202</v>
      </c>
      <c r="C140" s="411" t="s">
        <v>2201</v>
      </c>
      <c r="D140" s="410"/>
      <c r="E140" s="407" t="s">
        <v>2200</v>
      </c>
      <c r="F140" s="409" t="s">
        <v>2199</v>
      </c>
      <c r="G140" s="408" t="s">
        <v>2198</v>
      </c>
      <c r="H140" s="407" t="s">
        <v>2197</v>
      </c>
      <c r="I140" s="231">
        <v>150</v>
      </c>
      <c r="J140" s="406" t="s">
        <v>2196</v>
      </c>
      <c r="K140" s="403" t="s">
        <v>2177</v>
      </c>
      <c r="L140" s="121" t="s">
        <v>330</v>
      </c>
      <c r="M140" s="194"/>
    </row>
    <row r="141" spans="1:13" s="13" customFormat="1" ht="101.5" x14ac:dyDescent="0.35">
      <c r="A141" s="402">
        <v>43537</v>
      </c>
      <c r="B141" s="400" t="s">
        <v>262</v>
      </c>
      <c r="C141" s="404"/>
      <c r="D141" s="400"/>
      <c r="E141" s="400" t="s">
        <v>2195</v>
      </c>
      <c r="F141" s="399">
        <v>43553</v>
      </c>
      <c r="G141" s="404" t="s">
        <v>540</v>
      </c>
      <c r="H141" s="397" t="s">
        <v>1394</v>
      </c>
      <c r="I141" s="213">
        <v>3750</v>
      </c>
      <c r="J141" s="222" t="s">
        <v>2194</v>
      </c>
      <c r="K141" s="403" t="s">
        <v>2177</v>
      </c>
      <c r="L141" s="65" t="s">
        <v>17</v>
      </c>
      <c r="M141" s="154" t="s">
        <v>15</v>
      </c>
    </row>
    <row r="142" spans="1:13" s="13" customFormat="1" x14ac:dyDescent="0.35">
      <c r="A142" s="402">
        <v>43553</v>
      </c>
      <c r="B142" s="400" t="s">
        <v>2193</v>
      </c>
      <c r="C142" s="401"/>
      <c r="D142" s="400"/>
      <c r="E142" s="400" t="s">
        <v>2192</v>
      </c>
      <c r="F142" s="399">
        <v>43553</v>
      </c>
      <c r="G142" s="404"/>
      <c r="H142" s="397"/>
      <c r="I142" s="213">
        <v>59.4</v>
      </c>
      <c r="J142" s="405" t="s">
        <v>1901</v>
      </c>
      <c r="K142" s="173"/>
      <c r="L142" s="65"/>
      <c r="M142" s="154"/>
    </row>
    <row r="143" spans="1:13" s="13" customFormat="1" ht="29" x14ac:dyDescent="0.35">
      <c r="A143" s="402">
        <v>43553</v>
      </c>
      <c r="B143" s="400" t="s">
        <v>2174</v>
      </c>
      <c r="C143" s="401"/>
      <c r="D143" s="400"/>
      <c r="E143" s="400" t="s">
        <v>2191</v>
      </c>
      <c r="F143" s="399">
        <v>43553</v>
      </c>
      <c r="G143" s="404" t="s">
        <v>17</v>
      </c>
      <c r="H143" s="397"/>
      <c r="I143" s="231">
        <v>174</v>
      </c>
      <c r="J143" s="17"/>
      <c r="K143" s="173"/>
      <c r="L143" s="65"/>
      <c r="M143" s="154"/>
    </row>
    <row r="144" spans="1:13" s="13" customFormat="1" ht="29" x14ac:dyDescent="0.35">
      <c r="A144" s="155">
        <v>43551</v>
      </c>
      <c r="B144" s="17" t="s">
        <v>2190</v>
      </c>
      <c r="C144" s="302" t="s">
        <v>2189</v>
      </c>
      <c r="D144" s="17"/>
      <c r="E144" s="17" t="s">
        <v>2188</v>
      </c>
      <c r="F144" s="125">
        <v>43553</v>
      </c>
      <c r="G144" s="177">
        <v>0.58333333333333304</v>
      </c>
      <c r="H144" s="109" t="s">
        <v>311</v>
      </c>
      <c r="I144" s="213">
        <v>140</v>
      </c>
      <c r="J144" s="112" t="s">
        <v>2187</v>
      </c>
      <c r="K144" s="173" t="s">
        <v>1370</v>
      </c>
      <c r="L144" s="65" t="s">
        <v>330</v>
      </c>
      <c r="M144" s="154"/>
    </row>
    <row r="145" spans="1:13" s="13" customFormat="1" ht="29" x14ac:dyDescent="0.35">
      <c r="A145" s="155">
        <v>43552</v>
      </c>
      <c r="B145" s="17" t="s">
        <v>1812</v>
      </c>
      <c r="C145" s="302"/>
      <c r="D145" s="17"/>
      <c r="E145" s="17" t="s">
        <v>2186</v>
      </c>
      <c r="F145" s="125">
        <v>43553</v>
      </c>
      <c r="G145" s="65" t="s">
        <v>1514</v>
      </c>
      <c r="H145" s="109" t="s">
        <v>2185</v>
      </c>
      <c r="I145" s="213">
        <v>152</v>
      </c>
      <c r="J145" s="112" t="s">
        <v>2184</v>
      </c>
      <c r="K145" s="173" t="s">
        <v>1370</v>
      </c>
      <c r="L145" s="65" t="s">
        <v>2183</v>
      </c>
      <c r="M145" s="154"/>
    </row>
    <row r="146" spans="1:13" s="13" customFormat="1" ht="43.5" x14ac:dyDescent="0.35">
      <c r="A146" s="402">
        <v>43547</v>
      </c>
      <c r="B146" s="400" t="s">
        <v>2012</v>
      </c>
      <c r="C146" s="401" t="s">
        <v>2011</v>
      </c>
      <c r="D146" s="400"/>
      <c r="E146" s="400" t="s">
        <v>2182</v>
      </c>
      <c r="F146" s="399">
        <v>43554</v>
      </c>
      <c r="G146" s="398">
        <v>0.4375</v>
      </c>
      <c r="H146" s="397" t="s">
        <v>2165</v>
      </c>
      <c r="I146" s="213">
        <v>500</v>
      </c>
      <c r="J146" s="17" t="s">
        <v>257</v>
      </c>
      <c r="K146" s="403" t="s">
        <v>2177</v>
      </c>
      <c r="L146" s="65" t="s">
        <v>17</v>
      </c>
      <c r="M146" s="154"/>
    </row>
    <row r="147" spans="1:13" s="13" customFormat="1" ht="72.5" x14ac:dyDescent="0.35">
      <c r="A147" s="203">
        <v>43539</v>
      </c>
      <c r="B147" s="160" t="s">
        <v>2181</v>
      </c>
      <c r="C147" s="320" t="s">
        <v>2180</v>
      </c>
      <c r="D147" s="160"/>
      <c r="E147" s="160" t="s">
        <v>2179</v>
      </c>
      <c r="F147" s="163">
        <v>43554</v>
      </c>
      <c r="G147" s="303">
        <v>0.58333333333333304</v>
      </c>
      <c r="H147" s="162" t="s">
        <v>2178</v>
      </c>
      <c r="I147" s="213">
        <v>600</v>
      </c>
      <c r="J147" s="160" t="s">
        <v>257</v>
      </c>
      <c r="K147" s="403" t="s">
        <v>2177</v>
      </c>
      <c r="L147" s="65" t="s">
        <v>22</v>
      </c>
      <c r="M147" s="154"/>
    </row>
    <row r="148" spans="1:13" s="13" customFormat="1" x14ac:dyDescent="0.35">
      <c r="A148" s="203">
        <v>43554</v>
      </c>
      <c r="B148" s="160" t="s">
        <v>1961</v>
      </c>
      <c r="C148" s="320" t="s">
        <v>2176</v>
      </c>
      <c r="D148" s="160"/>
      <c r="E148" s="160" t="s">
        <v>2175</v>
      </c>
      <c r="F148" s="163">
        <v>43554</v>
      </c>
      <c r="G148" s="303"/>
      <c r="H148" s="162"/>
      <c r="I148" s="213">
        <v>350</v>
      </c>
      <c r="J148" s="160"/>
      <c r="K148" s="403"/>
      <c r="L148" s="65" t="s">
        <v>330</v>
      </c>
      <c r="M148" s="154"/>
    </row>
    <row r="149" spans="1:13" s="13" customFormat="1" ht="29" x14ac:dyDescent="0.35">
      <c r="A149" s="155">
        <v>43551</v>
      </c>
      <c r="B149" s="17" t="s">
        <v>2174</v>
      </c>
      <c r="C149" s="302" t="s">
        <v>1841</v>
      </c>
      <c r="D149" s="17"/>
      <c r="E149" s="17" t="s">
        <v>2173</v>
      </c>
      <c r="F149" s="125">
        <v>43554</v>
      </c>
      <c r="G149" s="177" t="s">
        <v>972</v>
      </c>
      <c r="H149" s="109" t="s">
        <v>493</v>
      </c>
      <c r="I149" s="191">
        <v>0</v>
      </c>
      <c r="J149" s="17" t="s">
        <v>455</v>
      </c>
      <c r="K149" s="173" t="s">
        <v>1370</v>
      </c>
      <c r="L149" s="65" t="s">
        <v>17</v>
      </c>
      <c r="M149" s="154"/>
    </row>
    <row r="150" spans="1:13" s="13" customFormat="1" ht="29" x14ac:dyDescent="0.35">
      <c r="A150" s="155">
        <v>43552</v>
      </c>
      <c r="B150" s="17" t="s">
        <v>2172</v>
      </c>
      <c r="C150" s="302" t="s">
        <v>2171</v>
      </c>
      <c r="D150" s="17"/>
      <c r="E150" s="17" t="s">
        <v>2170</v>
      </c>
      <c r="F150" s="125">
        <v>43555</v>
      </c>
      <c r="G150" s="177">
        <v>0.45833333333333298</v>
      </c>
      <c r="H150" s="109" t="s">
        <v>311</v>
      </c>
      <c r="I150" s="191">
        <v>0</v>
      </c>
      <c r="J150" s="17" t="s">
        <v>2169</v>
      </c>
      <c r="K150" s="173" t="s">
        <v>1370</v>
      </c>
      <c r="L150" s="65" t="s">
        <v>22</v>
      </c>
      <c r="M150" s="154"/>
    </row>
    <row r="151" spans="1:13" s="13" customFormat="1" ht="72.5" x14ac:dyDescent="0.35">
      <c r="A151" s="402">
        <v>43549</v>
      </c>
      <c r="B151" s="400" t="s">
        <v>2168</v>
      </c>
      <c r="C151" s="401" t="s">
        <v>2167</v>
      </c>
      <c r="D151" s="400"/>
      <c r="E151" s="400" t="s">
        <v>2166</v>
      </c>
      <c r="F151" s="399">
        <v>43555</v>
      </c>
      <c r="G151" s="398">
        <v>0.4375</v>
      </c>
      <c r="H151" s="397" t="s">
        <v>2165</v>
      </c>
      <c r="I151" s="213">
        <v>549</v>
      </c>
      <c r="J151" s="17" t="s">
        <v>257</v>
      </c>
      <c r="K151" s="173" t="s">
        <v>1370</v>
      </c>
      <c r="L151" s="65" t="s">
        <v>22</v>
      </c>
      <c r="M151" s="65" t="s">
        <v>17</v>
      </c>
    </row>
    <row r="152" spans="1:13" s="13" customFormat="1" ht="29" x14ac:dyDescent="0.35">
      <c r="A152" s="198">
        <v>43554</v>
      </c>
      <c r="B152" s="22" t="s">
        <v>2164</v>
      </c>
      <c r="C152" s="335" t="s">
        <v>22</v>
      </c>
      <c r="D152" s="22"/>
      <c r="E152" s="22" t="s">
        <v>2163</v>
      </c>
      <c r="F152" s="126">
        <v>43555</v>
      </c>
      <c r="G152" s="140">
        <v>0.4375</v>
      </c>
      <c r="H152" s="137" t="s">
        <v>229</v>
      </c>
      <c r="I152" s="191">
        <v>0</v>
      </c>
      <c r="J152" s="17" t="s">
        <v>455</v>
      </c>
      <c r="K152" s="65" t="s">
        <v>1370</v>
      </c>
      <c r="L152" s="121" t="s">
        <v>22</v>
      </c>
      <c r="M152" s="194"/>
    </row>
    <row r="153" spans="1:13" s="13" customFormat="1" ht="43.5" x14ac:dyDescent="0.35">
      <c r="A153" s="198">
        <v>43550</v>
      </c>
      <c r="B153" s="339" t="s">
        <v>2162</v>
      </c>
      <c r="C153" s="338" t="s">
        <v>2161</v>
      </c>
      <c r="D153" s="337"/>
      <c r="E153" s="22" t="s">
        <v>2160</v>
      </c>
      <c r="F153" s="336">
        <v>43555</v>
      </c>
      <c r="G153" s="140" t="s">
        <v>2159</v>
      </c>
      <c r="H153" s="22" t="s">
        <v>2158</v>
      </c>
      <c r="I153" s="231">
        <v>350</v>
      </c>
      <c r="J153" s="17" t="s">
        <v>257</v>
      </c>
      <c r="K153" s="173" t="s">
        <v>1370</v>
      </c>
      <c r="L153" s="121" t="s">
        <v>314</v>
      </c>
      <c r="M153" s="65" t="s">
        <v>17</v>
      </c>
    </row>
    <row r="154" spans="1:13" s="13" customFormat="1" x14ac:dyDescent="0.35">
      <c r="A154" s="396"/>
      <c r="B154" s="17"/>
      <c r="C154" s="65"/>
      <c r="D154" s="17"/>
      <c r="E154" s="17"/>
      <c r="F154" s="65"/>
      <c r="G154" s="65"/>
      <c r="H154" s="17"/>
      <c r="I154" s="191"/>
      <c r="J154" s="17"/>
      <c r="K154" s="65"/>
      <c r="L154" s="65"/>
      <c r="M154" s="154"/>
    </row>
    <row r="155" spans="1:13" s="13" customFormat="1" x14ac:dyDescent="0.35">
      <c r="A155" s="396"/>
      <c r="B155" s="17"/>
      <c r="C155" s="65"/>
      <c r="D155" s="17"/>
      <c r="E155" s="17"/>
      <c r="F155" s="65"/>
      <c r="G155" s="65"/>
      <c r="H155" s="17"/>
      <c r="I155" s="191"/>
      <c r="J155" s="17"/>
      <c r="K155" s="65"/>
      <c r="L155" s="65"/>
      <c r="M155" s="154"/>
    </row>
    <row r="156" spans="1:13" s="13" customFormat="1" x14ac:dyDescent="0.35">
      <c r="A156" s="396"/>
      <c r="B156" s="17"/>
      <c r="C156" s="65"/>
      <c r="D156" s="17"/>
      <c r="E156" s="17"/>
      <c r="F156" s="65"/>
      <c r="G156" s="65"/>
      <c r="H156" s="17"/>
      <c r="I156" s="191"/>
      <c r="J156" s="17"/>
      <c r="K156" s="65"/>
      <c r="L156" s="65"/>
      <c r="M156" s="154"/>
    </row>
    <row r="157" spans="1:13" s="13" customFormat="1" x14ac:dyDescent="0.35">
      <c r="A157" s="396"/>
      <c r="B157" s="17"/>
      <c r="C157" s="65"/>
      <c r="D157" s="17"/>
      <c r="E157" s="17"/>
      <c r="F157" s="65"/>
      <c r="G157" s="65"/>
      <c r="H157" s="17"/>
      <c r="I157" s="191"/>
      <c r="J157" s="17"/>
      <c r="K157" s="65"/>
      <c r="L157" s="65"/>
      <c r="M157" s="154"/>
    </row>
    <row r="158" spans="1:13" s="13" customFormat="1" x14ac:dyDescent="0.35">
      <c r="A158" s="396"/>
      <c r="B158" s="17"/>
      <c r="C158" s="65"/>
      <c r="D158" s="17"/>
      <c r="E158" s="17"/>
      <c r="F158" s="65"/>
      <c r="G158" s="65"/>
      <c r="H158" s="17"/>
      <c r="I158" s="191"/>
      <c r="J158" s="17"/>
      <c r="K158" s="65"/>
      <c r="L158" s="65"/>
      <c r="M158" s="154"/>
    </row>
    <row r="159" spans="1:13" s="13" customFormat="1" x14ac:dyDescent="0.35">
      <c r="A159" s="396"/>
      <c r="B159" s="17"/>
      <c r="C159" s="65"/>
      <c r="D159" s="17"/>
      <c r="E159" s="17"/>
      <c r="F159" s="65"/>
      <c r="G159" s="65"/>
      <c r="H159" s="17"/>
      <c r="I159" s="191"/>
      <c r="J159" s="17"/>
      <c r="K159" s="65"/>
      <c r="L159" s="65"/>
      <c r="M159" s="154"/>
    </row>
    <row r="160" spans="1:13" s="13" customFormat="1" x14ac:dyDescent="0.35">
      <c r="A160" s="396"/>
      <c r="B160" s="17"/>
      <c r="C160" s="65"/>
      <c r="D160" s="17"/>
      <c r="E160" s="17"/>
      <c r="F160" s="65"/>
      <c r="G160" s="65"/>
      <c r="H160" s="17"/>
      <c r="I160" s="191"/>
      <c r="J160" s="17"/>
      <c r="K160" s="65"/>
      <c r="L160" s="65"/>
      <c r="M160" s="154"/>
    </row>
    <row r="161" spans="1:13" s="13" customFormat="1" x14ac:dyDescent="0.35">
      <c r="A161" s="396"/>
      <c r="B161" s="17"/>
      <c r="C161" s="65"/>
      <c r="D161" s="17"/>
      <c r="E161" s="17"/>
      <c r="F161" s="65"/>
      <c r="G161" s="65"/>
      <c r="H161" s="17"/>
      <c r="I161" s="191"/>
      <c r="J161" s="17"/>
      <c r="K161" s="65"/>
      <c r="L161" s="65"/>
      <c r="M161" s="154"/>
    </row>
    <row r="162" spans="1:13" s="13" customFormat="1" x14ac:dyDescent="0.35">
      <c r="A162" s="396"/>
      <c r="B162" s="17"/>
      <c r="C162" s="65"/>
      <c r="D162" s="17"/>
      <c r="E162" s="17"/>
      <c r="F162" s="65"/>
      <c r="G162" s="65"/>
      <c r="H162" s="17"/>
      <c r="I162" s="191"/>
      <c r="J162" s="17"/>
      <c r="K162" s="65"/>
      <c r="L162" s="65"/>
      <c r="M162" s="154"/>
    </row>
    <row r="163" spans="1:13" s="13" customFormat="1" x14ac:dyDescent="0.35">
      <c r="A163" s="396"/>
      <c r="B163" s="17"/>
      <c r="C163" s="65"/>
      <c r="D163" s="17"/>
      <c r="E163" s="17"/>
      <c r="F163" s="65"/>
      <c r="G163" s="65"/>
      <c r="H163" s="17"/>
      <c r="I163" s="191"/>
      <c r="J163" s="17"/>
      <c r="K163" s="65"/>
      <c r="L163" s="65"/>
      <c r="M163" s="154"/>
    </row>
    <row r="164" spans="1:13" s="13" customFormat="1" x14ac:dyDescent="0.35">
      <c r="A164" s="396"/>
      <c r="B164" s="17"/>
      <c r="C164" s="65"/>
      <c r="D164" s="17"/>
      <c r="E164" s="17"/>
      <c r="F164" s="65"/>
      <c r="G164" s="65"/>
      <c r="H164" s="17"/>
      <c r="I164" s="191"/>
      <c r="J164" s="17"/>
      <c r="K164" s="65"/>
      <c r="L164" s="65"/>
      <c r="M164" s="154"/>
    </row>
    <row r="165" spans="1:13" s="13" customFormat="1" x14ac:dyDescent="0.35">
      <c r="A165" s="396"/>
      <c r="B165" s="17"/>
      <c r="C165" s="65"/>
      <c r="D165" s="17"/>
      <c r="E165" s="17"/>
      <c r="F165" s="65"/>
      <c r="G165" s="65"/>
      <c r="H165" s="17"/>
      <c r="I165" s="191"/>
      <c r="J165" s="17"/>
      <c r="K165" s="65"/>
      <c r="L165" s="65"/>
      <c r="M165" s="154"/>
    </row>
    <row r="166" spans="1:13" s="13" customFormat="1" x14ac:dyDescent="0.35">
      <c r="A166" s="396"/>
      <c r="B166" s="17"/>
      <c r="C166" s="65"/>
      <c r="D166" s="17"/>
      <c r="E166" s="17"/>
      <c r="F166" s="65"/>
      <c r="G166" s="65"/>
      <c r="H166" s="17"/>
      <c r="I166" s="191"/>
      <c r="J166" s="17"/>
      <c r="K166" s="65"/>
      <c r="L166" s="65"/>
      <c r="M166" s="154"/>
    </row>
    <row r="167" spans="1:13" s="13" customFormat="1" x14ac:dyDescent="0.35">
      <c r="A167" s="396"/>
      <c r="B167" s="17"/>
      <c r="C167" s="65"/>
      <c r="D167" s="17"/>
      <c r="E167" s="17"/>
      <c r="F167" s="65"/>
      <c r="G167" s="65"/>
      <c r="H167" s="17"/>
      <c r="I167" s="191"/>
      <c r="J167" s="17"/>
      <c r="K167" s="65"/>
      <c r="L167" s="65"/>
      <c r="M167" s="154"/>
    </row>
    <row r="168" spans="1:13" s="13" customFormat="1" x14ac:dyDescent="0.35">
      <c r="A168" s="396"/>
      <c r="B168" s="17"/>
      <c r="C168" s="65"/>
      <c r="D168" s="17"/>
      <c r="E168" s="17"/>
      <c r="F168" s="65"/>
      <c r="G168" s="65"/>
      <c r="H168" s="17"/>
      <c r="I168" s="191"/>
      <c r="J168" s="17"/>
      <c r="K168" s="65"/>
      <c r="L168" s="65"/>
      <c r="M168" s="154"/>
    </row>
    <row r="169" spans="1:13" s="13" customFormat="1" x14ac:dyDescent="0.35">
      <c r="A169" s="396"/>
      <c r="B169" s="17"/>
      <c r="C169" s="65"/>
      <c r="D169" s="17"/>
      <c r="E169" s="17"/>
      <c r="F169" s="65"/>
      <c r="G169" s="65"/>
      <c r="H169" s="17"/>
      <c r="I169" s="191"/>
      <c r="J169" s="17"/>
      <c r="K169" s="65"/>
      <c r="L169" s="65"/>
      <c r="M169" s="154"/>
    </row>
    <row r="170" spans="1:13" s="13" customFormat="1" x14ac:dyDescent="0.35">
      <c r="A170" s="396"/>
      <c r="B170" s="17"/>
      <c r="C170" s="65"/>
      <c r="D170" s="17"/>
      <c r="E170" s="17"/>
      <c r="F170" s="65"/>
      <c r="G170" s="65"/>
      <c r="H170" s="17"/>
      <c r="I170" s="191"/>
      <c r="J170" s="17"/>
      <c r="K170" s="65"/>
      <c r="L170" s="65"/>
      <c r="M170" s="154"/>
    </row>
    <row r="171" spans="1:13" s="13" customFormat="1" x14ac:dyDescent="0.35">
      <c r="A171" s="396"/>
      <c r="B171" s="17"/>
      <c r="C171" s="65"/>
      <c r="D171" s="17"/>
      <c r="E171" s="17"/>
      <c r="F171" s="65"/>
      <c r="G171" s="65"/>
      <c r="H171" s="17"/>
      <c r="I171" s="191"/>
      <c r="J171" s="17"/>
      <c r="K171" s="65"/>
      <c r="L171" s="65"/>
      <c r="M171" s="154"/>
    </row>
    <row r="172" spans="1:13" s="13" customFormat="1" x14ac:dyDescent="0.35">
      <c r="A172" s="396"/>
      <c r="B172" s="17"/>
      <c r="C172" s="65"/>
      <c r="D172" s="17"/>
      <c r="E172" s="17"/>
      <c r="F172" s="65"/>
      <c r="G172" s="65"/>
      <c r="H172" s="17"/>
      <c r="I172" s="191"/>
      <c r="J172" s="17"/>
      <c r="K172" s="65"/>
      <c r="L172" s="65"/>
      <c r="M172" s="154"/>
    </row>
    <row r="173" spans="1:13" s="13" customFormat="1" x14ac:dyDescent="0.35">
      <c r="A173" s="396"/>
      <c r="B173" s="17"/>
      <c r="C173" s="65"/>
      <c r="D173" s="17"/>
      <c r="E173" s="17"/>
      <c r="F173" s="65"/>
      <c r="G173" s="65"/>
      <c r="H173" s="17"/>
      <c r="I173" s="191"/>
      <c r="J173" s="17"/>
      <c r="K173" s="65"/>
      <c r="L173" s="65"/>
      <c r="M173" s="154"/>
    </row>
    <row r="174" spans="1:13" s="13" customFormat="1" x14ac:dyDescent="0.35">
      <c r="A174" s="396"/>
      <c r="B174" s="17"/>
      <c r="C174" s="65"/>
      <c r="D174" s="17"/>
      <c r="E174" s="17"/>
      <c r="F174" s="65"/>
      <c r="G174" s="65"/>
      <c r="H174" s="17"/>
      <c r="I174" s="191"/>
      <c r="J174" s="17"/>
      <c r="K174" s="65"/>
      <c r="L174" s="65"/>
      <c r="M174" s="154"/>
    </row>
    <row r="175" spans="1:13" s="13" customFormat="1" x14ac:dyDescent="0.35">
      <c r="A175" s="396"/>
      <c r="B175" s="17"/>
      <c r="C175" s="65"/>
      <c r="D175" s="17"/>
      <c r="E175" s="17"/>
      <c r="F175" s="65"/>
      <c r="G175" s="65"/>
      <c r="H175" s="17"/>
      <c r="I175" s="191"/>
      <c r="J175" s="17"/>
      <c r="K175" s="65"/>
      <c r="L175" s="65"/>
      <c r="M175" s="154"/>
    </row>
    <row r="176" spans="1:13" s="13" customFormat="1" x14ac:dyDescent="0.35">
      <c r="A176" s="396"/>
      <c r="B176" s="17"/>
      <c r="C176" s="65"/>
      <c r="D176" s="17"/>
      <c r="E176" s="17"/>
      <c r="F176" s="65"/>
      <c r="G176" s="65"/>
      <c r="H176" s="17"/>
      <c r="I176" s="191"/>
      <c r="J176" s="17"/>
      <c r="K176" s="65"/>
      <c r="L176" s="65"/>
      <c r="M176" s="154"/>
    </row>
    <row r="177" spans="1:13" s="13" customFormat="1" x14ac:dyDescent="0.35">
      <c r="A177" s="396"/>
      <c r="B177" s="17"/>
      <c r="C177" s="65"/>
      <c r="D177" s="17"/>
      <c r="E177" s="17"/>
      <c r="F177" s="65"/>
      <c r="G177" s="65"/>
      <c r="H177" s="17"/>
      <c r="I177" s="191"/>
      <c r="J177" s="17"/>
      <c r="K177" s="65"/>
      <c r="L177" s="65"/>
      <c r="M177" s="154"/>
    </row>
    <row r="178" spans="1:13" s="13" customFormat="1" x14ac:dyDescent="0.35">
      <c r="A178" s="396"/>
      <c r="B178" s="17"/>
      <c r="C178" s="65"/>
      <c r="D178" s="17"/>
      <c r="E178" s="17"/>
      <c r="F178" s="65"/>
      <c r="G178" s="65"/>
      <c r="H178" s="17"/>
      <c r="I178" s="191"/>
      <c r="J178" s="17"/>
      <c r="K178" s="65"/>
      <c r="L178" s="65"/>
      <c r="M178" s="154"/>
    </row>
    <row r="179" spans="1:13" s="13" customFormat="1" x14ac:dyDescent="0.35">
      <c r="A179" s="395"/>
      <c r="B179" s="22"/>
      <c r="C179" s="121"/>
      <c r="D179" s="22"/>
      <c r="E179" s="22"/>
      <c r="F179" s="121"/>
      <c r="G179" s="121"/>
      <c r="H179" s="22"/>
      <c r="I179" s="139"/>
      <c r="J179" s="22"/>
      <c r="K179" s="121"/>
      <c r="L179" s="121"/>
      <c r="M179" s="194"/>
    </row>
  </sheetData>
  <hyperlinks>
    <hyperlink ref="D24" r:id="rId1" xr:uid="{00000000-0004-0000-1100-000000000000}"/>
    <hyperlink ref="D27" r:id="rId2" xr:uid="{00000000-0004-0000-1100-000001000000}"/>
    <hyperlink ref="D28" r:id="rId3" xr:uid="{00000000-0004-0000-1100-000002000000}"/>
    <hyperlink ref="C29" r:id="rId4" xr:uid="{00000000-0004-0000-1100-000003000000}"/>
    <hyperlink ref="D79" r:id="rId5" xr:uid="{00000000-0004-0000-1100-000004000000}"/>
    <hyperlink ref="D81" r:id="rId6" xr:uid="{00000000-0004-0000-1100-000005000000}"/>
    <hyperlink ref="D91" r:id="rId7" xr:uid="{00000000-0004-0000-1100-000006000000}"/>
    <hyperlink ref="D99" r:id="rId8" xr:uid="{00000000-0004-0000-1100-000007000000}"/>
    <hyperlink ref="D102" r:id="rId9" xr:uid="{00000000-0004-0000-1100-000008000000}"/>
    <hyperlink ref="D115" r:id="rId10" xr:uid="{00000000-0004-0000-1100-000009000000}"/>
  </hyperlinks>
  <pageMargins left="0.7" right="0.7" top="0.75" bottom="0.75" header="0.51180555555555496" footer="0.51180555555555496"/>
  <pageSetup paperSize="9" firstPageNumber="0" orientation="portrait" horizontalDpi="300" verticalDpi="300" r:id="rId11"/>
  <tableParts count="1">
    <tablePart r:id="rId1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pageSetUpPr fitToPage="1"/>
  </sheetPr>
  <dimension ref="A1:AMK299"/>
  <sheetViews>
    <sheetView topLeftCell="A52" zoomScale="55" zoomScaleNormal="55" workbookViewId="0">
      <selection activeCell="H119" sqref="H119"/>
    </sheetView>
  </sheetViews>
  <sheetFormatPr defaultColWidth="8.453125" defaultRowHeight="14.5" x14ac:dyDescent="0.35"/>
  <cols>
    <col min="1" max="1" width="10.453125" style="390" customWidth="1"/>
    <col min="2" max="2" width="31.453125" style="390" customWidth="1"/>
    <col min="3" max="3" width="17.453125" style="390" customWidth="1"/>
    <col min="4" max="4" width="14.453125" style="390" customWidth="1"/>
    <col min="5" max="5" width="87.54296875" style="390" customWidth="1"/>
    <col min="6" max="6" width="8.453125" style="390"/>
    <col min="7" max="7" width="11.453125" style="390" customWidth="1"/>
    <col min="8" max="8" width="29.453125" style="390" customWidth="1"/>
    <col min="9" max="9" width="13.54296875" style="390" customWidth="1"/>
    <col min="10" max="10" width="28.54296875" style="390" customWidth="1"/>
    <col min="11" max="11" width="23.54296875" style="390" customWidth="1"/>
    <col min="12" max="12" width="25.453125" style="390" customWidth="1"/>
    <col min="13" max="13" width="8.453125" style="390" customWidth="1"/>
    <col min="14" max="14" width="33.453125" style="390" customWidth="1"/>
    <col min="15" max="15" width="12.54296875" style="390" customWidth="1"/>
    <col min="16" max="16" width="26.453125" style="390" customWidth="1"/>
    <col min="17" max="1025" width="8.453125" style="390" customWidth="1"/>
    <col min="1026" max="16384" width="8.453125" style="13"/>
  </cols>
  <sheetData>
    <row r="1" spans="1:17" s="13" customFormat="1" x14ac:dyDescent="0.35">
      <c r="A1" s="749" t="s">
        <v>0</v>
      </c>
      <c r="B1" s="743" t="s">
        <v>2085</v>
      </c>
      <c r="C1" s="748" t="s">
        <v>2084</v>
      </c>
      <c r="D1" s="747" t="s">
        <v>2083</v>
      </c>
      <c r="E1" s="744" t="s">
        <v>2</v>
      </c>
      <c r="F1" s="746" t="s">
        <v>1466</v>
      </c>
      <c r="G1" s="745" t="s">
        <v>3041</v>
      </c>
      <c r="H1" s="744" t="s">
        <v>3040</v>
      </c>
      <c r="I1" s="744" t="s">
        <v>8</v>
      </c>
      <c r="J1" s="744" t="s">
        <v>9</v>
      </c>
      <c r="K1" s="744" t="s">
        <v>3039</v>
      </c>
      <c r="L1" s="743" t="s">
        <v>3038</v>
      </c>
      <c r="M1" s="742"/>
      <c r="N1" s="742"/>
      <c r="O1" s="742"/>
      <c r="P1" s="742"/>
      <c r="Q1" s="742"/>
    </row>
    <row r="2" spans="1:17" s="13" customFormat="1" ht="29" x14ac:dyDescent="0.35">
      <c r="A2" s="660">
        <v>28</v>
      </c>
      <c r="B2" s="392" t="s">
        <v>3037</v>
      </c>
      <c r="C2" s="730" t="s">
        <v>3036</v>
      </c>
      <c r="D2" s="728" t="s">
        <v>224</v>
      </c>
      <c r="E2" s="508" t="s">
        <v>2984</v>
      </c>
      <c r="F2" s="660">
        <v>43497</v>
      </c>
      <c r="G2" s="729">
        <v>0.45833333333333298</v>
      </c>
      <c r="H2" s="741" t="s">
        <v>3035</v>
      </c>
      <c r="I2" s="529">
        <v>0</v>
      </c>
      <c r="J2" s="508">
        <v>0</v>
      </c>
      <c r="K2" s="491" t="s">
        <v>2662</v>
      </c>
      <c r="L2" s="392"/>
      <c r="M2" s="390"/>
      <c r="N2" s="394" t="s">
        <v>3034</v>
      </c>
      <c r="O2" s="394"/>
      <c r="P2" s="394" t="s">
        <v>3033</v>
      </c>
      <c r="Q2" s="390"/>
    </row>
    <row r="3" spans="1:17" s="13" customFormat="1" x14ac:dyDescent="0.35">
      <c r="A3" s="660">
        <v>28</v>
      </c>
      <c r="B3" s="392" t="s">
        <v>3032</v>
      </c>
      <c r="C3" s="730" t="s">
        <v>3031</v>
      </c>
      <c r="D3" s="728" t="s">
        <v>224</v>
      </c>
      <c r="E3" s="508" t="s">
        <v>2984</v>
      </c>
      <c r="F3" s="660">
        <v>43497</v>
      </c>
      <c r="G3" s="729">
        <v>0.45833333333333298</v>
      </c>
      <c r="H3" s="508" t="s">
        <v>3030</v>
      </c>
      <c r="I3" s="529">
        <v>0</v>
      </c>
      <c r="J3" s="508">
        <v>0</v>
      </c>
      <c r="K3" s="491" t="s">
        <v>2662</v>
      </c>
      <c r="L3" s="392"/>
      <c r="M3" s="390"/>
      <c r="N3" s="394"/>
      <c r="O3" s="394"/>
      <c r="P3" s="394"/>
      <c r="Q3" s="390"/>
    </row>
    <row r="4" spans="1:17" s="13" customFormat="1" ht="36" customHeight="1" x14ac:dyDescent="0.35">
      <c r="A4" s="660">
        <v>43492</v>
      </c>
      <c r="B4" s="392" t="s">
        <v>2991</v>
      </c>
      <c r="C4" s="730" t="s">
        <v>1950</v>
      </c>
      <c r="D4" s="728" t="s">
        <v>2990</v>
      </c>
      <c r="E4" s="508" t="s">
        <v>2989</v>
      </c>
      <c r="F4" s="660">
        <v>43497</v>
      </c>
      <c r="G4" s="729">
        <v>0.5</v>
      </c>
      <c r="H4" s="508" t="s">
        <v>2988</v>
      </c>
      <c r="I4" s="529">
        <v>300</v>
      </c>
      <c r="J4" s="508" t="s">
        <v>2987</v>
      </c>
      <c r="K4" s="491" t="s">
        <v>2662</v>
      </c>
      <c r="L4" s="392"/>
      <c r="M4" s="390"/>
      <c r="N4" s="394">
        <f>COUNTIF(K2:K248,"Nu Am Primit")</f>
        <v>58</v>
      </c>
      <c r="O4" s="394"/>
      <c r="P4" s="394">
        <f>COUNTIF(L2:L248,"Nu Am Primit")</f>
        <v>0</v>
      </c>
      <c r="Q4" s="390"/>
    </row>
    <row r="5" spans="1:17" s="13" customFormat="1" ht="33.65" customHeight="1" x14ac:dyDescent="0.35">
      <c r="A5" s="660" t="s">
        <v>3029</v>
      </c>
      <c r="B5" s="392" t="s">
        <v>3028</v>
      </c>
      <c r="C5" s="730" t="s">
        <v>224</v>
      </c>
      <c r="D5" s="728" t="s">
        <v>224</v>
      </c>
      <c r="E5" s="508" t="s">
        <v>3027</v>
      </c>
      <c r="F5" s="660">
        <v>43497</v>
      </c>
      <c r="G5" s="729">
        <v>0.66666666666666696</v>
      </c>
      <c r="H5" s="508" t="s">
        <v>2993</v>
      </c>
      <c r="I5" s="529">
        <v>0</v>
      </c>
      <c r="J5" s="508">
        <v>0</v>
      </c>
      <c r="K5" s="491" t="s">
        <v>2662</v>
      </c>
      <c r="L5" s="392"/>
      <c r="M5" s="390"/>
      <c r="N5" s="390"/>
      <c r="O5" s="390"/>
      <c r="P5" s="390"/>
      <c r="Q5" s="390"/>
    </row>
    <row r="6" spans="1:17" s="13" customFormat="1" ht="33.65" customHeight="1" x14ac:dyDescent="0.35">
      <c r="A6" s="660" t="s">
        <v>3026</v>
      </c>
      <c r="B6" s="392" t="s">
        <v>3025</v>
      </c>
      <c r="C6" s="730" t="s">
        <v>224</v>
      </c>
      <c r="D6" s="728" t="s">
        <v>224</v>
      </c>
      <c r="E6" s="508" t="s">
        <v>3024</v>
      </c>
      <c r="F6" s="660">
        <v>43497</v>
      </c>
      <c r="G6" s="729">
        <v>0.39583333333333298</v>
      </c>
      <c r="H6" s="508" t="s">
        <v>3023</v>
      </c>
      <c r="I6" s="529">
        <v>0</v>
      </c>
      <c r="J6" s="508">
        <v>0</v>
      </c>
      <c r="K6" s="491" t="s">
        <v>2662</v>
      </c>
      <c r="L6" s="392"/>
      <c r="M6" s="390"/>
      <c r="N6" s="390"/>
      <c r="O6" s="390"/>
      <c r="P6" s="390"/>
      <c r="Q6" s="390"/>
    </row>
    <row r="7" spans="1:17" s="673" customFormat="1" ht="33.65" customHeight="1" x14ac:dyDescent="0.35">
      <c r="A7" s="659">
        <v>28</v>
      </c>
      <c r="B7" s="552" t="s">
        <v>2894</v>
      </c>
      <c r="C7" s="653" t="s">
        <v>2893</v>
      </c>
      <c r="D7" s="547" t="s">
        <v>2892</v>
      </c>
      <c r="E7" s="563" t="s">
        <v>3022</v>
      </c>
      <c r="F7" s="659">
        <v>43499</v>
      </c>
      <c r="G7" s="658">
        <v>0.5</v>
      </c>
      <c r="H7" s="563" t="s">
        <v>2890</v>
      </c>
      <c r="I7" s="703">
        <v>226</v>
      </c>
      <c r="J7" s="563" t="s">
        <v>3021</v>
      </c>
      <c r="K7" s="491" t="s">
        <v>2662</v>
      </c>
      <c r="L7" s="552"/>
    </row>
    <row r="8" spans="1:17" s="673" customFormat="1" x14ac:dyDescent="0.35">
      <c r="A8" s="659" t="s">
        <v>3020</v>
      </c>
      <c r="B8" s="552" t="s">
        <v>3019</v>
      </c>
      <c r="C8" s="653" t="s">
        <v>2995</v>
      </c>
      <c r="D8" s="547" t="s">
        <v>224</v>
      </c>
      <c r="E8" s="563" t="s">
        <v>3018</v>
      </c>
      <c r="F8" s="659">
        <v>43500</v>
      </c>
      <c r="G8" s="658">
        <v>0.58333333333333304</v>
      </c>
      <c r="H8" s="563" t="s">
        <v>1387</v>
      </c>
      <c r="I8" s="703">
        <v>320</v>
      </c>
      <c r="J8" s="563" t="s">
        <v>2900</v>
      </c>
      <c r="K8" s="491" t="s">
        <v>2662</v>
      </c>
      <c r="L8" s="552"/>
      <c r="N8" s="504" t="s">
        <v>3017</v>
      </c>
      <c r="O8" s="504" t="s">
        <v>3016</v>
      </c>
    </row>
    <row r="9" spans="1:17" s="490" customFormat="1" x14ac:dyDescent="0.35">
      <c r="A9" s="659">
        <v>43500</v>
      </c>
      <c r="B9" s="552" t="s">
        <v>2811</v>
      </c>
      <c r="C9" s="653" t="s">
        <v>224</v>
      </c>
      <c r="D9" s="547" t="s">
        <v>224</v>
      </c>
      <c r="E9" s="563" t="s">
        <v>2810</v>
      </c>
      <c r="F9" s="659">
        <v>43501</v>
      </c>
      <c r="G9" s="658">
        <v>0.375</v>
      </c>
      <c r="H9" s="563" t="s">
        <v>2809</v>
      </c>
      <c r="I9" s="703" t="s">
        <v>224</v>
      </c>
      <c r="J9" s="563" t="s">
        <v>224</v>
      </c>
      <c r="K9" s="491" t="s">
        <v>2662</v>
      </c>
      <c r="L9" s="552"/>
      <c r="N9" s="577"/>
      <c r="O9" s="577"/>
    </row>
    <row r="10" spans="1:17" s="673" customFormat="1" ht="16.5" customHeight="1" x14ac:dyDescent="0.35">
      <c r="A10" s="659">
        <v>43500</v>
      </c>
      <c r="B10" s="552" t="s">
        <v>2174</v>
      </c>
      <c r="C10" s="653" t="s">
        <v>1841</v>
      </c>
      <c r="D10" s="547" t="s">
        <v>15</v>
      </c>
      <c r="E10" s="563" t="s">
        <v>3015</v>
      </c>
      <c r="F10" s="659">
        <v>43501</v>
      </c>
      <c r="G10" s="658">
        <v>0.41666666666666702</v>
      </c>
      <c r="H10" s="563" t="s">
        <v>2988</v>
      </c>
      <c r="I10" s="703">
        <v>94</v>
      </c>
      <c r="J10" s="563" t="s">
        <v>2791</v>
      </c>
      <c r="K10" s="491" t="s">
        <v>2662</v>
      </c>
      <c r="L10" s="552"/>
      <c r="N10" s="504" t="s">
        <v>516</v>
      </c>
      <c r="O10" s="735">
        <f>SUM(I2:I18)/4.66</f>
        <v>276.82403433476395</v>
      </c>
    </row>
    <row r="11" spans="1:17" s="673" customFormat="1" ht="43.5" x14ac:dyDescent="0.35">
      <c r="A11" s="659">
        <v>43500</v>
      </c>
      <c r="B11" s="552" t="s">
        <v>3014</v>
      </c>
      <c r="C11" s="653" t="s">
        <v>3013</v>
      </c>
      <c r="D11" s="547"/>
      <c r="E11" s="563" t="s">
        <v>3012</v>
      </c>
      <c r="F11" s="659">
        <v>43501</v>
      </c>
      <c r="G11" s="658">
        <v>0.5</v>
      </c>
      <c r="H11" s="563" t="s">
        <v>3011</v>
      </c>
      <c r="I11" s="703">
        <v>100</v>
      </c>
      <c r="J11" s="563" t="s">
        <v>2791</v>
      </c>
      <c r="K11" s="491" t="s">
        <v>2662</v>
      </c>
      <c r="L11" s="552"/>
      <c r="N11" s="740"/>
      <c r="O11" s="739"/>
    </row>
    <row r="12" spans="1:17" s="673" customFormat="1" x14ac:dyDescent="0.35">
      <c r="A12" s="659"/>
      <c r="B12" s="552" t="s">
        <v>3010</v>
      </c>
      <c r="C12" s="653" t="s">
        <v>224</v>
      </c>
      <c r="D12" s="547" t="s">
        <v>224</v>
      </c>
      <c r="E12" s="563" t="s">
        <v>3009</v>
      </c>
      <c r="F12" s="659">
        <v>43501</v>
      </c>
      <c r="G12" s="658">
        <v>0.58333333333333304</v>
      </c>
      <c r="H12" s="563" t="s">
        <v>2514</v>
      </c>
      <c r="I12" s="703">
        <v>0</v>
      </c>
      <c r="J12" s="563">
        <v>0</v>
      </c>
      <c r="K12" s="491" t="s">
        <v>2662</v>
      </c>
      <c r="L12" s="552"/>
      <c r="N12" s="740"/>
      <c r="O12" s="739"/>
    </row>
    <row r="13" spans="1:17" s="673" customFormat="1" x14ac:dyDescent="0.35">
      <c r="A13" s="659">
        <v>43500</v>
      </c>
      <c r="B13" s="552" t="s">
        <v>697</v>
      </c>
      <c r="C13" s="653" t="s">
        <v>15</v>
      </c>
      <c r="D13" s="547" t="s">
        <v>15</v>
      </c>
      <c r="E13" s="563" t="s">
        <v>3008</v>
      </c>
      <c r="F13" s="659">
        <v>43502</v>
      </c>
      <c r="G13" s="658">
        <v>0.58333333333333304</v>
      </c>
      <c r="H13" s="563" t="s">
        <v>2034</v>
      </c>
      <c r="I13" s="703">
        <v>0</v>
      </c>
      <c r="J13" s="563" t="s">
        <v>15</v>
      </c>
      <c r="K13" s="491" t="s">
        <v>2662</v>
      </c>
      <c r="L13" s="552"/>
      <c r="N13" s="504" t="s">
        <v>515</v>
      </c>
      <c r="O13" s="735">
        <f>SUM(I19:I48)/4.66</f>
        <v>1602.7896995708154</v>
      </c>
    </row>
    <row r="14" spans="1:17" s="673" customFormat="1" ht="58" x14ac:dyDescent="0.35">
      <c r="A14" s="659">
        <v>43501</v>
      </c>
      <c r="B14" s="552" t="s">
        <v>3007</v>
      </c>
      <c r="C14" s="653" t="s">
        <v>3006</v>
      </c>
      <c r="D14" s="547" t="s">
        <v>15</v>
      </c>
      <c r="E14" s="563" t="s">
        <v>3002</v>
      </c>
      <c r="F14" s="659">
        <v>43502</v>
      </c>
      <c r="G14" s="658">
        <v>0.70833333333333304</v>
      </c>
      <c r="H14" s="563" t="s">
        <v>3005</v>
      </c>
      <c r="I14" s="703">
        <v>100</v>
      </c>
      <c r="J14" s="563" t="s">
        <v>2791</v>
      </c>
      <c r="K14" s="491" t="s">
        <v>2662</v>
      </c>
      <c r="L14" s="552"/>
      <c r="N14" s="504" t="s">
        <v>514</v>
      </c>
      <c r="O14" s="735">
        <f>SUM(I49:I74)/4.66</f>
        <v>587.55364806866953</v>
      </c>
    </row>
    <row r="15" spans="1:17" s="673" customFormat="1" ht="43.5" x14ac:dyDescent="0.35">
      <c r="A15" s="659">
        <v>43501</v>
      </c>
      <c r="B15" s="552" t="s">
        <v>3004</v>
      </c>
      <c r="C15" s="653" t="s">
        <v>3003</v>
      </c>
      <c r="D15" s="547" t="s">
        <v>15</v>
      </c>
      <c r="E15" s="563" t="s">
        <v>3002</v>
      </c>
      <c r="F15" s="659">
        <v>43502</v>
      </c>
      <c r="G15" s="658">
        <v>0.60416666666666696</v>
      </c>
      <c r="H15" s="563" t="s">
        <v>3001</v>
      </c>
      <c r="I15" s="703">
        <v>100</v>
      </c>
      <c r="J15" s="563" t="s">
        <v>2791</v>
      </c>
      <c r="K15" s="491" t="s">
        <v>2662</v>
      </c>
      <c r="L15" s="552"/>
      <c r="N15" s="504" t="s">
        <v>513</v>
      </c>
      <c r="O15" s="735">
        <f>SUM(I76:I113)/4.66</f>
        <v>1944.3133047210299</v>
      </c>
    </row>
    <row r="16" spans="1:17" s="673" customFormat="1" ht="72.5" x14ac:dyDescent="0.35">
      <c r="A16" s="659">
        <v>43501</v>
      </c>
      <c r="B16" s="552" t="s">
        <v>3000</v>
      </c>
      <c r="C16" s="653" t="s">
        <v>1950</v>
      </c>
      <c r="D16" s="547" t="s">
        <v>15</v>
      </c>
      <c r="E16" s="563" t="s">
        <v>2999</v>
      </c>
      <c r="F16" s="659">
        <v>43502</v>
      </c>
      <c r="G16" s="658">
        <v>0.72916666666666696</v>
      </c>
      <c r="H16" s="563" t="s">
        <v>2998</v>
      </c>
      <c r="I16" s="703">
        <v>50</v>
      </c>
      <c r="J16" s="563" t="s">
        <v>2997</v>
      </c>
      <c r="K16" s="491" t="s">
        <v>2662</v>
      </c>
      <c r="L16" s="552"/>
      <c r="N16" s="504"/>
      <c r="O16" s="735"/>
    </row>
    <row r="17" spans="1:15" s="13" customFormat="1" x14ac:dyDescent="0.35">
      <c r="A17" s="659">
        <v>43500</v>
      </c>
      <c r="B17" s="504" t="s">
        <v>2811</v>
      </c>
      <c r="C17" s="738" t="s">
        <v>224</v>
      </c>
      <c r="D17" s="547" t="s">
        <v>224</v>
      </c>
      <c r="E17" s="563" t="s">
        <v>2810</v>
      </c>
      <c r="F17" s="659">
        <v>43503</v>
      </c>
      <c r="G17" s="658">
        <v>0.375</v>
      </c>
      <c r="H17" s="563" t="s">
        <v>2809</v>
      </c>
      <c r="I17" s="703">
        <v>0</v>
      </c>
      <c r="J17" s="563">
        <v>0</v>
      </c>
      <c r="K17" s="491" t="s">
        <v>2662</v>
      </c>
      <c r="L17" s="552"/>
      <c r="M17" s="390"/>
      <c r="N17" s="394"/>
      <c r="O17" s="737"/>
    </row>
    <row r="18" spans="1:15" s="673" customFormat="1" x14ac:dyDescent="0.35">
      <c r="A18" s="660" t="s">
        <v>224</v>
      </c>
      <c r="B18" s="392" t="s">
        <v>2996</v>
      </c>
      <c r="C18" s="730" t="s">
        <v>224</v>
      </c>
      <c r="D18" s="728" t="s">
        <v>2995</v>
      </c>
      <c r="E18" s="508" t="s">
        <v>2994</v>
      </c>
      <c r="F18" s="660">
        <v>43503</v>
      </c>
      <c r="G18" s="729">
        <v>0.66666666666666696</v>
      </c>
      <c r="H18" s="508" t="s">
        <v>2993</v>
      </c>
      <c r="I18" s="529">
        <v>0</v>
      </c>
      <c r="J18" s="508">
        <v>0</v>
      </c>
      <c r="K18" s="491" t="s">
        <v>2662</v>
      </c>
      <c r="L18" s="392"/>
      <c r="N18" s="504" t="s">
        <v>2992</v>
      </c>
      <c r="O18" s="735">
        <f>SUM(I2:I113)/4.66</f>
        <v>4497.3175965665232</v>
      </c>
    </row>
    <row r="19" spans="1:15" s="673" customFormat="1" x14ac:dyDescent="0.35">
      <c r="A19" s="659">
        <v>43492</v>
      </c>
      <c r="B19" s="552" t="s">
        <v>2991</v>
      </c>
      <c r="C19" s="653" t="s">
        <v>1950</v>
      </c>
      <c r="D19" s="736" t="s">
        <v>2990</v>
      </c>
      <c r="E19" s="563" t="s">
        <v>2989</v>
      </c>
      <c r="F19" s="659">
        <v>43504</v>
      </c>
      <c r="G19" s="658">
        <v>0.5</v>
      </c>
      <c r="H19" s="563" t="s">
        <v>2988</v>
      </c>
      <c r="I19" s="703">
        <v>0</v>
      </c>
      <c r="J19" s="563" t="s">
        <v>2987</v>
      </c>
      <c r="K19" s="491" t="s">
        <v>2662</v>
      </c>
      <c r="L19" s="552"/>
      <c r="N19" s="504"/>
      <c r="O19" s="735"/>
    </row>
    <row r="20" spans="1:15" s="673" customFormat="1" ht="43.5" x14ac:dyDescent="0.35">
      <c r="A20" s="659">
        <v>43501</v>
      </c>
      <c r="B20" s="672" t="s">
        <v>2986</v>
      </c>
      <c r="C20" s="704" t="s">
        <v>2985</v>
      </c>
      <c r="D20" s="736" t="s">
        <v>224</v>
      </c>
      <c r="E20" s="563" t="s">
        <v>2984</v>
      </c>
      <c r="F20" s="659">
        <v>43504</v>
      </c>
      <c r="G20" s="658">
        <v>0.75</v>
      </c>
      <c r="H20" s="563" t="s">
        <v>2983</v>
      </c>
      <c r="I20" s="703">
        <v>0</v>
      </c>
      <c r="J20" s="563">
        <v>0</v>
      </c>
      <c r="K20" s="491" t="s">
        <v>2662</v>
      </c>
      <c r="L20" s="552"/>
      <c r="N20" s="504"/>
      <c r="O20" s="735"/>
    </row>
    <row r="21" spans="1:15" s="673" customFormat="1" x14ac:dyDescent="0.35">
      <c r="A21" s="659">
        <v>43501</v>
      </c>
      <c r="B21" s="552" t="s">
        <v>1486</v>
      </c>
      <c r="C21" s="653" t="s">
        <v>1854</v>
      </c>
      <c r="D21" s="736" t="s">
        <v>15</v>
      </c>
      <c r="E21" s="563" t="s">
        <v>2982</v>
      </c>
      <c r="F21" s="659">
        <v>43504</v>
      </c>
      <c r="G21" s="658">
        <v>0.625</v>
      </c>
      <c r="H21" s="563" t="s">
        <v>2981</v>
      </c>
      <c r="I21" s="703">
        <v>100</v>
      </c>
      <c r="J21" s="563">
        <v>0</v>
      </c>
      <c r="K21" s="491" t="s">
        <v>2662</v>
      </c>
      <c r="L21" s="552"/>
      <c r="N21" s="504"/>
      <c r="O21" s="735"/>
    </row>
    <row r="22" spans="1:15" s="673" customFormat="1" x14ac:dyDescent="0.35">
      <c r="A22" s="659">
        <v>43502</v>
      </c>
      <c r="B22" s="552" t="s">
        <v>2980</v>
      </c>
      <c r="C22" s="653"/>
      <c r="D22" s="736"/>
      <c r="E22" s="563" t="s">
        <v>2979</v>
      </c>
      <c r="F22" s="659">
        <v>43504</v>
      </c>
      <c r="G22" s="658">
        <v>0.45833333333333298</v>
      </c>
      <c r="H22" s="563" t="s">
        <v>2978</v>
      </c>
      <c r="I22" s="703">
        <v>0</v>
      </c>
      <c r="J22" s="563">
        <v>0</v>
      </c>
      <c r="K22" s="491" t="s">
        <v>2662</v>
      </c>
      <c r="L22" s="552"/>
      <c r="N22" s="504"/>
      <c r="O22" s="735"/>
    </row>
    <row r="23" spans="1:15" s="673" customFormat="1" x14ac:dyDescent="0.35">
      <c r="A23" s="659">
        <v>43526</v>
      </c>
      <c r="B23" s="552" t="s">
        <v>2977</v>
      </c>
      <c r="C23" s="653" t="s">
        <v>224</v>
      </c>
      <c r="D23" s="736" t="s">
        <v>224</v>
      </c>
      <c r="E23" s="563" t="s">
        <v>2839</v>
      </c>
      <c r="F23" s="659">
        <v>43504</v>
      </c>
      <c r="G23" s="658">
        <v>0.70833333333333304</v>
      </c>
      <c r="H23" s="563" t="s">
        <v>2976</v>
      </c>
      <c r="I23" s="703">
        <v>0</v>
      </c>
      <c r="J23" s="563">
        <v>0</v>
      </c>
      <c r="K23" s="491" t="s">
        <v>2662</v>
      </c>
      <c r="L23" s="552"/>
      <c r="N23" s="504"/>
      <c r="O23" s="735"/>
    </row>
    <row r="24" spans="1:15" s="673" customFormat="1" ht="29" x14ac:dyDescent="0.35">
      <c r="A24" s="659">
        <v>43502</v>
      </c>
      <c r="B24" s="552" t="s">
        <v>2975</v>
      </c>
      <c r="C24" s="653" t="s">
        <v>2974</v>
      </c>
      <c r="D24" s="547"/>
      <c r="E24" s="563" t="s">
        <v>2973</v>
      </c>
      <c r="F24" s="659">
        <v>43505</v>
      </c>
      <c r="G24" s="658">
        <v>0.48958333333333298</v>
      </c>
      <c r="H24" s="563" t="s">
        <v>2972</v>
      </c>
      <c r="I24" s="703">
        <v>170</v>
      </c>
      <c r="J24" s="563" t="s">
        <v>1921</v>
      </c>
      <c r="K24" s="491" t="s">
        <v>2662</v>
      </c>
      <c r="L24" s="552"/>
      <c r="N24" s="504"/>
      <c r="O24" s="735"/>
    </row>
    <row r="25" spans="1:15" s="673" customFormat="1" x14ac:dyDescent="0.35">
      <c r="A25" s="659">
        <v>43503</v>
      </c>
      <c r="B25" s="552" t="s">
        <v>2724</v>
      </c>
      <c r="C25" s="653" t="s">
        <v>15</v>
      </c>
      <c r="D25" s="547" t="s">
        <v>15</v>
      </c>
      <c r="E25" s="563" t="s">
        <v>2971</v>
      </c>
      <c r="F25" s="659">
        <v>43505</v>
      </c>
      <c r="G25" s="658">
        <v>0.5</v>
      </c>
      <c r="H25" s="563" t="s">
        <v>2970</v>
      </c>
      <c r="I25" s="703">
        <v>130</v>
      </c>
      <c r="J25" s="563" t="s">
        <v>2969</v>
      </c>
      <c r="K25" s="491" t="s">
        <v>2662</v>
      </c>
      <c r="L25" s="552"/>
      <c r="N25" s="504"/>
      <c r="O25" s="735"/>
    </row>
    <row r="26" spans="1:15" s="673" customFormat="1" ht="29" x14ac:dyDescent="0.35">
      <c r="A26" s="659">
        <v>43503</v>
      </c>
      <c r="B26" s="552" t="s">
        <v>1471</v>
      </c>
      <c r="C26" s="653" t="s">
        <v>2968</v>
      </c>
      <c r="D26" s="547"/>
      <c r="E26" s="563" t="s">
        <v>2967</v>
      </c>
      <c r="F26" s="659">
        <v>43505</v>
      </c>
      <c r="G26" s="658">
        <v>0.5</v>
      </c>
      <c r="H26" s="563" t="s">
        <v>2966</v>
      </c>
      <c r="I26" s="703">
        <v>0</v>
      </c>
      <c r="J26" s="563" t="s">
        <v>224</v>
      </c>
      <c r="K26" s="491" t="s">
        <v>2662</v>
      </c>
      <c r="L26" s="552"/>
      <c r="N26" s="504"/>
      <c r="O26" s="735"/>
    </row>
    <row r="27" spans="1:15" s="673" customFormat="1" x14ac:dyDescent="0.35">
      <c r="A27" s="659">
        <v>43503</v>
      </c>
      <c r="B27" s="552" t="s">
        <v>2965</v>
      </c>
      <c r="C27" s="653" t="s">
        <v>2964</v>
      </c>
      <c r="D27" s="547" t="s">
        <v>2963</v>
      </c>
      <c r="E27" s="563" t="s">
        <v>2962</v>
      </c>
      <c r="F27" s="659">
        <v>43505</v>
      </c>
      <c r="G27" s="658">
        <v>0.4375</v>
      </c>
      <c r="H27" s="563" t="s">
        <v>2961</v>
      </c>
      <c r="I27" s="703">
        <v>400</v>
      </c>
      <c r="J27" s="563" t="s">
        <v>2767</v>
      </c>
      <c r="K27" s="491" t="s">
        <v>2662</v>
      </c>
      <c r="L27" s="552"/>
    </row>
    <row r="28" spans="1:15" s="673" customFormat="1" ht="43.5" x14ac:dyDescent="0.35">
      <c r="A28" s="659">
        <v>43501</v>
      </c>
      <c r="B28" s="552" t="s">
        <v>2960</v>
      </c>
      <c r="C28" s="653" t="s">
        <v>2959</v>
      </c>
      <c r="D28" s="547" t="s">
        <v>15</v>
      </c>
      <c r="E28" s="563" t="s">
        <v>2958</v>
      </c>
      <c r="F28" s="659">
        <v>43507</v>
      </c>
      <c r="G28" s="658">
        <v>0.75694444444444398</v>
      </c>
      <c r="H28" s="563" t="s">
        <v>2957</v>
      </c>
      <c r="I28" s="703">
        <v>232.5</v>
      </c>
      <c r="J28" s="563" t="s">
        <v>1921</v>
      </c>
      <c r="K28" s="491" t="s">
        <v>2662</v>
      </c>
      <c r="L28" s="552"/>
      <c r="N28" s="504"/>
      <c r="O28" s="735"/>
    </row>
    <row r="29" spans="1:15" s="673" customFormat="1" x14ac:dyDescent="0.35">
      <c r="A29" s="659">
        <v>43500</v>
      </c>
      <c r="B29" s="552" t="s">
        <v>2811</v>
      </c>
      <c r="C29" s="653" t="s">
        <v>224</v>
      </c>
      <c r="D29" s="547" t="s">
        <v>224</v>
      </c>
      <c r="E29" s="563" t="s">
        <v>2810</v>
      </c>
      <c r="F29" s="659">
        <v>43508</v>
      </c>
      <c r="G29" s="658">
        <v>0.375</v>
      </c>
      <c r="H29" s="563" t="s">
        <v>2809</v>
      </c>
      <c r="I29" s="703" t="s">
        <v>224</v>
      </c>
      <c r="J29" s="563" t="s">
        <v>224</v>
      </c>
      <c r="K29" s="491" t="s">
        <v>2662</v>
      </c>
      <c r="L29" s="552"/>
      <c r="N29" s="504"/>
      <c r="O29" s="735"/>
    </row>
    <row r="30" spans="1:15" s="673" customFormat="1" ht="29" x14ac:dyDescent="0.35">
      <c r="A30" s="659">
        <v>43507</v>
      </c>
      <c r="B30" s="552" t="s">
        <v>2956</v>
      </c>
      <c r="C30" s="653" t="s">
        <v>2955</v>
      </c>
      <c r="D30" s="547"/>
      <c r="E30" s="563" t="s">
        <v>2954</v>
      </c>
      <c r="F30" s="659">
        <v>43508</v>
      </c>
      <c r="G30" s="658">
        <v>0.54166666666666696</v>
      </c>
      <c r="H30" s="563" t="s">
        <v>2953</v>
      </c>
      <c r="I30" s="703">
        <v>180</v>
      </c>
      <c r="J30" s="563" t="s">
        <v>2900</v>
      </c>
      <c r="K30" s="491" t="s">
        <v>2662</v>
      </c>
      <c r="L30" s="552"/>
      <c r="N30" s="504"/>
      <c r="O30" s="735"/>
    </row>
    <row r="31" spans="1:15" s="673" customFormat="1" ht="58" x14ac:dyDescent="0.35">
      <c r="A31" s="659">
        <v>43648</v>
      </c>
      <c r="B31" s="552" t="s">
        <v>2952</v>
      </c>
      <c r="C31" s="653" t="s">
        <v>224</v>
      </c>
      <c r="D31" s="547" t="s">
        <v>224</v>
      </c>
      <c r="E31" s="563" t="s">
        <v>2951</v>
      </c>
      <c r="F31" s="659">
        <v>43508</v>
      </c>
      <c r="G31" s="658">
        <v>0.45833333333333298</v>
      </c>
      <c r="H31" s="563" t="s">
        <v>2950</v>
      </c>
      <c r="I31" s="703">
        <v>4185</v>
      </c>
      <c r="J31" s="563"/>
      <c r="K31" s="491" t="s">
        <v>2662</v>
      </c>
      <c r="L31" s="552"/>
    </row>
    <row r="32" spans="1:15" s="673" customFormat="1" x14ac:dyDescent="0.35">
      <c r="A32" s="659">
        <v>43507</v>
      </c>
      <c r="B32" s="552" t="s">
        <v>2949</v>
      </c>
      <c r="C32" s="653" t="s">
        <v>2948</v>
      </c>
      <c r="D32" s="547"/>
      <c r="E32" s="563" t="s">
        <v>2831</v>
      </c>
      <c r="F32" s="659">
        <v>43509</v>
      </c>
      <c r="G32" s="658">
        <v>0.45833333333333298</v>
      </c>
      <c r="H32" s="563" t="s">
        <v>2947</v>
      </c>
      <c r="I32" s="703"/>
      <c r="J32" s="563"/>
      <c r="K32" s="491" t="s">
        <v>2662</v>
      </c>
      <c r="L32" s="552"/>
    </row>
    <row r="33" spans="1:14" s="673" customFormat="1" x14ac:dyDescent="0.35">
      <c r="A33" s="659">
        <v>43509</v>
      </c>
      <c r="B33" s="552" t="s">
        <v>2946</v>
      </c>
      <c r="C33" s="653" t="s">
        <v>2945</v>
      </c>
      <c r="D33" s="547" t="s">
        <v>331</v>
      </c>
      <c r="E33" s="563" t="s">
        <v>2944</v>
      </c>
      <c r="F33" s="659">
        <v>43509</v>
      </c>
      <c r="G33" s="658">
        <v>0.41666666666666702</v>
      </c>
      <c r="H33" s="563" t="s">
        <v>2943</v>
      </c>
      <c r="I33" s="703">
        <v>100</v>
      </c>
      <c r="J33" s="563" t="s">
        <v>2900</v>
      </c>
      <c r="K33" s="491" t="s">
        <v>2662</v>
      </c>
      <c r="L33" s="552"/>
    </row>
    <row r="34" spans="1:14" s="673" customFormat="1" x14ac:dyDescent="0.35">
      <c r="A34" s="659">
        <v>43500</v>
      </c>
      <c r="B34" s="552" t="s">
        <v>2811</v>
      </c>
      <c r="C34" s="653" t="s">
        <v>224</v>
      </c>
      <c r="D34" s="547" t="s">
        <v>224</v>
      </c>
      <c r="E34" s="563" t="s">
        <v>2810</v>
      </c>
      <c r="F34" s="659">
        <v>43510</v>
      </c>
      <c r="G34" s="658">
        <v>0.375</v>
      </c>
      <c r="H34" s="563" t="s">
        <v>2809</v>
      </c>
      <c r="I34" s="703" t="s">
        <v>224</v>
      </c>
      <c r="J34" s="563" t="s">
        <v>224</v>
      </c>
      <c r="K34" s="491" t="s">
        <v>2662</v>
      </c>
      <c r="L34" s="552"/>
    </row>
    <row r="35" spans="1:14" s="673" customFormat="1" ht="29" x14ac:dyDescent="0.35">
      <c r="A35" s="659">
        <v>43502</v>
      </c>
      <c r="B35" s="552" t="s">
        <v>2942</v>
      </c>
      <c r="C35" s="653" t="s">
        <v>2941</v>
      </c>
      <c r="D35" s="547" t="s">
        <v>2940</v>
      </c>
      <c r="E35" s="563" t="s">
        <v>2939</v>
      </c>
      <c r="F35" s="659">
        <v>43510</v>
      </c>
      <c r="G35" s="658">
        <v>0.39583333333333298</v>
      </c>
      <c r="H35" s="563" t="s">
        <v>2938</v>
      </c>
      <c r="I35" s="703">
        <v>250</v>
      </c>
      <c r="J35" s="563" t="s">
        <v>2937</v>
      </c>
      <c r="K35" s="491" t="s">
        <v>2662</v>
      </c>
      <c r="L35" s="552"/>
    </row>
    <row r="36" spans="1:14" s="673" customFormat="1" ht="29" x14ac:dyDescent="0.35">
      <c r="A36" s="659">
        <v>43505</v>
      </c>
      <c r="B36" s="552" t="s">
        <v>2936</v>
      </c>
      <c r="C36" s="653" t="s">
        <v>2935</v>
      </c>
      <c r="D36" s="547" t="s">
        <v>2934</v>
      </c>
      <c r="E36" s="563" t="s">
        <v>2933</v>
      </c>
      <c r="F36" s="659">
        <v>43510</v>
      </c>
      <c r="G36" s="658">
        <v>0.41666666666666702</v>
      </c>
      <c r="H36" s="563" t="s">
        <v>2932</v>
      </c>
      <c r="I36" s="703">
        <v>340</v>
      </c>
      <c r="J36" s="563" t="s">
        <v>2791</v>
      </c>
      <c r="K36" s="491" t="s">
        <v>2662</v>
      </c>
      <c r="L36" s="552"/>
    </row>
    <row r="37" spans="1:14" s="673" customFormat="1" x14ac:dyDescent="0.35">
      <c r="A37" s="659">
        <v>43505</v>
      </c>
      <c r="B37" s="552" t="s">
        <v>1905</v>
      </c>
      <c r="C37" s="653" t="s">
        <v>224</v>
      </c>
      <c r="D37" s="547" t="s">
        <v>2931</v>
      </c>
      <c r="E37" s="563" t="s">
        <v>2930</v>
      </c>
      <c r="F37" s="659">
        <v>43510</v>
      </c>
      <c r="G37" s="658">
        <v>0.41666666666666702</v>
      </c>
      <c r="H37" s="563" t="s">
        <v>2929</v>
      </c>
      <c r="I37" s="703">
        <v>85</v>
      </c>
      <c r="J37" s="563" t="s">
        <v>2791</v>
      </c>
      <c r="K37" s="491" t="s">
        <v>2662</v>
      </c>
      <c r="L37" s="552"/>
    </row>
    <row r="38" spans="1:14" s="673" customFormat="1" ht="43.5" x14ac:dyDescent="0.35">
      <c r="A38" s="659">
        <v>43505</v>
      </c>
      <c r="B38" s="552" t="s">
        <v>2928</v>
      </c>
      <c r="C38" s="653" t="s">
        <v>2927</v>
      </c>
      <c r="D38" s="547" t="s">
        <v>2926</v>
      </c>
      <c r="E38" s="563" t="s">
        <v>2925</v>
      </c>
      <c r="F38" s="659">
        <v>43510</v>
      </c>
      <c r="G38" s="658">
        <v>0.66666666666666696</v>
      </c>
      <c r="H38" s="734" t="s">
        <v>2924</v>
      </c>
      <c r="I38" s="703">
        <v>270</v>
      </c>
      <c r="J38" s="563" t="s">
        <v>1921</v>
      </c>
      <c r="K38" s="491" t="s">
        <v>2662</v>
      </c>
      <c r="L38" s="552"/>
    </row>
    <row r="39" spans="1:14" s="673" customFormat="1" x14ac:dyDescent="0.35">
      <c r="A39" s="659">
        <v>43507</v>
      </c>
      <c r="B39" s="552" t="s">
        <v>2923</v>
      </c>
      <c r="C39" s="653" t="s">
        <v>1761</v>
      </c>
      <c r="D39" s="733"/>
      <c r="E39" s="563" t="s">
        <v>2916</v>
      </c>
      <c r="F39" s="659">
        <v>43510</v>
      </c>
      <c r="G39" s="658">
        <v>0.70833333333333304</v>
      </c>
      <c r="H39" s="563" t="s">
        <v>2034</v>
      </c>
      <c r="I39" s="703">
        <v>42.5</v>
      </c>
      <c r="J39" s="563" t="s">
        <v>2918</v>
      </c>
      <c r="K39" s="491" t="s">
        <v>2662</v>
      </c>
      <c r="L39" s="552"/>
    </row>
    <row r="40" spans="1:14" s="673" customFormat="1" ht="29" x14ac:dyDescent="0.35">
      <c r="A40" s="659">
        <v>43507</v>
      </c>
      <c r="B40" s="552" t="s">
        <v>2922</v>
      </c>
      <c r="C40" s="653" t="s">
        <v>2921</v>
      </c>
      <c r="D40" s="547"/>
      <c r="E40" s="563" t="s">
        <v>2920</v>
      </c>
      <c r="F40" s="659">
        <v>43510</v>
      </c>
      <c r="G40" s="658">
        <v>0.70833333333333304</v>
      </c>
      <c r="H40" s="563" t="s">
        <v>2034</v>
      </c>
      <c r="I40" s="703">
        <v>90</v>
      </c>
      <c r="J40" s="563" t="s">
        <v>2919</v>
      </c>
      <c r="K40" s="491" t="s">
        <v>2662</v>
      </c>
      <c r="L40" s="552"/>
    </row>
    <row r="41" spans="1:14" s="673" customFormat="1" x14ac:dyDescent="0.35">
      <c r="A41" s="659">
        <v>43507</v>
      </c>
      <c r="B41" s="552" t="s">
        <v>22</v>
      </c>
      <c r="C41" s="653"/>
      <c r="D41" s="547"/>
      <c r="E41" s="563" t="s">
        <v>2916</v>
      </c>
      <c r="F41" s="659">
        <v>43510</v>
      </c>
      <c r="G41" s="658">
        <v>0.70833333333333304</v>
      </c>
      <c r="H41" s="563" t="s">
        <v>2034</v>
      </c>
      <c r="I41" s="703">
        <v>0</v>
      </c>
      <c r="J41" s="563"/>
      <c r="K41" s="491" t="s">
        <v>2662</v>
      </c>
      <c r="L41" s="552"/>
      <c r="N41" s="732">
        <f>SUM(I114:I225)/4.7</f>
        <v>8423.3297872340427</v>
      </c>
    </row>
    <row r="42" spans="1:14" s="673" customFormat="1" x14ac:dyDescent="0.35">
      <c r="A42" s="659">
        <v>43507</v>
      </c>
      <c r="B42" s="552" t="s">
        <v>124</v>
      </c>
      <c r="C42" s="653"/>
      <c r="D42" s="547"/>
      <c r="E42" s="563" t="s">
        <v>2916</v>
      </c>
      <c r="F42" s="659">
        <v>43510</v>
      </c>
      <c r="G42" s="658">
        <v>0.70833333333333304</v>
      </c>
      <c r="H42" s="563" t="s">
        <v>2034</v>
      </c>
      <c r="I42" s="703">
        <v>42.5</v>
      </c>
      <c r="J42" s="563" t="s">
        <v>2918</v>
      </c>
      <c r="K42" s="491" t="s">
        <v>2662</v>
      </c>
      <c r="L42" s="552"/>
    </row>
    <row r="43" spans="1:14" s="673" customFormat="1" x14ac:dyDescent="0.35">
      <c r="A43" s="659">
        <v>43507</v>
      </c>
      <c r="B43" s="552" t="s">
        <v>2917</v>
      </c>
      <c r="C43" s="653" t="s">
        <v>1761</v>
      </c>
      <c r="D43" s="547"/>
      <c r="E43" s="563" t="s">
        <v>2916</v>
      </c>
      <c r="F43" s="659">
        <v>43510</v>
      </c>
      <c r="G43" s="658">
        <v>0.70833333333333304</v>
      </c>
      <c r="H43" s="563" t="s">
        <v>2034</v>
      </c>
      <c r="I43" s="703">
        <v>76.5</v>
      </c>
      <c r="J43" s="563" t="s">
        <v>2915</v>
      </c>
      <c r="K43" s="491" t="s">
        <v>2662</v>
      </c>
      <c r="L43" s="552"/>
    </row>
    <row r="44" spans="1:14" s="673" customFormat="1" x14ac:dyDescent="0.35">
      <c r="A44" s="659">
        <v>43509</v>
      </c>
      <c r="B44" s="552" t="s">
        <v>2914</v>
      </c>
      <c r="C44" s="653" t="s">
        <v>2913</v>
      </c>
      <c r="D44" s="547"/>
      <c r="E44" s="563" t="s">
        <v>2912</v>
      </c>
      <c r="F44" s="659">
        <v>43510</v>
      </c>
      <c r="G44" s="658">
        <v>0.75</v>
      </c>
      <c r="H44" s="563" t="s">
        <v>2901</v>
      </c>
      <c r="I44" s="703">
        <v>170</v>
      </c>
      <c r="J44" s="563" t="s">
        <v>2911</v>
      </c>
      <c r="K44" s="491" t="s">
        <v>2662</v>
      </c>
      <c r="L44" s="552"/>
    </row>
    <row r="45" spans="1:14" s="673" customFormat="1" x14ac:dyDescent="0.35">
      <c r="A45" s="659">
        <v>43509</v>
      </c>
      <c r="B45" s="552" t="s">
        <v>2910</v>
      </c>
      <c r="C45" s="653"/>
      <c r="D45" s="547"/>
      <c r="E45" s="563" t="s">
        <v>2909</v>
      </c>
      <c r="F45" s="659">
        <v>43510</v>
      </c>
      <c r="G45" s="658">
        <v>0.75</v>
      </c>
      <c r="H45" s="563"/>
      <c r="I45" s="703">
        <v>280</v>
      </c>
      <c r="J45" s="563" t="s">
        <v>2900</v>
      </c>
      <c r="K45" s="491" t="s">
        <v>2662</v>
      </c>
      <c r="L45" s="552"/>
    </row>
    <row r="46" spans="1:14" s="679" customFormat="1" x14ac:dyDescent="0.35">
      <c r="A46" s="669">
        <v>43509</v>
      </c>
      <c r="B46" s="672" t="s">
        <v>2908</v>
      </c>
      <c r="C46" s="704" t="s">
        <v>2907</v>
      </c>
      <c r="D46" s="547" t="s">
        <v>2906</v>
      </c>
      <c r="E46" s="671" t="s">
        <v>2905</v>
      </c>
      <c r="F46" s="669">
        <v>43510</v>
      </c>
      <c r="G46" s="670">
        <v>0.45833333333333298</v>
      </c>
      <c r="H46" s="671" t="s">
        <v>2904</v>
      </c>
      <c r="I46" s="672">
        <v>105</v>
      </c>
      <c r="J46" s="671" t="s">
        <v>257</v>
      </c>
      <c r="K46" s="491" t="s">
        <v>2662</v>
      </c>
      <c r="L46" s="672"/>
    </row>
    <row r="47" spans="1:14" s="673" customFormat="1" x14ac:dyDescent="0.35">
      <c r="A47" s="669">
        <v>43510</v>
      </c>
      <c r="B47" s="552" t="s">
        <v>2190</v>
      </c>
      <c r="C47" s="653" t="s">
        <v>2903</v>
      </c>
      <c r="D47" s="547" t="s">
        <v>224</v>
      </c>
      <c r="E47" s="563" t="s">
        <v>2902</v>
      </c>
      <c r="F47" s="659">
        <v>43510</v>
      </c>
      <c r="G47" s="658">
        <v>0.66666666666666696</v>
      </c>
      <c r="H47" s="563" t="s">
        <v>2901</v>
      </c>
      <c r="I47" s="703">
        <v>85</v>
      </c>
      <c r="J47" s="563" t="s">
        <v>2900</v>
      </c>
      <c r="K47" s="491" t="s">
        <v>2662</v>
      </c>
      <c r="L47" s="552"/>
    </row>
    <row r="48" spans="1:14" s="673" customFormat="1" ht="43.5" x14ac:dyDescent="0.35">
      <c r="A48" s="552"/>
      <c r="B48" s="552" t="s">
        <v>2899</v>
      </c>
      <c r="C48" s="653" t="s">
        <v>2898</v>
      </c>
      <c r="D48" s="547" t="s">
        <v>2897</v>
      </c>
      <c r="E48" s="563" t="s">
        <v>2896</v>
      </c>
      <c r="F48" s="656">
        <v>43510</v>
      </c>
      <c r="G48" s="655">
        <v>0.41666666666666702</v>
      </c>
      <c r="H48" s="563" t="s">
        <v>2895</v>
      </c>
      <c r="I48" s="552">
        <v>135</v>
      </c>
      <c r="J48" s="563" t="s">
        <v>257</v>
      </c>
      <c r="K48" s="491" t="s">
        <v>2662</v>
      </c>
      <c r="L48" s="552"/>
    </row>
    <row r="49" spans="1:12" s="673" customFormat="1" ht="43.5" x14ac:dyDescent="0.35">
      <c r="A49" s="545">
        <v>28</v>
      </c>
      <c r="B49" s="549" t="s">
        <v>2894</v>
      </c>
      <c r="C49" s="548" t="s">
        <v>2893</v>
      </c>
      <c r="D49" s="650" t="s">
        <v>2892</v>
      </c>
      <c r="E49" s="546" t="s">
        <v>2891</v>
      </c>
      <c r="F49" s="545">
        <v>43511</v>
      </c>
      <c r="G49" s="544">
        <v>0.79166666666666696</v>
      </c>
      <c r="H49" s="546" t="s">
        <v>2890</v>
      </c>
      <c r="I49" s="726">
        <v>0</v>
      </c>
      <c r="J49" s="546" t="s">
        <v>2889</v>
      </c>
      <c r="K49" s="491" t="s">
        <v>2662</v>
      </c>
      <c r="L49" s="549"/>
    </row>
    <row r="50" spans="1:12" s="673" customFormat="1" ht="188.5" x14ac:dyDescent="0.35">
      <c r="A50" s="656">
        <v>43504</v>
      </c>
      <c r="B50" s="552" t="s">
        <v>2888</v>
      </c>
      <c r="C50" s="653" t="s">
        <v>2887</v>
      </c>
      <c r="D50" s="552"/>
      <c r="E50" s="563" t="s">
        <v>2886</v>
      </c>
      <c r="F50" s="656">
        <v>43511</v>
      </c>
      <c r="G50" s="655">
        <v>0.625</v>
      </c>
      <c r="H50" s="563" t="s">
        <v>2885</v>
      </c>
      <c r="I50" s="703">
        <v>0</v>
      </c>
      <c r="J50" s="563"/>
      <c r="K50" s="491" t="s">
        <v>2662</v>
      </c>
      <c r="L50" s="552"/>
    </row>
    <row r="51" spans="1:12" s="695" customFormat="1" ht="50.9" customHeight="1" x14ac:dyDescent="0.35">
      <c r="A51" s="659">
        <v>43506</v>
      </c>
      <c r="B51" s="552" t="s">
        <v>2884</v>
      </c>
      <c r="C51" s="653" t="s">
        <v>1841</v>
      </c>
      <c r="D51" s="547" t="s">
        <v>224</v>
      </c>
      <c r="E51" s="563" t="s">
        <v>2883</v>
      </c>
      <c r="F51" s="659">
        <v>43511</v>
      </c>
      <c r="G51" s="658">
        <v>0.5625</v>
      </c>
      <c r="H51" s="563" t="s">
        <v>2882</v>
      </c>
      <c r="I51" s="703">
        <v>100</v>
      </c>
      <c r="J51" s="508" t="s">
        <v>2791</v>
      </c>
      <c r="K51" s="491" t="s">
        <v>2662</v>
      </c>
      <c r="L51" s="552"/>
    </row>
    <row r="52" spans="1:12" s="673" customFormat="1" x14ac:dyDescent="0.35">
      <c r="A52" s="656">
        <v>43507</v>
      </c>
      <c r="B52" s="552" t="s">
        <v>2881</v>
      </c>
      <c r="C52" s="653" t="s">
        <v>1854</v>
      </c>
      <c r="D52" s="552"/>
      <c r="E52" s="563" t="s">
        <v>2880</v>
      </c>
      <c r="F52" s="656">
        <v>43511</v>
      </c>
      <c r="G52" s="655">
        <v>0.66666666666666696</v>
      </c>
      <c r="H52" s="563" t="s">
        <v>2034</v>
      </c>
      <c r="I52" s="703">
        <v>75</v>
      </c>
      <c r="J52" s="508"/>
      <c r="K52" s="491" t="s">
        <v>2662</v>
      </c>
      <c r="L52" s="552"/>
    </row>
    <row r="53" spans="1:12" s="673" customFormat="1" ht="43.5" x14ac:dyDescent="0.35">
      <c r="A53" s="669">
        <v>43509</v>
      </c>
      <c r="B53" s="672" t="s">
        <v>2879</v>
      </c>
      <c r="C53" s="704" t="s">
        <v>224</v>
      </c>
      <c r="D53" s="672" t="s">
        <v>224</v>
      </c>
      <c r="E53" s="671" t="s">
        <v>2878</v>
      </c>
      <c r="F53" s="669">
        <v>43511</v>
      </c>
      <c r="G53" s="670">
        <v>0.6875</v>
      </c>
      <c r="H53" s="671" t="s">
        <v>2877</v>
      </c>
      <c r="I53" s="672" t="s">
        <v>224</v>
      </c>
      <c r="J53" s="528" t="s">
        <v>224</v>
      </c>
      <c r="K53" s="491" t="s">
        <v>2662</v>
      </c>
      <c r="L53" s="672"/>
    </row>
    <row r="54" spans="1:12" s="673" customFormat="1" ht="29" x14ac:dyDescent="0.35">
      <c r="A54" s="656">
        <v>43508</v>
      </c>
      <c r="B54" s="552" t="s">
        <v>2876</v>
      </c>
      <c r="C54" s="653" t="s">
        <v>2875</v>
      </c>
      <c r="D54" s="552" t="s">
        <v>2874</v>
      </c>
      <c r="E54" s="563" t="s">
        <v>2873</v>
      </c>
      <c r="F54" s="656">
        <v>43512</v>
      </c>
      <c r="G54" s="655" t="s">
        <v>2872</v>
      </c>
      <c r="H54" s="563" t="s">
        <v>2871</v>
      </c>
      <c r="I54" s="703">
        <v>100</v>
      </c>
      <c r="J54" s="508" t="s">
        <v>2870</v>
      </c>
      <c r="K54" s="491" t="s">
        <v>2662</v>
      </c>
      <c r="L54" s="552"/>
    </row>
    <row r="55" spans="1:12" s="502" customFormat="1" ht="29" x14ac:dyDescent="0.35">
      <c r="A55" s="652">
        <v>43508</v>
      </c>
      <c r="B55" s="549" t="s">
        <v>2255</v>
      </c>
      <c r="C55" s="548" t="s">
        <v>2254</v>
      </c>
      <c r="D55" s="549" t="s">
        <v>2253</v>
      </c>
      <c r="E55" s="546" t="s">
        <v>2869</v>
      </c>
      <c r="F55" s="652">
        <v>43512</v>
      </c>
      <c r="G55" s="684">
        <v>0.5</v>
      </c>
      <c r="H55" s="563" t="s">
        <v>2868</v>
      </c>
      <c r="I55" s="726">
        <v>132</v>
      </c>
      <c r="J55" s="470" t="s">
        <v>2867</v>
      </c>
      <c r="K55" s="491" t="s">
        <v>2662</v>
      </c>
      <c r="L55" s="549"/>
    </row>
    <row r="56" spans="1:12" s="673" customFormat="1" x14ac:dyDescent="0.35">
      <c r="A56" s="656">
        <v>43508</v>
      </c>
      <c r="B56" s="552" t="s">
        <v>2866</v>
      </c>
      <c r="C56" s="653" t="s">
        <v>2865</v>
      </c>
      <c r="D56" s="731">
        <v>37165288</v>
      </c>
      <c r="E56" s="563" t="s">
        <v>2864</v>
      </c>
      <c r="F56" s="656">
        <v>43512</v>
      </c>
      <c r="G56" s="655">
        <v>0.45833333333333298</v>
      </c>
      <c r="H56" s="563" t="s">
        <v>2863</v>
      </c>
      <c r="I56" s="703">
        <v>240</v>
      </c>
      <c r="J56" s="508" t="s">
        <v>257</v>
      </c>
      <c r="K56" s="491" t="s">
        <v>2662</v>
      </c>
      <c r="L56" s="552"/>
    </row>
    <row r="57" spans="1:12" s="673" customFormat="1" ht="43.5" x14ac:dyDescent="0.35">
      <c r="A57" s="669">
        <v>43509</v>
      </c>
      <c r="B57" s="672" t="s">
        <v>2862</v>
      </c>
      <c r="C57" s="704" t="s">
        <v>224</v>
      </c>
      <c r="D57" s="672" t="s">
        <v>224</v>
      </c>
      <c r="E57" s="671" t="s">
        <v>2861</v>
      </c>
      <c r="F57" s="669">
        <v>43512</v>
      </c>
      <c r="G57" s="672" t="s">
        <v>49</v>
      </c>
      <c r="H57" s="671" t="s">
        <v>49</v>
      </c>
      <c r="I57" s="672" t="s">
        <v>224</v>
      </c>
      <c r="J57" s="528" t="s">
        <v>224</v>
      </c>
      <c r="K57" s="491" t="s">
        <v>2662</v>
      </c>
      <c r="L57" s="672"/>
    </row>
    <row r="58" spans="1:12" s="673" customFormat="1" ht="261" x14ac:dyDescent="0.35">
      <c r="A58" s="659">
        <v>43506</v>
      </c>
      <c r="B58" s="552" t="s">
        <v>2860</v>
      </c>
      <c r="C58" s="653" t="s">
        <v>224</v>
      </c>
      <c r="D58" s="547" t="s">
        <v>224</v>
      </c>
      <c r="E58" s="563" t="s">
        <v>2859</v>
      </c>
      <c r="F58" s="659">
        <v>43513</v>
      </c>
      <c r="G58" s="658">
        <v>0.33333333333333298</v>
      </c>
      <c r="H58" s="563" t="s">
        <v>1271</v>
      </c>
      <c r="I58" s="703">
        <v>0</v>
      </c>
      <c r="J58" s="508" t="s">
        <v>15</v>
      </c>
      <c r="K58" s="491" t="s">
        <v>2662</v>
      </c>
      <c r="L58" s="552"/>
    </row>
    <row r="59" spans="1:12" s="695" customFormat="1" x14ac:dyDescent="0.35">
      <c r="A59" s="660">
        <v>43507</v>
      </c>
      <c r="B59" s="392" t="s">
        <v>2858</v>
      </c>
      <c r="C59" s="730" t="s">
        <v>2857</v>
      </c>
      <c r="D59" s="728"/>
      <c r="E59" s="508" t="s">
        <v>2856</v>
      </c>
      <c r="F59" s="660">
        <v>43513</v>
      </c>
      <c r="G59" s="729">
        <v>0.625</v>
      </c>
      <c r="H59" s="508" t="s">
        <v>2855</v>
      </c>
      <c r="I59" s="529">
        <v>300</v>
      </c>
      <c r="J59" s="508" t="s">
        <v>2854</v>
      </c>
      <c r="K59" s="491" t="s">
        <v>2662</v>
      </c>
      <c r="L59" s="392"/>
    </row>
    <row r="60" spans="1:12" s="673" customFormat="1" ht="29" x14ac:dyDescent="0.35">
      <c r="A60" s="656">
        <v>43507</v>
      </c>
      <c r="B60" s="552" t="s">
        <v>2853</v>
      </c>
      <c r="C60" s="653" t="s">
        <v>2852</v>
      </c>
      <c r="D60" s="728" t="s">
        <v>2851</v>
      </c>
      <c r="E60" s="563" t="s">
        <v>2850</v>
      </c>
      <c r="F60" s="656">
        <v>43513</v>
      </c>
      <c r="G60" s="655">
        <v>0.72916666666666696</v>
      </c>
      <c r="H60" s="563" t="s">
        <v>2165</v>
      </c>
      <c r="I60" s="703">
        <v>669</v>
      </c>
      <c r="J60" s="508" t="s">
        <v>1921</v>
      </c>
      <c r="K60" s="491" t="s">
        <v>2662</v>
      </c>
      <c r="L60" s="552"/>
    </row>
    <row r="61" spans="1:12" s="673" customFormat="1" ht="29" x14ac:dyDescent="0.35">
      <c r="A61" s="659">
        <v>43509</v>
      </c>
      <c r="B61" s="651" t="s">
        <v>2238</v>
      </c>
      <c r="C61" s="653" t="s">
        <v>2237</v>
      </c>
      <c r="D61" s="547" t="s">
        <v>540</v>
      </c>
      <c r="E61" s="563" t="s">
        <v>2849</v>
      </c>
      <c r="F61" s="659">
        <v>43513</v>
      </c>
      <c r="G61" s="658">
        <v>0.5</v>
      </c>
      <c r="H61" s="563" t="s">
        <v>2165</v>
      </c>
      <c r="I61" s="703">
        <v>360</v>
      </c>
      <c r="J61" s="508" t="s">
        <v>257</v>
      </c>
      <c r="K61" s="491" t="s">
        <v>2662</v>
      </c>
      <c r="L61" s="552"/>
    </row>
    <row r="62" spans="1:12" s="673" customFormat="1" ht="29" x14ac:dyDescent="0.35">
      <c r="A62" s="652">
        <v>43511</v>
      </c>
      <c r="B62" s="549" t="s">
        <v>2848</v>
      </c>
      <c r="C62" s="548" t="s">
        <v>2847</v>
      </c>
      <c r="D62" s="727"/>
      <c r="E62" s="546" t="s">
        <v>2846</v>
      </c>
      <c r="F62" s="652">
        <v>43513</v>
      </c>
      <c r="G62" s="684">
        <v>0.625</v>
      </c>
      <c r="H62" s="546" t="s">
        <v>2845</v>
      </c>
      <c r="I62" s="726">
        <v>165</v>
      </c>
      <c r="J62" s="470" t="s">
        <v>1119</v>
      </c>
      <c r="K62" s="491" t="s">
        <v>2662</v>
      </c>
      <c r="L62" s="549"/>
    </row>
    <row r="63" spans="1:12" s="695" customFormat="1" ht="29" x14ac:dyDescent="0.35">
      <c r="A63" s="659">
        <v>43507</v>
      </c>
      <c r="B63" s="552" t="s">
        <v>2844</v>
      </c>
      <c r="C63" s="653" t="s">
        <v>2843</v>
      </c>
      <c r="D63" s="547"/>
      <c r="E63" s="563" t="s">
        <v>2839</v>
      </c>
      <c r="F63" s="659">
        <v>43514</v>
      </c>
      <c r="G63" s="658">
        <v>0.70833333333333304</v>
      </c>
      <c r="H63" s="563" t="s">
        <v>2842</v>
      </c>
      <c r="I63" s="703"/>
      <c r="J63" s="508"/>
      <c r="K63" s="491" t="s">
        <v>2662</v>
      </c>
      <c r="L63" s="552"/>
    </row>
    <row r="64" spans="1:12" s="673" customFormat="1" x14ac:dyDescent="0.35">
      <c r="A64" s="656">
        <v>43508</v>
      </c>
      <c r="B64" s="552" t="s">
        <v>2841</v>
      </c>
      <c r="C64" s="653" t="s">
        <v>2840</v>
      </c>
      <c r="D64" s="552"/>
      <c r="E64" s="563" t="s">
        <v>2839</v>
      </c>
      <c r="F64" s="656">
        <v>43514</v>
      </c>
      <c r="G64" s="658" t="s">
        <v>2838</v>
      </c>
      <c r="H64" s="563"/>
      <c r="I64" s="703"/>
      <c r="J64" s="508"/>
      <c r="K64" s="491" t="s">
        <v>2662</v>
      </c>
      <c r="L64" s="552"/>
    </row>
    <row r="65" spans="1:12" s="673" customFormat="1" ht="29" x14ac:dyDescent="0.35">
      <c r="A65" s="719"/>
      <c r="B65" s="646" t="s">
        <v>1577</v>
      </c>
      <c r="C65" s="720" t="s">
        <v>2837</v>
      </c>
      <c r="D65" s="646"/>
      <c r="E65" s="559" t="s">
        <v>2836</v>
      </c>
      <c r="F65" s="719">
        <v>43514</v>
      </c>
      <c r="G65" s="722">
        <v>0.72916666666666696</v>
      </c>
      <c r="H65" s="559" t="s">
        <v>2835</v>
      </c>
      <c r="I65" s="721">
        <v>120</v>
      </c>
      <c r="J65" s="716" t="s">
        <v>257</v>
      </c>
      <c r="K65" s="491" t="s">
        <v>2662</v>
      </c>
      <c r="L65" s="646"/>
    </row>
    <row r="66" spans="1:12" s="673" customFormat="1" x14ac:dyDescent="0.35">
      <c r="A66" s="723">
        <v>43500</v>
      </c>
      <c r="B66" s="646" t="s">
        <v>2811</v>
      </c>
      <c r="C66" s="720" t="s">
        <v>224</v>
      </c>
      <c r="D66" s="560" t="s">
        <v>224</v>
      </c>
      <c r="E66" s="559" t="s">
        <v>2834</v>
      </c>
      <c r="F66" s="723">
        <v>43515</v>
      </c>
      <c r="G66" s="658">
        <v>0.375</v>
      </c>
      <c r="H66" s="559" t="s">
        <v>2809</v>
      </c>
      <c r="I66" s="721" t="s">
        <v>224</v>
      </c>
      <c r="J66" s="716" t="s">
        <v>224</v>
      </c>
      <c r="K66" s="491" t="s">
        <v>2662</v>
      </c>
      <c r="L66" s="646"/>
    </row>
    <row r="67" spans="1:12" s="673" customFormat="1" x14ac:dyDescent="0.35">
      <c r="A67" s="723">
        <v>43507</v>
      </c>
      <c r="B67" s="646" t="s">
        <v>2833</v>
      </c>
      <c r="C67" s="720" t="s">
        <v>2832</v>
      </c>
      <c r="D67" s="560" t="s">
        <v>224</v>
      </c>
      <c r="E67" s="559" t="s">
        <v>2831</v>
      </c>
      <c r="F67" s="723">
        <v>43515</v>
      </c>
      <c r="G67" s="725">
        <v>0.58333333333333304</v>
      </c>
      <c r="H67" s="559"/>
      <c r="I67" s="721">
        <v>0</v>
      </c>
      <c r="J67" s="716" t="s">
        <v>15</v>
      </c>
      <c r="K67" s="491" t="s">
        <v>2662</v>
      </c>
      <c r="L67" s="646"/>
    </row>
    <row r="68" spans="1:12" s="673" customFormat="1" ht="29" x14ac:dyDescent="0.35">
      <c r="A68" s="712">
        <v>43514</v>
      </c>
      <c r="B68" s="711" t="s">
        <v>2830</v>
      </c>
      <c r="C68" s="714" t="s">
        <v>15</v>
      </c>
      <c r="D68" s="711"/>
      <c r="E68" s="559" t="s">
        <v>2829</v>
      </c>
      <c r="F68" s="712">
        <v>43515</v>
      </c>
      <c r="G68" s="715">
        <v>0.33333333333333298</v>
      </c>
      <c r="H68" s="713" t="s">
        <v>1962</v>
      </c>
      <c r="I68" s="711" t="s">
        <v>224</v>
      </c>
      <c r="J68" s="709" t="s">
        <v>224</v>
      </c>
      <c r="K68" s="491" t="s">
        <v>2662</v>
      </c>
      <c r="L68" s="711"/>
    </row>
    <row r="69" spans="1:12" s="673" customFormat="1" x14ac:dyDescent="0.35">
      <c r="A69" s="719">
        <v>43514</v>
      </c>
      <c r="B69" s="646" t="s">
        <v>2828</v>
      </c>
      <c r="C69" s="720" t="s">
        <v>2827</v>
      </c>
      <c r="D69" s="646"/>
      <c r="E69" s="559" t="s">
        <v>2826</v>
      </c>
      <c r="F69" s="719">
        <v>43515</v>
      </c>
      <c r="G69" s="718" t="s">
        <v>2825</v>
      </c>
      <c r="H69" s="559" t="s">
        <v>2824</v>
      </c>
      <c r="I69" s="646">
        <v>0</v>
      </c>
      <c r="J69" s="716"/>
      <c r="K69" s="491" t="s">
        <v>2662</v>
      </c>
      <c r="L69" s="646"/>
    </row>
    <row r="70" spans="1:12" s="673" customFormat="1" x14ac:dyDescent="0.35">
      <c r="A70" s="656"/>
      <c r="B70" s="552" t="s">
        <v>2823</v>
      </c>
      <c r="C70" s="653"/>
      <c r="D70" s="552"/>
      <c r="E70" s="563" t="s">
        <v>2822</v>
      </c>
      <c r="F70" s="659">
        <v>43515</v>
      </c>
      <c r="G70" s="718">
        <v>0.66666666666666696</v>
      </c>
      <c r="H70" s="563" t="s">
        <v>2821</v>
      </c>
      <c r="I70" s="703">
        <v>150</v>
      </c>
      <c r="J70" s="508"/>
      <c r="K70" s="491" t="s">
        <v>2662</v>
      </c>
      <c r="L70" s="552"/>
    </row>
    <row r="71" spans="1:12" s="673" customFormat="1" ht="29" x14ac:dyDescent="0.35">
      <c r="A71" s="719">
        <v>43514</v>
      </c>
      <c r="B71" s="646" t="s">
        <v>2820</v>
      </c>
      <c r="C71" s="720" t="s">
        <v>2819</v>
      </c>
      <c r="D71" s="646"/>
      <c r="E71" s="559" t="s">
        <v>2818</v>
      </c>
      <c r="F71" s="719">
        <v>43516</v>
      </c>
      <c r="G71" s="718" t="s">
        <v>2817</v>
      </c>
      <c r="H71" s="559" t="s">
        <v>2816</v>
      </c>
      <c r="I71" s="646">
        <v>0</v>
      </c>
      <c r="J71" s="716"/>
      <c r="K71" s="491" t="s">
        <v>2662</v>
      </c>
      <c r="L71" s="646"/>
    </row>
    <row r="72" spans="1:12" s="673" customFormat="1" x14ac:dyDescent="0.35">
      <c r="A72" s="723"/>
      <c r="B72" s="646" t="s">
        <v>2815</v>
      </c>
      <c r="C72" s="720" t="s">
        <v>2814</v>
      </c>
      <c r="D72" s="560"/>
      <c r="E72" s="559" t="s">
        <v>2813</v>
      </c>
      <c r="F72" s="719">
        <v>43516</v>
      </c>
      <c r="G72" s="718">
        <v>0.70833333333333304</v>
      </c>
      <c r="H72" s="559" t="s">
        <v>2812</v>
      </c>
      <c r="I72" s="721">
        <v>147</v>
      </c>
      <c r="J72" s="716" t="s">
        <v>257</v>
      </c>
      <c r="K72" s="491" t="s">
        <v>2662</v>
      </c>
      <c r="L72" s="646"/>
    </row>
    <row r="73" spans="1:12" s="673" customFormat="1" x14ac:dyDescent="0.35">
      <c r="A73" s="723">
        <v>43500</v>
      </c>
      <c r="B73" s="552" t="s">
        <v>2811</v>
      </c>
      <c r="C73" s="653" t="s">
        <v>224</v>
      </c>
      <c r="D73" s="547" t="s">
        <v>224</v>
      </c>
      <c r="E73" s="563" t="s">
        <v>2810</v>
      </c>
      <c r="F73" s="659">
        <v>43517</v>
      </c>
      <c r="G73" s="658">
        <v>0.375</v>
      </c>
      <c r="H73" s="563" t="s">
        <v>2809</v>
      </c>
      <c r="I73" s="703" t="s">
        <v>224</v>
      </c>
      <c r="J73" s="508" t="s">
        <v>224</v>
      </c>
      <c r="K73" s="491" t="s">
        <v>2662</v>
      </c>
      <c r="L73" s="552"/>
    </row>
    <row r="74" spans="1:12" s="673" customFormat="1" ht="29" x14ac:dyDescent="0.35">
      <c r="A74" s="723">
        <v>43501</v>
      </c>
      <c r="B74" s="552" t="s">
        <v>2808</v>
      </c>
      <c r="C74" s="653" t="s">
        <v>2807</v>
      </c>
      <c r="D74" s="547" t="s">
        <v>15</v>
      </c>
      <c r="E74" s="563" t="s">
        <v>2806</v>
      </c>
      <c r="F74" s="659">
        <v>43517</v>
      </c>
      <c r="G74" s="658">
        <v>0.41666666666666702</v>
      </c>
      <c r="H74" s="563" t="s">
        <v>2805</v>
      </c>
      <c r="I74" s="703">
        <v>180</v>
      </c>
      <c r="J74" s="508" t="s">
        <v>2804</v>
      </c>
      <c r="K74" s="491" t="s">
        <v>2662</v>
      </c>
      <c r="L74" s="552"/>
    </row>
    <row r="75" spans="1:12" s="673" customFormat="1" x14ac:dyDescent="0.35">
      <c r="A75" s="723">
        <v>43515</v>
      </c>
      <c r="B75" s="552" t="s">
        <v>2803</v>
      </c>
      <c r="C75" s="653" t="s">
        <v>2802</v>
      </c>
      <c r="D75" s="547"/>
      <c r="E75" s="563" t="s">
        <v>2801</v>
      </c>
      <c r="F75" s="659">
        <v>43518</v>
      </c>
      <c r="G75" s="658">
        <v>0.75</v>
      </c>
      <c r="H75" s="563" t="s">
        <v>2165</v>
      </c>
      <c r="I75" s="703">
        <v>400</v>
      </c>
      <c r="J75" s="508" t="s">
        <v>257</v>
      </c>
      <c r="K75" s="491" t="s">
        <v>2662</v>
      </c>
      <c r="L75" s="552"/>
    </row>
    <row r="76" spans="1:12" s="673" customFormat="1" ht="29" x14ac:dyDescent="0.35">
      <c r="A76" s="719">
        <v>43515</v>
      </c>
      <c r="B76" s="552" t="s">
        <v>1486</v>
      </c>
      <c r="C76" s="653" t="s">
        <v>15</v>
      </c>
      <c r="D76" s="672" t="s">
        <v>15</v>
      </c>
      <c r="E76" s="563" t="s">
        <v>2800</v>
      </c>
      <c r="F76" s="656">
        <v>43518</v>
      </c>
      <c r="G76" s="552" t="s">
        <v>15</v>
      </c>
      <c r="H76" s="563" t="s">
        <v>2799</v>
      </c>
      <c r="I76" s="703">
        <v>241</v>
      </c>
      <c r="J76" s="508" t="s">
        <v>15</v>
      </c>
      <c r="K76" s="491" t="s">
        <v>2662</v>
      </c>
      <c r="L76" s="672"/>
    </row>
    <row r="77" spans="1:12" s="673" customFormat="1" ht="29" x14ac:dyDescent="0.35">
      <c r="A77" s="723">
        <v>43516</v>
      </c>
      <c r="B77" s="552" t="s">
        <v>2611</v>
      </c>
      <c r="C77" s="653" t="s">
        <v>2610</v>
      </c>
      <c r="D77" s="547"/>
      <c r="E77" s="563" t="s">
        <v>2798</v>
      </c>
      <c r="F77" s="659">
        <v>43518</v>
      </c>
      <c r="G77" s="655">
        <v>0.45833333333333298</v>
      </c>
      <c r="H77" s="563" t="s">
        <v>2797</v>
      </c>
      <c r="I77" s="703">
        <v>0</v>
      </c>
      <c r="J77" s="489"/>
      <c r="K77" s="491" t="s">
        <v>2662</v>
      </c>
      <c r="L77" s="552"/>
    </row>
    <row r="78" spans="1:12" s="673" customFormat="1" ht="29" x14ac:dyDescent="0.35">
      <c r="A78" s="719">
        <v>43516</v>
      </c>
      <c r="B78" s="552" t="s">
        <v>2796</v>
      </c>
      <c r="C78" s="724" t="s">
        <v>2795</v>
      </c>
      <c r="D78" s="547" t="s">
        <v>2794</v>
      </c>
      <c r="E78" s="563" t="s">
        <v>2793</v>
      </c>
      <c r="F78" s="656">
        <v>43518</v>
      </c>
      <c r="G78" s="655">
        <v>0.75</v>
      </c>
      <c r="H78" s="563" t="s">
        <v>2792</v>
      </c>
      <c r="I78" s="703">
        <v>100</v>
      </c>
      <c r="J78" s="508" t="s">
        <v>2791</v>
      </c>
      <c r="K78" s="491" t="s">
        <v>2662</v>
      </c>
      <c r="L78" s="672"/>
    </row>
    <row r="79" spans="1:12" s="673" customFormat="1" ht="29" x14ac:dyDescent="0.35">
      <c r="A79" s="719">
        <v>43517</v>
      </c>
      <c r="B79" s="552" t="s">
        <v>2790</v>
      </c>
      <c r="C79" s="653" t="s">
        <v>2789</v>
      </c>
      <c r="D79" s="672"/>
      <c r="E79" s="563" t="s">
        <v>2788</v>
      </c>
      <c r="F79" s="656">
        <v>43518</v>
      </c>
      <c r="G79" s="656" t="s">
        <v>2787</v>
      </c>
      <c r="H79" s="563" t="s">
        <v>2786</v>
      </c>
      <c r="I79" s="703">
        <v>216</v>
      </c>
      <c r="J79" s="508" t="s">
        <v>2785</v>
      </c>
      <c r="K79" s="491" t="s">
        <v>2662</v>
      </c>
      <c r="L79" s="672"/>
    </row>
    <row r="80" spans="1:12" s="673" customFormat="1" x14ac:dyDescent="0.35">
      <c r="A80" s="719" t="s">
        <v>2784</v>
      </c>
      <c r="B80" s="552" t="s">
        <v>2783</v>
      </c>
      <c r="C80" s="653"/>
      <c r="D80" s="672"/>
      <c r="E80" s="563" t="s">
        <v>2782</v>
      </c>
      <c r="F80" s="656">
        <v>43518</v>
      </c>
      <c r="G80" s="656"/>
      <c r="H80" s="563"/>
      <c r="I80" s="703">
        <v>0</v>
      </c>
      <c r="J80" s="508">
        <v>0</v>
      </c>
      <c r="K80" s="491" t="s">
        <v>2662</v>
      </c>
      <c r="L80" s="672"/>
    </row>
    <row r="81" spans="1:92" s="504" customFormat="1" x14ac:dyDescent="0.35">
      <c r="A81" s="723"/>
      <c r="B81" s="552" t="s">
        <v>2781</v>
      </c>
      <c r="C81" s="653" t="s">
        <v>2780</v>
      </c>
      <c r="D81" s="547"/>
      <c r="E81" s="563" t="s">
        <v>2779</v>
      </c>
      <c r="F81" s="659">
        <v>43518</v>
      </c>
      <c r="G81" s="655">
        <v>0.45833333333333298</v>
      </c>
      <c r="H81" s="563"/>
      <c r="I81" s="703"/>
      <c r="J81" s="508"/>
      <c r="K81" s="491" t="s">
        <v>2662</v>
      </c>
      <c r="L81" s="552"/>
    </row>
    <row r="82" spans="1:92" s="504" customFormat="1" x14ac:dyDescent="0.35">
      <c r="A82" s="719">
        <v>43516</v>
      </c>
      <c r="B82" s="646" t="s">
        <v>2776</v>
      </c>
      <c r="C82" s="720" t="s">
        <v>545</v>
      </c>
      <c r="D82" s="560" t="s">
        <v>545</v>
      </c>
      <c r="E82" s="559" t="s">
        <v>2778</v>
      </c>
      <c r="F82" s="719">
        <v>43519</v>
      </c>
      <c r="G82" s="718">
        <v>0.6875</v>
      </c>
      <c r="H82" s="559" t="s">
        <v>2777</v>
      </c>
      <c r="I82" s="721">
        <v>0</v>
      </c>
      <c r="J82" s="716"/>
      <c r="K82" s="491" t="s">
        <v>2662</v>
      </c>
      <c r="L82" s="711"/>
    </row>
    <row r="83" spans="1:92" s="504" customFormat="1" x14ac:dyDescent="0.35">
      <c r="A83" s="719">
        <v>43516</v>
      </c>
      <c r="B83" s="646" t="s">
        <v>2776</v>
      </c>
      <c r="C83" s="720" t="s">
        <v>545</v>
      </c>
      <c r="D83" s="560" t="s">
        <v>545</v>
      </c>
      <c r="E83" s="559" t="s">
        <v>2773</v>
      </c>
      <c r="F83" s="719">
        <v>43519</v>
      </c>
      <c r="G83" s="718">
        <v>0.70833333333333304</v>
      </c>
      <c r="H83" s="559" t="s">
        <v>2775</v>
      </c>
      <c r="I83" s="721">
        <v>0</v>
      </c>
      <c r="J83" s="716"/>
      <c r="K83" s="491" t="s">
        <v>2662</v>
      </c>
      <c r="L83" s="711"/>
    </row>
    <row r="84" spans="1:92" s="504" customFormat="1" x14ac:dyDescent="0.35">
      <c r="A84" s="719">
        <v>43516</v>
      </c>
      <c r="B84" s="646" t="s">
        <v>2774</v>
      </c>
      <c r="C84" s="720" t="s">
        <v>540</v>
      </c>
      <c r="D84" s="560" t="s">
        <v>540</v>
      </c>
      <c r="E84" s="559" t="s">
        <v>2773</v>
      </c>
      <c r="F84" s="719">
        <v>43519</v>
      </c>
      <c r="G84" s="718">
        <v>0.70833333333333304</v>
      </c>
      <c r="H84" s="559" t="s">
        <v>2772</v>
      </c>
      <c r="I84" s="721"/>
      <c r="J84" s="716"/>
      <c r="K84" s="491" t="s">
        <v>2662</v>
      </c>
      <c r="L84" s="711"/>
    </row>
    <row r="85" spans="1:92" s="504" customFormat="1" ht="29" x14ac:dyDescent="0.35">
      <c r="A85" s="723">
        <v>43516</v>
      </c>
      <c r="B85" s="646" t="s">
        <v>2771</v>
      </c>
      <c r="C85" s="720" t="s">
        <v>2770</v>
      </c>
      <c r="D85" s="560"/>
      <c r="E85" s="559" t="s">
        <v>2769</v>
      </c>
      <c r="F85" s="723">
        <v>43519</v>
      </c>
      <c r="G85" s="722">
        <v>0.72916666666666696</v>
      </c>
      <c r="H85" s="559" t="s">
        <v>2165</v>
      </c>
      <c r="I85" s="717" t="s">
        <v>2768</v>
      </c>
      <c r="J85" s="716" t="s">
        <v>2767</v>
      </c>
      <c r="K85" s="491" t="s">
        <v>2662</v>
      </c>
      <c r="L85" s="646"/>
    </row>
    <row r="86" spans="1:92" s="673" customFormat="1" ht="58" x14ac:dyDescent="0.35">
      <c r="A86" s="719">
        <v>43517</v>
      </c>
      <c r="B86" s="646" t="s">
        <v>2611</v>
      </c>
      <c r="C86" s="720" t="s">
        <v>15</v>
      </c>
      <c r="D86" s="646"/>
      <c r="E86" s="559" t="s">
        <v>2766</v>
      </c>
      <c r="F86" s="719">
        <v>43519</v>
      </c>
      <c r="G86" s="718">
        <v>0.52083333333333304</v>
      </c>
      <c r="H86" s="559" t="s">
        <v>1275</v>
      </c>
      <c r="I86" s="462">
        <v>655</v>
      </c>
      <c r="J86" s="716" t="s">
        <v>2765</v>
      </c>
      <c r="K86" s="491" t="s">
        <v>2662</v>
      </c>
      <c r="L86" s="711"/>
    </row>
    <row r="87" spans="1:92" s="673" customFormat="1" ht="29" x14ac:dyDescent="0.35">
      <c r="A87" s="719">
        <v>43517</v>
      </c>
      <c r="B87" s="646" t="s">
        <v>2764</v>
      </c>
      <c r="C87" s="720" t="s">
        <v>2763</v>
      </c>
      <c r="D87" s="646"/>
      <c r="E87" s="559" t="s">
        <v>2762</v>
      </c>
      <c r="F87" s="719">
        <v>43519</v>
      </c>
      <c r="G87" s="718">
        <v>0.45833333333333298</v>
      </c>
      <c r="H87" s="559" t="s">
        <v>2761</v>
      </c>
      <c r="I87" s="717">
        <v>308</v>
      </c>
      <c r="J87" s="508"/>
      <c r="K87" s="491" t="s">
        <v>2662</v>
      </c>
      <c r="L87" s="711"/>
    </row>
    <row r="88" spans="1:92" s="673" customFormat="1" x14ac:dyDescent="0.35">
      <c r="A88" s="719">
        <v>43518</v>
      </c>
      <c r="B88" s="646" t="s">
        <v>2760</v>
      </c>
      <c r="C88" s="720" t="s">
        <v>2759</v>
      </c>
      <c r="D88" s="560"/>
      <c r="E88" s="559" t="s">
        <v>2758</v>
      </c>
      <c r="F88" s="719">
        <v>43519</v>
      </c>
      <c r="G88" s="718">
        <v>0.375</v>
      </c>
      <c r="H88" s="559" t="s">
        <v>2757</v>
      </c>
      <c r="I88" s="717">
        <v>100</v>
      </c>
      <c r="J88" s="716" t="s">
        <v>257</v>
      </c>
      <c r="K88" s="491" t="s">
        <v>2662</v>
      </c>
      <c r="L88" s="711"/>
    </row>
    <row r="89" spans="1:92" s="673" customFormat="1" ht="29" x14ac:dyDescent="0.35">
      <c r="A89" s="719">
        <v>43518</v>
      </c>
      <c r="B89" s="646" t="s">
        <v>2756</v>
      </c>
      <c r="C89" s="720" t="s">
        <v>2755</v>
      </c>
      <c r="D89" s="646"/>
      <c r="E89" s="559" t="s">
        <v>2754</v>
      </c>
      <c r="F89" s="719">
        <v>43519</v>
      </c>
      <c r="G89" s="718">
        <v>0.6875</v>
      </c>
      <c r="H89" s="559" t="s">
        <v>2753</v>
      </c>
      <c r="I89" s="717">
        <v>170</v>
      </c>
      <c r="J89" s="716" t="s">
        <v>257</v>
      </c>
      <c r="K89" s="491" t="s">
        <v>2662</v>
      </c>
      <c r="L89" s="711"/>
    </row>
    <row r="90" spans="1:92" s="673" customFormat="1" ht="43.5" x14ac:dyDescent="0.35">
      <c r="A90" s="719">
        <v>43518</v>
      </c>
      <c r="B90" s="646" t="s">
        <v>2752</v>
      </c>
      <c r="C90" s="720" t="s">
        <v>2751</v>
      </c>
      <c r="D90" s="646"/>
      <c r="E90" s="559" t="s">
        <v>2750</v>
      </c>
      <c r="F90" s="719">
        <v>43521</v>
      </c>
      <c r="G90" s="718">
        <v>0.375</v>
      </c>
      <c r="H90" s="559" t="s">
        <v>2749</v>
      </c>
      <c r="I90" s="717">
        <v>475</v>
      </c>
      <c r="J90" s="571" t="s">
        <v>2748</v>
      </c>
      <c r="K90" s="491" t="s">
        <v>2662</v>
      </c>
      <c r="L90" s="711"/>
    </row>
    <row r="91" spans="1:92" s="673" customFormat="1" ht="29" x14ac:dyDescent="0.35">
      <c r="A91" s="719">
        <v>43520</v>
      </c>
      <c r="B91" s="646" t="s">
        <v>697</v>
      </c>
      <c r="C91" s="720" t="s">
        <v>1793</v>
      </c>
      <c r="D91" s="646"/>
      <c r="E91" s="559" t="s">
        <v>2747</v>
      </c>
      <c r="F91" s="719">
        <v>43521</v>
      </c>
      <c r="G91" s="718">
        <v>0.72916666666666696</v>
      </c>
      <c r="H91" s="559" t="s">
        <v>2746</v>
      </c>
      <c r="I91" s="721">
        <v>0</v>
      </c>
      <c r="J91" s="716"/>
      <c r="K91" s="491" t="s">
        <v>2662</v>
      </c>
      <c r="L91" s="711"/>
    </row>
    <row r="92" spans="1:92" s="673" customFormat="1" x14ac:dyDescent="0.35">
      <c r="A92" s="719">
        <v>43520</v>
      </c>
      <c r="B92" s="646" t="s">
        <v>2745</v>
      </c>
      <c r="C92" s="720"/>
      <c r="D92" s="646"/>
      <c r="E92" s="559" t="s">
        <v>2744</v>
      </c>
      <c r="F92" s="719">
        <v>43521</v>
      </c>
      <c r="G92" s="718">
        <v>0.625</v>
      </c>
      <c r="H92" s="559" t="s">
        <v>2743</v>
      </c>
      <c r="I92" s="721">
        <v>0</v>
      </c>
      <c r="J92" s="716"/>
      <c r="K92" s="491" t="s">
        <v>2662</v>
      </c>
      <c r="L92" s="711"/>
    </row>
    <row r="93" spans="1:92" s="673" customFormat="1" ht="43.5" x14ac:dyDescent="0.35">
      <c r="A93" s="719">
        <v>43518</v>
      </c>
      <c r="B93" s="646" t="s">
        <v>2742</v>
      </c>
      <c r="C93" s="720" t="s">
        <v>2741</v>
      </c>
      <c r="D93" s="646"/>
      <c r="E93" s="559" t="s">
        <v>2740</v>
      </c>
      <c r="F93" s="719">
        <v>43522</v>
      </c>
      <c r="G93" s="718">
        <v>0.375</v>
      </c>
      <c r="H93" s="716" t="s">
        <v>2739</v>
      </c>
      <c r="I93" s="717">
        <v>123</v>
      </c>
      <c r="J93" s="716" t="s">
        <v>257</v>
      </c>
      <c r="K93" s="491" t="s">
        <v>2662</v>
      </c>
      <c r="L93" s="711"/>
    </row>
    <row r="94" spans="1:92" s="673" customFormat="1" ht="29" x14ac:dyDescent="0.35">
      <c r="A94" s="719">
        <v>43521</v>
      </c>
      <c r="B94" s="646" t="s">
        <v>2738</v>
      </c>
      <c r="C94" s="720" t="s">
        <v>2348</v>
      </c>
      <c r="D94" s="646"/>
      <c r="E94" s="559" t="s">
        <v>2737</v>
      </c>
      <c r="F94" s="719">
        <v>43522</v>
      </c>
      <c r="G94" s="718">
        <v>0.54166666666666696</v>
      </c>
      <c r="H94" s="716" t="s">
        <v>2659</v>
      </c>
      <c r="I94" s="717">
        <v>1098</v>
      </c>
      <c r="J94" s="716" t="s">
        <v>2736</v>
      </c>
      <c r="K94" s="491" t="s">
        <v>2662</v>
      </c>
      <c r="L94" s="708"/>
      <c r="M94" s="390"/>
      <c r="N94" s="390"/>
      <c r="O94" s="390"/>
      <c r="P94" s="390"/>
      <c r="Q94" s="390"/>
      <c r="R94" s="390"/>
      <c r="S94" s="390"/>
      <c r="T94" s="390"/>
      <c r="U94" s="390"/>
      <c r="V94" s="390"/>
      <c r="W94" s="390"/>
      <c r="X94" s="390"/>
      <c r="Y94" s="390"/>
      <c r="Z94" s="390"/>
      <c r="AA94" s="390"/>
      <c r="AB94" s="390"/>
      <c r="AC94" s="390"/>
      <c r="AD94" s="390"/>
      <c r="AE94" s="390"/>
      <c r="AF94" s="390"/>
      <c r="AG94" s="390"/>
      <c r="AH94" s="390"/>
      <c r="AI94" s="390"/>
      <c r="AJ94" s="390"/>
      <c r="AK94" s="390"/>
      <c r="AL94" s="390"/>
      <c r="AM94" s="390"/>
      <c r="AN94" s="390"/>
      <c r="AO94" s="390"/>
      <c r="AP94" s="390"/>
      <c r="AQ94" s="390"/>
      <c r="AR94" s="390"/>
      <c r="AS94" s="390"/>
      <c r="AT94" s="390"/>
      <c r="AU94" s="390"/>
      <c r="AV94" s="390"/>
      <c r="AW94" s="390"/>
      <c r="AX94" s="390"/>
      <c r="AY94" s="390"/>
      <c r="AZ94" s="390"/>
      <c r="BA94" s="390"/>
      <c r="BB94" s="390"/>
      <c r="BC94" s="390"/>
      <c r="BD94" s="390"/>
      <c r="BE94" s="390"/>
      <c r="BF94" s="390"/>
      <c r="BG94" s="390"/>
      <c r="BH94" s="390"/>
      <c r="BI94" s="390"/>
      <c r="BJ94" s="390"/>
      <c r="BK94" s="390"/>
      <c r="BL94" s="390"/>
      <c r="BM94" s="390"/>
      <c r="BN94" s="390"/>
      <c r="BO94" s="390"/>
      <c r="BP94" s="390"/>
      <c r="BQ94" s="390"/>
      <c r="BR94" s="390"/>
      <c r="BS94" s="390"/>
      <c r="BT94" s="390"/>
      <c r="BU94" s="390"/>
      <c r="BV94" s="390"/>
      <c r="BW94" s="390"/>
      <c r="BX94" s="390"/>
      <c r="BY94" s="390"/>
      <c r="BZ94" s="390"/>
      <c r="CA94" s="390"/>
      <c r="CB94" s="390"/>
      <c r="CC94" s="390"/>
      <c r="CD94" s="390"/>
      <c r="CE94" s="390"/>
      <c r="CF94" s="390"/>
      <c r="CG94" s="390"/>
      <c r="CH94" s="390"/>
      <c r="CI94" s="390"/>
      <c r="CJ94" s="390"/>
      <c r="CK94" s="390"/>
      <c r="CL94" s="390"/>
      <c r="CM94" s="390"/>
      <c r="CN94" s="390"/>
    </row>
    <row r="95" spans="1:92" s="673" customFormat="1" x14ac:dyDescent="0.35">
      <c r="A95" s="712">
        <v>43522</v>
      </c>
      <c r="B95" s="711" t="s">
        <v>2735</v>
      </c>
      <c r="C95" s="714" t="s">
        <v>15</v>
      </c>
      <c r="D95" s="711" t="s">
        <v>15</v>
      </c>
      <c r="E95" s="713" t="s">
        <v>2734</v>
      </c>
      <c r="F95" s="712">
        <v>43522</v>
      </c>
      <c r="G95" s="715">
        <v>0.64583333333333304</v>
      </c>
      <c r="H95" s="709" t="s">
        <v>2733</v>
      </c>
      <c r="I95" s="710">
        <v>50</v>
      </c>
      <c r="J95" s="709" t="s">
        <v>2387</v>
      </c>
      <c r="K95" s="491" t="s">
        <v>2662</v>
      </c>
      <c r="L95" s="708"/>
      <c r="M95" s="390"/>
      <c r="N95" s="390"/>
      <c r="O95" s="390"/>
      <c r="P95" s="390"/>
      <c r="Q95" s="390"/>
      <c r="R95" s="390"/>
      <c r="S95" s="390"/>
      <c r="T95" s="390"/>
      <c r="U95" s="390"/>
      <c r="V95" s="390"/>
      <c r="W95" s="390"/>
      <c r="X95" s="390"/>
      <c r="Y95" s="390"/>
      <c r="Z95" s="390"/>
      <c r="AA95" s="390"/>
      <c r="AB95" s="390"/>
      <c r="AC95" s="390"/>
      <c r="AD95" s="390"/>
      <c r="AE95" s="390"/>
      <c r="AF95" s="390"/>
      <c r="AG95" s="390"/>
      <c r="AH95" s="390"/>
      <c r="AI95" s="390"/>
      <c r="AJ95" s="390"/>
      <c r="AK95" s="390"/>
      <c r="AL95" s="390"/>
      <c r="AM95" s="390"/>
      <c r="AN95" s="390"/>
      <c r="AO95" s="390"/>
      <c r="AP95" s="390"/>
      <c r="AQ95" s="390"/>
      <c r="AR95" s="390"/>
      <c r="AS95" s="390"/>
      <c r="AT95" s="390"/>
      <c r="AU95" s="390"/>
      <c r="AV95" s="390"/>
      <c r="AW95" s="390"/>
      <c r="AX95" s="390"/>
      <c r="AY95" s="390"/>
      <c r="AZ95" s="390"/>
      <c r="BA95" s="390"/>
      <c r="BB95" s="390"/>
      <c r="BC95" s="390"/>
      <c r="BD95" s="390"/>
      <c r="BE95" s="390"/>
      <c r="BF95" s="390"/>
      <c r="BG95" s="390"/>
      <c r="BH95" s="390"/>
      <c r="BI95" s="390"/>
      <c r="BJ95" s="390"/>
      <c r="BK95" s="390"/>
      <c r="BL95" s="390"/>
      <c r="BM95" s="390"/>
      <c r="BN95" s="390"/>
      <c r="BO95" s="390"/>
      <c r="BP95" s="390"/>
      <c r="BQ95" s="390"/>
      <c r="BR95" s="390"/>
      <c r="BS95" s="390"/>
      <c r="BT95" s="390"/>
      <c r="BU95" s="390"/>
      <c r="BV95" s="390"/>
      <c r="BW95" s="390"/>
      <c r="BX95" s="390"/>
      <c r="BY95" s="390"/>
      <c r="BZ95" s="390"/>
      <c r="CA95" s="390"/>
      <c r="CB95" s="390"/>
      <c r="CC95" s="390"/>
      <c r="CD95" s="390"/>
      <c r="CE95" s="390"/>
      <c r="CF95" s="390"/>
      <c r="CG95" s="390"/>
      <c r="CH95" s="390"/>
      <c r="CI95" s="390"/>
      <c r="CJ95" s="390"/>
      <c r="CK95" s="390"/>
      <c r="CL95" s="390"/>
      <c r="CM95" s="390"/>
      <c r="CN95" s="390"/>
    </row>
    <row r="96" spans="1:92" s="673" customFormat="1" x14ac:dyDescent="0.35">
      <c r="A96" s="712">
        <v>43522</v>
      </c>
      <c r="B96" s="711" t="s">
        <v>2732</v>
      </c>
      <c r="C96" s="714" t="s">
        <v>2731</v>
      </c>
      <c r="D96" s="711" t="s">
        <v>15</v>
      </c>
      <c r="E96" s="713" t="s">
        <v>2730</v>
      </c>
      <c r="F96" s="712">
        <v>43522</v>
      </c>
      <c r="G96" s="715">
        <v>0.625</v>
      </c>
      <c r="H96" s="709" t="s">
        <v>2729</v>
      </c>
      <c r="I96" s="710">
        <v>588</v>
      </c>
      <c r="J96" s="709" t="s">
        <v>2728</v>
      </c>
      <c r="K96" s="491" t="s">
        <v>2662</v>
      </c>
      <c r="L96" s="708"/>
      <c r="M96" s="390"/>
      <c r="N96" s="390"/>
      <c r="O96" s="390"/>
      <c r="P96" s="390"/>
      <c r="Q96" s="390"/>
      <c r="R96" s="390"/>
      <c r="S96" s="390"/>
      <c r="T96" s="390"/>
      <c r="U96" s="390"/>
      <c r="V96" s="390"/>
      <c r="W96" s="390"/>
      <c r="X96" s="390"/>
      <c r="Y96" s="390"/>
      <c r="Z96" s="390"/>
      <c r="AA96" s="390"/>
      <c r="AB96" s="390"/>
      <c r="AC96" s="390"/>
      <c r="AD96" s="390"/>
      <c r="AE96" s="390"/>
      <c r="AF96" s="390"/>
      <c r="AG96" s="390"/>
      <c r="AH96" s="390"/>
      <c r="AI96" s="390"/>
      <c r="AJ96" s="390"/>
      <c r="AK96" s="390"/>
      <c r="AL96" s="390"/>
      <c r="AM96" s="390"/>
      <c r="AN96" s="390"/>
      <c r="AO96" s="390"/>
      <c r="AP96" s="390"/>
      <c r="AQ96" s="390"/>
      <c r="AR96" s="390"/>
      <c r="AS96" s="390"/>
      <c r="AT96" s="390"/>
      <c r="AU96" s="390"/>
      <c r="AV96" s="390"/>
      <c r="AW96" s="390"/>
      <c r="AX96" s="390"/>
      <c r="AY96" s="390"/>
      <c r="AZ96" s="390"/>
      <c r="BA96" s="390"/>
      <c r="BB96" s="390"/>
      <c r="BC96" s="390"/>
      <c r="BD96" s="390"/>
      <c r="BE96" s="390"/>
      <c r="BF96" s="390"/>
      <c r="BG96" s="390"/>
      <c r="BH96" s="390"/>
      <c r="BI96" s="390"/>
      <c r="BJ96" s="390"/>
      <c r="BK96" s="390"/>
      <c r="BL96" s="390"/>
      <c r="BM96" s="390"/>
      <c r="BN96" s="390"/>
      <c r="BO96" s="390"/>
      <c r="BP96" s="390"/>
      <c r="BQ96" s="390"/>
      <c r="BR96" s="390"/>
      <c r="BS96" s="390"/>
      <c r="BT96" s="390"/>
      <c r="BU96" s="390"/>
      <c r="BV96" s="390"/>
      <c r="BW96" s="390"/>
      <c r="BX96" s="390"/>
      <c r="BY96" s="390"/>
      <c r="BZ96" s="390"/>
      <c r="CA96" s="390"/>
      <c r="CB96" s="390"/>
      <c r="CC96" s="390"/>
      <c r="CD96" s="390"/>
      <c r="CE96" s="390"/>
      <c r="CF96" s="390"/>
      <c r="CG96" s="390"/>
      <c r="CH96" s="390"/>
      <c r="CI96" s="390"/>
      <c r="CJ96" s="390"/>
      <c r="CK96" s="390"/>
      <c r="CL96" s="390"/>
      <c r="CM96" s="390"/>
      <c r="CN96" s="390"/>
    </row>
    <row r="97" spans="1:92" s="673" customFormat="1" x14ac:dyDescent="0.35">
      <c r="A97" s="712">
        <v>43522</v>
      </c>
      <c r="B97" s="711" t="s">
        <v>2727</v>
      </c>
      <c r="C97" s="714" t="s">
        <v>15</v>
      </c>
      <c r="D97" s="711" t="s">
        <v>15</v>
      </c>
      <c r="E97" s="713" t="s">
        <v>2726</v>
      </c>
      <c r="F97" s="712">
        <v>43522</v>
      </c>
      <c r="G97" s="711" t="s">
        <v>224</v>
      </c>
      <c r="H97" s="709" t="s">
        <v>15</v>
      </c>
      <c r="I97" s="710">
        <v>290</v>
      </c>
      <c r="J97" s="709">
        <v>290</v>
      </c>
      <c r="K97" s="491" t="s">
        <v>2662</v>
      </c>
      <c r="L97" s="708"/>
      <c r="M97" s="390"/>
      <c r="N97" s="390"/>
      <c r="O97" s="390"/>
      <c r="P97" s="390"/>
      <c r="Q97" s="390"/>
      <c r="R97" s="390"/>
      <c r="S97" s="390"/>
      <c r="T97" s="390"/>
      <c r="U97" s="390"/>
      <c r="V97" s="390"/>
      <c r="W97" s="390"/>
      <c r="X97" s="390"/>
      <c r="Y97" s="390"/>
      <c r="Z97" s="390"/>
      <c r="AA97" s="390"/>
      <c r="AB97" s="390"/>
      <c r="AC97" s="390"/>
      <c r="AD97" s="390"/>
      <c r="AE97" s="390"/>
      <c r="AF97" s="390"/>
      <c r="AG97" s="390"/>
      <c r="AH97" s="390"/>
      <c r="AI97" s="390"/>
      <c r="AJ97" s="390"/>
      <c r="AK97" s="390"/>
      <c r="AL97" s="390"/>
      <c r="AM97" s="390"/>
      <c r="AN97" s="390"/>
      <c r="AO97" s="390"/>
      <c r="AP97" s="390"/>
      <c r="AQ97" s="390"/>
      <c r="AR97" s="390"/>
      <c r="AS97" s="390"/>
      <c r="AT97" s="390"/>
      <c r="AU97" s="390"/>
      <c r="AV97" s="390"/>
      <c r="AW97" s="390"/>
      <c r="AX97" s="390"/>
      <c r="AY97" s="390"/>
      <c r="AZ97" s="390"/>
      <c r="BA97" s="390"/>
      <c r="BB97" s="390"/>
      <c r="BC97" s="390"/>
      <c r="BD97" s="390"/>
      <c r="BE97" s="390"/>
      <c r="BF97" s="390"/>
      <c r="BG97" s="390"/>
      <c r="BH97" s="390"/>
      <c r="BI97" s="390"/>
      <c r="BJ97" s="390"/>
      <c r="BK97" s="390"/>
      <c r="BL97" s="390"/>
      <c r="BM97" s="390"/>
      <c r="BN97" s="390"/>
      <c r="BO97" s="390"/>
      <c r="BP97" s="390"/>
      <c r="BQ97" s="390"/>
      <c r="BR97" s="390"/>
      <c r="BS97" s="390"/>
      <c r="BT97" s="390"/>
      <c r="BU97" s="390"/>
      <c r="BV97" s="390"/>
      <c r="BW97" s="390"/>
      <c r="BX97" s="390"/>
      <c r="BY97" s="390"/>
      <c r="BZ97" s="390"/>
      <c r="CA97" s="390"/>
      <c r="CB97" s="390"/>
      <c r="CC97" s="390"/>
      <c r="CD97" s="390"/>
      <c r="CE97" s="390"/>
      <c r="CF97" s="390"/>
      <c r="CG97" s="390"/>
      <c r="CH97" s="390"/>
      <c r="CI97" s="390"/>
      <c r="CJ97" s="390"/>
      <c r="CK97" s="390"/>
      <c r="CL97" s="390"/>
      <c r="CM97" s="390"/>
      <c r="CN97" s="390"/>
    </row>
    <row r="98" spans="1:92" s="673" customFormat="1" ht="29" x14ac:dyDescent="0.35">
      <c r="A98" s="669" t="s">
        <v>2725</v>
      </c>
      <c r="B98" s="672" t="s">
        <v>2724</v>
      </c>
      <c r="C98" s="704"/>
      <c r="D98" s="672"/>
      <c r="E98" s="671" t="s">
        <v>2723</v>
      </c>
      <c r="F98" s="669">
        <v>43522</v>
      </c>
      <c r="G98" s="670">
        <v>0.35416666666666702</v>
      </c>
      <c r="H98" s="528" t="s">
        <v>2722</v>
      </c>
      <c r="I98" s="705" t="s">
        <v>224</v>
      </c>
      <c r="J98" s="528" t="s">
        <v>15</v>
      </c>
      <c r="K98" s="491" t="s">
        <v>2662</v>
      </c>
      <c r="L98" s="368"/>
      <c r="M98" s="390"/>
      <c r="N98" s="390"/>
      <c r="O98" s="390"/>
      <c r="P98" s="390"/>
      <c r="Q98" s="390"/>
      <c r="R98" s="390"/>
      <c r="S98" s="390"/>
      <c r="T98" s="390"/>
      <c r="U98" s="390"/>
      <c r="V98" s="390"/>
      <c r="W98" s="390"/>
      <c r="X98" s="390"/>
      <c r="Y98" s="390"/>
      <c r="Z98" s="390"/>
      <c r="AA98" s="390"/>
      <c r="AB98" s="390"/>
      <c r="AC98" s="390"/>
      <c r="AD98" s="390"/>
      <c r="AE98" s="390"/>
      <c r="AF98" s="390"/>
      <c r="AG98" s="390"/>
      <c r="AH98" s="390"/>
      <c r="AI98" s="390"/>
      <c r="AJ98" s="390"/>
      <c r="AK98" s="390"/>
      <c r="AL98" s="390"/>
      <c r="AM98" s="390"/>
      <c r="AN98" s="390"/>
      <c r="AO98" s="390"/>
      <c r="AP98" s="390"/>
      <c r="AQ98" s="390"/>
      <c r="AR98" s="390"/>
      <c r="AS98" s="390"/>
      <c r="AT98" s="390"/>
      <c r="AU98" s="390"/>
      <c r="AV98" s="390"/>
      <c r="AW98" s="390"/>
      <c r="AX98" s="390"/>
      <c r="AY98" s="390"/>
      <c r="AZ98" s="390"/>
      <c r="BA98" s="390"/>
      <c r="BB98" s="390"/>
      <c r="BC98" s="390"/>
      <c r="BD98" s="390"/>
      <c r="BE98" s="390"/>
      <c r="BF98" s="390"/>
      <c r="BG98" s="390"/>
      <c r="BH98" s="390"/>
      <c r="BI98" s="390"/>
      <c r="BJ98" s="390"/>
      <c r="BK98" s="390"/>
      <c r="BL98" s="390"/>
      <c r="BM98" s="390"/>
      <c r="BN98" s="390"/>
      <c r="BO98" s="390"/>
      <c r="BP98" s="390"/>
      <c r="BQ98" s="390"/>
      <c r="BR98" s="390"/>
      <c r="BS98" s="390"/>
      <c r="BT98" s="390"/>
      <c r="BU98" s="390"/>
      <c r="BV98" s="390"/>
      <c r="BW98" s="390"/>
      <c r="BX98" s="390"/>
      <c r="BY98" s="390"/>
      <c r="BZ98" s="390"/>
      <c r="CA98" s="390"/>
      <c r="CB98" s="390"/>
      <c r="CC98" s="390"/>
      <c r="CD98" s="390"/>
      <c r="CE98" s="390"/>
      <c r="CF98" s="390"/>
      <c r="CG98" s="390"/>
      <c r="CH98" s="390"/>
      <c r="CI98" s="390"/>
      <c r="CJ98" s="390"/>
      <c r="CK98" s="390"/>
      <c r="CL98" s="390"/>
      <c r="CM98" s="390"/>
      <c r="CN98" s="390"/>
    </row>
    <row r="99" spans="1:92" s="673" customFormat="1" ht="72.5" x14ac:dyDescent="0.35">
      <c r="A99" s="681">
        <v>43522</v>
      </c>
      <c r="B99" s="673" t="s">
        <v>2057</v>
      </c>
      <c r="C99" s="707">
        <v>724255551</v>
      </c>
      <c r="D99" s="673" t="s">
        <v>15</v>
      </c>
      <c r="E99" s="682" t="s">
        <v>2721</v>
      </c>
      <c r="F99" s="681">
        <v>43523</v>
      </c>
      <c r="G99" s="680">
        <v>0.66666666666666696</v>
      </c>
      <c r="H99" s="489" t="s">
        <v>2720</v>
      </c>
      <c r="I99" s="706">
        <v>149</v>
      </c>
      <c r="J99" s="489" t="s">
        <v>2691</v>
      </c>
      <c r="K99" s="491" t="s">
        <v>2662</v>
      </c>
      <c r="L99" s="390"/>
      <c r="M99" s="390"/>
      <c r="N99" s="390"/>
      <c r="O99" s="390"/>
      <c r="P99" s="390"/>
      <c r="Q99" s="390"/>
      <c r="R99" s="390"/>
      <c r="S99" s="390"/>
      <c r="T99" s="390"/>
      <c r="U99" s="390"/>
      <c r="V99" s="390"/>
      <c r="W99" s="390"/>
      <c r="X99" s="390"/>
      <c r="Y99" s="390"/>
      <c r="Z99" s="390"/>
      <c r="AA99" s="390"/>
      <c r="AB99" s="390"/>
      <c r="AC99" s="390"/>
      <c r="AD99" s="390"/>
      <c r="AE99" s="390"/>
      <c r="AF99" s="390"/>
      <c r="AG99" s="390"/>
      <c r="AH99" s="390"/>
      <c r="AI99" s="390"/>
      <c r="AJ99" s="390"/>
      <c r="AK99" s="390"/>
      <c r="AL99" s="390"/>
      <c r="AM99" s="390"/>
      <c r="AN99" s="390"/>
      <c r="AO99" s="390"/>
      <c r="AP99" s="390"/>
      <c r="AQ99" s="390"/>
      <c r="AR99" s="390"/>
      <c r="AS99" s="390"/>
      <c r="AT99" s="390"/>
      <c r="AU99" s="390"/>
      <c r="AV99" s="390"/>
      <c r="AW99" s="390"/>
      <c r="AX99" s="390"/>
      <c r="AY99" s="390"/>
      <c r="AZ99" s="390"/>
      <c r="BA99" s="390"/>
      <c r="BB99" s="390"/>
      <c r="BC99" s="390"/>
      <c r="BD99" s="390"/>
      <c r="BE99" s="390"/>
      <c r="BF99" s="390"/>
      <c r="BG99" s="390"/>
      <c r="BH99" s="390"/>
      <c r="BI99" s="390"/>
      <c r="BJ99" s="390"/>
      <c r="BK99" s="390"/>
      <c r="BL99" s="390"/>
      <c r="BM99" s="390"/>
      <c r="BN99" s="390"/>
      <c r="BO99" s="390"/>
      <c r="BP99" s="390"/>
      <c r="BQ99" s="390"/>
      <c r="BR99" s="390"/>
      <c r="BS99" s="390"/>
      <c r="BT99" s="390"/>
      <c r="BU99" s="390"/>
      <c r="BV99" s="390"/>
      <c r="BW99" s="390"/>
      <c r="BX99" s="390"/>
      <c r="BY99" s="390"/>
      <c r="BZ99" s="390"/>
      <c r="CA99" s="390"/>
      <c r="CB99" s="390"/>
      <c r="CC99" s="390"/>
      <c r="CD99" s="390"/>
      <c r="CE99" s="390"/>
      <c r="CF99" s="390"/>
      <c r="CG99" s="390"/>
      <c r="CH99" s="390"/>
      <c r="CI99" s="390"/>
      <c r="CJ99" s="390"/>
      <c r="CK99" s="390"/>
      <c r="CL99" s="390"/>
      <c r="CM99" s="390"/>
      <c r="CN99" s="390"/>
    </row>
    <row r="100" spans="1:92" s="673" customFormat="1" x14ac:dyDescent="0.35">
      <c r="A100" s="669">
        <v>43523</v>
      </c>
      <c r="B100" s="672" t="s">
        <v>216</v>
      </c>
      <c r="C100" s="704"/>
      <c r="D100" s="672"/>
      <c r="E100" s="671" t="s">
        <v>2719</v>
      </c>
      <c r="F100" s="669">
        <v>43523</v>
      </c>
      <c r="G100" s="670">
        <v>0.39583333333333298</v>
      </c>
      <c r="H100" s="528" t="s">
        <v>2622</v>
      </c>
      <c r="I100" s="705"/>
      <c r="J100" s="528"/>
      <c r="K100" s="491" t="s">
        <v>2662</v>
      </c>
      <c r="L100" s="390"/>
      <c r="M100" s="390"/>
      <c r="N100" s="390"/>
      <c r="O100" s="390"/>
      <c r="P100" s="390"/>
      <c r="Q100" s="390"/>
      <c r="R100" s="390"/>
      <c r="S100" s="390"/>
      <c r="T100" s="390"/>
      <c r="U100" s="390"/>
      <c r="V100" s="390"/>
      <c r="W100" s="390"/>
      <c r="X100" s="390"/>
      <c r="Y100" s="390"/>
      <c r="Z100" s="390"/>
      <c r="AA100" s="390"/>
      <c r="AB100" s="390"/>
      <c r="AC100" s="390"/>
      <c r="AD100" s="390"/>
      <c r="AE100" s="390"/>
      <c r="AF100" s="390"/>
      <c r="AG100" s="390"/>
      <c r="AH100" s="390"/>
      <c r="AI100" s="390"/>
      <c r="AJ100" s="390"/>
      <c r="AK100" s="390"/>
      <c r="AL100" s="390"/>
      <c r="AM100" s="390"/>
      <c r="AN100" s="390"/>
      <c r="AO100" s="390"/>
      <c r="AP100" s="390"/>
      <c r="AQ100" s="390"/>
      <c r="AR100" s="390"/>
      <c r="AS100" s="390"/>
      <c r="AT100" s="390"/>
      <c r="AU100" s="390"/>
      <c r="AV100" s="390"/>
      <c r="AW100" s="390"/>
      <c r="AX100" s="390"/>
      <c r="AY100" s="390"/>
      <c r="AZ100" s="390"/>
      <c r="BA100" s="390"/>
      <c r="BB100" s="390"/>
      <c r="BC100" s="390"/>
      <c r="BD100" s="390"/>
      <c r="BE100" s="390"/>
      <c r="BF100" s="390"/>
      <c r="BG100" s="390"/>
      <c r="BH100" s="390"/>
      <c r="BI100" s="390"/>
      <c r="BJ100" s="390"/>
      <c r="BK100" s="390"/>
      <c r="BL100" s="390"/>
      <c r="BM100" s="390"/>
      <c r="BN100" s="390"/>
      <c r="BO100" s="390"/>
      <c r="BP100" s="390"/>
      <c r="BQ100" s="390"/>
      <c r="BR100" s="390"/>
      <c r="BS100" s="390"/>
      <c r="BT100" s="390"/>
      <c r="BU100" s="390"/>
      <c r="BV100" s="390"/>
      <c r="BW100" s="390"/>
      <c r="BX100" s="390"/>
      <c r="BY100" s="390"/>
      <c r="BZ100" s="390"/>
      <c r="CA100" s="390"/>
      <c r="CB100" s="390"/>
      <c r="CC100" s="390"/>
      <c r="CD100" s="390"/>
      <c r="CE100" s="390"/>
      <c r="CF100" s="390"/>
      <c r="CG100" s="390"/>
      <c r="CH100" s="390"/>
      <c r="CI100" s="390"/>
      <c r="CJ100" s="390"/>
      <c r="CK100" s="390"/>
      <c r="CL100" s="390"/>
      <c r="CM100" s="390"/>
      <c r="CN100" s="390"/>
    </row>
    <row r="101" spans="1:92" s="673" customFormat="1" x14ac:dyDescent="0.35">
      <c r="A101" s="669">
        <v>43523</v>
      </c>
      <c r="B101" s="672" t="s">
        <v>1614</v>
      </c>
      <c r="C101" s="704" t="s">
        <v>2718</v>
      </c>
      <c r="D101" s="672"/>
      <c r="E101" s="671" t="s">
        <v>341</v>
      </c>
      <c r="F101" s="669">
        <v>43523</v>
      </c>
      <c r="G101" s="670">
        <v>0.625</v>
      </c>
      <c r="H101" s="528" t="s">
        <v>2717</v>
      </c>
      <c r="I101" s="585">
        <v>99</v>
      </c>
      <c r="J101" s="528" t="s">
        <v>257</v>
      </c>
      <c r="K101" s="491" t="s">
        <v>2662</v>
      </c>
      <c r="L101" s="390"/>
      <c r="M101" s="390"/>
      <c r="N101" s="390"/>
      <c r="O101" s="390"/>
      <c r="P101" s="390"/>
      <c r="Q101" s="390"/>
      <c r="R101" s="390"/>
      <c r="S101" s="390"/>
      <c r="T101" s="390"/>
      <c r="U101" s="390"/>
      <c r="V101" s="390"/>
      <c r="W101" s="390"/>
      <c r="X101" s="390"/>
      <c r="Y101" s="390"/>
      <c r="Z101" s="390"/>
      <c r="AA101" s="390"/>
      <c r="AB101" s="390"/>
      <c r="AC101" s="390"/>
      <c r="AD101" s="390"/>
      <c r="AE101" s="390"/>
      <c r="AF101" s="390"/>
      <c r="AG101" s="390"/>
      <c r="AH101" s="390"/>
      <c r="AI101" s="390"/>
      <c r="AJ101" s="390"/>
      <c r="AK101" s="390"/>
      <c r="AL101" s="390"/>
      <c r="AM101" s="390"/>
      <c r="AN101" s="390"/>
      <c r="AO101" s="390"/>
      <c r="AP101" s="390"/>
      <c r="AQ101" s="390"/>
      <c r="AR101" s="390"/>
      <c r="AS101" s="390"/>
      <c r="AT101" s="390"/>
      <c r="AU101" s="390"/>
      <c r="AV101" s="390"/>
      <c r="AW101" s="390"/>
      <c r="AX101" s="390"/>
      <c r="AY101" s="390"/>
      <c r="AZ101" s="390"/>
      <c r="BA101" s="390"/>
      <c r="BB101" s="390"/>
      <c r="BC101" s="390"/>
      <c r="BD101" s="390"/>
      <c r="BE101" s="390"/>
      <c r="BF101" s="390"/>
      <c r="BG101" s="390"/>
      <c r="BH101" s="390"/>
      <c r="BI101" s="390"/>
      <c r="BJ101" s="390"/>
      <c r="BK101" s="390"/>
      <c r="BL101" s="390"/>
      <c r="BM101" s="390"/>
      <c r="BN101" s="390"/>
      <c r="BO101" s="390"/>
      <c r="BP101" s="390"/>
      <c r="BQ101" s="390"/>
      <c r="BR101" s="390"/>
      <c r="BS101" s="390"/>
      <c r="BT101" s="390"/>
      <c r="BU101" s="390"/>
      <c r="BV101" s="390"/>
      <c r="BW101" s="390"/>
      <c r="BX101" s="390"/>
      <c r="BY101" s="390"/>
      <c r="BZ101" s="390"/>
      <c r="CA101" s="390"/>
      <c r="CB101" s="390"/>
      <c r="CC101" s="390"/>
      <c r="CD101" s="390"/>
      <c r="CE101" s="390"/>
      <c r="CF101" s="390"/>
      <c r="CG101" s="390"/>
      <c r="CH101" s="390"/>
      <c r="CI101" s="390"/>
      <c r="CJ101" s="390"/>
      <c r="CK101" s="390"/>
      <c r="CL101" s="390"/>
      <c r="CM101" s="390"/>
      <c r="CN101" s="390"/>
    </row>
    <row r="102" spans="1:92" s="673" customFormat="1" x14ac:dyDescent="0.35">
      <c r="A102" s="656" t="s">
        <v>2716</v>
      </c>
      <c r="B102" s="552" t="s">
        <v>697</v>
      </c>
      <c r="C102" s="653" t="s">
        <v>224</v>
      </c>
      <c r="D102" s="552"/>
      <c r="E102" s="563" t="s">
        <v>2715</v>
      </c>
      <c r="F102" s="656">
        <v>43523</v>
      </c>
      <c r="G102" s="655">
        <v>0.6875</v>
      </c>
      <c r="H102" s="508"/>
      <c r="I102" s="703"/>
      <c r="J102" s="508"/>
      <c r="K102" s="491" t="s">
        <v>2662</v>
      </c>
      <c r="L102" s="390"/>
      <c r="M102" s="390"/>
      <c r="N102" s="390"/>
      <c r="O102" s="390"/>
      <c r="P102" s="390"/>
      <c r="Q102" s="390"/>
      <c r="R102" s="390"/>
      <c r="S102" s="390"/>
      <c r="T102" s="390"/>
      <c r="U102" s="390"/>
      <c r="V102" s="390"/>
      <c r="W102" s="390"/>
      <c r="X102" s="390"/>
      <c r="Y102" s="390"/>
      <c r="Z102" s="390"/>
      <c r="AA102" s="390"/>
      <c r="AB102" s="390"/>
      <c r="AC102" s="390"/>
      <c r="AD102" s="390"/>
      <c r="AE102" s="390"/>
      <c r="AF102" s="390"/>
      <c r="AG102" s="390"/>
      <c r="AH102" s="390"/>
      <c r="AI102" s="390"/>
      <c r="AJ102" s="390"/>
      <c r="AK102" s="390"/>
      <c r="AL102" s="390"/>
      <c r="AM102" s="390"/>
      <c r="AN102" s="390"/>
      <c r="AO102" s="390"/>
      <c r="AP102" s="390"/>
      <c r="AQ102" s="390"/>
      <c r="AR102" s="390"/>
      <c r="AS102" s="390"/>
      <c r="AT102" s="390"/>
      <c r="AU102" s="390"/>
      <c r="AV102" s="390"/>
      <c r="AW102" s="390"/>
      <c r="AX102" s="390"/>
      <c r="AY102" s="390"/>
      <c r="AZ102" s="390"/>
      <c r="BA102" s="390"/>
      <c r="BB102" s="390"/>
      <c r="BC102" s="390"/>
      <c r="BD102" s="390"/>
      <c r="BE102" s="390"/>
      <c r="BF102" s="390"/>
      <c r="BG102" s="390"/>
      <c r="BH102" s="390"/>
      <c r="BI102" s="390"/>
      <c r="BJ102" s="390"/>
      <c r="BK102" s="390"/>
      <c r="BL102" s="390"/>
      <c r="BM102" s="390"/>
      <c r="BN102" s="390"/>
      <c r="BO102" s="390"/>
      <c r="BP102" s="390"/>
      <c r="BQ102" s="390"/>
      <c r="BR102" s="390"/>
      <c r="BS102" s="390"/>
      <c r="BT102" s="390"/>
      <c r="BU102" s="390"/>
      <c r="BV102" s="390"/>
      <c r="BW102" s="390"/>
      <c r="BX102" s="390"/>
      <c r="BY102" s="390"/>
      <c r="BZ102" s="390"/>
      <c r="CA102" s="390"/>
      <c r="CB102" s="390"/>
      <c r="CC102" s="390"/>
      <c r="CD102" s="390"/>
      <c r="CE102" s="390"/>
      <c r="CF102" s="390"/>
      <c r="CG102" s="390"/>
      <c r="CH102" s="390"/>
      <c r="CI102" s="390"/>
      <c r="CJ102" s="390"/>
      <c r="CK102" s="390"/>
      <c r="CL102" s="390"/>
      <c r="CM102" s="390"/>
      <c r="CN102" s="390"/>
    </row>
    <row r="103" spans="1:92" s="679" customFormat="1" x14ac:dyDescent="0.35">
      <c r="A103" s="685">
        <v>43509</v>
      </c>
      <c r="B103" s="702" t="s">
        <v>2714</v>
      </c>
      <c r="C103" s="701" t="s">
        <v>2713</v>
      </c>
      <c r="D103" s="700"/>
      <c r="E103" s="686" t="s">
        <v>2712</v>
      </c>
      <c r="F103" s="699">
        <v>43524</v>
      </c>
      <c r="G103" s="698">
        <v>0.5625</v>
      </c>
      <c r="H103" s="696" t="s">
        <v>2711</v>
      </c>
      <c r="I103" s="697">
        <v>370</v>
      </c>
      <c r="J103" s="696" t="s">
        <v>2710</v>
      </c>
      <c r="K103" s="491" t="s">
        <v>2662</v>
      </c>
      <c r="L103" s="515"/>
      <c r="M103" s="390"/>
      <c r="N103" s="390"/>
      <c r="O103" s="390"/>
      <c r="P103" s="390"/>
      <c r="Q103" s="390"/>
      <c r="R103" s="390"/>
      <c r="S103" s="390"/>
      <c r="T103" s="390"/>
      <c r="U103" s="390"/>
      <c r="V103" s="390"/>
      <c r="W103" s="390"/>
      <c r="X103" s="390"/>
      <c r="Y103" s="390"/>
      <c r="Z103" s="390"/>
      <c r="AA103" s="390"/>
      <c r="AB103" s="390"/>
      <c r="AC103" s="390"/>
      <c r="AD103" s="390"/>
      <c r="AE103" s="390"/>
      <c r="AF103" s="390"/>
      <c r="AG103" s="390"/>
      <c r="AH103" s="390"/>
      <c r="AI103" s="390"/>
      <c r="AJ103" s="390"/>
      <c r="AK103" s="390"/>
      <c r="AL103" s="390"/>
      <c r="AM103" s="390"/>
      <c r="AN103" s="390"/>
      <c r="AO103" s="390"/>
      <c r="AP103" s="390"/>
      <c r="AQ103" s="390"/>
      <c r="AR103" s="390"/>
      <c r="AS103" s="390"/>
      <c r="AT103" s="390"/>
      <c r="AU103" s="390"/>
      <c r="AV103" s="390"/>
      <c r="AW103" s="390"/>
      <c r="AX103" s="390"/>
      <c r="AY103" s="390"/>
      <c r="AZ103" s="390"/>
      <c r="BA103" s="390"/>
      <c r="BB103" s="390"/>
      <c r="BC103" s="390"/>
      <c r="BD103" s="390"/>
      <c r="BE103" s="390"/>
      <c r="BF103" s="390"/>
      <c r="BG103" s="390"/>
      <c r="BH103" s="390"/>
      <c r="BI103" s="390"/>
      <c r="BJ103" s="390"/>
      <c r="BK103" s="390"/>
      <c r="BL103" s="390"/>
      <c r="BM103" s="390"/>
      <c r="BN103" s="390"/>
      <c r="BO103" s="390"/>
      <c r="BP103" s="390"/>
      <c r="BQ103" s="390"/>
      <c r="BR103" s="390"/>
      <c r="BS103" s="390"/>
      <c r="BT103" s="390"/>
      <c r="BU103" s="390"/>
      <c r="BV103" s="390"/>
      <c r="BW103" s="390"/>
      <c r="BX103" s="390"/>
      <c r="BY103" s="390"/>
      <c r="BZ103" s="390"/>
      <c r="CA103" s="390"/>
      <c r="CB103" s="390"/>
      <c r="CC103" s="390"/>
      <c r="CD103" s="390"/>
      <c r="CE103" s="390"/>
      <c r="CF103" s="390"/>
      <c r="CG103" s="390"/>
      <c r="CH103" s="390"/>
      <c r="CI103" s="390"/>
      <c r="CJ103" s="390"/>
      <c r="CK103" s="390"/>
      <c r="CL103" s="390"/>
      <c r="CM103" s="390"/>
      <c r="CN103" s="390"/>
    </row>
    <row r="104" spans="1:92" s="695" customFormat="1" x14ac:dyDescent="0.35">
      <c r="A104" s="545">
        <v>43521</v>
      </c>
      <c r="B104" s="549" t="s">
        <v>2709</v>
      </c>
      <c r="C104" s="548" t="s">
        <v>539</v>
      </c>
      <c r="D104" s="570"/>
      <c r="E104" s="546" t="s">
        <v>2708</v>
      </c>
      <c r="F104" s="545">
        <v>43524</v>
      </c>
      <c r="G104" s="544" t="s">
        <v>1514</v>
      </c>
      <c r="H104" s="470" t="s">
        <v>1516</v>
      </c>
      <c r="I104" s="463">
        <v>99</v>
      </c>
      <c r="J104" s="470"/>
      <c r="K104" s="491" t="s">
        <v>2662</v>
      </c>
      <c r="L104" s="506"/>
      <c r="M104" s="499"/>
      <c r="N104" s="499"/>
      <c r="O104" s="499"/>
      <c r="P104" s="499"/>
      <c r="Q104" s="499"/>
      <c r="R104" s="499"/>
      <c r="S104" s="499"/>
      <c r="T104" s="499"/>
      <c r="U104" s="499"/>
      <c r="V104" s="499"/>
      <c r="W104" s="499"/>
      <c r="X104" s="499"/>
      <c r="Y104" s="499"/>
      <c r="Z104" s="499"/>
      <c r="AA104" s="499"/>
      <c r="AB104" s="499"/>
      <c r="AC104" s="499"/>
      <c r="AD104" s="499"/>
      <c r="AE104" s="499"/>
      <c r="AF104" s="499"/>
      <c r="AG104" s="499"/>
      <c r="AH104" s="499"/>
      <c r="AI104" s="499"/>
      <c r="AJ104" s="499"/>
      <c r="AK104" s="499"/>
      <c r="AL104" s="499"/>
      <c r="AM104" s="499"/>
      <c r="AN104" s="499"/>
      <c r="AO104" s="499"/>
      <c r="AP104" s="499"/>
      <c r="AQ104" s="499"/>
      <c r="AR104" s="499"/>
      <c r="AS104" s="499"/>
      <c r="AT104" s="499"/>
      <c r="AU104" s="499"/>
      <c r="AV104" s="499"/>
      <c r="AW104" s="499"/>
      <c r="AX104" s="499"/>
      <c r="AY104" s="499"/>
      <c r="AZ104" s="499"/>
      <c r="BA104" s="499"/>
      <c r="BB104" s="499"/>
      <c r="BC104" s="499"/>
      <c r="BD104" s="499"/>
      <c r="BE104" s="499"/>
      <c r="BF104" s="499"/>
      <c r="BG104" s="499"/>
      <c r="BH104" s="499"/>
      <c r="BI104" s="499"/>
      <c r="BJ104" s="499"/>
      <c r="BK104" s="499"/>
      <c r="BL104" s="499"/>
      <c r="BM104" s="499"/>
      <c r="BN104" s="499"/>
      <c r="BO104" s="499"/>
      <c r="BP104" s="499"/>
      <c r="BQ104" s="499"/>
      <c r="BR104" s="499"/>
      <c r="BS104" s="499"/>
      <c r="BT104" s="499"/>
      <c r="BU104" s="499"/>
      <c r="BV104" s="499"/>
      <c r="BW104" s="499"/>
      <c r="BX104" s="499"/>
      <c r="BY104" s="499"/>
      <c r="BZ104" s="499"/>
      <c r="CA104" s="499"/>
      <c r="CB104" s="499"/>
      <c r="CC104" s="499"/>
      <c r="CD104" s="499"/>
      <c r="CE104" s="499"/>
      <c r="CF104" s="499"/>
      <c r="CG104" s="499"/>
      <c r="CH104" s="499"/>
      <c r="CI104" s="499"/>
      <c r="CJ104" s="499"/>
      <c r="CK104" s="499"/>
      <c r="CL104" s="499"/>
      <c r="CM104" s="499"/>
      <c r="CN104" s="499"/>
    </row>
    <row r="105" spans="1:92" s="683" customFormat="1" ht="29" x14ac:dyDescent="0.35">
      <c r="A105" s="691">
        <v>43521</v>
      </c>
      <c r="B105" s="694" t="s">
        <v>2707</v>
      </c>
      <c r="C105" s="693" t="s">
        <v>2706</v>
      </c>
      <c r="D105" s="570"/>
      <c r="E105" s="692" t="s">
        <v>2705</v>
      </c>
      <c r="F105" s="691">
        <v>43524</v>
      </c>
      <c r="G105" s="690">
        <v>0.41666666666666702</v>
      </c>
      <c r="H105" s="689" t="s">
        <v>2704</v>
      </c>
      <c r="I105" s="463">
        <v>629</v>
      </c>
      <c r="J105" s="689" t="s">
        <v>2703</v>
      </c>
      <c r="K105" s="688" t="s">
        <v>2662</v>
      </c>
      <c r="L105" s="687"/>
      <c r="M105" s="499"/>
      <c r="N105" s="499"/>
      <c r="O105" s="499"/>
      <c r="P105" s="499"/>
      <c r="Q105" s="499"/>
      <c r="R105" s="499"/>
      <c r="S105" s="499"/>
      <c r="T105" s="499"/>
      <c r="U105" s="499"/>
      <c r="V105" s="499"/>
      <c r="W105" s="499"/>
      <c r="X105" s="499"/>
      <c r="Y105" s="499"/>
      <c r="Z105" s="499"/>
      <c r="AA105" s="499"/>
      <c r="AB105" s="499"/>
      <c r="AC105" s="499"/>
      <c r="AD105" s="499"/>
      <c r="AE105" s="499"/>
      <c r="AF105" s="499"/>
      <c r="AG105" s="499"/>
      <c r="AH105" s="499"/>
      <c r="AI105" s="499"/>
      <c r="AJ105" s="499"/>
      <c r="AK105" s="499"/>
      <c r="AL105" s="499"/>
      <c r="AM105" s="499"/>
      <c r="AN105" s="499"/>
      <c r="AO105" s="499"/>
      <c r="AP105" s="499"/>
      <c r="AQ105" s="499"/>
      <c r="AR105" s="499"/>
      <c r="AS105" s="499"/>
      <c r="AT105" s="499"/>
      <c r="AU105" s="499"/>
      <c r="AV105" s="499"/>
      <c r="AW105" s="499"/>
      <c r="AX105" s="499"/>
      <c r="AY105" s="499"/>
      <c r="AZ105" s="499"/>
      <c r="BA105" s="499"/>
      <c r="BB105" s="499"/>
      <c r="BC105" s="499"/>
      <c r="BD105" s="499"/>
      <c r="BE105" s="499"/>
      <c r="BF105" s="499"/>
      <c r="BG105" s="499"/>
      <c r="BH105" s="499"/>
      <c r="BI105" s="499"/>
      <c r="BJ105" s="499"/>
      <c r="BK105" s="499"/>
      <c r="BL105" s="499"/>
      <c r="BM105" s="499"/>
      <c r="BN105" s="499"/>
      <c r="BO105" s="499"/>
      <c r="BP105" s="499"/>
      <c r="BQ105" s="499"/>
      <c r="BR105" s="499"/>
      <c r="BS105" s="499"/>
      <c r="BT105" s="499"/>
      <c r="BU105" s="499"/>
      <c r="BV105" s="499"/>
      <c r="BW105" s="499"/>
      <c r="BX105" s="499"/>
      <c r="BY105" s="499"/>
      <c r="BZ105" s="499"/>
      <c r="CA105" s="499"/>
      <c r="CB105" s="499"/>
      <c r="CC105" s="499"/>
      <c r="CD105" s="499"/>
      <c r="CE105" s="499"/>
      <c r="CF105" s="499"/>
      <c r="CG105" s="499"/>
      <c r="CH105" s="499"/>
      <c r="CI105" s="499"/>
      <c r="CJ105" s="499"/>
      <c r="CK105" s="499"/>
      <c r="CL105" s="499"/>
      <c r="CM105" s="499"/>
      <c r="CN105" s="499"/>
    </row>
    <row r="106" spans="1:92" s="683" customFormat="1" ht="29" x14ac:dyDescent="0.35">
      <c r="A106" s="685">
        <v>43521</v>
      </c>
      <c r="B106" s="645" t="s">
        <v>594</v>
      </c>
      <c r="C106" s="666" t="s">
        <v>2702</v>
      </c>
      <c r="D106" s="665"/>
      <c r="E106" s="686" t="s">
        <v>2701</v>
      </c>
      <c r="F106" s="685">
        <v>43524</v>
      </c>
      <c r="G106" s="663" t="s">
        <v>1514</v>
      </c>
      <c r="H106" s="603" t="s">
        <v>2686</v>
      </c>
      <c r="I106" s="602">
        <v>366.5</v>
      </c>
      <c r="J106" s="603" t="s">
        <v>2685</v>
      </c>
      <c r="K106" s="491" t="s">
        <v>2662</v>
      </c>
      <c r="L106" s="515"/>
      <c r="M106" s="499"/>
      <c r="N106" s="499"/>
      <c r="O106" s="499"/>
      <c r="P106" s="499"/>
      <c r="Q106" s="499"/>
      <c r="R106" s="499"/>
      <c r="S106" s="499"/>
      <c r="T106" s="499"/>
      <c r="U106" s="499"/>
      <c r="V106" s="499"/>
      <c r="W106" s="499"/>
      <c r="X106" s="499"/>
      <c r="Y106" s="499"/>
      <c r="Z106" s="499"/>
      <c r="AA106" s="499"/>
      <c r="AB106" s="499"/>
      <c r="AC106" s="499"/>
      <c r="AD106" s="499"/>
      <c r="AE106" s="499"/>
      <c r="AF106" s="499"/>
      <c r="AG106" s="499"/>
      <c r="AH106" s="499"/>
      <c r="AI106" s="499"/>
      <c r="AJ106" s="499"/>
      <c r="AK106" s="499"/>
      <c r="AL106" s="499"/>
      <c r="AM106" s="499"/>
      <c r="AN106" s="499"/>
      <c r="AO106" s="499"/>
      <c r="AP106" s="499"/>
      <c r="AQ106" s="499"/>
      <c r="AR106" s="499"/>
      <c r="AS106" s="499"/>
      <c r="AT106" s="499"/>
      <c r="AU106" s="499"/>
      <c r="AV106" s="499"/>
      <c r="AW106" s="499"/>
      <c r="AX106" s="499"/>
      <c r="AY106" s="499"/>
      <c r="AZ106" s="499"/>
      <c r="BA106" s="499"/>
      <c r="BB106" s="499"/>
      <c r="BC106" s="499"/>
      <c r="BD106" s="499"/>
      <c r="BE106" s="499"/>
      <c r="BF106" s="499"/>
      <c r="BG106" s="499"/>
      <c r="BH106" s="499"/>
      <c r="BI106" s="499"/>
      <c r="BJ106" s="499"/>
      <c r="BK106" s="499"/>
      <c r="BL106" s="499"/>
      <c r="BM106" s="499"/>
      <c r="BN106" s="499"/>
      <c r="BO106" s="499"/>
      <c r="BP106" s="499"/>
      <c r="BQ106" s="499"/>
      <c r="BR106" s="499"/>
      <c r="BS106" s="499"/>
      <c r="BT106" s="499"/>
      <c r="BU106" s="499"/>
      <c r="BV106" s="499"/>
      <c r="BW106" s="499"/>
      <c r="BX106" s="499"/>
      <c r="BY106" s="499"/>
      <c r="BZ106" s="499"/>
      <c r="CA106" s="499"/>
      <c r="CB106" s="499"/>
      <c r="CC106" s="499"/>
      <c r="CD106" s="499"/>
      <c r="CE106" s="499"/>
      <c r="CF106" s="499"/>
      <c r="CG106" s="499"/>
      <c r="CH106" s="499"/>
      <c r="CI106" s="499"/>
      <c r="CJ106" s="499"/>
      <c r="CK106" s="499"/>
      <c r="CL106" s="499"/>
      <c r="CM106" s="499"/>
      <c r="CN106" s="499"/>
    </row>
    <row r="107" spans="1:92" s="683" customFormat="1" ht="43.5" x14ac:dyDescent="0.35">
      <c r="A107" s="545">
        <v>43522</v>
      </c>
      <c r="B107" s="549" t="s">
        <v>2057</v>
      </c>
      <c r="C107" s="548" t="s">
        <v>1841</v>
      </c>
      <c r="D107" s="570"/>
      <c r="E107" s="546" t="s">
        <v>2700</v>
      </c>
      <c r="F107" s="545">
        <v>43524</v>
      </c>
      <c r="G107" s="544">
        <v>0.4375</v>
      </c>
      <c r="H107" s="470" t="s">
        <v>2699</v>
      </c>
      <c r="I107" s="675">
        <v>234</v>
      </c>
      <c r="J107" s="528" t="s">
        <v>1592</v>
      </c>
      <c r="K107" s="491" t="s">
        <v>2662</v>
      </c>
      <c r="L107" s="515"/>
      <c r="M107" s="499"/>
      <c r="N107" s="499"/>
      <c r="O107" s="499"/>
      <c r="P107" s="499"/>
      <c r="Q107" s="499"/>
      <c r="R107" s="499"/>
      <c r="S107" s="499"/>
      <c r="T107" s="499"/>
      <c r="U107" s="499"/>
      <c r="V107" s="499"/>
      <c r="W107" s="499"/>
      <c r="X107" s="499"/>
      <c r="Y107" s="499"/>
      <c r="Z107" s="499"/>
      <c r="AA107" s="499"/>
      <c r="AB107" s="499"/>
      <c r="AC107" s="499"/>
      <c r="AD107" s="499"/>
      <c r="AE107" s="499"/>
      <c r="AF107" s="499"/>
      <c r="AG107" s="499"/>
      <c r="AH107" s="499"/>
      <c r="AI107" s="499"/>
      <c r="AJ107" s="499"/>
      <c r="AK107" s="499"/>
      <c r="AL107" s="499"/>
      <c r="AM107" s="499"/>
      <c r="AN107" s="499"/>
      <c r="AO107" s="499"/>
      <c r="AP107" s="499"/>
      <c r="AQ107" s="499"/>
      <c r="AR107" s="499"/>
      <c r="AS107" s="499"/>
      <c r="AT107" s="499"/>
      <c r="AU107" s="499"/>
      <c r="AV107" s="499"/>
      <c r="AW107" s="499"/>
      <c r="AX107" s="499"/>
      <c r="AY107" s="499"/>
      <c r="AZ107" s="499"/>
      <c r="BA107" s="499"/>
      <c r="BB107" s="499"/>
      <c r="BC107" s="499"/>
      <c r="BD107" s="499"/>
      <c r="BE107" s="499"/>
      <c r="BF107" s="499"/>
      <c r="BG107" s="499"/>
      <c r="BH107" s="499"/>
      <c r="BI107" s="499"/>
      <c r="BJ107" s="499"/>
      <c r="BK107" s="499"/>
      <c r="BL107" s="499"/>
      <c r="BM107" s="499"/>
      <c r="BN107" s="499"/>
      <c r="BO107" s="499"/>
      <c r="BP107" s="499"/>
      <c r="BQ107" s="499"/>
      <c r="BR107" s="499"/>
      <c r="BS107" s="499"/>
      <c r="BT107" s="499"/>
      <c r="BU107" s="499"/>
      <c r="BV107" s="499"/>
      <c r="BW107" s="499"/>
      <c r="BX107" s="499"/>
      <c r="BY107" s="499"/>
      <c r="BZ107" s="499"/>
      <c r="CA107" s="499"/>
      <c r="CB107" s="499"/>
      <c r="CC107" s="499"/>
      <c r="CD107" s="499"/>
      <c r="CE107" s="499"/>
      <c r="CF107" s="499"/>
      <c r="CG107" s="499"/>
      <c r="CH107" s="499"/>
      <c r="CI107" s="499"/>
      <c r="CJ107" s="499"/>
      <c r="CK107" s="499"/>
      <c r="CL107" s="499"/>
      <c r="CM107" s="499"/>
      <c r="CN107" s="499"/>
    </row>
    <row r="108" spans="1:92" s="683" customFormat="1" ht="43.5" x14ac:dyDescent="0.35">
      <c r="A108" s="545">
        <v>43522</v>
      </c>
      <c r="B108" s="549" t="s">
        <v>2057</v>
      </c>
      <c r="C108" s="548" t="s">
        <v>1841</v>
      </c>
      <c r="D108" s="570"/>
      <c r="E108" s="546" t="s">
        <v>2698</v>
      </c>
      <c r="F108" s="545">
        <v>43524</v>
      </c>
      <c r="G108" s="544" t="s">
        <v>1514</v>
      </c>
      <c r="H108" s="470" t="s">
        <v>2697</v>
      </c>
      <c r="I108" s="675">
        <v>198</v>
      </c>
      <c r="J108" s="528" t="s">
        <v>1592</v>
      </c>
      <c r="K108" s="491" t="s">
        <v>2662</v>
      </c>
      <c r="L108" s="515"/>
      <c r="M108" s="499"/>
      <c r="N108" s="499"/>
      <c r="O108" s="499"/>
      <c r="P108" s="499"/>
      <c r="Q108" s="499"/>
      <c r="R108" s="499"/>
      <c r="S108" s="499"/>
      <c r="T108" s="499"/>
      <c r="U108" s="499"/>
      <c r="V108" s="499"/>
      <c r="W108" s="499"/>
      <c r="X108" s="499"/>
      <c r="Y108" s="499"/>
      <c r="Z108" s="499"/>
      <c r="AA108" s="499"/>
      <c r="AB108" s="499"/>
      <c r="AC108" s="499"/>
      <c r="AD108" s="499"/>
      <c r="AE108" s="499"/>
      <c r="AF108" s="499"/>
      <c r="AG108" s="499"/>
      <c r="AH108" s="499"/>
      <c r="AI108" s="499"/>
      <c r="AJ108" s="499"/>
      <c r="AK108" s="499"/>
      <c r="AL108" s="499"/>
      <c r="AM108" s="499"/>
      <c r="AN108" s="499"/>
      <c r="AO108" s="499"/>
      <c r="AP108" s="499"/>
      <c r="AQ108" s="499"/>
      <c r="AR108" s="499"/>
      <c r="AS108" s="499"/>
      <c r="AT108" s="499"/>
      <c r="AU108" s="499"/>
      <c r="AV108" s="499"/>
      <c r="AW108" s="499"/>
      <c r="AX108" s="499"/>
      <c r="AY108" s="499"/>
      <c r="AZ108" s="499"/>
      <c r="BA108" s="499"/>
      <c r="BB108" s="499"/>
      <c r="BC108" s="499"/>
      <c r="BD108" s="499"/>
      <c r="BE108" s="499"/>
      <c r="BF108" s="499"/>
      <c r="BG108" s="499"/>
      <c r="BH108" s="499"/>
      <c r="BI108" s="499"/>
      <c r="BJ108" s="499"/>
      <c r="BK108" s="499"/>
      <c r="BL108" s="499"/>
      <c r="BM108" s="499"/>
      <c r="BN108" s="499"/>
      <c r="BO108" s="499"/>
      <c r="BP108" s="499"/>
      <c r="BQ108" s="499"/>
      <c r="BR108" s="499"/>
      <c r="BS108" s="499"/>
      <c r="BT108" s="499"/>
      <c r="BU108" s="499"/>
      <c r="BV108" s="499"/>
      <c r="BW108" s="499"/>
      <c r="BX108" s="499"/>
      <c r="BY108" s="499"/>
      <c r="BZ108" s="499"/>
      <c r="CA108" s="499"/>
      <c r="CB108" s="499"/>
      <c r="CC108" s="499"/>
      <c r="CD108" s="499"/>
      <c r="CE108" s="499"/>
      <c r="CF108" s="499"/>
      <c r="CG108" s="499"/>
      <c r="CH108" s="499"/>
      <c r="CI108" s="499"/>
      <c r="CJ108" s="499"/>
      <c r="CK108" s="499"/>
      <c r="CL108" s="499"/>
      <c r="CM108" s="499"/>
      <c r="CN108" s="499"/>
    </row>
    <row r="109" spans="1:92" s="683" customFormat="1" ht="29" x14ac:dyDescent="0.35">
      <c r="A109" s="636">
        <v>43522</v>
      </c>
      <c r="B109" s="549" t="s">
        <v>2568</v>
      </c>
      <c r="C109" s="548"/>
      <c r="D109" s="570"/>
      <c r="E109" s="546" t="s">
        <v>2696</v>
      </c>
      <c r="F109" s="545">
        <v>43524</v>
      </c>
      <c r="G109" s="544" t="s">
        <v>1514</v>
      </c>
      <c r="H109" s="470" t="s">
        <v>2695</v>
      </c>
      <c r="I109" s="463">
        <v>1800</v>
      </c>
      <c r="J109" s="528" t="s">
        <v>2694</v>
      </c>
      <c r="K109" s="491" t="s">
        <v>2662</v>
      </c>
      <c r="L109" s="515"/>
      <c r="M109" s="499"/>
      <c r="N109" s="499"/>
      <c r="O109" s="499"/>
      <c r="P109" s="499"/>
      <c r="Q109" s="499"/>
      <c r="R109" s="499"/>
      <c r="S109" s="499"/>
      <c r="T109" s="499"/>
      <c r="U109" s="499"/>
      <c r="V109" s="499"/>
      <c r="W109" s="499"/>
      <c r="X109" s="499"/>
      <c r="Y109" s="499"/>
      <c r="Z109" s="499"/>
      <c r="AA109" s="499"/>
      <c r="AB109" s="499"/>
      <c r="AC109" s="499"/>
      <c r="AD109" s="499"/>
      <c r="AE109" s="499"/>
      <c r="AF109" s="499"/>
      <c r="AG109" s="499"/>
      <c r="AH109" s="499"/>
      <c r="AI109" s="499"/>
      <c r="AJ109" s="499"/>
      <c r="AK109" s="499"/>
      <c r="AL109" s="499"/>
      <c r="AM109" s="499"/>
      <c r="AN109" s="499"/>
      <c r="AO109" s="499"/>
      <c r="AP109" s="499"/>
      <c r="AQ109" s="499"/>
      <c r="AR109" s="499"/>
      <c r="AS109" s="499"/>
      <c r="AT109" s="499"/>
      <c r="AU109" s="499"/>
      <c r="AV109" s="499"/>
      <c r="AW109" s="499"/>
      <c r="AX109" s="499"/>
      <c r="AY109" s="499"/>
      <c r="AZ109" s="499"/>
      <c r="BA109" s="499"/>
      <c r="BB109" s="499"/>
      <c r="BC109" s="499"/>
      <c r="BD109" s="499"/>
      <c r="BE109" s="499"/>
      <c r="BF109" s="499"/>
      <c r="BG109" s="499"/>
      <c r="BH109" s="499"/>
      <c r="BI109" s="499"/>
      <c r="BJ109" s="499"/>
      <c r="BK109" s="499"/>
      <c r="BL109" s="499"/>
      <c r="BM109" s="499"/>
      <c r="BN109" s="499"/>
      <c r="BO109" s="499"/>
      <c r="BP109" s="499"/>
      <c r="BQ109" s="499"/>
      <c r="BR109" s="499"/>
      <c r="BS109" s="499"/>
      <c r="BT109" s="499"/>
      <c r="BU109" s="499"/>
      <c r="BV109" s="499"/>
      <c r="BW109" s="499"/>
      <c r="BX109" s="499"/>
      <c r="BY109" s="499"/>
      <c r="BZ109" s="499"/>
      <c r="CA109" s="499"/>
      <c r="CB109" s="499"/>
      <c r="CC109" s="499"/>
      <c r="CD109" s="499"/>
      <c r="CE109" s="499"/>
      <c r="CF109" s="499"/>
      <c r="CG109" s="499"/>
      <c r="CH109" s="499"/>
      <c r="CI109" s="499"/>
      <c r="CJ109" s="499"/>
      <c r="CK109" s="499"/>
      <c r="CL109" s="499"/>
      <c r="CM109" s="499"/>
      <c r="CN109" s="499"/>
    </row>
    <row r="110" spans="1:92" s="683" customFormat="1" x14ac:dyDescent="0.35">
      <c r="A110" s="636">
        <v>43522</v>
      </c>
      <c r="B110" s="549" t="s">
        <v>2410</v>
      </c>
      <c r="C110" s="548" t="s">
        <v>2409</v>
      </c>
      <c r="D110" s="570"/>
      <c r="E110" s="546" t="s">
        <v>2693</v>
      </c>
      <c r="F110" s="545">
        <v>43524</v>
      </c>
      <c r="G110" s="544" t="s">
        <v>1514</v>
      </c>
      <c r="H110" s="470" t="s">
        <v>2686</v>
      </c>
      <c r="I110" s="463">
        <v>72</v>
      </c>
      <c r="J110" s="470" t="s">
        <v>2685</v>
      </c>
      <c r="K110" s="491" t="s">
        <v>2662</v>
      </c>
      <c r="L110" s="515"/>
      <c r="M110" s="499"/>
      <c r="N110" s="499"/>
      <c r="O110" s="499"/>
      <c r="P110" s="499"/>
      <c r="Q110" s="499"/>
      <c r="R110" s="499"/>
      <c r="S110" s="499"/>
      <c r="T110" s="499"/>
      <c r="U110" s="499"/>
      <c r="V110" s="499"/>
      <c r="W110" s="499"/>
      <c r="X110" s="499"/>
      <c r="Y110" s="499"/>
      <c r="Z110" s="499"/>
      <c r="AA110" s="499"/>
      <c r="AB110" s="499"/>
      <c r="AC110" s="499"/>
      <c r="AD110" s="499"/>
      <c r="AE110" s="499"/>
      <c r="AF110" s="499"/>
      <c r="AG110" s="499"/>
      <c r="AH110" s="499"/>
      <c r="AI110" s="499"/>
      <c r="AJ110" s="499"/>
      <c r="AK110" s="499"/>
      <c r="AL110" s="499"/>
      <c r="AM110" s="499"/>
      <c r="AN110" s="499"/>
      <c r="AO110" s="499"/>
      <c r="AP110" s="499"/>
      <c r="AQ110" s="499"/>
      <c r="AR110" s="499"/>
      <c r="AS110" s="499"/>
      <c r="AT110" s="499"/>
      <c r="AU110" s="499"/>
      <c r="AV110" s="499"/>
      <c r="AW110" s="499"/>
      <c r="AX110" s="499"/>
      <c r="AY110" s="499"/>
      <c r="AZ110" s="499"/>
      <c r="BA110" s="499"/>
      <c r="BB110" s="499"/>
      <c r="BC110" s="499"/>
      <c r="BD110" s="499"/>
      <c r="BE110" s="499"/>
      <c r="BF110" s="499"/>
      <c r="BG110" s="499"/>
      <c r="BH110" s="499"/>
      <c r="BI110" s="499"/>
      <c r="BJ110" s="499"/>
      <c r="BK110" s="499"/>
      <c r="BL110" s="499"/>
      <c r="BM110" s="499"/>
      <c r="BN110" s="499"/>
      <c r="BO110" s="499"/>
      <c r="BP110" s="499"/>
      <c r="BQ110" s="499"/>
      <c r="BR110" s="499"/>
      <c r="BS110" s="499"/>
      <c r="BT110" s="499"/>
      <c r="BU110" s="499"/>
      <c r="BV110" s="499"/>
      <c r="BW110" s="499"/>
      <c r="BX110" s="499"/>
      <c r="BY110" s="499"/>
      <c r="BZ110" s="499"/>
      <c r="CA110" s="499"/>
      <c r="CB110" s="499"/>
      <c r="CC110" s="499"/>
      <c r="CD110" s="499"/>
      <c r="CE110" s="499"/>
      <c r="CF110" s="499"/>
      <c r="CG110" s="499"/>
      <c r="CH110" s="499"/>
      <c r="CI110" s="499"/>
      <c r="CJ110" s="499"/>
      <c r="CK110" s="499"/>
      <c r="CL110" s="499"/>
      <c r="CM110" s="499"/>
      <c r="CN110" s="499"/>
    </row>
    <row r="111" spans="1:92" s="683" customFormat="1" x14ac:dyDescent="0.35">
      <c r="A111" s="652">
        <v>43523</v>
      </c>
      <c r="B111" s="549" t="s">
        <v>2255</v>
      </c>
      <c r="C111" s="548" t="s">
        <v>2254</v>
      </c>
      <c r="D111" s="549" t="s">
        <v>2253</v>
      </c>
      <c r="E111" s="546" t="s">
        <v>2692</v>
      </c>
      <c r="F111" s="652">
        <v>43524</v>
      </c>
      <c r="G111" s="684">
        <v>0.6875</v>
      </c>
      <c r="H111" s="508" t="s">
        <v>985</v>
      </c>
      <c r="I111" s="463">
        <v>0</v>
      </c>
      <c r="J111" s="470" t="s">
        <v>2691</v>
      </c>
      <c r="K111" s="491" t="s">
        <v>2690</v>
      </c>
      <c r="L111" s="515"/>
      <c r="M111" s="499"/>
      <c r="N111" s="499"/>
      <c r="O111" s="499"/>
      <c r="P111" s="499"/>
      <c r="Q111" s="499"/>
      <c r="R111" s="499"/>
      <c r="S111" s="499"/>
      <c r="T111" s="499"/>
      <c r="U111" s="499"/>
      <c r="V111" s="499"/>
      <c r="W111" s="499"/>
      <c r="X111" s="499"/>
      <c r="Y111" s="499"/>
      <c r="Z111" s="499"/>
      <c r="AA111" s="499"/>
      <c r="AB111" s="499"/>
      <c r="AC111" s="499"/>
      <c r="AD111" s="499"/>
      <c r="AE111" s="499"/>
      <c r="AF111" s="499"/>
      <c r="AG111" s="499"/>
      <c r="AH111" s="499"/>
      <c r="AI111" s="499"/>
      <c r="AJ111" s="499"/>
      <c r="AK111" s="499"/>
      <c r="AL111" s="499"/>
      <c r="AM111" s="499"/>
      <c r="AN111" s="499"/>
      <c r="AO111" s="499"/>
      <c r="AP111" s="499"/>
      <c r="AQ111" s="499"/>
      <c r="AR111" s="499"/>
      <c r="AS111" s="499"/>
      <c r="AT111" s="499"/>
      <c r="AU111" s="499"/>
      <c r="AV111" s="499"/>
      <c r="AW111" s="499"/>
      <c r="AX111" s="499"/>
      <c r="AY111" s="499"/>
      <c r="AZ111" s="499"/>
      <c r="BA111" s="499"/>
      <c r="BB111" s="499"/>
      <c r="BC111" s="499"/>
      <c r="BD111" s="499"/>
      <c r="BE111" s="499"/>
      <c r="BF111" s="499"/>
      <c r="BG111" s="499"/>
      <c r="BH111" s="499"/>
      <c r="BI111" s="499"/>
      <c r="BJ111" s="499"/>
      <c r="BK111" s="499"/>
      <c r="BL111" s="499"/>
      <c r="BM111" s="499"/>
      <c r="BN111" s="499"/>
      <c r="BO111" s="499"/>
      <c r="BP111" s="499"/>
      <c r="BQ111" s="499"/>
      <c r="BR111" s="499"/>
      <c r="BS111" s="499"/>
      <c r="BT111" s="499"/>
      <c r="BU111" s="499"/>
      <c r="BV111" s="499"/>
      <c r="BW111" s="499"/>
      <c r="BX111" s="499"/>
      <c r="BY111" s="499"/>
      <c r="BZ111" s="499"/>
      <c r="CA111" s="499"/>
      <c r="CB111" s="499"/>
      <c r="CC111" s="499"/>
      <c r="CD111" s="499"/>
      <c r="CE111" s="499"/>
      <c r="CF111" s="499"/>
      <c r="CG111" s="499"/>
      <c r="CH111" s="499"/>
      <c r="CI111" s="499"/>
      <c r="CJ111" s="499"/>
      <c r="CK111" s="499"/>
      <c r="CL111" s="499"/>
      <c r="CM111" s="499"/>
      <c r="CN111" s="499"/>
    </row>
    <row r="112" spans="1:92" s="683" customFormat="1" x14ac:dyDescent="0.35">
      <c r="A112" s="545">
        <v>43523</v>
      </c>
      <c r="B112" s="549" t="s">
        <v>2689</v>
      </c>
      <c r="C112" s="548" t="s">
        <v>2688</v>
      </c>
      <c r="D112" s="570"/>
      <c r="E112" s="546" t="s">
        <v>2687</v>
      </c>
      <c r="F112" s="545">
        <v>43524</v>
      </c>
      <c r="G112" s="544" t="s">
        <v>1514</v>
      </c>
      <c r="H112" s="470" t="s">
        <v>2686</v>
      </c>
      <c r="I112" s="463">
        <v>50</v>
      </c>
      <c r="J112" s="470" t="s">
        <v>2685</v>
      </c>
      <c r="K112" s="491"/>
      <c r="L112" s="515"/>
      <c r="M112" s="499"/>
      <c r="N112" s="499"/>
      <c r="O112" s="499"/>
      <c r="P112" s="499"/>
      <c r="Q112" s="499"/>
      <c r="R112" s="499"/>
      <c r="S112" s="499"/>
      <c r="T112" s="499"/>
      <c r="U112" s="499"/>
      <c r="V112" s="499"/>
      <c r="W112" s="499"/>
      <c r="X112" s="499"/>
      <c r="Y112" s="499"/>
      <c r="Z112" s="499"/>
      <c r="AA112" s="499"/>
      <c r="AB112" s="499"/>
      <c r="AC112" s="499"/>
      <c r="AD112" s="499"/>
      <c r="AE112" s="499"/>
      <c r="AF112" s="499"/>
      <c r="AG112" s="499"/>
      <c r="AH112" s="499"/>
      <c r="AI112" s="499"/>
      <c r="AJ112" s="499"/>
      <c r="AK112" s="499"/>
      <c r="AL112" s="499"/>
      <c r="AM112" s="499"/>
      <c r="AN112" s="499"/>
      <c r="AO112" s="499"/>
      <c r="AP112" s="499"/>
      <c r="AQ112" s="499"/>
      <c r="AR112" s="499"/>
      <c r="AS112" s="499"/>
      <c r="AT112" s="499"/>
      <c r="AU112" s="499"/>
      <c r="AV112" s="499"/>
      <c r="AW112" s="499"/>
      <c r="AX112" s="499"/>
      <c r="AY112" s="499"/>
      <c r="AZ112" s="499"/>
      <c r="BA112" s="499"/>
      <c r="BB112" s="499"/>
      <c r="BC112" s="499"/>
      <c r="BD112" s="499"/>
      <c r="BE112" s="499"/>
      <c r="BF112" s="499"/>
      <c r="BG112" s="499"/>
      <c r="BH112" s="499"/>
      <c r="BI112" s="499"/>
      <c r="BJ112" s="499"/>
      <c r="BK112" s="499"/>
      <c r="BL112" s="499"/>
      <c r="BM112" s="499"/>
      <c r="BN112" s="499"/>
      <c r="BO112" s="499"/>
      <c r="BP112" s="499"/>
      <c r="BQ112" s="499"/>
      <c r="BR112" s="499"/>
      <c r="BS112" s="499"/>
      <c r="BT112" s="499"/>
      <c r="BU112" s="499"/>
      <c r="BV112" s="499"/>
      <c r="BW112" s="499"/>
      <c r="BX112" s="499"/>
      <c r="BY112" s="499"/>
      <c r="BZ112" s="499"/>
      <c r="CA112" s="499"/>
      <c r="CB112" s="499"/>
      <c r="CC112" s="499"/>
      <c r="CD112" s="499"/>
      <c r="CE112" s="499"/>
      <c r="CF112" s="499"/>
      <c r="CG112" s="499"/>
      <c r="CH112" s="499"/>
      <c r="CI112" s="499"/>
      <c r="CJ112" s="499"/>
      <c r="CK112" s="499"/>
      <c r="CL112" s="499"/>
      <c r="CM112" s="499"/>
      <c r="CN112" s="499"/>
    </row>
    <row r="113" spans="1:92" s="679" customFormat="1" ht="29" x14ac:dyDescent="0.35">
      <c r="A113" s="681">
        <v>43523</v>
      </c>
      <c r="B113" s="673" t="s">
        <v>2621</v>
      </c>
      <c r="C113" s="673" t="s">
        <v>2620</v>
      </c>
      <c r="D113" s="673" t="s">
        <v>15</v>
      </c>
      <c r="E113" s="682" t="s">
        <v>2684</v>
      </c>
      <c r="F113" s="681">
        <v>43524</v>
      </c>
      <c r="G113" s="680">
        <v>0.5</v>
      </c>
      <c r="H113" s="489" t="s">
        <v>2618</v>
      </c>
      <c r="I113" s="651">
        <v>580</v>
      </c>
      <c r="J113" s="528" t="s">
        <v>2683</v>
      </c>
      <c r="K113" s="585" t="s">
        <v>2681</v>
      </c>
      <c r="L113" s="390"/>
      <c r="M113" s="390"/>
      <c r="N113" s="390"/>
      <c r="O113" s="390"/>
      <c r="P113" s="390"/>
      <c r="Q113" s="390"/>
      <c r="R113" s="390"/>
      <c r="S113" s="390"/>
      <c r="T113" s="390"/>
      <c r="U113" s="390"/>
      <c r="V113" s="390"/>
      <c r="W113" s="390"/>
      <c r="X113" s="390"/>
      <c r="Y113" s="390"/>
      <c r="Z113" s="390"/>
      <c r="AA113" s="390"/>
      <c r="AB113" s="390"/>
      <c r="AC113" s="390"/>
      <c r="AD113" s="390"/>
      <c r="AE113" s="390"/>
      <c r="AF113" s="390"/>
      <c r="AG113" s="390"/>
      <c r="AH113" s="390"/>
      <c r="AI113" s="390"/>
      <c r="AJ113" s="390"/>
      <c r="AK113" s="390"/>
      <c r="AL113" s="390"/>
      <c r="AM113" s="390"/>
      <c r="AN113" s="390"/>
      <c r="AO113" s="390"/>
      <c r="AP113" s="390"/>
      <c r="AQ113" s="390"/>
      <c r="AR113" s="390"/>
      <c r="AS113" s="390"/>
      <c r="AT113" s="390"/>
      <c r="AU113" s="390"/>
      <c r="AV113" s="390"/>
      <c r="AW113" s="390"/>
      <c r="AX113" s="390"/>
      <c r="AY113" s="390"/>
      <c r="AZ113" s="390"/>
      <c r="BA113" s="390"/>
      <c r="BB113" s="390"/>
      <c r="BC113" s="390"/>
      <c r="BD113" s="390"/>
      <c r="BE113" s="390"/>
      <c r="BF113" s="390"/>
      <c r="BG113" s="390"/>
      <c r="BH113" s="390"/>
      <c r="BI113" s="390"/>
      <c r="BJ113" s="390"/>
      <c r="BK113" s="390"/>
      <c r="BL113" s="390"/>
      <c r="BM113" s="390"/>
      <c r="BN113" s="390"/>
      <c r="BO113" s="390"/>
      <c r="BP113" s="390"/>
      <c r="BQ113" s="390"/>
      <c r="BR113" s="390"/>
      <c r="BS113" s="390"/>
      <c r="BT113" s="390"/>
      <c r="BU113" s="390"/>
      <c r="BV113" s="390"/>
      <c r="BW113" s="390"/>
      <c r="BX113" s="390"/>
      <c r="BY113" s="390"/>
      <c r="BZ113" s="390"/>
      <c r="CA113" s="390"/>
      <c r="CB113" s="390"/>
      <c r="CC113" s="390"/>
      <c r="CD113" s="390"/>
      <c r="CE113" s="390"/>
      <c r="CF113" s="390"/>
      <c r="CG113" s="390"/>
      <c r="CH113" s="390"/>
      <c r="CI113" s="390"/>
      <c r="CJ113" s="390"/>
      <c r="CK113" s="390"/>
      <c r="CL113" s="390"/>
      <c r="CM113" s="390"/>
      <c r="CN113" s="390"/>
    </row>
    <row r="114" spans="1:92" s="678" customFormat="1" ht="29" x14ac:dyDescent="0.35">
      <c r="A114" s="636">
        <v>43521</v>
      </c>
      <c r="B114" s="552" t="s">
        <v>2657</v>
      </c>
      <c r="C114" s="653" t="s">
        <v>2348</v>
      </c>
      <c r="D114" s="570"/>
      <c r="E114" s="546" t="s">
        <v>2660</v>
      </c>
      <c r="F114" s="545">
        <v>43525</v>
      </c>
      <c r="G114" s="544">
        <v>0.41666666666666702</v>
      </c>
      <c r="H114" s="508" t="s">
        <v>2659</v>
      </c>
      <c r="I114" s="463">
        <v>1647</v>
      </c>
      <c r="J114" s="508" t="s">
        <v>2658</v>
      </c>
      <c r="K114" s="491" t="s">
        <v>2662</v>
      </c>
      <c r="L114" s="506"/>
      <c r="M114" s="499"/>
      <c r="N114" s="499"/>
      <c r="O114" s="499"/>
      <c r="P114" s="499"/>
      <c r="Q114" s="499"/>
      <c r="R114" s="499"/>
      <c r="S114" s="499"/>
      <c r="T114" s="499"/>
      <c r="U114" s="499"/>
      <c r="V114" s="499"/>
      <c r="W114" s="499"/>
      <c r="X114" s="499"/>
      <c r="Y114" s="499"/>
      <c r="Z114" s="499"/>
      <c r="AA114" s="499"/>
      <c r="AB114" s="499"/>
      <c r="AC114" s="499"/>
      <c r="AD114" s="499"/>
      <c r="AE114" s="499"/>
      <c r="AF114" s="499"/>
      <c r="AG114" s="499"/>
      <c r="AH114" s="499"/>
      <c r="AI114" s="499"/>
      <c r="AJ114" s="499"/>
      <c r="AK114" s="499"/>
      <c r="AL114" s="499"/>
      <c r="AM114" s="499"/>
      <c r="AN114" s="499"/>
      <c r="AO114" s="499"/>
      <c r="AP114" s="499"/>
      <c r="AQ114" s="499"/>
      <c r="AR114" s="499"/>
      <c r="AS114" s="499"/>
      <c r="AT114" s="499"/>
      <c r="AU114" s="499"/>
      <c r="AV114" s="499"/>
      <c r="AW114" s="499"/>
      <c r="AX114" s="499"/>
      <c r="AY114" s="499"/>
      <c r="AZ114" s="499"/>
      <c r="BA114" s="499"/>
      <c r="BB114" s="499"/>
      <c r="BC114" s="499"/>
      <c r="BD114" s="499"/>
      <c r="BE114" s="499"/>
      <c r="BF114" s="499"/>
      <c r="BG114" s="499"/>
      <c r="BH114" s="499"/>
      <c r="BI114" s="499"/>
      <c r="BJ114" s="499"/>
      <c r="BK114" s="499"/>
      <c r="BL114" s="499"/>
      <c r="BM114" s="499"/>
      <c r="BN114" s="499"/>
      <c r="BO114" s="499"/>
      <c r="BP114" s="499"/>
      <c r="BQ114" s="499"/>
      <c r="BR114" s="499"/>
      <c r="BS114" s="499"/>
      <c r="BT114" s="499"/>
      <c r="BU114" s="499"/>
      <c r="BV114" s="499"/>
      <c r="BW114" s="499"/>
      <c r="BX114" s="499"/>
      <c r="BY114" s="499"/>
      <c r="BZ114" s="499"/>
      <c r="CA114" s="499"/>
      <c r="CB114" s="499"/>
      <c r="CC114" s="499"/>
      <c r="CD114" s="499"/>
      <c r="CE114" s="499"/>
      <c r="CF114" s="499"/>
      <c r="CG114" s="499"/>
      <c r="CH114" s="499"/>
      <c r="CI114" s="499"/>
      <c r="CJ114" s="499"/>
      <c r="CK114" s="499"/>
      <c r="CL114" s="499"/>
      <c r="CM114" s="499"/>
      <c r="CN114" s="499"/>
    </row>
    <row r="115" spans="1:92" s="678" customFormat="1" ht="29" x14ac:dyDescent="0.35">
      <c r="A115" s="636">
        <v>43521</v>
      </c>
      <c r="B115" s="552" t="s">
        <v>2657</v>
      </c>
      <c r="C115" s="653" t="s">
        <v>2348</v>
      </c>
      <c r="D115" s="570"/>
      <c r="E115" s="546" t="s">
        <v>2656</v>
      </c>
      <c r="F115" s="545">
        <v>43525</v>
      </c>
      <c r="G115" s="544">
        <v>0.375</v>
      </c>
      <c r="H115" s="508" t="s">
        <v>2655</v>
      </c>
      <c r="I115" s="463">
        <v>0</v>
      </c>
      <c r="J115" s="508" t="s">
        <v>2654</v>
      </c>
      <c r="K115" s="585" t="s">
        <v>2681</v>
      </c>
      <c r="L115" s="506"/>
      <c r="M115" s="499"/>
      <c r="N115" s="499"/>
      <c r="O115" s="499"/>
      <c r="P115" s="499"/>
      <c r="Q115" s="499"/>
      <c r="R115" s="499"/>
      <c r="S115" s="499"/>
      <c r="T115" s="499"/>
      <c r="U115" s="499"/>
      <c r="V115" s="499"/>
      <c r="W115" s="499"/>
      <c r="X115" s="499"/>
      <c r="Y115" s="499"/>
      <c r="Z115" s="499"/>
      <c r="AA115" s="499"/>
      <c r="AB115" s="499"/>
      <c r="AC115" s="499"/>
      <c r="AD115" s="499"/>
      <c r="AE115" s="499"/>
      <c r="AF115" s="499"/>
      <c r="AG115" s="499"/>
      <c r="AH115" s="499"/>
      <c r="AI115" s="499"/>
      <c r="AJ115" s="499"/>
      <c r="AK115" s="499"/>
      <c r="AL115" s="499"/>
      <c r="AM115" s="499"/>
      <c r="AN115" s="499"/>
      <c r="AO115" s="499"/>
      <c r="AP115" s="499"/>
      <c r="AQ115" s="499"/>
      <c r="AR115" s="499"/>
      <c r="AS115" s="499"/>
      <c r="AT115" s="499"/>
      <c r="AU115" s="499"/>
      <c r="AV115" s="499"/>
      <c r="AW115" s="499"/>
      <c r="AX115" s="499"/>
      <c r="AY115" s="499"/>
      <c r="AZ115" s="499"/>
      <c r="BA115" s="499"/>
      <c r="BB115" s="499"/>
      <c r="BC115" s="499"/>
      <c r="BD115" s="499"/>
      <c r="BE115" s="499"/>
      <c r="BF115" s="499"/>
      <c r="BG115" s="499"/>
      <c r="BH115" s="499"/>
      <c r="BI115" s="499"/>
      <c r="BJ115" s="499"/>
      <c r="BK115" s="499"/>
      <c r="BL115" s="499"/>
      <c r="BM115" s="499"/>
      <c r="BN115" s="499"/>
      <c r="BO115" s="499"/>
      <c r="BP115" s="499"/>
      <c r="BQ115" s="499"/>
      <c r="BR115" s="499"/>
      <c r="BS115" s="499"/>
      <c r="BT115" s="499"/>
      <c r="BU115" s="499"/>
      <c r="BV115" s="499"/>
      <c r="BW115" s="499"/>
      <c r="BX115" s="499"/>
      <c r="BY115" s="499"/>
      <c r="BZ115" s="499"/>
      <c r="CA115" s="499"/>
      <c r="CB115" s="499"/>
      <c r="CC115" s="499"/>
      <c r="CD115" s="499"/>
      <c r="CE115" s="499"/>
      <c r="CF115" s="499"/>
      <c r="CG115" s="499"/>
      <c r="CH115" s="499"/>
      <c r="CI115" s="499"/>
      <c r="CJ115" s="499"/>
      <c r="CK115" s="499"/>
      <c r="CL115" s="499"/>
      <c r="CM115" s="499"/>
      <c r="CN115" s="499"/>
    </row>
    <row r="116" spans="1:92" s="13" customFormat="1" x14ac:dyDescent="0.35">
      <c r="A116" s="636">
        <v>43521</v>
      </c>
      <c r="B116" s="549" t="s">
        <v>2519</v>
      </c>
      <c r="C116" s="548" t="s">
        <v>2518</v>
      </c>
      <c r="D116" s="570"/>
      <c r="E116" s="546" t="s">
        <v>2653</v>
      </c>
      <c r="F116" s="545">
        <v>43525</v>
      </c>
      <c r="G116" s="544">
        <v>0.58333333333333304</v>
      </c>
      <c r="H116" s="470" t="s">
        <v>1271</v>
      </c>
      <c r="I116" s="463">
        <v>1990</v>
      </c>
      <c r="J116" s="470" t="s">
        <v>2652</v>
      </c>
      <c r="K116" s="491" t="s">
        <v>2662</v>
      </c>
      <c r="L116" s="506"/>
      <c r="M116" s="368"/>
      <c r="N116" s="390"/>
      <c r="O116" s="390"/>
      <c r="P116" s="390"/>
      <c r="Q116" s="390"/>
      <c r="R116" s="390"/>
      <c r="S116" s="390"/>
      <c r="T116" s="390"/>
      <c r="U116" s="390"/>
      <c r="V116" s="390"/>
      <c r="W116" s="390"/>
      <c r="X116" s="390"/>
      <c r="Y116" s="390"/>
      <c r="Z116" s="390"/>
      <c r="AA116" s="390"/>
      <c r="AB116" s="390"/>
      <c r="AC116" s="390"/>
      <c r="AD116" s="390"/>
      <c r="AE116" s="390"/>
      <c r="AF116" s="390"/>
      <c r="AG116" s="390"/>
      <c r="AH116" s="390"/>
      <c r="AI116" s="390"/>
      <c r="AJ116" s="390"/>
      <c r="AK116" s="390"/>
      <c r="AL116" s="390"/>
      <c r="AM116" s="390"/>
      <c r="AN116" s="390"/>
      <c r="AO116" s="390"/>
      <c r="AP116" s="390"/>
      <c r="AQ116" s="390"/>
      <c r="AR116" s="390"/>
      <c r="AS116" s="390"/>
      <c r="AT116" s="390"/>
      <c r="AU116" s="390"/>
      <c r="AV116" s="390"/>
      <c r="AW116" s="390"/>
      <c r="AX116" s="390"/>
      <c r="AY116" s="390"/>
      <c r="AZ116" s="390"/>
      <c r="BA116" s="390"/>
      <c r="BB116" s="390"/>
      <c r="BC116" s="390"/>
      <c r="BD116" s="390"/>
      <c r="BE116" s="390"/>
      <c r="BF116" s="390"/>
      <c r="BG116" s="390"/>
      <c r="BH116" s="390"/>
      <c r="BI116" s="390"/>
      <c r="BJ116" s="390"/>
      <c r="BK116" s="390"/>
      <c r="BL116" s="390"/>
      <c r="BM116" s="390"/>
      <c r="BN116" s="390"/>
      <c r="BO116" s="390"/>
      <c r="BP116" s="390"/>
      <c r="BQ116" s="390"/>
      <c r="BR116" s="390"/>
      <c r="BS116" s="390"/>
      <c r="BT116" s="390"/>
      <c r="BU116" s="390"/>
      <c r="BV116" s="390"/>
      <c r="BW116" s="390"/>
      <c r="BX116" s="390"/>
      <c r="BY116" s="390"/>
      <c r="BZ116" s="390"/>
      <c r="CA116" s="390"/>
      <c r="CB116" s="390"/>
      <c r="CC116" s="390"/>
      <c r="CD116" s="390"/>
      <c r="CE116" s="390"/>
      <c r="CF116" s="390"/>
      <c r="CG116" s="390"/>
      <c r="CH116" s="390"/>
      <c r="CI116" s="390"/>
      <c r="CJ116" s="390"/>
      <c r="CK116" s="390"/>
      <c r="CL116" s="390"/>
      <c r="CM116" s="390"/>
      <c r="CN116" s="390"/>
    </row>
    <row r="117" spans="1:92" s="13" customFormat="1" ht="29" x14ac:dyDescent="0.35">
      <c r="A117" s="636">
        <v>43521</v>
      </c>
      <c r="B117" s="549" t="s">
        <v>2651</v>
      </c>
      <c r="C117" s="548" t="s">
        <v>1640</v>
      </c>
      <c r="D117" s="570"/>
      <c r="E117" s="546" t="s">
        <v>2650</v>
      </c>
      <c r="F117" s="545">
        <v>43525</v>
      </c>
      <c r="G117" s="544">
        <v>0.41666666666666702</v>
      </c>
      <c r="H117" s="470" t="s">
        <v>1638</v>
      </c>
      <c r="I117" s="522">
        <v>847</v>
      </c>
      <c r="J117" s="470" t="s">
        <v>2649</v>
      </c>
      <c r="K117" s="491" t="s">
        <v>2662</v>
      </c>
      <c r="L117" s="506"/>
      <c r="M117" s="368"/>
      <c r="N117" s="390"/>
      <c r="O117" s="390"/>
      <c r="P117" s="390"/>
      <c r="Q117" s="390"/>
      <c r="R117" s="390"/>
      <c r="S117" s="390"/>
      <c r="T117" s="390"/>
      <c r="U117" s="390"/>
      <c r="V117" s="390"/>
      <c r="W117" s="390"/>
      <c r="X117" s="390"/>
      <c r="Y117" s="390"/>
      <c r="Z117" s="390"/>
      <c r="AA117" s="390"/>
      <c r="AB117" s="390"/>
      <c r="AC117" s="390"/>
      <c r="AD117" s="390"/>
      <c r="AE117" s="390"/>
      <c r="AF117" s="390"/>
      <c r="AG117" s="390"/>
      <c r="AH117" s="390"/>
      <c r="AI117" s="390"/>
      <c r="AJ117" s="390"/>
      <c r="AK117" s="390"/>
      <c r="AL117" s="390"/>
      <c r="AM117" s="390"/>
      <c r="AN117" s="390"/>
      <c r="AO117" s="390"/>
      <c r="AP117" s="390"/>
      <c r="AQ117" s="390"/>
      <c r="AR117" s="390"/>
      <c r="AS117" s="390"/>
      <c r="AT117" s="390"/>
      <c r="AU117" s="390"/>
      <c r="AV117" s="390"/>
      <c r="AW117" s="390"/>
      <c r="AX117" s="390"/>
      <c r="AY117" s="390"/>
      <c r="AZ117" s="390"/>
      <c r="BA117" s="390"/>
      <c r="BB117" s="390"/>
      <c r="BC117" s="390"/>
      <c r="BD117" s="390"/>
      <c r="BE117" s="390"/>
      <c r="BF117" s="390"/>
      <c r="BG117" s="390"/>
      <c r="BH117" s="390"/>
      <c r="BI117" s="390"/>
      <c r="BJ117" s="390"/>
      <c r="BK117" s="390"/>
      <c r="BL117" s="390"/>
      <c r="BM117" s="390"/>
      <c r="BN117" s="390"/>
      <c r="BO117" s="390"/>
      <c r="BP117" s="390"/>
      <c r="BQ117" s="390"/>
      <c r="BR117" s="390"/>
      <c r="BS117" s="390"/>
      <c r="BT117" s="390"/>
      <c r="BU117" s="390"/>
      <c r="BV117" s="390"/>
      <c r="BW117" s="390"/>
      <c r="BX117" s="390"/>
      <c r="BY117" s="390"/>
      <c r="BZ117" s="390"/>
      <c r="CA117" s="390"/>
      <c r="CB117" s="390"/>
      <c r="CC117" s="390"/>
      <c r="CD117" s="390"/>
      <c r="CE117" s="390"/>
      <c r="CF117" s="390"/>
      <c r="CG117" s="390"/>
      <c r="CH117" s="390"/>
      <c r="CI117" s="390"/>
      <c r="CJ117" s="390"/>
      <c r="CK117" s="390"/>
      <c r="CL117" s="390"/>
      <c r="CM117" s="390"/>
      <c r="CN117" s="390"/>
    </row>
    <row r="118" spans="1:92" s="13" customFormat="1" ht="29" x14ac:dyDescent="0.35">
      <c r="A118" s="676">
        <v>43521</v>
      </c>
      <c r="B118" s="549" t="s">
        <v>2648</v>
      </c>
      <c r="C118" s="548"/>
      <c r="D118" s="570"/>
      <c r="E118" s="546" t="s">
        <v>2647</v>
      </c>
      <c r="F118" s="545">
        <v>43525</v>
      </c>
      <c r="G118" s="544">
        <v>0.5</v>
      </c>
      <c r="H118" s="470" t="s">
        <v>2646</v>
      </c>
      <c r="I118" s="522">
        <v>449</v>
      </c>
      <c r="J118" s="603" t="s">
        <v>2645</v>
      </c>
      <c r="K118" s="585" t="s">
        <v>2681</v>
      </c>
      <c r="L118" s="677" t="s">
        <v>2682</v>
      </c>
      <c r="M118" s="390"/>
      <c r="N118" s="390"/>
      <c r="O118" s="390"/>
      <c r="P118" s="390"/>
      <c r="Q118" s="390"/>
      <c r="R118" s="390"/>
      <c r="S118" s="390"/>
      <c r="T118" s="390"/>
      <c r="U118" s="390"/>
      <c r="V118" s="390"/>
      <c r="W118" s="390"/>
      <c r="X118" s="390"/>
      <c r="Y118" s="390"/>
      <c r="Z118" s="390"/>
      <c r="AA118" s="390"/>
      <c r="AB118" s="390"/>
      <c r="AC118" s="390"/>
      <c r="AD118" s="390"/>
      <c r="AE118" s="390"/>
      <c r="AF118" s="390"/>
      <c r="AG118" s="390"/>
      <c r="AH118" s="390"/>
      <c r="AI118" s="390"/>
      <c r="AJ118" s="390"/>
      <c r="AK118" s="390"/>
      <c r="AL118" s="390"/>
      <c r="AM118" s="390"/>
      <c r="AN118" s="390"/>
      <c r="AO118" s="390"/>
      <c r="AP118" s="390"/>
      <c r="AQ118" s="390"/>
      <c r="AR118" s="390"/>
      <c r="AS118" s="390"/>
      <c r="AT118" s="390"/>
      <c r="AU118" s="390"/>
      <c r="AV118" s="390"/>
      <c r="AW118" s="390"/>
      <c r="AX118" s="390"/>
      <c r="AY118" s="390"/>
      <c r="AZ118" s="390"/>
      <c r="BA118" s="390"/>
      <c r="BB118" s="390"/>
      <c r="BC118" s="390"/>
      <c r="BD118" s="390"/>
      <c r="BE118" s="390"/>
      <c r="BF118" s="390"/>
      <c r="BG118" s="390"/>
      <c r="BH118" s="390"/>
      <c r="BI118" s="390"/>
      <c r="BJ118" s="390"/>
      <c r="BK118" s="390"/>
      <c r="BL118" s="390"/>
      <c r="BM118" s="390"/>
      <c r="BN118" s="390"/>
      <c r="BO118" s="390"/>
      <c r="BP118" s="390"/>
      <c r="BQ118" s="390"/>
      <c r="BR118" s="390"/>
      <c r="BS118" s="390"/>
      <c r="BT118" s="390"/>
      <c r="BU118" s="390"/>
      <c r="BV118" s="390"/>
      <c r="BW118" s="390"/>
      <c r="BX118" s="390"/>
      <c r="BY118" s="390"/>
      <c r="BZ118" s="390"/>
      <c r="CA118" s="390"/>
      <c r="CB118" s="390"/>
      <c r="CC118" s="390"/>
      <c r="CD118" s="390"/>
      <c r="CE118" s="390"/>
      <c r="CF118" s="390"/>
      <c r="CG118" s="390"/>
      <c r="CH118" s="390"/>
      <c r="CI118" s="390"/>
      <c r="CJ118" s="390"/>
      <c r="CK118" s="390"/>
      <c r="CL118" s="390"/>
      <c r="CM118" s="390"/>
      <c r="CN118" s="390"/>
    </row>
    <row r="119" spans="1:92" s="13" customFormat="1" ht="87" x14ac:dyDescent="0.35">
      <c r="A119" s="636">
        <v>43522</v>
      </c>
      <c r="B119" s="549" t="s">
        <v>2030</v>
      </c>
      <c r="C119" s="548"/>
      <c r="D119" s="570"/>
      <c r="E119" s="546" t="s">
        <v>2640</v>
      </c>
      <c r="F119" s="545">
        <v>43525</v>
      </c>
      <c r="G119" s="544" t="s">
        <v>2639</v>
      </c>
      <c r="H119" s="470" t="s">
        <v>2638</v>
      </c>
      <c r="I119" s="463">
        <v>2973</v>
      </c>
      <c r="J119" s="470" t="s">
        <v>2637</v>
      </c>
      <c r="K119" s="491" t="s">
        <v>2662</v>
      </c>
      <c r="L119" s="506"/>
      <c r="M119" s="368"/>
      <c r="N119" s="390"/>
      <c r="O119" s="390"/>
      <c r="P119" s="390"/>
      <c r="Q119" s="390"/>
      <c r="R119" s="390"/>
      <c r="S119" s="390"/>
      <c r="T119" s="390"/>
      <c r="U119" s="390"/>
      <c r="V119" s="390"/>
      <c r="W119" s="390"/>
      <c r="X119" s="390"/>
      <c r="Y119" s="390"/>
      <c r="Z119" s="390"/>
      <c r="AA119" s="390"/>
      <c r="AB119" s="390"/>
      <c r="AC119" s="390"/>
      <c r="AD119" s="390"/>
      <c r="AE119" s="390"/>
      <c r="AF119" s="390"/>
      <c r="AG119" s="390"/>
      <c r="AH119" s="390"/>
      <c r="AI119" s="390"/>
      <c r="AJ119" s="390"/>
      <c r="AK119" s="390"/>
      <c r="AL119" s="390"/>
      <c r="AM119" s="390"/>
      <c r="AN119" s="390"/>
      <c r="AO119" s="390"/>
      <c r="AP119" s="390"/>
      <c r="AQ119" s="390"/>
      <c r="AR119" s="390"/>
      <c r="AS119" s="390"/>
      <c r="AT119" s="390"/>
      <c r="AU119" s="390"/>
      <c r="AV119" s="390"/>
      <c r="AW119" s="390"/>
      <c r="AX119" s="390"/>
      <c r="AY119" s="390"/>
      <c r="AZ119" s="390"/>
      <c r="BA119" s="390"/>
      <c r="BB119" s="390"/>
      <c r="BC119" s="390"/>
      <c r="BD119" s="390"/>
      <c r="BE119" s="390"/>
      <c r="BF119" s="390"/>
      <c r="BG119" s="390"/>
      <c r="BH119" s="390"/>
      <c r="BI119" s="390"/>
      <c r="BJ119" s="390"/>
      <c r="BK119" s="390"/>
      <c r="BL119" s="390"/>
      <c r="BM119" s="390"/>
      <c r="BN119" s="390"/>
      <c r="BO119" s="390"/>
      <c r="BP119" s="390"/>
      <c r="BQ119" s="390"/>
      <c r="BR119" s="390"/>
      <c r="BS119" s="390"/>
      <c r="BT119" s="390"/>
      <c r="BU119" s="390"/>
      <c r="BV119" s="390"/>
      <c r="BW119" s="390"/>
      <c r="BX119" s="390"/>
      <c r="BY119" s="390"/>
      <c r="BZ119" s="390"/>
      <c r="CA119" s="390"/>
      <c r="CB119" s="390"/>
      <c r="CC119" s="390"/>
      <c r="CD119" s="390"/>
      <c r="CE119" s="390"/>
      <c r="CF119" s="390"/>
      <c r="CG119" s="390"/>
      <c r="CH119" s="390"/>
      <c r="CI119" s="390"/>
      <c r="CJ119" s="390"/>
      <c r="CK119" s="390"/>
      <c r="CL119" s="390"/>
      <c r="CM119" s="390"/>
      <c r="CN119" s="390"/>
    </row>
    <row r="120" spans="1:92" s="13" customFormat="1" ht="43.5" x14ac:dyDescent="0.35">
      <c r="A120" s="636">
        <v>43522</v>
      </c>
      <c r="B120" s="549" t="s">
        <v>2636</v>
      </c>
      <c r="C120" s="548" t="s">
        <v>2635</v>
      </c>
      <c r="D120" s="570"/>
      <c r="E120" s="546" t="s">
        <v>2634</v>
      </c>
      <c r="F120" s="545">
        <v>43525</v>
      </c>
      <c r="G120" s="544">
        <v>0.5</v>
      </c>
      <c r="H120" s="470" t="s">
        <v>2633</v>
      </c>
      <c r="I120" s="463" t="s">
        <v>2632</v>
      </c>
      <c r="J120" s="470" t="s">
        <v>2631</v>
      </c>
      <c r="K120" s="491" t="s">
        <v>2662</v>
      </c>
      <c r="L120" s="506"/>
      <c r="M120" s="368"/>
      <c r="N120" s="390"/>
      <c r="O120" s="390"/>
      <c r="P120" s="390"/>
      <c r="Q120" s="390"/>
      <c r="R120" s="390"/>
      <c r="S120" s="390"/>
      <c r="T120" s="390"/>
      <c r="U120" s="390"/>
      <c r="V120" s="390"/>
      <c r="W120" s="390"/>
      <c r="X120" s="390"/>
      <c r="Y120" s="390"/>
      <c r="Z120" s="390"/>
      <c r="AA120" s="390"/>
      <c r="AB120" s="390"/>
      <c r="AC120" s="390"/>
      <c r="AD120" s="390"/>
      <c r="AE120" s="390"/>
      <c r="AF120" s="390"/>
      <c r="AG120" s="390"/>
      <c r="AH120" s="390"/>
      <c r="AI120" s="390"/>
      <c r="AJ120" s="390"/>
      <c r="AK120" s="390"/>
      <c r="AL120" s="390"/>
      <c r="AM120" s="390"/>
      <c r="AN120" s="390"/>
      <c r="AO120" s="390"/>
      <c r="AP120" s="390"/>
      <c r="AQ120" s="390"/>
      <c r="AR120" s="390"/>
      <c r="AS120" s="390"/>
      <c r="AT120" s="390"/>
      <c r="AU120" s="390"/>
      <c r="AV120" s="390"/>
      <c r="AW120" s="390"/>
      <c r="AX120" s="390"/>
      <c r="AY120" s="390"/>
      <c r="AZ120" s="390"/>
      <c r="BA120" s="390"/>
      <c r="BB120" s="390"/>
      <c r="BC120" s="390"/>
      <c r="BD120" s="390"/>
      <c r="BE120" s="390"/>
      <c r="BF120" s="390"/>
      <c r="BG120" s="390"/>
      <c r="BH120" s="390"/>
      <c r="BI120" s="390"/>
      <c r="BJ120" s="390"/>
      <c r="BK120" s="390"/>
      <c r="BL120" s="390"/>
      <c r="BM120" s="390"/>
      <c r="BN120" s="390"/>
      <c r="BO120" s="390"/>
      <c r="BP120" s="390"/>
      <c r="BQ120" s="390"/>
      <c r="BR120" s="390"/>
      <c r="BS120" s="390"/>
      <c r="BT120" s="390"/>
      <c r="BU120" s="390"/>
      <c r="BV120" s="390"/>
      <c r="BW120" s="390"/>
      <c r="BX120" s="390"/>
      <c r="BY120" s="390"/>
      <c r="BZ120" s="390"/>
      <c r="CA120" s="390"/>
      <c r="CB120" s="390"/>
      <c r="CC120" s="390"/>
      <c r="CD120" s="390"/>
      <c r="CE120" s="390"/>
      <c r="CF120" s="390"/>
      <c r="CG120" s="390"/>
      <c r="CH120" s="390"/>
      <c r="CI120" s="390"/>
      <c r="CJ120" s="390"/>
      <c r="CK120" s="390"/>
      <c r="CL120" s="390"/>
      <c r="CM120" s="390"/>
      <c r="CN120" s="390"/>
    </row>
    <row r="121" spans="1:92" s="13" customFormat="1" ht="43.5" x14ac:dyDescent="0.35">
      <c r="A121" s="636">
        <v>43523</v>
      </c>
      <c r="B121" s="549" t="s">
        <v>647</v>
      </c>
      <c r="C121" s="548"/>
      <c r="D121" s="570"/>
      <c r="E121" s="569" t="s">
        <v>2629</v>
      </c>
      <c r="F121" s="545">
        <v>43525</v>
      </c>
      <c r="G121" s="544">
        <v>0.5</v>
      </c>
      <c r="H121" s="470" t="s">
        <v>2628</v>
      </c>
      <c r="I121" s="463">
        <v>398</v>
      </c>
      <c r="J121" s="470" t="s">
        <v>2630</v>
      </c>
      <c r="K121" s="585" t="s">
        <v>2681</v>
      </c>
      <c r="L121" s="506"/>
      <c r="M121" s="368"/>
      <c r="N121" s="390"/>
      <c r="O121" s="390"/>
      <c r="P121" s="390"/>
      <c r="Q121" s="390"/>
      <c r="R121" s="390"/>
      <c r="S121" s="390"/>
      <c r="T121" s="390"/>
      <c r="U121" s="390"/>
      <c r="V121" s="390"/>
      <c r="W121" s="390"/>
      <c r="X121" s="390"/>
      <c r="Y121" s="390"/>
      <c r="Z121" s="390"/>
      <c r="AA121" s="390"/>
      <c r="AB121" s="390"/>
      <c r="AC121" s="390"/>
      <c r="AD121" s="390"/>
      <c r="AE121" s="390"/>
      <c r="AF121" s="390"/>
      <c r="AG121" s="390"/>
      <c r="AH121" s="390"/>
      <c r="AI121" s="390"/>
      <c r="AJ121" s="390"/>
      <c r="AK121" s="390"/>
      <c r="AL121" s="390"/>
      <c r="AM121" s="390"/>
      <c r="AN121" s="390"/>
      <c r="AO121" s="390"/>
      <c r="AP121" s="390"/>
      <c r="AQ121" s="390"/>
      <c r="AR121" s="390"/>
      <c r="AS121" s="390"/>
      <c r="AT121" s="390"/>
      <c r="AU121" s="390"/>
      <c r="AV121" s="390"/>
      <c r="AW121" s="390"/>
      <c r="AX121" s="390"/>
      <c r="AY121" s="390"/>
      <c r="AZ121" s="390"/>
      <c r="BA121" s="390"/>
      <c r="BB121" s="390"/>
      <c r="BC121" s="390"/>
      <c r="BD121" s="390"/>
      <c r="BE121" s="390"/>
      <c r="BF121" s="390"/>
      <c r="BG121" s="390"/>
      <c r="BH121" s="390"/>
      <c r="BI121" s="390"/>
      <c r="BJ121" s="390"/>
      <c r="BK121" s="390"/>
      <c r="BL121" s="390"/>
      <c r="BM121" s="390"/>
      <c r="BN121" s="390"/>
      <c r="BO121" s="390"/>
      <c r="BP121" s="390"/>
      <c r="BQ121" s="390"/>
      <c r="BR121" s="390"/>
      <c r="BS121" s="390"/>
      <c r="BT121" s="390"/>
      <c r="BU121" s="390"/>
      <c r="BV121" s="390"/>
      <c r="BW121" s="390"/>
      <c r="BX121" s="390"/>
      <c r="BY121" s="390"/>
      <c r="BZ121" s="390"/>
      <c r="CA121" s="390"/>
      <c r="CB121" s="390"/>
      <c r="CC121" s="390"/>
      <c r="CD121" s="390"/>
      <c r="CE121" s="390"/>
      <c r="CF121" s="390"/>
      <c r="CG121" s="390"/>
      <c r="CH121" s="390"/>
      <c r="CI121" s="390"/>
      <c r="CJ121" s="390"/>
      <c r="CK121" s="390"/>
      <c r="CL121" s="390"/>
      <c r="CM121" s="390"/>
      <c r="CN121" s="390"/>
    </row>
    <row r="122" spans="1:92" s="13" customFormat="1" ht="43.5" x14ac:dyDescent="0.35">
      <c r="A122" s="636">
        <v>43523</v>
      </c>
      <c r="B122" s="549" t="s">
        <v>2624</v>
      </c>
      <c r="C122" s="548"/>
      <c r="D122" s="570"/>
      <c r="E122" s="569" t="s">
        <v>2629</v>
      </c>
      <c r="F122" s="545">
        <v>43525</v>
      </c>
      <c r="G122" s="544">
        <v>0.5</v>
      </c>
      <c r="H122" s="470" t="s">
        <v>2628</v>
      </c>
      <c r="I122" s="463">
        <v>0</v>
      </c>
      <c r="J122" s="470"/>
      <c r="K122" s="585" t="s">
        <v>2681</v>
      </c>
      <c r="L122" s="506"/>
      <c r="M122" s="368"/>
      <c r="N122" s="390"/>
      <c r="O122" s="390"/>
      <c r="P122" s="390"/>
      <c r="Q122" s="390"/>
      <c r="R122" s="390"/>
      <c r="S122" s="390"/>
      <c r="T122" s="390"/>
      <c r="U122" s="390"/>
      <c r="V122" s="390"/>
      <c r="W122" s="390"/>
      <c r="X122" s="390"/>
      <c r="Y122" s="390"/>
      <c r="Z122" s="390"/>
      <c r="AA122" s="390"/>
      <c r="AB122" s="390"/>
      <c r="AC122" s="390"/>
      <c r="AD122" s="390"/>
      <c r="AE122" s="390"/>
      <c r="AF122" s="390"/>
      <c r="AG122" s="390"/>
      <c r="AH122" s="390"/>
      <c r="AI122" s="390"/>
      <c r="AJ122" s="390"/>
      <c r="AK122" s="390"/>
      <c r="AL122" s="390"/>
      <c r="AM122" s="390"/>
      <c r="AN122" s="390"/>
      <c r="AO122" s="390"/>
      <c r="AP122" s="390"/>
      <c r="AQ122" s="390"/>
      <c r="AR122" s="390"/>
      <c r="AS122" s="390"/>
      <c r="AT122" s="390"/>
      <c r="AU122" s="390"/>
      <c r="AV122" s="390"/>
      <c r="AW122" s="390"/>
      <c r="AX122" s="390"/>
      <c r="AY122" s="390"/>
      <c r="AZ122" s="390"/>
      <c r="BA122" s="390"/>
      <c r="BB122" s="390"/>
      <c r="BC122" s="390"/>
      <c r="BD122" s="390"/>
      <c r="BE122" s="390"/>
      <c r="BF122" s="390"/>
      <c r="BG122" s="390"/>
      <c r="BH122" s="390"/>
      <c r="BI122" s="390"/>
      <c r="BJ122" s="390"/>
      <c r="BK122" s="390"/>
      <c r="BL122" s="390"/>
      <c r="BM122" s="390"/>
      <c r="BN122" s="390"/>
      <c r="BO122" s="390"/>
      <c r="BP122" s="390"/>
      <c r="BQ122" s="390"/>
      <c r="BR122" s="390"/>
      <c r="BS122" s="390"/>
      <c r="BT122" s="390"/>
      <c r="BU122" s="390"/>
      <c r="BV122" s="390"/>
      <c r="BW122" s="390"/>
      <c r="BX122" s="390"/>
      <c r="BY122" s="390"/>
      <c r="BZ122" s="390"/>
      <c r="CA122" s="390"/>
      <c r="CB122" s="390"/>
      <c r="CC122" s="390"/>
      <c r="CD122" s="390"/>
      <c r="CE122" s="390"/>
      <c r="CF122" s="390"/>
      <c r="CG122" s="390"/>
      <c r="CH122" s="390"/>
      <c r="CI122" s="390"/>
      <c r="CJ122" s="390"/>
      <c r="CK122" s="390"/>
      <c r="CL122" s="390"/>
      <c r="CM122" s="390"/>
      <c r="CN122" s="390"/>
    </row>
    <row r="123" spans="1:92" s="13" customFormat="1" ht="43.5" x14ac:dyDescent="0.35">
      <c r="A123" s="636">
        <v>43523</v>
      </c>
      <c r="B123" s="549" t="s">
        <v>1842</v>
      </c>
      <c r="C123" s="548" t="s">
        <v>1841</v>
      </c>
      <c r="D123" s="570"/>
      <c r="E123" s="546" t="s">
        <v>2627</v>
      </c>
      <c r="F123" s="545">
        <v>43525</v>
      </c>
      <c r="G123" s="544" t="s">
        <v>2626</v>
      </c>
      <c r="H123" s="470" t="s">
        <v>2625</v>
      </c>
      <c r="I123" s="675">
        <v>135</v>
      </c>
      <c r="J123" s="528" t="s">
        <v>1592</v>
      </c>
      <c r="K123" s="585" t="s">
        <v>2681</v>
      </c>
      <c r="L123" s="506"/>
      <c r="M123" s="368"/>
      <c r="N123" s="390"/>
      <c r="O123" s="390"/>
      <c r="P123" s="390"/>
      <c r="Q123" s="390"/>
      <c r="R123" s="390"/>
      <c r="S123" s="390"/>
      <c r="T123" s="390"/>
      <c r="U123" s="390"/>
      <c r="V123" s="390"/>
      <c r="W123" s="390"/>
      <c r="X123" s="390"/>
      <c r="Y123" s="390"/>
      <c r="Z123" s="390"/>
      <c r="AA123" s="390"/>
      <c r="AB123" s="390"/>
      <c r="AC123" s="390"/>
      <c r="AD123" s="390"/>
      <c r="AE123" s="390"/>
      <c r="AF123" s="390"/>
      <c r="AG123" s="390"/>
      <c r="AH123" s="390"/>
      <c r="AI123" s="390"/>
      <c r="AJ123" s="390"/>
      <c r="AK123" s="390"/>
      <c r="AL123" s="390"/>
      <c r="AM123" s="390"/>
      <c r="AN123" s="390"/>
      <c r="AO123" s="390"/>
      <c r="AP123" s="390"/>
      <c r="AQ123" s="390"/>
      <c r="AR123" s="390"/>
      <c r="AS123" s="390"/>
      <c r="AT123" s="390"/>
      <c r="AU123" s="390"/>
      <c r="AV123" s="390"/>
      <c r="AW123" s="390"/>
      <c r="AX123" s="390"/>
      <c r="AY123" s="390"/>
      <c r="AZ123" s="390"/>
      <c r="BA123" s="390"/>
      <c r="BB123" s="390"/>
      <c r="BC123" s="390"/>
      <c r="BD123" s="390"/>
      <c r="BE123" s="390"/>
      <c r="BF123" s="390"/>
      <c r="BG123" s="390"/>
      <c r="BH123" s="390"/>
      <c r="BI123" s="390"/>
      <c r="BJ123" s="390"/>
      <c r="BK123" s="390"/>
      <c r="BL123" s="390"/>
      <c r="BM123" s="390"/>
      <c r="BN123" s="390"/>
      <c r="BO123" s="390"/>
      <c r="BP123" s="390"/>
      <c r="BQ123" s="390"/>
      <c r="BR123" s="390"/>
      <c r="BS123" s="390"/>
      <c r="BT123" s="390"/>
      <c r="BU123" s="390"/>
      <c r="BV123" s="390"/>
      <c r="BW123" s="390"/>
      <c r="BX123" s="390"/>
      <c r="BY123" s="390"/>
      <c r="BZ123" s="390"/>
      <c r="CA123" s="390"/>
      <c r="CB123" s="390"/>
      <c r="CC123" s="390"/>
      <c r="CD123" s="390"/>
      <c r="CE123" s="390"/>
      <c r="CF123" s="390"/>
      <c r="CG123" s="390"/>
      <c r="CH123" s="390"/>
      <c r="CI123" s="390"/>
      <c r="CJ123" s="390"/>
      <c r="CK123" s="390"/>
      <c r="CL123" s="390"/>
      <c r="CM123" s="390"/>
      <c r="CN123" s="390"/>
    </row>
    <row r="124" spans="1:92" s="13" customFormat="1" x14ac:dyDescent="0.35">
      <c r="A124" s="636">
        <v>43523</v>
      </c>
      <c r="B124" s="549" t="s">
        <v>2624</v>
      </c>
      <c r="C124" s="548"/>
      <c r="D124" s="570"/>
      <c r="E124" s="546" t="s">
        <v>2623</v>
      </c>
      <c r="F124" s="545">
        <v>43525</v>
      </c>
      <c r="G124" s="544">
        <v>0.66666666666666696</v>
      </c>
      <c r="H124" s="470" t="s">
        <v>2622</v>
      </c>
      <c r="I124" s="463">
        <v>0</v>
      </c>
      <c r="J124" s="470"/>
      <c r="K124" s="491"/>
      <c r="L124" s="506"/>
      <c r="M124" s="368"/>
      <c r="N124" s="390"/>
      <c r="O124" s="390"/>
      <c r="P124" s="390"/>
      <c r="Q124" s="390"/>
      <c r="R124" s="390"/>
      <c r="S124" s="390"/>
      <c r="T124" s="390"/>
      <c r="U124" s="390"/>
      <c r="V124" s="390"/>
      <c r="W124" s="390"/>
      <c r="X124" s="390"/>
      <c r="Y124" s="390"/>
      <c r="Z124" s="390"/>
      <c r="AA124" s="390"/>
      <c r="AB124" s="390"/>
      <c r="AC124" s="390"/>
      <c r="AD124" s="390"/>
      <c r="AE124" s="390"/>
      <c r="AF124" s="390"/>
      <c r="AG124" s="390"/>
      <c r="AH124" s="390"/>
      <c r="AI124" s="390"/>
      <c r="AJ124" s="390"/>
      <c r="AK124" s="390"/>
      <c r="AL124" s="390"/>
      <c r="AM124" s="390"/>
      <c r="AN124" s="390"/>
      <c r="AO124" s="390"/>
      <c r="AP124" s="390"/>
      <c r="AQ124" s="390"/>
      <c r="AR124" s="390"/>
      <c r="AS124" s="390"/>
      <c r="AT124" s="390"/>
      <c r="AU124" s="390"/>
      <c r="AV124" s="390"/>
      <c r="AW124" s="390"/>
      <c r="AX124" s="390"/>
      <c r="AY124" s="390"/>
      <c r="AZ124" s="390"/>
      <c r="BA124" s="390"/>
      <c r="BB124" s="390"/>
      <c r="BC124" s="390"/>
      <c r="BD124" s="390"/>
      <c r="BE124" s="390"/>
      <c r="BF124" s="390"/>
      <c r="BG124" s="390"/>
      <c r="BH124" s="390"/>
      <c r="BI124" s="390"/>
      <c r="BJ124" s="390"/>
      <c r="BK124" s="390"/>
      <c r="BL124" s="390"/>
      <c r="BM124" s="390"/>
      <c r="BN124" s="390"/>
      <c r="BO124" s="390"/>
      <c r="BP124" s="390"/>
      <c r="BQ124" s="390"/>
      <c r="BR124" s="390"/>
      <c r="BS124" s="390"/>
      <c r="BT124" s="390"/>
      <c r="BU124" s="390"/>
      <c r="BV124" s="390"/>
      <c r="BW124" s="390"/>
      <c r="BX124" s="390"/>
      <c r="BY124" s="390"/>
      <c r="BZ124" s="390"/>
      <c r="CA124" s="390"/>
      <c r="CB124" s="390"/>
      <c r="CC124" s="390"/>
      <c r="CD124" s="390"/>
      <c r="CE124" s="390"/>
      <c r="CF124" s="390"/>
      <c r="CG124" s="390"/>
      <c r="CH124" s="390"/>
      <c r="CI124" s="390"/>
      <c r="CJ124" s="390"/>
      <c r="CK124" s="390"/>
      <c r="CL124" s="390"/>
      <c r="CM124" s="390"/>
      <c r="CN124" s="390"/>
    </row>
    <row r="125" spans="1:92" s="13" customFormat="1" ht="29" x14ac:dyDescent="0.35">
      <c r="A125" s="674">
        <v>43523</v>
      </c>
      <c r="B125" s="672" t="s">
        <v>2621</v>
      </c>
      <c r="C125" s="672" t="s">
        <v>2620</v>
      </c>
      <c r="D125" s="672" t="s">
        <v>15</v>
      </c>
      <c r="E125" s="671" t="s">
        <v>2619</v>
      </c>
      <c r="F125" s="669">
        <v>43525</v>
      </c>
      <c r="G125" s="670">
        <v>0.41666666666666702</v>
      </c>
      <c r="H125" s="528" t="s">
        <v>2618</v>
      </c>
      <c r="I125" s="651">
        <v>300</v>
      </c>
      <c r="J125" s="489" t="s">
        <v>2617</v>
      </c>
      <c r="K125" s="585" t="s">
        <v>2681</v>
      </c>
      <c r="L125" s="368"/>
      <c r="M125" s="368"/>
      <c r="N125" s="390"/>
      <c r="O125" s="390"/>
      <c r="P125" s="390"/>
      <c r="Q125" s="390"/>
      <c r="R125" s="390"/>
      <c r="S125" s="390"/>
      <c r="T125" s="390"/>
      <c r="U125" s="390"/>
      <c r="V125" s="390"/>
      <c r="W125" s="390"/>
      <c r="X125" s="390"/>
      <c r="Y125" s="390"/>
      <c r="Z125" s="390"/>
      <c r="AA125" s="390"/>
      <c r="AB125" s="390"/>
      <c r="AC125" s="390"/>
      <c r="AD125" s="390"/>
      <c r="AE125" s="390"/>
      <c r="AF125" s="390"/>
      <c r="AG125" s="390"/>
      <c r="AH125" s="390"/>
      <c r="AI125" s="390"/>
      <c r="AJ125" s="390"/>
      <c r="AK125" s="390"/>
      <c r="AL125" s="390"/>
      <c r="AM125" s="390"/>
      <c r="AN125" s="390"/>
      <c r="AO125" s="390"/>
      <c r="AP125" s="390"/>
      <c r="AQ125" s="390"/>
      <c r="AR125" s="390"/>
      <c r="AS125" s="390"/>
      <c r="AT125" s="390"/>
      <c r="AU125" s="390"/>
      <c r="AV125" s="390"/>
      <c r="AW125" s="390"/>
      <c r="AX125" s="390"/>
      <c r="AY125" s="390"/>
      <c r="AZ125" s="390"/>
      <c r="BA125" s="390"/>
      <c r="BB125" s="390"/>
      <c r="BC125" s="390"/>
      <c r="BD125" s="390"/>
      <c r="BE125" s="390"/>
      <c r="BF125" s="390"/>
      <c r="BG125" s="390"/>
      <c r="BH125" s="390"/>
      <c r="BI125" s="390"/>
      <c r="BJ125" s="390"/>
      <c r="BK125" s="390"/>
      <c r="BL125" s="390"/>
      <c r="BM125" s="390"/>
      <c r="BN125" s="390"/>
      <c r="BO125" s="390"/>
      <c r="BP125" s="390"/>
      <c r="BQ125" s="390"/>
      <c r="BR125" s="390"/>
      <c r="BS125" s="390"/>
      <c r="BT125" s="390"/>
      <c r="BU125" s="390"/>
      <c r="BV125" s="390"/>
      <c r="BW125" s="390"/>
      <c r="BX125" s="390"/>
      <c r="BY125" s="390"/>
      <c r="BZ125" s="390"/>
      <c r="CA125" s="390"/>
      <c r="CB125" s="390"/>
      <c r="CC125" s="390"/>
      <c r="CD125" s="390"/>
      <c r="CE125" s="390"/>
      <c r="CF125" s="390"/>
      <c r="CG125" s="390"/>
      <c r="CH125" s="390"/>
      <c r="CI125" s="390"/>
      <c r="CJ125" s="390"/>
      <c r="CK125" s="390"/>
      <c r="CL125" s="390"/>
      <c r="CM125" s="390"/>
      <c r="CN125" s="390"/>
    </row>
    <row r="126" spans="1:92" s="13" customFormat="1" ht="29" x14ac:dyDescent="0.35">
      <c r="A126" s="674">
        <v>43523</v>
      </c>
      <c r="B126" s="672" t="s">
        <v>2439</v>
      </c>
      <c r="C126" s="673" t="s">
        <v>2438</v>
      </c>
      <c r="D126" s="672" t="s">
        <v>15</v>
      </c>
      <c r="E126" s="671" t="s">
        <v>2616</v>
      </c>
      <c r="F126" s="669">
        <v>43525</v>
      </c>
      <c r="G126" s="670">
        <v>0.45833333333333298</v>
      </c>
      <c r="H126" s="528" t="s">
        <v>2436</v>
      </c>
      <c r="I126" s="651">
        <v>378</v>
      </c>
      <c r="J126" s="489" t="s">
        <v>2615</v>
      </c>
      <c r="K126" s="585" t="s">
        <v>2681</v>
      </c>
      <c r="L126" s="368"/>
      <c r="M126" s="368"/>
      <c r="N126" s="390"/>
      <c r="O126" s="390"/>
      <c r="P126" s="390"/>
      <c r="Q126" s="390"/>
      <c r="R126" s="390"/>
      <c r="S126" s="390"/>
      <c r="T126" s="390"/>
      <c r="U126" s="390"/>
      <c r="V126" s="390"/>
      <c r="W126" s="390"/>
      <c r="X126" s="390"/>
      <c r="Y126" s="390"/>
      <c r="Z126" s="390"/>
      <c r="AA126" s="390"/>
      <c r="AB126" s="390"/>
      <c r="AC126" s="390"/>
      <c r="AD126" s="390"/>
      <c r="AE126" s="390"/>
      <c r="AF126" s="390"/>
      <c r="AG126" s="390"/>
      <c r="AH126" s="390"/>
      <c r="AI126" s="390"/>
      <c r="AJ126" s="390"/>
      <c r="AK126" s="390"/>
      <c r="AL126" s="390"/>
      <c r="AM126" s="390"/>
      <c r="AN126" s="390"/>
      <c r="AO126" s="390"/>
      <c r="AP126" s="390"/>
      <c r="AQ126" s="390"/>
      <c r="AR126" s="390"/>
      <c r="AS126" s="390"/>
      <c r="AT126" s="390"/>
      <c r="AU126" s="390"/>
      <c r="AV126" s="390"/>
      <c r="AW126" s="390"/>
      <c r="AX126" s="390"/>
      <c r="AY126" s="390"/>
      <c r="AZ126" s="390"/>
      <c r="BA126" s="390"/>
      <c r="BB126" s="390"/>
      <c r="BC126" s="390"/>
      <c r="BD126" s="390"/>
      <c r="BE126" s="390"/>
      <c r="BF126" s="390"/>
      <c r="BG126" s="390"/>
      <c r="BH126" s="390"/>
      <c r="BI126" s="390"/>
      <c r="BJ126" s="390"/>
      <c r="BK126" s="390"/>
      <c r="BL126" s="390"/>
      <c r="BM126" s="390"/>
      <c r="BN126" s="390"/>
      <c r="BO126" s="390"/>
      <c r="BP126" s="390"/>
      <c r="BQ126" s="390"/>
      <c r="BR126" s="390"/>
      <c r="BS126" s="390"/>
      <c r="BT126" s="390"/>
      <c r="BU126" s="390"/>
      <c r="BV126" s="390"/>
      <c r="BW126" s="390"/>
      <c r="BX126" s="390"/>
      <c r="BY126" s="390"/>
      <c r="BZ126" s="390"/>
      <c r="CA126" s="390"/>
      <c r="CB126" s="390"/>
      <c r="CC126" s="390"/>
      <c r="CD126" s="390"/>
      <c r="CE126" s="390"/>
      <c r="CF126" s="390"/>
      <c r="CG126" s="390"/>
      <c r="CH126" s="390"/>
      <c r="CI126" s="390"/>
      <c r="CJ126" s="390"/>
      <c r="CK126" s="390"/>
      <c r="CL126" s="390"/>
      <c r="CM126" s="390"/>
      <c r="CN126" s="390"/>
    </row>
    <row r="127" spans="1:92" s="13" customFormat="1" x14ac:dyDescent="0.35">
      <c r="A127" s="636">
        <v>43523</v>
      </c>
      <c r="B127" s="549" t="s">
        <v>2360</v>
      </c>
      <c r="C127" s="548" t="s">
        <v>2614</v>
      </c>
      <c r="D127" s="570"/>
      <c r="E127" s="546" t="s">
        <v>2613</v>
      </c>
      <c r="F127" s="669">
        <v>43525</v>
      </c>
      <c r="G127" s="544">
        <v>0.54166666666666696</v>
      </c>
      <c r="H127" s="470" t="s">
        <v>1394</v>
      </c>
      <c r="I127" s="463">
        <v>0</v>
      </c>
      <c r="J127" s="470" t="s">
        <v>2612</v>
      </c>
      <c r="K127" s="491" t="s">
        <v>2662</v>
      </c>
      <c r="L127" s="506"/>
      <c r="M127" s="368"/>
      <c r="N127" s="390"/>
      <c r="O127" s="390"/>
      <c r="P127" s="390"/>
      <c r="Q127" s="390"/>
      <c r="R127" s="390"/>
      <c r="S127" s="390"/>
      <c r="T127" s="390"/>
      <c r="U127" s="390"/>
      <c r="V127" s="390"/>
      <c r="W127" s="390"/>
      <c r="X127" s="390"/>
      <c r="Y127" s="390"/>
      <c r="Z127" s="390"/>
      <c r="AA127" s="390"/>
      <c r="AB127" s="390"/>
      <c r="AC127" s="390"/>
      <c r="AD127" s="390"/>
      <c r="AE127" s="390"/>
      <c r="AF127" s="390"/>
      <c r="AG127" s="390"/>
      <c r="AH127" s="390"/>
      <c r="AI127" s="390"/>
      <c r="AJ127" s="390"/>
      <c r="AK127" s="390"/>
      <c r="AL127" s="390"/>
      <c r="AM127" s="390"/>
      <c r="AN127" s="390"/>
      <c r="AO127" s="390"/>
      <c r="AP127" s="390"/>
      <c r="AQ127" s="390"/>
      <c r="AR127" s="390"/>
      <c r="AS127" s="390"/>
      <c r="AT127" s="390"/>
      <c r="AU127" s="390"/>
      <c r="AV127" s="390"/>
      <c r="AW127" s="390"/>
      <c r="AX127" s="390"/>
      <c r="AY127" s="390"/>
      <c r="AZ127" s="390"/>
      <c r="BA127" s="390"/>
      <c r="BB127" s="390"/>
      <c r="BC127" s="390"/>
      <c r="BD127" s="390"/>
      <c r="BE127" s="390"/>
      <c r="BF127" s="390"/>
      <c r="BG127" s="390"/>
      <c r="BH127" s="390"/>
      <c r="BI127" s="390"/>
      <c r="BJ127" s="390"/>
      <c r="BK127" s="390"/>
      <c r="BL127" s="390"/>
      <c r="BM127" s="390"/>
      <c r="BN127" s="390"/>
      <c r="BO127" s="390"/>
      <c r="BP127" s="390"/>
      <c r="BQ127" s="390"/>
      <c r="BR127" s="390"/>
      <c r="BS127" s="390"/>
      <c r="BT127" s="390"/>
      <c r="BU127" s="390"/>
      <c r="BV127" s="390"/>
      <c r="BW127" s="390"/>
      <c r="BX127" s="390"/>
      <c r="BY127" s="390"/>
      <c r="BZ127" s="390"/>
      <c r="CA127" s="390"/>
      <c r="CB127" s="390"/>
      <c r="CC127" s="390"/>
      <c r="CD127" s="390"/>
      <c r="CE127" s="390"/>
      <c r="CF127" s="390"/>
      <c r="CG127" s="390"/>
      <c r="CH127" s="390"/>
      <c r="CI127" s="390"/>
      <c r="CJ127" s="390"/>
      <c r="CK127" s="390"/>
      <c r="CL127" s="390"/>
      <c r="CM127" s="390"/>
      <c r="CN127" s="390"/>
    </row>
    <row r="128" spans="1:92" s="13" customFormat="1" ht="29" x14ac:dyDescent="0.35">
      <c r="A128" s="668">
        <v>43524</v>
      </c>
      <c r="B128" s="552" t="s">
        <v>2611</v>
      </c>
      <c r="C128" s="653" t="s">
        <v>2610</v>
      </c>
      <c r="D128" s="547"/>
      <c r="E128" s="563" t="s">
        <v>2609</v>
      </c>
      <c r="F128" s="659">
        <v>43525</v>
      </c>
      <c r="G128" s="655">
        <v>0.45833333333333298</v>
      </c>
      <c r="H128" s="508" t="s">
        <v>2608</v>
      </c>
      <c r="I128" s="507">
        <v>289</v>
      </c>
      <c r="J128" s="528" t="s">
        <v>2607</v>
      </c>
      <c r="K128" s="585" t="s">
        <v>2681</v>
      </c>
      <c r="L128" s="392"/>
      <c r="M128" s="368"/>
      <c r="N128" s="390"/>
      <c r="O128" s="390"/>
      <c r="P128" s="390"/>
      <c r="Q128" s="390"/>
      <c r="R128" s="390"/>
      <c r="S128" s="390"/>
      <c r="T128" s="390"/>
      <c r="U128" s="390"/>
      <c r="V128" s="390"/>
      <c r="W128" s="390"/>
      <c r="X128" s="390"/>
      <c r="Y128" s="390"/>
      <c r="Z128" s="390"/>
      <c r="AA128" s="390"/>
      <c r="AB128" s="390"/>
      <c r="AC128" s="390"/>
      <c r="AD128" s="390"/>
      <c r="AE128" s="390"/>
      <c r="AF128" s="390"/>
      <c r="AG128" s="390"/>
      <c r="AH128" s="390"/>
      <c r="AI128" s="390"/>
      <c r="AJ128" s="390"/>
      <c r="AK128" s="390"/>
      <c r="AL128" s="390"/>
      <c r="AM128" s="390"/>
      <c r="AN128" s="390"/>
      <c r="AO128" s="390"/>
      <c r="AP128" s="390"/>
      <c r="AQ128" s="390"/>
      <c r="AR128" s="390"/>
      <c r="AS128" s="390"/>
      <c r="AT128" s="390"/>
      <c r="AU128" s="390"/>
      <c r="AV128" s="390"/>
      <c r="AW128" s="390"/>
      <c r="AX128" s="390"/>
      <c r="AY128" s="390"/>
      <c r="AZ128" s="390"/>
      <c r="BA128" s="390"/>
      <c r="BB128" s="390"/>
      <c r="BC128" s="390"/>
      <c r="BD128" s="390"/>
      <c r="BE128" s="390"/>
      <c r="BF128" s="390"/>
      <c r="BG128" s="390"/>
      <c r="BH128" s="390"/>
      <c r="BI128" s="390"/>
      <c r="BJ128" s="390"/>
      <c r="BK128" s="390"/>
      <c r="BL128" s="390"/>
      <c r="BM128" s="390"/>
      <c r="BN128" s="390"/>
      <c r="BO128" s="390"/>
      <c r="BP128" s="390"/>
      <c r="BQ128" s="390"/>
      <c r="BR128" s="390"/>
      <c r="BS128" s="390"/>
      <c r="BT128" s="390"/>
      <c r="BU128" s="390"/>
      <c r="BV128" s="390"/>
      <c r="BW128" s="390"/>
      <c r="BX128" s="390"/>
      <c r="BY128" s="390"/>
      <c r="BZ128" s="390"/>
      <c r="CA128" s="390"/>
      <c r="CB128" s="390"/>
      <c r="CC128" s="390"/>
      <c r="CD128" s="390"/>
      <c r="CE128" s="390"/>
      <c r="CF128" s="390"/>
      <c r="CG128" s="390"/>
      <c r="CH128" s="390"/>
      <c r="CI128" s="390"/>
      <c r="CJ128" s="390"/>
      <c r="CK128" s="390"/>
      <c r="CL128" s="390"/>
      <c r="CM128" s="390"/>
      <c r="CN128" s="390"/>
    </row>
    <row r="129" spans="1:92" s="13" customFormat="1" x14ac:dyDescent="0.35">
      <c r="A129" s="636">
        <v>43524</v>
      </c>
      <c r="B129" s="549" t="s">
        <v>2462</v>
      </c>
      <c r="C129" s="548" t="s">
        <v>2461</v>
      </c>
      <c r="D129" s="570"/>
      <c r="E129" s="569" t="s">
        <v>2606</v>
      </c>
      <c r="F129" s="545">
        <v>43525</v>
      </c>
      <c r="G129" s="544">
        <v>0.45833333333333298</v>
      </c>
      <c r="H129" s="470" t="s">
        <v>2459</v>
      </c>
      <c r="I129" s="463">
        <v>1800</v>
      </c>
      <c r="J129" s="470" t="s">
        <v>257</v>
      </c>
      <c r="K129" s="585"/>
      <c r="L129" s="506"/>
      <c r="M129" s="368"/>
      <c r="N129" s="390"/>
      <c r="O129" s="390"/>
      <c r="P129" s="390"/>
      <c r="Q129" s="390"/>
      <c r="R129" s="390"/>
      <c r="S129" s="390"/>
      <c r="T129" s="390"/>
      <c r="U129" s="390"/>
      <c r="V129" s="390"/>
      <c r="W129" s="390"/>
      <c r="X129" s="390"/>
      <c r="Y129" s="390"/>
      <c r="Z129" s="390"/>
      <c r="AA129" s="390"/>
      <c r="AB129" s="390"/>
      <c r="AC129" s="390"/>
      <c r="AD129" s="390"/>
      <c r="AE129" s="390"/>
      <c r="AF129" s="390"/>
      <c r="AG129" s="390"/>
      <c r="AH129" s="390"/>
      <c r="AI129" s="390"/>
      <c r="AJ129" s="390"/>
      <c r="AK129" s="390"/>
      <c r="AL129" s="390"/>
      <c r="AM129" s="390"/>
      <c r="AN129" s="390"/>
      <c r="AO129" s="390"/>
      <c r="AP129" s="390"/>
      <c r="AQ129" s="390"/>
      <c r="AR129" s="390"/>
      <c r="AS129" s="390"/>
      <c r="AT129" s="390"/>
      <c r="AU129" s="390"/>
      <c r="AV129" s="390"/>
      <c r="AW129" s="390"/>
      <c r="AX129" s="390"/>
      <c r="AY129" s="390"/>
      <c r="AZ129" s="390"/>
      <c r="BA129" s="390"/>
      <c r="BB129" s="390"/>
      <c r="BC129" s="390"/>
      <c r="BD129" s="390"/>
      <c r="BE129" s="390"/>
      <c r="BF129" s="390"/>
      <c r="BG129" s="390"/>
      <c r="BH129" s="390"/>
      <c r="BI129" s="390"/>
      <c r="BJ129" s="390"/>
      <c r="BK129" s="390"/>
      <c r="BL129" s="390"/>
      <c r="BM129" s="390"/>
      <c r="BN129" s="390"/>
      <c r="BO129" s="390"/>
      <c r="BP129" s="390"/>
      <c r="BQ129" s="390"/>
      <c r="BR129" s="390"/>
      <c r="BS129" s="390"/>
      <c r="BT129" s="390"/>
      <c r="BU129" s="390"/>
      <c r="BV129" s="390"/>
      <c r="BW129" s="390"/>
      <c r="BX129" s="390"/>
      <c r="BY129" s="390"/>
      <c r="BZ129" s="390"/>
      <c r="CA129" s="390"/>
      <c r="CB129" s="390"/>
      <c r="CC129" s="390"/>
      <c r="CD129" s="390"/>
      <c r="CE129" s="390"/>
      <c r="CF129" s="390"/>
      <c r="CG129" s="390"/>
      <c r="CH129" s="390"/>
      <c r="CI129" s="390"/>
      <c r="CJ129" s="390"/>
      <c r="CK129" s="390"/>
      <c r="CL129" s="390"/>
      <c r="CM129" s="390"/>
      <c r="CN129" s="390"/>
    </row>
    <row r="130" spans="1:92" s="13" customFormat="1" ht="43.5" x14ac:dyDescent="0.35">
      <c r="A130" s="636">
        <v>43524</v>
      </c>
      <c r="B130" s="549" t="s">
        <v>216</v>
      </c>
      <c r="C130" s="548" t="s">
        <v>2605</v>
      </c>
      <c r="D130" s="570"/>
      <c r="E130" s="546" t="s">
        <v>2604</v>
      </c>
      <c r="F130" s="545">
        <v>43525</v>
      </c>
      <c r="G130" s="544">
        <v>0.66666666666666696</v>
      </c>
      <c r="H130" s="470" t="s">
        <v>2603</v>
      </c>
      <c r="I130" s="517">
        <v>0</v>
      </c>
      <c r="J130" s="508" t="s">
        <v>2602</v>
      </c>
      <c r="K130" s="585" t="s">
        <v>2681</v>
      </c>
      <c r="L130" s="506"/>
      <c r="M130" s="368"/>
      <c r="N130" s="390"/>
      <c r="O130" s="390"/>
      <c r="P130" s="390"/>
      <c r="Q130" s="390"/>
      <c r="R130" s="390"/>
      <c r="S130" s="390"/>
      <c r="T130" s="390"/>
      <c r="U130" s="390"/>
      <c r="V130" s="390"/>
      <c r="W130" s="390"/>
      <c r="X130" s="390"/>
      <c r="Y130" s="390"/>
      <c r="Z130" s="390"/>
      <c r="AA130" s="390"/>
      <c r="AB130" s="390"/>
      <c r="AC130" s="390"/>
      <c r="AD130" s="390"/>
      <c r="AE130" s="390"/>
      <c r="AF130" s="390"/>
      <c r="AG130" s="390"/>
      <c r="AH130" s="390"/>
      <c r="AI130" s="390"/>
      <c r="AJ130" s="390"/>
      <c r="AK130" s="390"/>
      <c r="AL130" s="390"/>
      <c r="AM130" s="390"/>
      <c r="AN130" s="390"/>
      <c r="AO130" s="390"/>
      <c r="AP130" s="390"/>
      <c r="AQ130" s="390"/>
      <c r="AR130" s="390"/>
      <c r="AS130" s="390"/>
      <c r="AT130" s="390"/>
      <c r="AU130" s="390"/>
      <c r="AV130" s="390"/>
      <c r="AW130" s="390"/>
      <c r="AX130" s="390"/>
      <c r="AY130" s="390"/>
      <c r="AZ130" s="390"/>
      <c r="BA130" s="390"/>
      <c r="BB130" s="390"/>
      <c r="BC130" s="390"/>
      <c r="BD130" s="390"/>
      <c r="BE130" s="390"/>
      <c r="BF130" s="390"/>
      <c r="BG130" s="390"/>
      <c r="BH130" s="390"/>
      <c r="BI130" s="390"/>
      <c r="BJ130" s="390"/>
      <c r="BK130" s="390"/>
      <c r="BL130" s="390"/>
      <c r="BM130" s="390"/>
      <c r="BN130" s="390"/>
      <c r="BO130" s="390"/>
      <c r="BP130" s="390"/>
      <c r="BQ130" s="390"/>
      <c r="BR130" s="390"/>
      <c r="BS130" s="390"/>
      <c r="BT130" s="390"/>
      <c r="BU130" s="390"/>
      <c r="BV130" s="390"/>
      <c r="BW130" s="390"/>
      <c r="BX130" s="390"/>
      <c r="BY130" s="390"/>
      <c r="BZ130" s="390"/>
      <c r="CA130" s="390"/>
      <c r="CB130" s="390"/>
      <c r="CC130" s="390"/>
      <c r="CD130" s="390"/>
      <c r="CE130" s="390"/>
      <c r="CF130" s="390"/>
      <c r="CG130" s="390"/>
      <c r="CH130" s="390"/>
      <c r="CI130" s="390"/>
      <c r="CJ130" s="390"/>
      <c r="CK130" s="390"/>
      <c r="CL130" s="390"/>
      <c r="CM130" s="390"/>
      <c r="CN130" s="390"/>
    </row>
    <row r="131" spans="1:92" s="13" customFormat="1" x14ac:dyDescent="0.35">
      <c r="A131" s="667" t="s">
        <v>2601</v>
      </c>
      <c r="B131" s="645" t="s">
        <v>1445</v>
      </c>
      <c r="C131" s="666" t="s">
        <v>2518</v>
      </c>
      <c r="D131" s="665"/>
      <c r="E131" s="664" t="s">
        <v>2600</v>
      </c>
      <c r="F131" s="545">
        <v>43525</v>
      </c>
      <c r="G131" s="663">
        <v>0.4375</v>
      </c>
      <c r="H131" s="603" t="s">
        <v>2599</v>
      </c>
      <c r="I131" s="602">
        <v>150</v>
      </c>
      <c r="J131" s="603" t="s">
        <v>2598</v>
      </c>
      <c r="K131" s="585" t="s">
        <v>2681</v>
      </c>
      <c r="L131" s="515"/>
      <c r="M131" s="390"/>
      <c r="N131" s="390"/>
      <c r="O131" s="390"/>
      <c r="P131" s="390"/>
      <c r="Q131" s="390"/>
      <c r="R131" s="390"/>
      <c r="S131" s="390"/>
      <c r="T131" s="390"/>
      <c r="U131" s="390"/>
      <c r="V131" s="390"/>
      <c r="W131" s="390"/>
      <c r="X131" s="390"/>
      <c r="Y131" s="390"/>
      <c r="Z131" s="390"/>
      <c r="AA131" s="390"/>
      <c r="AB131" s="390"/>
      <c r="AC131" s="390"/>
      <c r="AD131" s="390"/>
      <c r="AE131" s="390"/>
      <c r="AF131" s="390"/>
      <c r="AG131" s="390"/>
      <c r="AH131" s="390"/>
      <c r="AI131" s="390"/>
      <c r="AJ131" s="390"/>
      <c r="AK131" s="390"/>
      <c r="AL131" s="390"/>
      <c r="AM131" s="390"/>
      <c r="AN131" s="390"/>
      <c r="AO131" s="390"/>
      <c r="AP131" s="390"/>
      <c r="AQ131" s="390"/>
      <c r="AR131" s="390"/>
      <c r="AS131" s="390"/>
      <c r="AT131" s="390"/>
      <c r="AU131" s="390"/>
      <c r="AV131" s="390"/>
      <c r="AW131" s="390"/>
      <c r="AX131" s="390"/>
      <c r="AY131" s="390"/>
      <c r="AZ131" s="390"/>
      <c r="BA131" s="390"/>
      <c r="BB131" s="390"/>
      <c r="BC131" s="390"/>
      <c r="BD131" s="390"/>
      <c r="BE131" s="390"/>
      <c r="BF131" s="390"/>
      <c r="BG131" s="390"/>
      <c r="BH131" s="390"/>
      <c r="BI131" s="390"/>
      <c r="BJ131" s="390"/>
      <c r="BK131" s="390"/>
      <c r="BL131" s="390"/>
      <c r="BM131" s="390"/>
      <c r="BN131" s="390"/>
      <c r="BO131" s="390"/>
      <c r="BP131" s="390"/>
      <c r="BQ131" s="390"/>
      <c r="BR131" s="390"/>
      <c r="BS131" s="390"/>
      <c r="BT131" s="390"/>
      <c r="BU131" s="390"/>
      <c r="BV131" s="390"/>
      <c r="BW131" s="390"/>
      <c r="BX131" s="390"/>
      <c r="BY131" s="390"/>
      <c r="BZ131" s="390"/>
      <c r="CA131" s="390"/>
      <c r="CB131" s="390"/>
      <c r="CC131" s="390"/>
      <c r="CD131" s="390"/>
      <c r="CE131" s="390"/>
      <c r="CF131" s="390"/>
      <c r="CG131" s="390"/>
      <c r="CH131" s="390"/>
      <c r="CI131" s="390"/>
      <c r="CJ131" s="390"/>
      <c r="CK131" s="390"/>
      <c r="CL131" s="390"/>
      <c r="CM131" s="390"/>
      <c r="CN131" s="390"/>
    </row>
    <row r="132" spans="1:92" s="13" customFormat="1" x14ac:dyDescent="0.35">
      <c r="A132" s="660">
        <v>43505</v>
      </c>
      <c r="B132" s="552" t="s">
        <v>2597</v>
      </c>
      <c r="C132" s="653" t="s">
        <v>2596</v>
      </c>
      <c r="D132" s="547" t="s">
        <v>2595</v>
      </c>
      <c r="E132" s="563" t="s">
        <v>2594</v>
      </c>
      <c r="F132" s="659">
        <v>43526</v>
      </c>
      <c r="G132" s="658">
        <v>0.58333333333333304</v>
      </c>
      <c r="H132" s="508" t="s">
        <v>2165</v>
      </c>
      <c r="I132" s="482" t="s">
        <v>2593</v>
      </c>
      <c r="J132" s="508" t="s">
        <v>257</v>
      </c>
      <c r="K132" s="491" t="s">
        <v>2662</v>
      </c>
      <c r="L132" s="394"/>
      <c r="M132" s="390"/>
      <c r="N132" s="390"/>
      <c r="O132" s="390"/>
      <c r="P132" s="390"/>
      <c r="Q132" s="390"/>
      <c r="R132" s="390"/>
      <c r="S132" s="390"/>
      <c r="T132" s="390"/>
      <c r="U132" s="390"/>
      <c r="V132" s="390"/>
      <c r="W132" s="390"/>
      <c r="X132" s="390"/>
      <c r="Y132" s="390"/>
      <c r="Z132" s="390"/>
      <c r="AA132" s="390"/>
      <c r="AB132" s="390"/>
      <c r="AC132" s="390"/>
      <c r="AD132" s="390"/>
      <c r="AE132" s="390"/>
      <c r="AF132" s="390"/>
      <c r="AG132" s="390"/>
      <c r="AH132" s="390"/>
      <c r="AI132" s="390"/>
      <c r="AJ132" s="390"/>
      <c r="AK132" s="390"/>
      <c r="AL132" s="390"/>
      <c r="AM132" s="390"/>
      <c r="AN132" s="390"/>
      <c r="AO132" s="390"/>
      <c r="AP132" s="390"/>
      <c r="AQ132" s="390"/>
      <c r="AR132" s="390"/>
      <c r="AS132" s="390"/>
      <c r="AT132" s="390"/>
      <c r="AU132" s="390"/>
      <c r="AV132" s="390"/>
      <c r="AW132" s="390"/>
      <c r="AX132" s="390"/>
      <c r="AY132" s="390"/>
      <c r="AZ132" s="390"/>
      <c r="BA132" s="390"/>
      <c r="BB132" s="390"/>
      <c r="BC132" s="390"/>
      <c r="BD132" s="390"/>
      <c r="BE132" s="390"/>
      <c r="BF132" s="390"/>
      <c r="BG132" s="390"/>
      <c r="BH132" s="390"/>
      <c r="BI132" s="390"/>
      <c r="BJ132" s="390"/>
      <c r="BK132" s="390"/>
      <c r="BL132" s="390"/>
      <c r="BM132" s="390"/>
      <c r="BN132" s="390"/>
      <c r="BO132" s="390"/>
      <c r="BP132" s="390"/>
      <c r="BQ132" s="390"/>
      <c r="BR132" s="390"/>
      <c r="BS132" s="390"/>
      <c r="BT132" s="390"/>
      <c r="BU132" s="390"/>
      <c r="BV132" s="390"/>
      <c r="BW132" s="390"/>
      <c r="BX132" s="390"/>
      <c r="BY132" s="390"/>
      <c r="BZ132" s="390"/>
      <c r="CA132" s="390"/>
      <c r="CB132" s="390"/>
      <c r="CC132" s="390"/>
      <c r="CD132" s="390"/>
      <c r="CE132" s="390"/>
      <c r="CF132" s="390"/>
      <c r="CG132" s="390"/>
      <c r="CH132" s="390"/>
      <c r="CI132" s="390"/>
      <c r="CJ132" s="390"/>
      <c r="CK132" s="390"/>
      <c r="CL132" s="390"/>
      <c r="CM132" s="390"/>
      <c r="CN132" s="390"/>
    </row>
    <row r="133" spans="1:92" s="13" customFormat="1" x14ac:dyDescent="0.35">
      <c r="A133" s="514">
        <v>43522</v>
      </c>
      <c r="B133" s="552" t="s">
        <v>2592</v>
      </c>
      <c r="C133" s="653" t="s">
        <v>2590</v>
      </c>
      <c r="D133" s="552" t="s">
        <v>15</v>
      </c>
      <c r="E133" s="563" t="s">
        <v>2591</v>
      </c>
      <c r="F133" s="656">
        <v>43526</v>
      </c>
      <c r="G133" s="552" t="s">
        <v>2590</v>
      </c>
      <c r="H133" s="508" t="s">
        <v>2590</v>
      </c>
      <c r="I133" s="662">
        <v>500</v>
      </c>
      <c r="J133" s="508" t="s">
        <v>2387</v>
      </c>
      <c r="K133" s="491" t="s">
        <v>2662</v>
      </c>
      <c r="L133" s="390"/>
      <c r="M133" s="390"/>
      <c r="N133" s="390"/>
      <c r="O133" s="390"/>
      <c r="P133" s="390"/>
      <c r="Q133" s="390"/>
      <c r="R133" s="390"/>
      <c r="S133" s="390"/>
      <c r="T133" s="390"/>
      <c r="U133" s="390"/>
      <c r="V133" s="390"/>
      <c r="W133" s="390"/>
      <c r="X133" s="390"/>
      <c r="Y133" s="390"/>
      <c r="Z133" s="390"/>
      <c r="AA133" s="390"/>
      <c r="AB133" s="390"/>
      <c r="AC133" s="390"/>
      <c r="AD133" s="390"/>
      <c r="AE133" s="390"/>
      <c r="AF133" s="390"/>
      <c r="AG133" s="390"/>
      <c r="AH133" s="390"/>
      <c r="AI133" s="390"/>
      <c r="AJ133" s="390"/>
      <c r="AK133" s="390"/>
      <c r="AL133" s="390"/>
      <c r="AM133" s="390"/>
      <c r="AN133" s="390"/>
      <c r="AO133" s="390"/>
      <c r="AP133" s="390"/>
      <c r="AQ133" s="390"/>
      <c r="AR133" s="390"/>
      <c r="AS133" s="390"/>
      <c r="AT133" s="390"/>
      <c r="AU133" s="390"/>
      <c r="AV133" s="390"/>
      <c r="AW133" s="390"/>
      <c r="AX133" s="390"/>
      <c r="AY133" s="390"/>
      <c r="AZ133" s="390"/>
      <c r="BA133" s="390"/>
      <c r="BB133" s="390"/>
      <c r="BC133" s="390"/>
      <c r="BD133" s="390"/>
      <c r="BE133" s="390"/>
      <c r="BF133" s="390"/>
      <c r="BG133" s="390"/>
      <c r="BH133" s="390"/>
      <c r="BI133" s="390"/>
      <c r="BJ133" s="390"/>
      <c r="BK133" s="390"/>
      <c r="BL133" s="390"/>
      <c r="BM133" s="390"/>
      <c r="BN133" s="390"/>
      <c r="BO133" s="390"/>
      <c r="BP133" s="390"/>
      <c r="BQ133" s="390"/>
      <c r="BR133" s="390"/>
      <c r="BS133" s="390"/>
      <c r="BT133" s="390"/>
      <c r="BU133" s="390"/>
      <c r="BV133" s="390"/>
      <c r="BW133" s="390"/>
      <c r="BX133" s="390"/>
      <c r="BY133" s="390"/>
      <c r="BZ133" s="390"/>
      <c r="CA133" s="390"/>
      <c r="CB133" s="390"/>
      <c r="CC133" s="390"/>
      <c r="CD133" s="390"/>
      <c r="CE133" s="390"/>
      <c r="CF133" s="390"/>
      <c r="CG133" s="390"/>
      <c r="CH133" s="390"/>
      <c r="CI133" s="390"/>
      <c r="CJ133" s="390"/>
      <c r="CK133" s="390"/>
      <c r="CL133" s="390"/>
      <c r="CM133" s="390"/>
      <c r="CN133" s="390"/>
    </row>
    <row r="134" spans="1:92" s="649" customFormat="1" ht="29" x14ac:dyDescent="0.35">
      <c r="A134" s="514">
        <v>43522</v>
      </c>
      <c r="B134" s="552" t="s">
        <v>2589</v>
      </c>
      <c r="C134" s="653" t="s">
        <v>2588</v>
      </c>
      <c r="D134" s="552" t="s">
        <v>15</v>
      </c>
      <c r="E134" s="563" t="s">
        <v>2587</v>
      </c>
      <c r="F134" s="656">
        <v>43526</v>
      </c>
      <c r="G134" s="655">
        <v>0.45833333333333298</v>
      </c>
      <c r="H134" s="508" t="s">
        <v>2586</v>
      </c>
      <c r="I134" s="651">
        <v>670.4</v>
      </c>
      <c r="J134" s="508" t="s">
        <v>2585</v>
      </c>
      <c r="K134" s="491" t="s">
        <v>2662</v>
      </c>
      <c r="L134" s="368"/>
      <c r="M134" s="499"/>
      <c r="N134" s="499"/>
      <c r="O134" s="499"/>
      <c r="P134" s="499"/>
      <c r="Q134" s="499"/>
      <c r="R134" s="499"/>
      <c r="S134" s="499"/>
      <c r="T134" s="499"/>
      <c r="U134" s="499"/>
      <c r="V134" s="499"/>
      <c r="W134" s="499"/>
      <c r="X134" s="499"/>
      <c r="Y134" s="499"/>
      <c r="Z134" s="499"/>
      <c r="AA134" s="499"/>
      <c r="AB134" s="499"/>
      <c r="AC134" s="499"/>
      <c r="AD134" s="499"/>
      <c r="AE134" s="499"/>
      <c r="AF134" s="499"/>
      <c r="AG134" s="499"/>
      <c r="AH134" s="499"/>
      <c r="AI134" s="499"/>
      <c r="AJ134" s="499"/>
      <c r="AK134" s="499"/>
      <c r="AL134" s="499"/>
      <c r="AM134" s="499"/>
      <c r="AN134" s="499"/>
      <c r="AO134" s="499"/>
      <c r="AP134" s="499"/>
      <c r="AQ134" s="499"/>
      <c r="AR134" s="499"/>
      <c r="AS134" s="499"/>
      <c r="AT134" s="499"/>
      <c r="AU134" s="499"/>
      <c r="AV134" s="499"/>
      <c r="AW134" s="499"/>
      <c r="AX134" s="499"/>
      <c r="AY134" s="499"/>
      <c r="AZ134" s="499"/>
      <c r="BA134" s="499"/>
      <c r="BB134" s="499"/>
      <c r="BC134" s="499"/>
      <c r="BD134" s="499"/>
      <c r="BE134" s="499"/>
      <c r="BF134" s="499"/>
      <c r="BG134" s="499"/>
      <c r="BH134" s="499"/>
      <c r="BI134" s="499"/>
      <c r="BJ134" s="499"/>
      <c r="BK134" s="499"/>
      <c r="BL134" s="499"/>
      <c r="BM134" s="499"/>
      <c r="BN134" s="499"/>
      <c r="BO134" s="499"/>
      <c r="BP134" s="499"/>
      <c r="BQ134" s="499"/>
      <c r="BR134" s="499"/>
      <c r="BS134" s="499"/>
      <c r="BT134" s="499"/>
      <c r="BU134" s="499"/>
      <c r="BV134" s="499"/>
      <c r="BW134" s="499"/>
      <c r="BX134" s="499"/>
      <c r="BY134" s="499"/>
      <c r="BZ134" s="499"/>
      <c r="CA134" s="499"/>
      <c r="CB134" s="499"/>
      <c r="CC134" s="499"/>
      <c r="CD134" s="499"/>
      <c r="CE134" s="499"/>
      <c r="CF134" s="499"/>
      <c r="CG134" s="499"/>
      <c r="CH134" s="499"/>
      <c r="CI134" s="499"/>
      <c r="CJ134" s="499"/>
      <c r="CK134" s="499"/>
      <c r="CL134" s="499"/>
      <c r="CM134" s="499"/>
      <c r="CN134" s="499"/>
    </row>
    <row r="135" spans="1:92" s="499" customFormat="1" x14ac:dyDescent="0.35">
      <c r="A135" s="519">
        <v>29</v>
      </c>
      <c r="B135" s="506" t="s">
        <v>2584</v>
      </c>
      <c r="C135" s="520" t="s">
        <v>2583</v>
      </c>
      <c r="D135" s="661" t="s">
        <v>2582</v>
      </c>
      <c r="E135" s="508" t="s">
        <v>2581</v>
      </c>
      <c r="F135" s="519">
        <v>43527</v>
      </c>
      <c r="G135" s="518">
        <v>0.60416666666666696</v>
      </c>
      <c r="H135" s="470" t="s">
        <v>2580</v>
      </c>
      <c r="I135" s="463">
        <v>840</v>
      </c>
      <c r="J135" s="470" t="s">
        <v>257</v>
      </c>
      <c r="K135" s="491" t="s">
        <v>2662</v>
      </c>
      <c r="L135" s="506"/>
    </row>
    <row r="136" spans="1:92" s="499" customFormat="1" x14ac:dyDescent="0.35">
      <c r="A136" s="660">
        <v>43505</v>
      </c>
      <c r="B136" s="504" t="s">
        <v>2579</v>
      </c>
      <c r="C136" s="653" t="s">
        <v>2578</v>
      </c>
      <c r="D136" s="547" t="s">
        <v>2577</v>
      </c>
      <c r="E136" s="563" t="s">
        <v>2576</v>
      </c>
      <c r="F136" s="659">
        <v>43527</v>
      </c>
      <c r="G136" s="658">
        <v>0.5</v>
      </c>
      <c r="H136" s="508" t="s">
        <v>2165</v>
      </c>
      <c r="I136" s="507" t="s">
        <v>2575</v>
      </c>
      <c r="J136" s="481" t="s">
        <v>2574</v>
      </c>
      <c r="K136" s="491" t="s">
        <v>2662</v>
      </c>
      <c r="L136" s="392"/>
    </row>
    <row r="137" spans="1:92" s="654" customFormat="1" ht="29" x14ac:dyDescent="0.35">
      <c r="A137" s="514">
        <v>43522</v>
      </c>
      <c r="B137" s="552" t="s">
        <v>2573</v>
      </c>
      <c r="C137" s="657" t="s">
        <v>2572</v>
      </c>
      <c r="D137" s="552" t="s">
        <v>2571</v>
      </c>
      <c r="E137" s="563" t="s">
        <v>2570</v>
      </c>
      <c r="F137" s="656">
        <v>43527</v>
      </c>
      <c r="G137" s="655">
        <v>0.47916666666666702</v>
      </c>
      <c r="H137" s="508" t="s">
        <v>2569</v>
      </c>
      <c r="I137" s="651">
        <v>520</v>
      </c>
      <c r="J137" s="508" t="s">
        <v>257</v>
      </c>
      <c r="K137" s="491" t="s">
        <v>2662</v>
      </c>
      <c r="L137" s="368"/>
      <c r="M137" s="499"/>
      <c r="N137" s="499"/>
      <c r="O137" s="499"/>
      <c r="P137" s="499"/>
      <c r="Q137" s="499"/>
      <c r="R137" s="499"/>
      <c r="S137" s="499"/>
      <c r="T137" s="499"/>
      <c r="U137" s="499"/>
      <c r="V137" s="499"/>
      <c r="W137" s="499"/>
      <c r="X137" s="499"/>
      <c r="Y137" s="499"/>
      <c r="Z137" s="499"/>
      <c r="AA137" s="499"/>
      <c r="AB137" s="499"/>
      <c r="AC137" s="499"/>
      <c r="AD137" s="499"/>
      <c r="AE137" s="499"/>
      <c r="AF137" s="499"/>
      <c r="AG137" s="499"/>
      <c r="AH137" s="499"/>
      <c r="AI137" s="499"/>
      <c r="AJ137" s="499"/>
      <c r="AK137" s="499"/>
      <c r="AL137" s="499"/>
      <c r="AM137" s="499"/>
      <c r="AN137" s="499"/>
      <c r="AO137" s="499"/>
      <c r="AP137" s="499"/>
      <c r="AQ137" s="499"/>
      <c r="AR137" s="499"/>
      <c r="AS137" s="499"/>
      <c r="AT137" s="499"/>
      <c r="AU137" s="499"/>
      <c r="AV137" s="499"/>
      <c r="AW137" s="499"/>
      <c r="AX137" s="499"/>
      <c r="AY137" s="499"/>
      <c r="AZ137" s="499"/>
      <c r="BA137" s="499"/>
      <c r="BB137" s="499"/>
      <c r="BC137" s="499"/>
      <c r="BD137" s="499"/>
      <c r="BE137" s="499"/>
      <c r="BF137" s="499"/>
      <c r="BG137" s="499"/>
      <c r="BH137" s="499"/>
      <c r="BI137" s="499"/>
      <c r="BJ137" s="499"/>
      <c r="BK137" s="499"/>
      <c r="BL137" s="499"/>
      <c r="BM137" s="499"/>
      <c r="BN137" s="499"/>
      <c r="BO137" s="499"/>
      <c r="BP137" s="499"/>
      <c r="BQ137" s="499"/>
      <c r="BR137" s="499"/>
      <c r="BS137" s="499"/>
      <c r="BT137" s="499"/>
      <c r="BU137" s="499"/>
      <c r="BV137" s="499"/>
      <c r="BW137" s="499"/>
      <c r="BX137" s="499"/>
      <c r="BY137" s="499"/>
      <c r="BZ137" s="499"/>
      <c r="CA137" s="499"/>
      <c r="CB137" s="499"/>
      <c r="CC137" s="499"/>
      <c r="CD137" s="499"/>
      <c r="CE137" s="499"/>
      <c r="CF137" s="499"/>
      <c r="CG137" s="499"/>
      <c r="CH137" s="499"/>
      <c r="CI137" s="499"/>
      <c r="CJ137" s="499"/>
      <c r="CK137" s="499"/>
      <c r="CL137" s="499"/>
      <c r="CM137" s="499"/>
      <c r="CN137" s="499"/>
    </row>
    <row r="138" spans="1:92" s="649" customFormat="1" x14ac:dyDescent="0.35">
      <c r="A138" s="519">
        <v>43522</v>
      </c>
      <c r="B138" s="549" t="s">
        <v>2568</v>
      </c>
      <c r="C138" s="548"/>
      <c r="D138" s="570"/>
      <c r="E138" s="563" t="s">
        <v>2567</v>
      </c>
      <c r="F138" s="545">
        <v>43527</v>
      </c>
      <c r="G138" s="544" t="s">
        <v>1514</v>
      </c>
      <c r="H138" s="470" t="s">
        <v>2566</v>
      </c>
      <c r="I138" s="463">
        <v>2220</v>
      </c>
      <c r="J138" s="470" t="s">
        <v>2565</v>
      </c>
      <c r="K138" s="491" t="s">
        <v>2662</v>
      </c>
      <c r="L138" s="506"/>
      <c r="M138" s="499"/>
      <c r="N138" s="499"/>
      <c r="O138" s="499"/>
      <c r="P138" s="499"/>
      <c r="Q138" s="499"/>
      <c r="R138" s="499"/>
      <c r="S138" s="499"/>
      <c r="T138" s="499"/>
      <c r="U138" s="499"/>
      <c r="V138" s="499"/>
      <c r="W138" s="499"/>
      <c r="X138" s="499"/>
      <c r="Y138" s="499"/>
      <c r="Z138" s="499"/>
      <c r="AA138" s="499"/>
      <c r="AB138" s="499"/>
      <c r="AC138" s="499"/>
      <c r="AD138" s="499"/>
      <c r="AE138" s="499"/>
      <c r="AF138" s="499"/>
      <c r="AG138" s="499"/>
      <c r="AH138" s="499"/>
      <c r="AI138" s="499"/>
      <c r="AJ138" s="499"/>
      <c r="AK138" s="499"/>
      <c r="AL138" s="499"/>
      <c r="AM138" s="499"/>
      <c r="AN138" s="499"/>
      <c r="AO138" s="499"/>
      <c r="AP138" s="499"/>
      <c r="AQ138" s="499"/>
      <c r="AR138" s="499"/>
      <c r="AS138" s="499"/>
      <c r="AT138" s="499"/>
      <c r="AU138" s="499"/>
      <c r="AV138" s="499"/>
      <c r="AW138" s="499"/>
      <c r="AX138" s="499"/>
      <c r="AY138" s="499"/>
      <c r="AZ138" s="499"/>
      <c r="BA138" s="499"/>
      <c r="BB138" s="499"/>
      <c r="BC138" s="499"/>
      <c r="BD138" s="499"/>
      <c r="BE138" s="499"/>
      <c r="BF138" s="499"/>
      <c r="BG138" s="499"/>
      <c r="BH138" s="499"/>
      <c r="BI138" s="499"/>
      <c r="BJ138" s="499"/>
      <c r="BK138" s="499"/>
      <c r="BL138" s="499"/>
      <c r="BM138" s="499"/>
      <c r="BN138" s="499"/>
      <c r="BO138" s="499"/>
      <c r="BP138" s="499"/>
      <c r="BQ138" s="499"/>
      <c r="BR138" s="499"/>
      <c r="BS138" s="499"/>
      <c r="BT138" s="499"/>
      <c r="BU138" s="499"/>
      <c r="BV138" s="499"/>
      <c r="BW138" s="499"/>
      <c r="BX138" s="499"/>
      <c r="BY138" s="499"/>
      <c r="BZ138" s="499"/>
      <c r="CA138" s="499"/>
      <c r="CB138" s="499"/>
      <c r="CC138" s="499"/>
      <c r="CD138" s="499"/>
      <c r="CE138" s="499"/>
      <c r="CF138" s="499"/>
      <c r="CG138" s="499"/>
      <c r="CH138" s="499"/>
      <c r="CI138" s="499"/>
      <c r="CJ138" s="499"/>
      <c r="CK138" s="499"/>
      <c r="CL138" s="499"/>
      <c r="CM138" s="499"/>
      <c r="CN138" s="499"/>
    </row>
    <row r="139" spans="1:92" s="649" customFormat="1" ht="72.5" x14ac:dyDescent="0.35">
      <c r="A139" s="514">
        <v>43523</v>
      </c>
      <c r="B139" s="552" t="s">
        <v>2564</v>
      </c>
      <c r="C139" s="653" t="s">
        <v>2563</v>
      </c>
      <c r="D139" s="552" t="s">
        <v>15</v>
      </c>
      <c r="E139" s="563" t="s">
        <v>2562</v>
      </c>
      <c r="F139" s="652">
        <v>43527</v>
      </c>
      <c r="G139" s="552" t="s">
        <v>2561</v>
      </c>
      <c r="H139" s="508" t="s">
        <v>2560</v>
      </c>
      <c r="I139" s="651">
        <v>135</v>
      </c>
      <c r="J139" s="508" t="s">
        <v>2559</v>
      </c>
      <c r="K139" s="491" t="s">
        <v>2662</v>
      </c>
      <c r="L139" s="368"/>
      <c r="M139" s="499"/>
      <c r="N139" s="499"/>
      <c r="O139" s="499"/>
      <c r="P139" s="499"/>
      <c r="Q139" s="499"/>
      <c r="R139" s="499"/>
      <c r="S139" s="499"/>
      <c r="T139" s="499"/>
      <c r="U139" s="499"/>
      <c r="V139" s="499"/>
      <c r="W139" s="499"/>
      <c r="X139" s="499"/>
      <c r="Y139" s="499"/>
      <c r="Z139" s="499"/>
      <c r="AA139" s="499"/>
      <c r="AB139" s="499"/>
      <c r="AC139" s="499"/>
      <c r="AD139" s="499"/>
      <c r="AE139" s="499"/>
      <c r="AF139" s="499"/>
      <c r="AG139" s="499"/>
      <c r="AH139" s="499"/>
      <c r="AI139" s="499"/>
      <c r="AJ139" s="499"/>
      <c r="AK139" s="499"/>
      <c r="AL139" s="499"/>
      <c r="AM139" s="499"/>
      <c r="AN139" s="499"/>
      <c r="AO139" s="499"/>
      <c r="AP139" s="499"/>
      <c r="AQ139" s="499"/>
      <c r="AR139" s="499"/>
      <c r="AS139" s="499"/>
      <c r="AT139" s="499"/>
      <c r="AU139" s="499"/>
      <c r="AV139" s="499"/>
      <c r="AW139" s="499"/>
      <c r="AX139" s="499"/>
      <c r="AY139" s="499"/>
      <c r="AZ139" s="499"/>
      <c r="BA139" s="499"/>
      <c r="BB139" s="499"/>
      <c r="BC139" s="499"/>
      <c r="BD139" s="499"/>
      <c r="BE139" s="499"/>
      <c r="BF139" s="499"/>
      <c r="BG139" s="499"/>
      <c r="BH139" s="499"/>
      <c r="BI139" s="499"/>
      <c r="BJ139" s="499"/>
      <c r="BK139" s="499"/>
      <c r="BL139" s="499"/>
      <c r="BM139" s="499"/>
      <c r="BN139" s="499"/>
      <c r="BO139" s="499"/>
      <c r="BP139" s="499"/>
      <c r="BQ139" s="499"/>
      <c r="BR139" s="499"/>
      <c r="BS139" s="499"/>
      <c r="BT139" s="499"/>
      <c r="BU139" s="499"/>
      <c r="BV139" s="499"/>
      <c r="BW139" s="499"/>
      <c r="BX139" s="499"/>
      <c r="BY139" s="499"/>
      <c r="BZ139" s="499"/>
      <c r="CA139" s="499"/>
      <c r="CB139" s="499"/>
      <c r="CC139" s="499"/>
      <c r="CD139" s="499"/>
      <c r="CE139" s="499"/>
      <c r="CF139" s="499"/>
      <c r="CG139" s="499"/>
      <c r="CH139" s="499"/>
      <c r="CI139" s="499"/>
      <c r="CJ139" s="499"/>
      <c r="CK139" s="499"/>
      <c r="CL139" s="499"/>
      <c r="CM139" s="499"/>
      <c r="CN139" s="499"/>
    </row>
    <row r="140" spans="1:92" s="649" customFormat="1" ht="29" x14ac:dyDescent="0.35">
      <c r="A140" s="519">
        <v>43524</v>
      </c>
      <c r="B140" s="549" t="s">
        <v>2558</v>
      </c>
      <c r="C140" s="548" t="s">
        <v>2557</v>
      </c>
      <c r="D140" s="650"/>
      <c r="E140" s="563" t="s">
        <v>2556</v>
      </c>
      <c r="F140" s="545">
        <v>43527</v>
      </c>
      <c r="G140" s="544">
        <v>0.66666666666666696</v>
      </c>
      <c r="H140" s="470" t="s">
        <v>2555</v>
      </c>
      <c r="I140" s="602">
        <v>610</v>
      </c>
      <c r="J140" s="603" t="s">
        <v>2554</v>
      </c>
      <c r="K140" s="491" t="s">
        <v>2667</v>
      </c>
      <c r="L140" s="515"/>
      <c r="M140" s="499"/>
      <c r="N140" s="499"/>
      <c r="O140" s="499"/>
      <c r="P140" s="499"/>
      <c r="Q140" s="499"/>
      <c r="R140" s="499"/>
      <c r="S140" s="499"/>
      <c r="T140" s="499"/>
      <c r="U140" s="499"/>
      <c r="V140" s="499"/>
      <c r="W140" s="499"/>
      <c r="X140" s="499"/>
      <c r="Y140" s="499"/>
      <c r="Z140" s="499"/>
      <c r="AA140" s="499"/>
      <c r="AB140" s="499"/>
      <c r="AC140" s="499"/>
      <c r="AD140" s="499"/>
      <c r="AE140" s="499"/>
      <c r="AF140" s="499"/>
      <c r="AG140" s="499"/>
      <c r="AH140" s="499"/>
      <c r="AI140" s="499"/>
      <c r="AJ140" s="499"/>
      <c r="AK140" s="499"/>
      <c r="AL140" s="499"/>
      <c r="AM140" s="499"/>
      <c r="AN140" s="499"/>
      <c r="AO140" s="499"/>
      <c r="AP140" s="499"/>
      <c r="AQ140" s="499"/>
      <c r="AR140" s="499"/>
      <c r="AS140" s="499"/>
      <c r="AT140" s="499"/>
      <c r="AU140" s="499"/>
      <c r="AV140" s="499"/>
      <c r="AW140" s="499"/>
      <c r="AX140" s="499"/>
      <c r="AY140" s="499"/>
      <c r="AZ140" s="499"/>
      <c r="BA140" s="499"/>
      <c r="BB140" s="499"/>
      <c r="BC140" s="499"/>
      <c r="BD140" s="499"/>
      <c r="BE140" s="499"/>
      <c r="BF140" s="499"/>
      <c r="BG140" s="499"/>
      <c r="BH140" s="499"/>
      <c r="BI140" s="499"/>
      <c r="BJ140" s="499"/>
      <c r="BK140" s="499"/>
      <c r="BL140" s="499"/>
      <c r="BM140" s="499"/>
      <c r="BN140" s="499"/>
      <c r="BO140" s="499"/>
      <c r="BP140" s="499"/>
      <c r="BQ140" s="499"/>
      <c r="BR140" s="499"/>
      <c r="BS140" s="499"/>
      <c r="BT140" s="499"/>
      <c r="BU140" s="499"/>
      <c r="BV140" s="499"/>
      <c r="BW140" s="499"/>
      <c r="BX140" s="499"/>
      <c r="BY140" s="499"/>
      <c r="BZ140" s="499"/>
      <c r="CA140" s="499"/>
      <c r="CB140" s="499"/>
      <c r="CC140" s="499"/>
      <c r="CD140" s="499"/>
      <c r="CE140" s="499"/>
      <c r="CF140" s="499"/>
      <c r="CG140" s="499"/>
      <c r="CH140" s="499"/>
      <c r="CI140" s="499"/>
      <c r="CJ140" s="499"/>
      <c r="CK140" s="499"/>
      <c r="CL140" s="499"/>
      <c r="CM140" s="499"/>
      <c r="CN140" s="499"/>
    </row>
    <row r="141" spans="1:92" s="13" customFormat="1" ht="29" x14ac:dyDescent="0.35">
      <c r="A141" s="519">
        <v>43521</v>
      </c>
      <c r="B141" s="549" t="s">
        <v>2553</v>
      </c>
      <c r="C141" s="548" t="s">
        <v>2552</v>
      </c>
      <c r="D141" s="552" t="s">
        <v>15</v>
      </c>
      <c r="E141" s="563" t="s">
        <v>2551</v>
      </c>
      <c r="F141" s="545">
        <v>43528</v>
      </c>
      <c r="G141" s="544">
        <v>0.33333333333333298</v>
      </c>
      <c r="H141" s="470" t="s">
        <v>2550</v>
      </c>
      <c r="I141" s="602">
        <v>300</v>
      </c>
      <c r="J141" s="603" t="s">
        <v>257</v>
      </c>
      <c r="K141" s="491" t="s">
        <v>2662</v>
      </c>
      <c r="L141" s="515"/>
      <c r="M141" s="390"/>
      <c r="N141" s="390"/>
      <c r="O141" s="390"/>
      <c r="P141" s="390"/>
      <c r="Q141" s="390"/>
      <c r="R141" s="390"/>
      <c r="S141" s="390"/>
      <c r="T141" s="390"/>
      <c r="U141" s="390"/>
      <c r="V141" s="390"/>
      <c r="W141" s="390"/>
      <c r="X141" s="390"/>
      <c r="Y141" s="390"/>
      <c r="Z141" s="390"/>
      <c r="AA141" s="390"/>
      <c r="AB141" s="390"/>
      <c r="AC141" s="390"/>
      <c r="AD141" s="390"/>
      <c r="AE141" s="390"/>
      <c r="AF141" s="390"/>
      <c r="AG141" s="390"/>
      <c r="AH141" s="390"/>
      <c r="AI141" s="390"/>
      <c r="AJ141" s="390"/>
      <c r="AK141" s="390"/>
      <c r="AL141" s="390"/>
      <c r="AM141" s="390"/>
      <c r="AN141" s="390"/>
      <c r="AO141" s="390"/>
      <c r="AP141" s="390"/>
      <c r="AQ141" s="390"/>
      <c r="AR141" s="390"/>
      <c r="AS141" s="390"/>
      <c r="AT141" s="390"/>
      <c r="AU141" s="390"/>
      <c r="AV141" s="390"/>
      <c r="AW141" s="390"/>
      <c r="AX141" s="390"/>
      <c r="AY141" s="390"/>
      <c r="AZ141" s="390"/>
      <c r="BA141" s="390"/>
      <c r="BB141" s="390"/>
      <c r="BC141" s="390"/>
      <c r="BD141" s="390"/>
      <c r="BE141" s="390"/>
      <c r="BF141" s="390"/>
      <c r="BG141" s="390"/>
      <c r="BH141" s="390"/>
      <c r="BI141" s="390"/>
      <c r="BJ141" s="390"/>
      <c r="BK141" s="390"/>
      <c r="BL141" s="390"/>
      <c r="BM141" s="390"/>
      <c r="BN141" s="390"/>
      <c r="BO141" s="390"/>
      <c r="BP141" s="390"/>
      <c r="BQ141" s="390"/>
      <c r="BR141" s="390"/>
      <c r="BS141" s="390"/>
      <c r="BT141" s="390"/>
      <c r="BU141" s="390"/>
      <c r="BV141" s="390"/>
      <c r="BW141" s="390"/>
      <c r="BX141" s="390"/>
      <c r="BY141" s="390"/>
      <c r="BZ141" s="390"/>
      <c r="CA141" s="390"/>
      <c r="CB141" s="390"/>
      <c r="CC141" s="390"/>
      <c r="CD141" s="390"/>
      <c r="CE141" s="390"/>
      <c r="CF141" s="390"/>
      <c r="CG141" s="390"/>
      <c r="CH141" s="390"/>
      <c r="CI141" s="390"/>
      <c r="CJ141" s="390"/>
      <c r="CK141" s="390"/>
      <c r="CL141" s="390"/>
      <c r="CM141" s="390"/>
      <c r="CN141" s="390"/>
    </row>
    <row r="142" spans="1:92" s="13" customFormat="1" x14ac:dyDescent="0.35">
      <c r="A142" s="519">
        <v>43521</v>
      </c>
      <c r="B142" s="549" t="s">
        <v>2549</v>
      </c>
      <c r="C142" s="548" t="s">
        <v>2548</v>
      </c>
      <c r="D142" s="552" t="s">
        <v>15</v>
      </c>
      <c r="E142" s="563" t="s">
        <v>2547</v>
      </c>
      <c r="F142" s="545">
        <v>43528</v>
      </c>
      <c r="G142" s="544">
        <v>0.58333333333333304</v>
      </c>
      <c r="H142" s="470" t="s">
        <v>2546</v>
      </c>
      <c r="I142" s="648">
        <v>0</v>
      </c>
      <c r="J142" s="603" t="s">
        <v>2545</v>
      </c>
      <c r="K142" s="491" t="s">
        <v>2662</v>
      </c>
      <c r="L142" s="515"/>
      <c r="M142" s="390"/>
      <c r="N142" s="390"/>
      <c r="O142" s="390"/>
      <c r="P142" s="390"/>
      <c r="Q142" s="390"/>
      <c r="R142" s="390"/>
      <c r="S142" s="390"/>
      <c r="T142" s="390"/>
      <c r="U142" s="390"/>
      <c r="V142" s="390"/>
      <c r="W142" s="390"/>
      <c r="X142" s="390"/>
      <c r="Y142" s="390"/>
      <c r="Z142" s="390"/>
      <c r="AA142" s="390"/>
      <c r="AB142" s="390"/>
      <c r="AC142" s="390"/>
      <c r="AD142" s="390"/>
      <c r="AE142" s="390"/>
      <c r="AF142" s="390"/>
      <c r="AG142" s="390"/>
      <c r="AH142" s="390"/>
      <c r="AI142" s="390"/>
      <c r="AJ142" s="390"/>
      <c r="AK142" s="390"/>
      <c r="AL142" s="390"/>
      <c r="AM142" s="390"/>
      <c r="AN142" s="390"/>
      <c r="AO142" s="390"/>
      <c r="AP142" s="390"/>
      <c r="AQ142" s="390"/>
      <c r="AR142" s="390"/>
      <c r="AS142" s="390"/>
      <c r="AT142" s="390"/>
      <c r="AU142" s="390"/>
      <c r="AV142" s="390"/>
      <c r="AW142" s="390"/>
      <c r="AX142" s="390"/>
      <c r="AY142" s="390"/>
      <c r="AZ142" s="390"/>
      <c r="BA142" s="390"/>
      <c r="BB142" s="390"/>
      <c r="BC142" s="390"/>
      <c r="BD142" s="390"/>
      <c r="BE142" s="390"/>
      <c r="BF142" s="390"/>
      <c r="BG142" s="390"/>
      <c r="BH142" s="390"/>
      <c r="BI142" s="390"/>
      <c r="BJ142" s="390"/>
      <c r="BK142" s="390"/>
      <c r="BL142" s="390"/>
      <c r="BM142" s="390"/>
      <c r="BN142" s="390"/>
      <c r="BO142" s="390"/>
      <c r="BP142" s="390"/>
      <c r="BQ142" s="390"/>
      <c r="BR142" s="390"/>
      <c r="BS142" s="390"/>
      <c r="BT142" s="390"/>
      <c r="BU142" s="390"/>
      <c r="BV142" s="390"/>
      <c r="BW142" s="390"/>
      <c r="BX142" s="390"/>
      <c r="BY142" s="390"/>
      <c r="BZ142" s="390"/>
      <c r="CA142" s="390"/>
      <c r="CB142" s="390"/>
      <c r="CC142" s="390"/>
      <c r="CD142" s="390"/>
      <c r="CE142" s="390"/>
      <c r="CF142" s="390"/>
      <c r="CG142" s="390"/>
      <c r="CH142" s="390"/>
      <c r="CI142" s="390"/>
      <c r="CJ142" s="390"/>
      <c r="CK142" s="390"/>
      <c r="CL142" s="390"/>
      <c r="CM142" s="390"/>
      <c r="CN142" s="390"/>
    </row>
    <row r="143" spans="1:92" s="13" customFormat="1" ht="29" x14ac:dyDescent="0.35">
      <c r="A143" s="573">
        <v>43523</v>
      </c>
      <c r="B143" s="562" t="s">
        <v>2544</v>
      </c>
      <c r="C143" s="647" t="s">
        <v>2543</v>
      </c>
      <c r="D143" s="646" t="s">
        <v>15</v>
      </c>
      <c r="E143" s="559" t="s">
        <v>2542</v>
      </c>
      <c r="F143" s="558">
        <v>43528</v>
      </c>
      <c r="G143" s="557">
        <v>0.41666666666666702</v>
      </c>
      <c r="H143" s="571" t="s">
        <v>2541</v>
      </c>
      <c r="I143" s="602">
        <v>1050</v>
      </c>
      <c r="J143" s="603" t="s">
        <v>2540</v>
      </c>
      <c r="K143" s="553" t="s">
        <v>2667</v>
      </c>
      <c r="L143" s="515"/>
      <c r="M143" s="390"/>
      <c r="N143" s="390"/>
      <c r="O143" s="390"/>
      <c r="P143" s="390"/>
      <c r="Q143" s="390"/>
      <c r="R143" s="390"/>
      <c r="S143" s="390"/>
      <c r="T143" s="390"/>
      <c r="U143" s="390"/>
      <c r="V143" s="390"/>
      <c r="W143" s="390"/>
      <c r="X143" s="390"/>
      <c r="Y143" s="390"/>
      <c r="Z143" s="390"/>
      <c r="AA143" s="390"/>
      <c r="AB143" s="390"/>
      <c r="AC143" s="390"/>
      <c r="AD143" s="390"/>
      <c r="AE143" s="390"/>
      <c r="AF143" s="390"/>
      <c r="AG143" s="390"/>
      <c r="AH143" s="390"/>
      <c r="AI143" s="390"/>
      <c r="AJ143" s="390"/>
      <c r="AK143" s="390"/>
      <c r="AL143" s="390"/>
      <c r="AM143" s="390"/>
      <c r="AN143" s="390"/>
      <c r="AO143" s="390"/>
      <c r="AP143" s="390"/>
      <c r="AQ143" s="390"/>
      <c r="AR143" s="390"/>
      <c r="AS143" s="390"/>
      <c r="AT143" s="390"/>
      <c r="AU143" s="390"/>
      <c r="AV143" s="390"/>
      <c r="AW143" s="390"/>
      <c r="AX143" s="390"/>
      <c r="AY143" s="390"/>
      <c r="AZ143" s="390"/>
      <c r="BA143" s="390"/>
      <c r="BB143" s="390"/>
      <c r="BC143" s="390"/>
      <c r="BD143" s="390"/>
      <c r="BE143" s="390"/>
      <c r="BF143" s="390"/>
      <c r="BG143" s="390"/>
      <c r="BH143" s="390"/>
      <c r="BI143" s="390"/>
      <c r="BJ143" s="390"/>
      <c r="BK143" s="390"/>
      <c r="BL143" s="390"/>
      <c r="BM143" s="390"/>
      <c r="BN143" s="390"/>
      <c r="BO143" s="390"/>
      <c r="BP143" s="390"/>
      <c r="BQ143" s="390"/>
      <c r="BR143" s="390"/>
      <c r="BS143" s="390"/>
      <c r="BT143" s="390"/>
      <c r="BU143" s="390"/>
      <c r="BV143" s="390"/>
      <c r="BW143" s="390"/>
      <c r="BX143" s="390"/>
      <c r="BY143" s="390"/>
      <c r="BZ143" s="390"/>
      <c r="CA143" s="390"/>
      <c r="CB143" s="390"/>
      <c r="CC143" s="390"/>
      <c r="CD143" s="390"/>
      <c r="CE143" s="390"/>
      <c r="CF143" s="390"/>
      <c r="CG143" s="390"/>
      <c r="CH143" s="390"/>
      <c r="CI143" s="390"/>
      <c r="CJ143" s="390"/>
      <c r="CK143" s="390"/>
      <c r="CL143" s="390"/>
      <c r="CM143" s="390"/>
      <c r="CN143" s="390"/>
    </row>
    <row r="144" spans="1:92" s="577" customFormat="1" ht="58" x14ac:dyDescent="0.35">
      <c r="A144" s="519">
        <v>43524</v>
      </c>
      <c r="B144" s="506" t="s">
        <v>2539</v>
      </c>
      <c r="C144" s="520"/>
      <c r="D144" s="392" t="s">
        <v>15</v>
      </c>
      <c r="E144" s="508" t="s">
        <v>2538</v>
      </c>
      <c r="F144" s="519">
        <v>43528</v>
      </c>
      <c r="G144" s="518" t="s">
        <v>2537</v>
      </c>
      <c r="H144" s="550" t="s">
        <v>17</v>
      </c>
      <c r="I144" s="463">
        <v>2315</v>
      </c>
      <c r="J144" s="593" t="s">
        <v>2493</v>
      </c>
      <c r="K144" s="516" t="s">
        <v>2667</v>
      </c>
      <c r="L144" s="515"/>
      <c r="M144" s="394"/>
      <c r="N144" s="394"/>
      <c r="O144" s="394"/>
      <c r="P144" s="394"/>
      <c r="Q144" s="394"/>
      <c r="R144" s="394"/>
      <c r="S144" s="394"/>
      <c r="T144" s="394"/>
      <c r="U144" s="394"/>
      <c r="V144" s="394"/>
      <c r="W144" s="394"/>
      <c r="X144" s="394"/>
      <c r="Y144" s="394"/>
      <c r="Z144" s="394"/>
      <c r="AA144" s="394"/>
      <c r="AB144" s="394"/>
      <c r="AC144" s="394"/>
      <c r="AD144" s="394"/>
      <c r="AE144" s="394"/>
      <c r="AF144" s="394"/>
      <c r="AG144" s="394"/>
      <c r="AH144" s="394"/>
      <c r="AI144" s="394"/>
      <c r="AJ144" s="394"/>
      <c r="AK144" s="394"/>
      <c r="AL144" s="394"/>
      <c r="AM144" s="394"/>
      <c r="AN144" s="394"/>
      <c r="AO144" s="394"/>
      <c r="AP144" s="394"/>
      <c r="AQ144" s="394"/>
      <c r="AR144" s="394"/>
      <c r="AS144" s="394"/>
      <c r="AT144" s="394"/>
      <c r="AU144" s="394"/>
      <c r="AV144" s="394"/>
      <c r="AW144" s="394"/>
      <c r="AX144" s="394"/>
      <c r="AY144" s="394"/>
      <c r="AZ144" s="394"/>
      <c r="BA144" s="394"/>
      <c r="BB144" s="394"/>
      <c r="BC144" s="394"/>
      <c r="BD144" s="394"/>
      <c r="BE144" s="394"/>
      <c r="BF144" s="394"/>
      <c r="BG144" s="394"/>
      <c r="BH144" s="394"/>
      <c r="BI144" s="394"/>
      <c r="BJ144" s="394"/>
      <c r="BK144" s="394"/>
      <c r="BL144" s="394"/>
      <c r="BM144" s="394"/>
      <c r="BN144" s="394"/>
      <c r="BO144" s="394"/>
      <c r="BP144" s="394"/>
      <c r="BQ144" s="394"/>
      <c r="BR144" s="394"/>
      <c r="BS144" s="394"/>
      <c r="BT144" s="394"/>
      <c r="BU144" s="394"/>
      <c r="BV144" s="394"/>
      <c r="BW144" s="394"/>
      <c r="BX144" s="394"/>
      <c r="BY144" s="394"/>
      <c r="BZ144" s="394"/>
      <c r="CA144" s="394"/>
      <c r="CB144" s="394"/>
      <c r="CC144" s="394"/>
      <c r="CD144" s="394"/>
      <c r="CE144" s="394"/>
      <c r="CF144" s="394"/>
      <c r="CG144" s="394"/>
      <c r="CH144" s="394"/>
      <c r="CI144" s="394"/>
      <c r="CJ144" s="394"/>
      <c r="CK144" s="394"/>
      <c r="CL144" s="394"/>
      <c r="CM144" s="394"/>
      <c r="CN144" s="394"/>
    </row>
    <row r="145" spans="1:92" s="504" customFormat="1" ht="43.5" x14ac:dyDescent="0.35">
      <c r="A145" s="545">
        <v>43528</v>
      </c>
      <c r="B145" s="546" t="s">
        <v>2536</v>
      </c>
      <c r="C145" s="548" t="s">
        <v>2456</v>
      </c>
      <c r="D145" s="552"/>
      <c r="E145" s="563" t="s">
        <v>2535</v>
      </c>
      <c r="F145" s="545">
        <v>43529</v>
      </c>
      <c r="G145" s="544">
        <v>0.65625</v>
      </c>
      <c r="H145" s="546" t="s">
        <v>2534</v>
      </c>
      <c r="I145" s="522">
        <v>198</v>
      </c>
      <c r="J145" s="478" t="s">
        <v>2680</v>
      </c>
      <c r="K145" s="549" t="s">
        <v>2667</v>
      </c>
      <c r="L145" s="645"/>
    </row>
    <row r="146" spans="1:92" s="394" customFormat="1" ht="29" x14ac:dyDescent="0.35">
      <c r="A146" s="545">
        <v>43528</v>
      </c>
      <c r="B146" s="549" t="s">
        <v>2532</v>
      </c>
      <c r="C146" s="548" t="s">
        <v>2404</v>
      </c>
      <c r="D146" s="552"/>
      <c r="E146" s="563" t="s">
        <v>2531</v>
      </c>
      <c r="F146" s="545">
        <v>43529</v>
      </c>
      <c r="G146" s="544" t="s">
        <v>2530</v>
      </c>
      <c r="H146" s="470" t="s">
        <v>2529</v>
      </c>
      <c r="I146" s="463">
        <v>360</v>
      </c>
      <c r="J146" s="470" t="s">
        <v>392</v>
      </c>
      <c r="K146" s="516" t="s">
        <v>2667</v>
      </c>
      <c r="L146" s="515"/>
    </row>
    <row r="147" spans="1:92" s="394" customFormat="1" ht="29" x14ac:dyDescent="0.35">
      <c r="A147" s="545">
        <v>43527</v>
      </c>
      <c r="B147" s="549" t="s">
        <v>2410</v>
      </c>
      <c r="C147" s="548" t="s">
        <v>2409</v>
      </c>
      <c r="D147" s="552"/>
      <c r="E147" s="563" t="s">
        <v>2528</v>
      </c>
      <c r="F147" s="545">
        <v>43529</v>
      </c>
      <c r="G147" s="544" t="s">
        <v>1514</v>
      </c>
      <c r="H147" s="470" t="s">
        <v>2407</v>
      </c>
      <c r="I147" s="463">
        <v>60</v>
      </c>
      <c r="J147" s="470" t="s">
        <v>2406</v>
      </c>
      <c r="K147" s="516" t="s">
        <v>2667</v>
      </c>
      <c r="L147" s="515"/>
    </row>
    <row r="148" spans="1:92" s="394" customFormat="1" x14ac:dyDescent="0.35">
      <c r="A148" s="545">
        <v>43529</v>
      </c>
      <c r="B148" s="549" t="s">
        <v>2320</v>
      </c>
      <c r="C148" s="548" t="s">
        <v>2527</v>
      </c>
      <c r="D148" s="552"/>
      <c r="E148" s="563" t="s">
        <v>2526</v>
      </c>
      <c r="F148" s="545">
        <v>43529</v>
      </c>
      <c r="G148" s="544">
        <v>0.8125</v>
      </c>
      <c r="H148" s="470" t="s">
        <v>2525</v>
      </c>
      <c r="I148" s="463">
        <v>270</v>
      </c>
      <c r="J148" s="470" t="s">
        <v>257</v>
      </c>
      <c r="K148" s="516" t="s">
        <v>2667</v>
      </c>
      <c r="L148" s="515"/>
    </row>
    <row r="149" spans="1:92" s="394" customFormat="1" ht="43.5" x14ac:dyDescent="0.35">
      <c r="A149" s="519">
        <v>43529</v>
      </c>
      <c r="B149" s="506" t="s">
        <v>2524</v>
      </c>
      <c r="C149" s="520" t="s">
        <v>2523</v>
      </c>
      <c r="D149" s="392"/>
      <c r="E149" s="508" t="s">
        <v>2522</v>
      </c>
      <c r="F149" s="519">
        <v>43530</v>
      </c>
      <c r="G149" s="518">
        <v>0.45833333333333298</v>
      </c>
      <c r="H149" s="470" t="s">
        <v>2521</v>
      </c>
      <c r="I149" s="463">
        <v>90</v>
      </c>
      <c r="J149" s="470" t="s">
        <v>257</v>
      </c>
      <c r="K149" s="506" t="s">
        <v>2667</v>
      </c>
      <c r="L149" s="515"/>
    </row>
    <row r="150" spans="1:92" s="394" customFormat="1" x14ac:dyDescent="0.35">
      <c r="A150" s="519">
        <v>43528</v>
      </c>
      <c r="B150" s="506" t="s">
        <v>1812</v>
      </c>
      <c r="C150" s="520" t="s">
        <v>1854</v>
      </c>
      <c r="D150" s="392"/>
      <c r="E150" s="508" t="s">
        <v>2501</v>
      </c>
      <c r="F150" s="519">
        <v>43530</v>
      </c>
      <c r="G150" s="518">
        <v>0.75</v>
      </c>
      <c r="H150" s="470" t="s">
        <v>2407</v>
      </c>
      <c r="I150" s="463">
        <v>100</v>
      </c>
      <c r="J150" s="470" t="s">
        <v>2411</v>
      </c>
      <c r="K150" s="506" t="s">
        <v>2667</v>
      </c>
      <c r="L150" s="515"/>
    </row>
    <row r="151" spans="1:92" s="394" customFormat="1" x14ac:dyDescent="0.35">
      <c r="A151" s="519">
        <v>43529</v>
      </c>
      <c r="B151" s="506" t="s">
        <v>1877</v>
      </c>
      <c r="C151" s="520"/>
      <c r="D151" s="392"/>
      <c r="E151" s="508" t="s">
        <v>2520</v>
      </c>
      <c r="F151" s="519">
        <v>43530</v>
      </c>
      <c r="G151" s="518">
        <v>0.66666666666666696</v>
      </c>
      <c r="H151" s="470" t="s">
        <v>2503</v>
      </c>
      <c r="I151" s="517">
        <v>0</v>
      </c>
      <c r="J151" s="470"/>
      <c r="K151" s="506" t="s">
        <v>2667</v>
      </c>
      <c r="L151" s="515"/>
    </row>
    <row r="152" spans="1:92" s="13" customFormat="1" ht="30.65" customHeight="1" x14ac:dyDescent="0.35">
      <c r="A152" s="639">
        <v>43521</v>
      </c>
      <c r="B152" s="638" t="s">
        <v>2519</v>
      </c>
      <c r="C152" s="637" t="s">
        <v>2518</v>
      </c>
      <c r="D152" s="533" t="s">
        <v>15</v>
      </c>
      <c r="E152" s="634" t="s">
        <v>2517</v>
      </c>
      <c r="F152" s="639">
        <v>43531</v>
      </c>
      <c r="G152" s="643">
        <v>0.39583333333333298</v>
      </c>
      <c r="H152" s="634" t="s">
        <v>1602</v>
      </c>
      <c r="I152" s="644">
        <v>1194</v>
      </c>
      <c r="J152" s="593" t="s">
        <v>2516</v>
      </c>
      <c r="K152" s="491" t="s">
        <v>2662</v>
      </c>
      <c r="L152" s="515"/>
      <c r="M152" s="390"/>
      <c r="N152" s="390"/>
      <c r="O152" s="390"/>
      <c r="P152" s="390"/>
      <c r="Q152" s="390"/>
      <c r="R152" s="390"/>
      <c r="S152" s="390"/>
      <c r="T152" s="390"/>
      <c r="U152" s="390"/>
      <c r="V152" s="390"/>
      <c r="W152" s="390"/>
      <c r="X152" s="390"/>
      <c r="Y152" s="390"/>
      <c r="Z152" s="390"/>
      <c r="AA152" s="390"/>
      <c r="AB152" s="390"/>
      <c r="AC152" s="390"/>
      <c r="AD152" s="390"/>
      <c r="AE152" s="390"/>
      <c r="AF152" s="390"/>
      <c r="AG152" s="390"/>
      <c r="AH152" s="390"/>
      <c r="AI152" s="390"/>
      <c r="AJ152" s="390"/>
      <c r="AK152" s="390"/>
      <c r="AL152" s="390"/>
      <c r="AM152" s="390"/>
      <c r="AN152" s="390"/>
      <c r="AO152" s="390"/>
      <c r="AP152" s="390"/>
      <c r="AQ152" s="390"/>
      <c r="AR152" s="390"/>
      <c r="AS152" s="390"/>
      <c r="AT152" s="390"/>
      <c r="AU152" s="390"/>
      <c r="AV152" s="390"/>
      <c r="AW152" s="390"/>
      <c r="AX152" s="390"/>
      <c r="AY152" s="390"/>
      <c r="AZ152" s="390"/>
      <c r="BA152" s="390"/>
      <c r="BB152" s="390"/>
      <c r="BC152" s="390"/>
      <c r="BD152" s="390"/>
      <c r="BE152" s="390"/>
      <c r="BF152" s="390"/>
      <c r="BG152" s="390"/>
      <c r="BH152" s="390"/>
      <c r="BI152" s="390"/>
      <c r="BJ152" s="390"/>
      <c r="BK152" s="390"/>
      <c r="BL152" s="390"/>
      <c r="BM152" s="390"/>
      <c r="BN152" s="390"/>
      <c r="BO152" s="390"/>
      <c r="BP152" s="390"/>
      <c r="BQ152" s="390"/>
      <c r="BR152" s="390"/>
      <c r="BS152" s="390"/>
      <c r="BT152" s="390"/>
      <c r="BU152" s="390"/>
      <c r="BV152" s="390"/>
      <c r="BW152" s="390"/>
      <c r="BX152" s="390"/>
      <c r="BY152" s="390"/>
      <c r="BZ152" s="390"/>
      <c r="CA152" s="390"/>
      <c r="CB152" s="390"/>
      <c r="CC152" s="390"/>
      <c r="CD152" s="390"/>
      <c r="CE152" s="390"/>
      <c r="CF152" s="390"/>
      <c r="CG152" s="390"/>
      <c r="CH152" s="390"/>
      <c r="CI152" s="390"/>
      <c r="CJ152" s="390"/>
      <c r="CK152" s="390"/>
      <c r="CL152" s="390"/>
      <c r="CM152" s="390"/>
      <c r="CN152" s="390"/>
    </row>
    <row r="153" spans="1:92" s="13" customFormat="1" ht="30.65" customHeight="1" x14ac:dyDescent="0.35">
      <c r="A153" s="639">
        <v>43529</v>
      </c>
      <c r="B153" s="516" t="s">
        <v>216</v>
      </c>
      <c r="C153" s="641"/>
      <c r="D153" s="521"/>
      <c r="E153" s="634" t="s">
        <v>2515</v>
      </c>
      <c r="F153" s="639">
        <v>43531</v>
      </c>
      <c r="G153" s="643">
        <v>0.54166666666666696</v>
      </c>
      <c r="H153" s="634" t="s">
        <v>2514</v>
      </c>
      <c r="I153" s="463">
        <v>199</v>
      </c>
      <c r="J153" s="593" t="s">
        <v>2513</v>
      </c>
      <c r="K153" s="516" t="s">
        <v>2667</v>
      </c>
      <c r="L153" s="515"/>
      <c r="M153" s="390"/>
      <c r="N153" s="390"/>
      <c r="O153" s="390"/>
      <c r="P153" s="390"/>
      <c r="Q153" s="390"/>
      <c r="R153" s="390"/>
      <c r="S153" s="390"/>
      <c r="T153" s="390"/>
      <c r="U153" s="390"/>
      <c r="V153" s="390"/>
      <c r="W153" s="390"/>
      <c r="X153" s="390"/>
      <c r="Y153" s="390"/>
      <c r="Z153" s="390"/>
      <c r="AA153" s="390"/>
      <c r="AB153" s="390"/>
      <c r="AC153" s="390"/>
      <c r="AD153" s="390"/>
      <c r="AE153" s="390"/>
      <c r="AF153" s="390"/>
      <c r="AG153" s="390"/>
      <c r="AH153" s="390"/>
      <c r="AI153" s="390"/>
      <c r="AJ153" s="390"/>
      <c r="AK153" s="390"/>
      <c r="AL153" s="390"/>
      <c r="AM153" s="390"/>
      <c r="AN153" s="390"/>
      <c r="AO153" s="390"/>
      <c r="AP153" s="390"/>
      <c r="AQ153" s="390"/>
      <c r="AR153" s="390"/>
      <c r="AS153" s="390"/>
      <c r="AT153" s="390"/>
      <c r="AU153" s="390"/>
      <c r="AV153" s="390"/>
      <c r="AW153" s="390"/>
      <c r="AX153" s="390"/>
      <c r="AY153" s="390"/>
      <c r="AZ153" s="390"/>
      <c r="BA153" s="390"/>
      <c r="BB153" s="390"/>
      <c r="BC153" s="390"/>
      <c r="BD153" s="390"/>
      <c r="BE153" s="390"/>
      <c r="BF153" s="390"/>
      <c r="BG153" s="390"/>
      <c r="BH153" s="390"/>
      <c r="BI153" s="390"/>
      <c r="BJ153" s="390"/>
      <c r="BK153" s="390"/>
      <c r="BL153" s="390"/>
      <c r="BM153" s="390"/>
      <c r="BN153" s="390"/>
      <c r="BO153" s="390"/>
      <c r="BP153" s="390"/>
      <c r="BQ153" s="390"/>
      <c r="BR153" s="390"/>
      <c r="BS153" s="390"/>
      <c r="BT153" s="390"/>
      <c r="BU153" s="390"/>
      <c r="BV153" s="390"/>
      <c r="BW153" s="390"/>
      <c r="BX153" s="390"/>
      <c r="BY153" s="390"/>
      <c r="BZ153" s="390"/>
      <c r="CA153" s="390"/>
      <c r="CB153" s="390"/>
      <c r="CC153" s="390"/>
      <c r="CD153" s="390"/>
      <c r="CE153" s="390"/>
      <c r="CF153" s="390"/>
      <c r="CG153" s="390"/>
      <c r="CH153" s="390"/>
      <c r="CI153" s="390"/>
      <c r="CJ153" s="390"/>
      <c r="CK153" s="390"/>
      <c r="CL153" s="390"/>
      <c r="CM153" s="390"/>
      <c r="CN153" s="390"/>
    </row>
    <row r="154" spans="1:92" s="13" customFormat="1" ht="102" customHeight="1" x14ac:dyDescent="0.35">
      <c r="A154" s="630">
        <v>43528</v>
      </c>
      <c r="B154" s="543" t="s">
        <v>2512</v>
      </c>
      <c r="C154" s="632" t="s">
        <v>2511</v>
      </c>
      <c r="D154" s="631"/>
      <c r="E154" s="543" t="s">
        <v>2510</v>
      </c>
      <c r="F154" s="630">
        <v>43531</v>
      </c>
      <c r="G154" s="642" t="s">
        <v>2509</v>
      </c>
      <c r="H154" s="543" t="s">
        <v>2508</v>
      </c>
      <c r="I154" s="517">
        <v>0</v>
      </c>
      <c r="J154" s="470" t="s">
        <v>2507</v>
      </c>
      <c r="K154" s="516" t="s">
        <v>2667</v>
      </c>
      <c r="L154" s="515"/>
      <c r="M154" s="390"/>
      <c r="N154" s="390"/>
      <c r="O154" s="390"/>
      <c r="P154" s="390"/>
      <c r="Q154" s="390"/>
      <c r="R154" s="390"/>
      <c r="S154" s="390"/>
      <c r="T154" s="390"/>
      <c r="U154" s="390"/>
      <c r="V154" s="390"/>
      <c r="W154" s="390"/>
      <c r="X154" s="390"/>
      <c r="Y154" s="390"/>
      <c r="Z154" s="390"/>
      <c r="AA154" s="390"/>
      <c r="AB154" s="390"/>
      <c r="AC154" s="390"/>
      <c r="AD154" s="390"/>
      <c r="AE154" s="390"/>
      <c r="AF154" s="390"/>
      <c r="AG154" s="390"/>
      <c r="AH154" s="390"/>
      <c r="AI154" s="390"/>
      <c r="AJ154" s="390"/>
      <c r="AK154" s="390"/>
      <c r="AL154" s="390"/>
      <c r="AM154" s="390"/>
      <c r="AN154" s="390"/>
      <c r="AO154" s="390"/>
      <c r="AP154" s="390"/>
      <c r="AQ154" s="390"/>
      <c r="AR154" s="390"/>
      <c r="AS154" s="390"/>
      <c r="AT154" s="390"/>
      <c r="AU154" s="390"/>
      <c r="AV154" s="390"/>
      <c r="AW154" s="390"/>
      <c r="AX154" s="390"/>
      <c r="AY154" s="390"/>
      <c r="AZ154" s="390"/>
      <c r="BA154" s="390"/>
      <c r="BB154" s="390"/>
      <c r="BC154" s="390"/>
      <c r="BD154" s="390"/>
      <c r="BE154" s="390"/>
      <c r="BF154" s="390"/>
      <c r="BG154" s="390"/>
      <c r="BH154" s="390"/>
      <c r="BI154" s="390"/>
      <c r="BJ154" s="390"/>
      <c r="BK154" s="390"/>
      <c r="BL154" s="390"/>
      <c r="BM154" s="390"/>
      <c r="BN154" s="390"/>
      <c r="BO154" s="390"/>
      <c r="BP154" s="390"/>
      <c r="BQ154" s="390"/>
      <c r="BR154" s="390"/>
      <c r="BS154" s="390"/>
      <c r="BT154" s="390"/>
      <c r="BU154" s="390"/>
      <c r="BV154" s="390"/>
      <c r="BW154" s="390"/>
      <c r="BX154" s="390"/>
      <c r="BY154" s="390"/>
      <c r="BZ154" s="390"/>
      <c r="CA154" s="390"/>
      <c r="CB154" s="390"/>
      <c r="CC154" s="390"/>
      <c r="CD154" s="390"/>
      <c r="CE154" s="390"/>
      <c r="CF154" s="390"/>
      <c r="CG154" s="390"/>
      <c r="CH154" s="390"/>
      <c r="CI154" s="390"/>
      <c r="CJ154" s="390"/>
      <c r="CK154" s="390"/>
      <c r="CL154" s="390"/>
      <c r="CM154" s="390"/>
      <c r="CN154" s="390"/>
    </row>
    <row r="155" spans="1:92" s="13" customFormat="1" ht="102" customHeight="1" x14ac:dyDescent="0.35">
      <c r="A155" s="639">
        <v>43529</v>
      </c>
      <c r="B155" s="634" t="s">
        <v>2506</v>
      </c>
      <c r="C155" s="641"/>
      <c r="D155" s="521"/>
      <c r="E155" s="634" t="s">
        <v>2679</v>
      </c>
      <c r="F155" s="639">
        <v>43531</v>
      </c>
      <c r="G155" s="640">
        <v>0.66666666666666696</v>
      </c>
      <c r="H155" s="634" t="s">
        <v>2505</v>
      </c>
      <c r="I155" s="517" t="s">
        <v>539</v>
      </c>
      <c r="J155" s="470" t="s">
        <v>2678</v>
      </c>
      <c r="K155" s="516" t="s">
        <v>2667</v>
      </c>
      <c r="L155" s="515"/>
      <c r="M155" s="390"/>
      <c r="N155" s="390"/>
      <c r="O155" s="390"/>
      <c r="P155" s="390"/>
      <c r="Q155" s="390"/>
      <c r="R155" s="390"/>
      <c r="S155" s="390"/>
      <c r="T155" s="390"/>
      <c r="U155" s="390"/>
      <c r="V155" s="390"/>
      <c r="W155" s="390"/>
      <c r="X155" s="390"/>
      <c r="Y155" s="390"/>
      <c r="Z155" s="390"/>
      <c r="AA155" s="390"/>
      <c r="AB155" s="390"/>
      <c r="AC155" s="390"/>
      <c r="AD155" s="390"/>
      <c r="AE155" s="390"/>
      <c r="AF155" s="390"/>
      <c r="AG155" s="390"/>
      <c r="AH155" s="390"/>
      <c r="AI155" s="390"/>
      <c r="AJ155" s="390"/>
      <c r="AK155" s="390"/>
      <c r="AL155" s="390"/>
      <c r="AM155" s="390"/>
      <c r="AN155" s="390"/>
      <c r="AO155" s="390"/>
      <c r="AP155" s="390"/>
      <c r="AQ155" s="390"/>
      <c r="AR155" s="390"/>
      <c r="AS155" s="390"/>
      <c r="AT155" s="390"/>
      <c r="AU155" s="390"/>
      <c r="AV155" s="390"/>
      <c r="AW155" s="390"/>
      <c r="AX155" s="390"/>
      <c r="AY155" s="390"/>
      <c r="AZ155" s="390"/>
      <c r="BA155" s="390"/>
      <c r="BB155" s="390"/>
      <c r="BC155" s="390"/>
      <c r="BD155" s="390"/>
      <c r="BE155" s="390"/>
      <c r="BF155" s="390"/>
      <c r="BG155" s="390"/>
      <c r="BH155" s="390"/>
      <c r="BI155" s="390"/>
      <c r="BJ155" s="390"/>
      <c r="BK155" s="390"/>
      <c r="BL155" s="390"/>
      <c r="BM155" s="390"/>
      <c r="BN155" s="390"/>
      <c r="BO155" s="390"/>
      <c r="BP155" s="390"/>
      <c r="BQ155" s="390"/>
      <c r="BR155" s="390"/>
      <c r="BS155" s="390"/>
      <c r="BT155" s="390"/>
      <c r="BU155" s="390"/>
      <c r="BV155" s="390"/>
      <c r="BW155" s="390"/>
      <c r="BX155" s="390"/>
      <c r="BY155" s="390"/>
      <c r="BZ155" s="390"/>
      <c r="CA155" s="390"/>
      <c r="CB155" s="390"/>
      <c r="CC155" s="390"/>
      <c r="CD155" s="390"/>
      <c r="CE155" s="390"/>
      <c r="CF155" s="390"/>
      <c r="CG155" s="390"/>
      <c r="CH155" s="390"/>
      <c r="CI155" s="390"/>
      <c r="CJ155" s="390"/>
      <c r="CK155" s="390"/>
      <c r="CL155" s="390"/>
      <c r="CM155" s="390"/>
      <c r="CN155" s="390"/>
    </row>
    <row r="156" spans="1:92" s="13" customFormat="1" ht="102" customHeight="1" x14ac:dyDescent="0.35">
      <c r="A156" s="639">
        <v>43529</v>
      </c>
      <c r="B156" s="634" t="s">
        <v>262</v>
      </c>
      <c r="C156" s="641"/>
      <c r="D156" s="521"/>
      <c r="E156" s="634" t="s">
        <v>2504</v>
      </c>
      <c r="F156" s="639">
        <v>43531</v>
      </c>
      <c r="G156" s="640">
        <v>0.75</v>
      </c>
      <c r="H156" s="634" t="s">
        <v>2503</v>
      </c>
      <c r="I156" s="522">
        <v>3360</v>
      </c>
      <c r="J156" s="593" t="s">
        <v>2502</v>
      </c>
      <c r="K156" s="516" t="s">
        <v>2667</v>
      </c>
      <c r="L156" s="515"/>
      <c r="M156" s="390"/>
      <c r="N156" s="390"/>
      <c r="O156" s="390"/>
      <c r="P156" s="390"/>
      <c r="Q156" s="390"/>
      <c r="R156" s="390"/>
      <c r="S156" s="390"/>
      <c r="T156" s="390"/>
      <c r="U156" s="390"/>
      <c r="V156" s="390"/>
      <c r="W156" s="390"/>
      <c r="X156" s="390"/>
      <c r="Y156" s="390"/>
      <c r="Z156" s="390"/>
      <c r="AA156" s="390"/>
      <c r="AB156" s="390"/>
      <c r="AC156" s="390"/>
      <c r="AD156" s="390"/>
      <c r="AE156" s="390"/>
      <c r="AF156" s="390"/>
      <c r="AG156" s="390"/>
      <c r="AH156" s="390"/>
      <c r="AI156" s="390"/>
      <c r="AJ156" s="390"/>
      <c r="AK156" s="390"/>
      <c r="AL156" s="390"/>
      <c r="AM156" s="390"/>
      <c r="AN156" s="390"/>
      <c r="AO156" s="390"/>
      <c r="AP156" s="390"/>
      <c r="AQ156" s="390"/>
      <c r="AR156" s="390"/>
      <c r="AS156" s="390"/>
      <c r="AT156" s="390"/>
      <c r="AU156" s="390"/>
      <c r="AV156" s="390"/>
      <c r="AW156" s="390"/>
      <c r="AX156" s="390"/>
      <c r="AY156" s="390"/>
      <c r="AZ156" s="390"/>
      <c r="BA156" s="390"/>
      <c r="BB156" s="390"/>
      <c r="BC156" s="390"/>
      <c r="BD156" s="390"/>
      <c r="BE156" s="390"/>
      <c r="BF156" s="390"/>
      <c r="BG156" s="390"/>
      <c r="BH156" s="390"/>
      <c r="BI156" s="390"/>
      <c r="BJ156" s="390"/>
      <c r="BK156" s="390"/>
      <c r="BL156" s="390"/>
      <c r="BM156" s="390"/>
      <c r="BN156" s="390"/>
      <c r="BO156" s="390"/>
      <c r="BP156" s="390"/>
      <c r="BQ156" s="390"/>
      <c r="BR156" s="390"/>
      <c r="BS156" s="390"/>
      <c r="BT156" s="390"/>
      <c r="BU156" s="390"/>
      <c r="BV156" s="390"/>
      <c r="BW156" s="390"/>
      <c r="BX156" s="390"/>
      <c r="BY156" s="390"/>
      <c r="BZ156" s="390"/>
      <c r="CA156" s="390"/>
      <c r="CB156" s="390"/>
      <c r="CC156" s="390"/>
      <c r="CD156" s="390"/>
      <c r="CE156" s="390"/>
      <c r="CF156" s="390"/>
      <c r="CG156" s="390"/>
      <c r="CH156" s="390"/>
      <c r="CI156" s="390"/>
      <c r="CJ156" s="390"/>
      <c r="CK156" s="390"/>
      <c r="CL156" s="390"/>
      <c r="CM156" s="390"/>
      <c r="CN156" s="390"/>
    </row>
    <row r="157" spans="1:92" s="577" customFormat="1" x14ac:dyDescent="0.35">
      <c r="A157" s="639">
        <v>43528</v>
      </c>
      <c r="B157" s="638" t="s">
        <v>1812</v>
      </c>
      <c r="C157" s="637" t="s">
        <v>1854</v>
      </c>
      <c r="D157" s="533"/>
      <c r="E157" s="532" t="s">
        <v>2501</v>
      </c>
      <c r="F157" s="636">
        <v>43531</v>
      </c>
      <c r="G157" s="635">
        <v>0.75</v>
      </c>
      <c r="H157" s="634" t="s">
        <v>2407</v>
      </c>
      <c r="I157" s="463">
        <v>100</v>
      </c>
      <c r="J157" s="470" t="s">
        <v>2411</v>
      </c>
      <c r="K157" s="516" t="s">
        <v>2667</v>
      </c>
      <c r="L157" s="515"/>
      <c r="M157" s="394"/>
      <c r="N157" s="394"/>
      <c r="O157" s="394"/>
      <c r="P157" s="394"/>
      <c r="Q157" s="394"/>
      <c r="R157" s="394"/>
      <c r="S157" s="394"/>
      <c r="T157" s="394"/>
      <c r="U157" s="394"/>
      <c r="V157" s="394"/>
      <c r="W157" s="394"/>
      <c r="X157" s="394"/>
      <c r="Y157" s="394"/>
      <c r="Z157" s="394"/>
      <c r="AA157" s="394"/>
      <c r="AB157" s="394"/>
      <c r="AC157" s="394"/>
      <c r="AD157" s="394"/>
      <c r="AE157" s="394"/>
      <c r="AF157" s="394"/>
      <c r="AG157" s="394"/>
      <c r="AH157" s="394"/>
      <c r="AI157" s="394"/>
      <c r="AJ157" s="394"/>
      <c r="AK157" s="394"/>
      <c r="AL157" s="394"/>
      <c r="AM157" s="394"/>
      <c r="AN157" s="394"/>
      <c r="AO157" s="394"/>
      <c r="AP157" s="394"/>
      <c r="AQ157" s="394"/>
      <c r="AR157" s="394"/>
      <c r="AS157" s="394"/>
      <c r="AT157" s="394"/>
      <c r="AU157" s="394"/>
      <c r="AV157" s="394"/>
      <c r="AW157" s="394"/>
      <c r="AX157" s="394"/>
      <c r="AY157" s="394"/>
      <c r="AZ157" s="394"/>
      <c r="BA157" s="394"/>
      <c r="BB157" s="394"/>
      <c r="BC157" s="394"/>
      <c r="BD157" s="394"/>
      <c r="BE157" s="394"/>
      <c r="BF157" s="394"/>
      <c r="BG157" s="394"/>
      <c r="BH157" s="394"/>
      <c r="BI157" s="394"/>
      <c r="BJ157" s="394"/>
      <c r="BK157" s="394"/>
      <c r="BL157" s="394"/>
      <c r="BM157" s="394"/>
      <c r="BN157" s="394"/>
      <c r="BO157" s="394"/>
      <c r="BP157" s="394"/>
      <c r="BQ157" s="394"/>
      <c r="BR157" s="394"/>
      <c r="BS157" s="394"/>
      <c r="BT157" s="394"/>
      <c r="BU157" s="394"/>
      <c r="BV157" s="394"/>
      <c r="BW157" s="394"/>
      <c r="BX157" s="394"/>
      <c r="BY157" s="394"/>
      <c r="BZ157" s="394"/>
      <c r="CA157" s="394"/>
      <c r="CB157" s="394"/>
      <c r="CC157" s="394"/>
      <c r="CD157" s="394"/>
      <c r="CE157" s="394"/>
      <c r="CF157" s="394"/>
      <c r="CG157" s="394"/>
      <c r="CH157" s="394"/>
      <c r="CI157" s="394"/>
      <c r="CJ157" s="394"/>
      <c r="CK157" s="394"/>
      <c r="CL157" s="394"/>
      <c r="CM157" s="394"/>
      <c r="CN157" s="394"/>
    </row>
    <row r="158" spans="1:92" s="577" customFormat="1" ht="43.5" x14ac:dyDescent="0.35">
      <c r="A158" s="639">
        <v>43528</v>
      </c>
      <c r="B158" s="638" t="s">
        <v>2500</v>
      </c>
      <c r="C158" s="637" t="s">
        <v>2499</v>
      </c>
      <c r="D158" s="533"/>
      <c r="E158" s="532" t="s">
        <v>2498</v>
      </c>
      <c r="F158" s="636">
        <v>43531</v>
      </c>
      <c r="G158" s="635">
        <v>0.79166666666666696</v>
      </c>
      <c r="H158" s="634" t="s">
        <v>2407</v>
      </c>
      <c r="I158" s="463">
        <v>476</v>
      </c>
      <c r="J158" s="470" t="s">
        <v>257</v>
      </c>
      <c r="K158" s="516" t="s">
        <v>2667</v>
      </c>
      <c r="L158" s="515"/>
      <c r="M158" s="394"/>
      <c r="N158" s="394"/>
      <c r="O158" s="394"/>
      <c r="P158" s="394"/>
      <c r="Q158" s="394"/>
      <c r="R158" s="394"/>
      <c r="S158" s="394"/>
      <c r="T158" s="394"/>
      <c r="U158" s="394"/>
      <c r="V158" s="394"/>
      <c r="W158" s="394"/>
      <c r="X158" s="394"/>
      <c r="Y158" s="394"/>
      <c r="Z158" s="394"/>
      <c r="AA158" s="394"/>
      <c r="AB158" s="394"/>
      <c r="AC158" s="394"/>
      <c r="AD158" s="394"/>
      <c r="AE158" s="394"/>
      <c r="AF158" s="394"/>
      <c r="AG158" s="394"/>
      <c r="AH158" s="394"/>
      <c r="AI158" s="394"/>
      <c r="AJ158" s="394"/>
      <c r="AK158" s="394"/>
      <c r="AL158" s="394"/>
      <c r="AM158" s="394"/>
      <c r="AN158" s="394"/>
      <c r="AO158" s="394"/>
      <c r="AP158" s="394"/>
      <c r="AQ158" s="394"/>
      <c r="AR158" s="394"/>
      <c r="AS158" s="394"/>
      <c r="AT158" s="394"/>
      <c r="AU158" s="394"/>
      <c r="AV158" s="394"/>
      <c r="AW158" s="394"/>
      <c r="AX158" s="394"/>
      <c r="AY158" s="394"/>
      <c r="AZ158" s="394"/>
      <c r="BA158" s="394"/>
      <c r="BB158" s="394"/>
      <c r="BC158" s="394"/>
      <c r="BD158" s="394"/>
      <c r="BE158" s="394"/>
      <c r="BF158" s="394"/>
      <c r="BG158" s="394"/>
      <c r="BH158" s="394"/>
      <c r="BI158" s="394"/>
      <c r="BJ158" s="394"/>
      <c r="BK158" s="394"/>
      <c r="BL158" s="394"/>
      <c r="BM158" s="394"/>
      <c r="BN158" s="394"/>
      <c r="BO158" s="394"/>
      <c r="BP158" s="394"/>
      <c r="BQ158" s="394"/>
      <c r="BR158" s="394"/>
      <c r="BS158" s="394"/>
      <c r="BT158" s="394"/>
      <c r="BU158" s="394"/>
      <c r="BV158" s="394"/>
      <c r="BW158" s="394"/>
      <c r="BX158" s="394"/>
      <c r="BY158" s="394"/>
      <c r="BZ158" s="394"/>
      <c r="CA158" s="394"/>
      <c r="CB158" s="394"/>
      <c r="CC158" s="394"/>
      <c r="CD158" s="394"/>
      <c r="CE158" s="394"/>
      <c r="CF158" s="394"/>
      <c r="CG158" s="394"/>
      <c r="CH158" s="394"/>
      <c r="CI158" s="394"/>
      <c r="CJ158" s="394"/>
      <c r="CK158" s="394"/>
      <c r="CL158" s="394"/>
      <c r="CM158" s="394"/>
      <c r="CN158" s="394"/>
    </row>
    <row r="159" spans="1:92" s="13" customFormat="1" ht="30.65" customHeight="1" x14ac:dyDescent="0.35">
      <c r="A159" s="630">
        <v>43527</v>
      </c>
      <c r="B159" s="633" t="s">
        <v>2410</v>
      </c>
      <c r="C159" s="632" t="s">
        <v>2409</v>
      </c>
      <c r="D159" s="631"/>
      <c r="E159" s="543" t="s">
        <v>2497</v>
      </c>
      <c r="F159" s="630">
        <v>43531</v>
      </c>
      <c r="G159" s="629" t="s">
        <v>1514</v>
      </c>
      <c r="H159" s="543" t="s">
        <v>2407</v>
      </c>
      <c r="I159" s="463">
        <v>22.5</v>
      </c>
      <c r="J159" s="470" t="s">
        <v>2406</v>
      </c>
      <c r="K159" s="516" t="s">
        <v>2667</v>
      </c>
      <c r="L159" s="515"/>
      <c r="M159" s="390"/>
      <c r="N159" s="390"/>
      <c r="O159" s="390"/>
      <c r="P159" s="390"/>
      <c r="Q159" s="390"/>
      <c r="R159" s="390"/>
      <c r="S159" s="390"/>
      <c r="T159" s="390"/>
      <c r="U159" s="390"/>
      <c r="V159" s="390"/>
      <c r="W159" s="390"/>
      <c r="X159" s="390"/>
      <c r="Y159" s="390"/>
      <c r="Z159" s="390"/>
      <c r="AA159" s="390"/>
      <c r="AB159" s="390"/>
      <c r="AC159" s="390"/>
      <c r="AD159" s="390"/>
      <c r="AE159" s="390"/>
      <c r="AF159" s="390"/>
      <c r="AG159" s="390"/>
      <c r="AH159" s="390"/>
      <c r="AI159" s="390"/>
      <c r="AJ159" s="390"/>
      <c r="AK159" s="390"/>
      <c r="AL159" s="390"/>
      <c r="AM159" s="390"/>
      <c r="AN159" s="390"/>
      <c r="AO159" s="390"/>
      <c r="AP159" s="390"/>
      <c r="AQ159" s="390"/>
      <c r="AR159" s="390"/>
      <c r="AS159" s="390"/>
      <c r="AT159" s="390"/>
      <c r="AU159" s="390"/>
      <c r="AV159" s="390"/>
      <c r="AW159" s="390"/>
      <c r="AX159" s="390"/>
      <c r="AY159" s="390"/>
      <c r="AZ159" s="390"/>
      <c r="BA159" s="390"/>
      <c r="BB159" s="390"/>
      <c r="BC159" s="390"/>
      <c r="BD159" s="390"/>
      <c r="BE159" s="390"/>
      <c r="BF159" s="390"/>
      <c r="BG159" s="390"/>
      <c r="BH159" s="390"/>
      <c r="BI159" s="390"/>
      <c r="BJ159" s="390"/>
      <c r="BK159" s="390"/>
      <c r="BL159" s="390"/>
      <c r="BM159" s="390"/>
      <c r="BN159" s="390"/>
      <c r="BO159" s="390"/>
      <c r="BP159" s="390"/>
      <c r="BQ159" s="390"/>
      <c r="BR159" s="390"/>
      <c r="BS159" s="390"/>
      <c r="BT159" s="390"/>
      <c r="BU159" s="390"/>
      <c r="BV159" s="390"/>
      <c r="BW159" s="390"/>
      <c r="BX159" s="390"/>
      <c r="BY159" s="390"/>
      <c r="BZ159" s="390"/>
      <c r="CA159" s="390"/>
      <c r="CB159" s="390"/>
      <c r="CC159" s="390"/>
      <c r="CD159" s="390"/>
      <c r="CE159" s="390"/>
      <c r="CF159" s="390"/>
      <c r="CG159" s="390"/>
      <c r="CH159" s="390"/>
      <c r="CI159" s="390"/>
      <c r="CJ159" s="390"/>
      <c r="CK159" s="390"/>
      <c r="CL159" s="390"/>
      <c r="CM159" s="390"/>
      <c r="CN159" s="390"/>
    </row>
    <row r="160" spans="1:92" s="13" customFormat="1" x14ac:dyDescent="0.35">
      <c r="A160" s="625">
        <v>43521</v>
      </c>
      <c r="B160" s="628" t="s">
        <v>2496</v>
      </c>
      <c r="C160" s="627"/>
      <c r="D160" s="626" t="s">
        <v>15</v>
      </c>
      <c r="E160" s="556" t="s">
        <v>2495</v>
      </c>
      <c r="F160" s="625">
        <v>43531</v>
      </c>
      <c r="G160" s="624">
        <v>0.41666666666666702</v>
      </c>
      <c r="H160" s="556" t="s">
        <v>2494</v>
      </c>
      <c r="I160" s="623">
        <v>199</v>
      </c>
      <c r="J160" s="622" t="s">
        <v>2493</v>
      </c>
      <c r="K160" s="553" t="s">
        <v>2662</v>
      </c>
      <c r="L160" s="515"/>
      <c r="M160" s="390"/>
    </row>
    <row r="161" spans="1:92" s="368" customFormat="1" x14ac:dyDescent="0.35">
      <c r="A161" s="580">
        <v>43531</v>
      </c>
      <c r="B161" s="584" t="s">
        <v>2492</v>
      </c>
      <c r="C161" s="583" t="s">
        <v>2491</v>
      </c>
      <c r="D161" s="582"/>
      <c r="E161" s="578" t="s">
        <v>2490</v>
      </c>
      <c r="F161" s="580">
        <v>43532</v>
      </c>
      <c r="G161" s="579">
        <v>0.33333333333333298</v>
      </c>
      <c r="H161" s="578" t="s">
        <v>2489</v>
      </c>
      <c r="I161" s="463">
        <v>99</v>
      </c>
      <c r="J161" s="568" t="s">
        <v>2677</v>
      </c>
      <c r="K161" s="516" t="s">
        <v>2667</v>
      </c>
      <c r="L161" s="506"/>
    </row>
    <row r="162" spans="1:92" s="13" customFormat="1" ht="29" x14ac:dyDescent="0.35">
      <c r="A162" s="621">
        <v>43527</v>
      </c>
      <c r="B162" s="374" t="s">
        <v>2485</v>
      </c>
      <c r="C162" s="374" t="s">
        <v>1598</v>
      </c>
      <c r="D162" s="374" t="s">
        <v>15</v>
      </c>
      <c r="E162" s="618" t="s">
        <v>2487</v>
      </c>
      <c r="F162" s="620">
        <v>43532</v>
      </c>
      <c r="G162" s="619">
        <v>0.33333333333333298</v>
      </c>
      <c r="H162" s="618" t="s">
        <v>2486</v>
      </c>
      <c r="I162" s="617">
        <v>144</v>
      </c>
      <c r="J162" s="616" t="s">
        <v>2482</v>
      </c>
      <c r="K162" s="534" t="s">
        <v>2667</v>
      </c>
      <c r="L162" s="390"/>
      <c r="M162" s="390"/>
    </row>
    <row r="163" spans="1:92" s="13" customFormat="1" ht="29" x14ac:dyDescent="0.35">
      <c r="A163" s="527">
        <v>43527</v>
      </c>
      <c r="B163" s="368" t="s">
        <v>2485</v>
      </c>
      <c r="C163" s="368" t="s">
        <v>1598</v>
      </c>
      <c r="D163" s="368" t="s">
        <v>15</v>
      </c>
      <c r="E163" s="528" t="s">
        <v>2484</v>
      </c>
      <c r="F163" s="510">
        <v>43532</v>
      </c>
      <c r="G163" s="615">
        <v>0.33333333333333298</v>
      </c>
      <c r="H163" s="528" t="s">
        <v>2483</v>
      </c>
      <c r="I163" s="614">
        <v>144</v>
      </c>
      <c r="J163" s="613" t="s">
        <v>2482</v>
      </c>
      <c r="K163" s="516" t="s">
        <v>2667</v>
      </c>
      <c r="L163" s="390"/>
      <c r="M163" s="390"/>
    </row>
    <row r="164" spans="1:92" s="13" customFormat="1" ht="29" x14ac:dyDescent="0.35">
      <c r="A164" s="592">
        <v>43530</v>
      </c>
      <c r="B164" s="591" t="s">
        <v>2481</v>
      </c>
      <c r="C164" s="590" t="s">
        <v>2480</v>
      </c>
      <c r="D164" s="589"/>
      <c r="E164" s="586" t="s">
        <v>2474</v>
      </c>
      <c r="F164" s="588">
        <v>43532</v>
      </c>
      <c r="G164" s="587" t="s">
        <v>2479</v>
      </c>
      <c r="H164" s="586" t="s">
        <v>2478</v>
      </c>
      <c r="I164" s="585">
        <v>85</v>
      </c>
      <c r="J164" s="528" t="s">
        <v>2477</v>
      </c>
      <c r="K164" s="516" t="s">
        <v>2667</v>
      </c>
      <c r="L164" s="390"/>
      <c r="M164" s="390"/>
    </row>
    <row r="165" spans="1:92" s="13" customFormat="1" ht="29" x14ac:dyDescent="0.35">
      <c r="A165" s="592">
        <v>43530</v>
      </c>
      <c r="B165" s="591" t="s">
        <v>2476</v>
      </c>
      <c r="C165" s="590" t="s">
        <v>2475</v>
      </c>
      <c r="D165" s="589"/>
      <c r="E165" s="586" t="s">
        <v>2474</v>
      </c>
      <c r="F165" s="588">
        <v>43532</v>
      </c>
      <c r="G165" s="587" t="s">
        <v>2473</v>
      </c>
      <c r="H165" s="586" t="s">
        <v>2472</v>
      </c>
      <c r="I165" s="585">
        <v>85</v>
      </c>
      <c r="J165" s="528" t="s">
        <v>2471</v>
      </c>
      <c r="K165" s="516" t="s">
        <v>2667</v>
      </c>
      <c r="L165" s="390"/>
      <c r="M165" s="390"/>
    </row>
    <row r="166" spans="1:92" s="13" customFormat="1" ht="29" x14ac:dyDescent="0.35">
      <c r="A166" s="592">
        <v>43530</v>
      </c>
      <c r="B166" s="591" t="s">
        <v>2470</v>
      </c>
      <c r="C166" s="590" t="s">
        <v>2469</v>
      </c>
      <c r="D166" s="589"/>
      <c r="E166" s="586" t="s">
        <v>2468</v>
      </c>
      <c r="F166" s="588">
        <v>43532</v>
      </c>
      <c r="G166" s="587">
        <v>0.45833333333333298</v>
      </c>
      <c r="H166" s="586" t="s">
        <v>2467</v>
      </c>
      <c r="I166" s="585">
        <v>170</v>
      </c>
      <c r="J166" s="528" t="s">
        <v>2466</v>
      </c>
      <c r="K166" s="516" t="s">
        <v>2667</v>
      </c>
      <c r="L166" s="368"/>
      <c r="M166" s="368"/>
    </row>
    <row r="167" spans="1:92" s="13" customFormat="1" ht="29" x14ac:dyDescent="0.35">
      <c r="A167" s="592">
        <v>43531</v>
      </c>
      <c r="B167" s="591" t="s">
        <v>2284</v>
      </c>
      <c r="C167" s="590" t="s">
        <v>1717</v>
      </c>
      <c r="D167" s="589"/>
      <c r="E167" s="586" t="s">
        <v>2465</v>
      </c>
      <c r="F167" s="588">
        <v>43532</v>
      </c>
      <c r="G167" s="587">
        <v>0.375</v>
      </c>
      <c r="H167" s="586" t="s">
        <v>2464</v>
      </c>
      <c r="I167" s="612">
        <v>351</v>
      </c>
      <c r="J167" s="528" t="s">
        <v>2463</v>
      </c>
      <c r="K167" s="516"/>
      <c r="L167" s="390"/>
      <c r="M167" s="390"/>
    </row>
    <row r="168" spans="1:92" s="13" customFormat="1" x14ac:dyDescent="0.35">
      <c r="A168" s="580">
        <v>43528</v>
      </c>
      <c r="B168" s="584" t="s">
        <v>2462</v>
      </c>
      <c r="C168" s="583" t="s">
        <v>2461</v>
      </c>
      <c r="D168" s="611"/>
      <c r="E168" s="610" t="s">
        <v>2460</v>
      </c>
      <c r="F168" s="580">
        <v>43532</v>
      </c>
      <c r="G168" s="579">
        <v>0.375</v>
      </c>
      <c r="H168" s="578" t="s">
        <v>2459</v>
      </c>
      <c r="I168" s="463">
        <v>304</v>
      </c>
      <c r="J168" s="593" t="s">
        <v>2458</v>
      </c>
      <c r="K168" s="516" t="s">
        <v>2667</v>
      </c>
      <c r="L168" s="515"/>
      <c r="M168" s="390"/>
    </row>
    <row r="169" spans="1:92" s="13" customFormat="1" x14ac:dyDescent="0.35">
      <c r="A169" s="595">
        <v>43530</v>
      </c>
      <c r="B169" s="568" t="s">
        <v>2457</v>
      </c>
      <c r="C169" s="597" t="s">
        <v>2456</v>
      </c>
      <c r="D169" s="601"/>
      <c r="E169" s="600" t="s">
        <v>2455</v>
      </c>
      <c r="F169" s="595">
        <v>43532</v>
      </c>
      <c r="G169" s="594">
        <v>0.4375</v>
      </c>
      <c r="H169" s="568" t="s">
        <v>2454</v>
      </c>
      <c r="I169" s="522">
        <v>540</v>
      </c>
      <c r="J169" s="478" t="s">
        <v>2453</v>
      </c>
      <c r="K169" s="516"/>
      <c r="L169" s="515"/>
      <c r="M169" s="390"/>
    </row>
    <row r="170" spans="1:92" s="13" customFormat="1" ht="29" x14ac:dyDescent="0.35">
      <c r="A170" s="595">
        <v>43530</v>
      </c>
      <c r="B170" s="598" t="s">
        <v>2452</v>
      </c>
      <c r="C170" s="597" t="s">
        <v>2451</v>
      </c>
      <c r="D170" s="601"/>
      <c r="E170" s="600" t="s">
        <v>2676</v>
      </c>
      <c r="F170" s="595">
        <v>43532</v>
      </c>
      <c r="G170" s="594">
        <v>0.41666666666666702</v>
      </c>
      <c r="H170" s="568" t="s">
        <v>2449</v>
      </c>
      <c r="I170" s="463">
        <v>342</v>
      </c>
      <c r="J170" s="470" t="s">
        <v>257</v>
      </c>
      <c r="K170" s="516" t="s">
        <v>2667</v>
      </c>
      <c r="L170" s="515"/>
      <c r="M170" s="390"/>
    </row>
    <row r="171" spans="1:92" s="13" customFormat="1" x14ac:dyDescent="0.35">
      <c r="A171" s="519">
        <v>43528</v>
      </c>
      <c r="B171" s="506" t="s">
        <v>1641</v>
      </c>
      <c r="C171" s="520" t="s">
        <v>1640</v>
      </c>
      <c r="D171" s="609"/>
      <c r="E171" s="608" t="s">
        <v>2675</v>
      </c>
      <c r="F171" s="519">
        <v>43532</v>
      </c>
      <c r="G171" s="518">
        <v>0.45833333333333298</v>
      </c>
      <c r="H171" s="470" t="s">
        <v>1638</v>
      </c>
      <c r="I171" s="522">
        <v>1248</v>
      </c>
      <c r="J171" s="593" t="s">
        <v>2447</v>
      </c>
      <c r="K171" s="516" t="s">
        <v>2667</v>
      </c>
      <c r="L171" s="515"/>
      <c r="M171" s="390"/>
    </row>
    <row r="172" spans="1:92" s="13" customFormat="1" ht="43.5" x14ac:dyDescent="0.35">
      <c r="A172" s="595">
        <v>43530</v>
      </c>
      <c r="B172" s="598" t="s">
        <v>2446</v>
      </c>
      <c r="C172" s="597" t="s">
        <v>2404</v>
      </c>
      <c r="D172" s="601"/>
      <c r="E172" s="600" t="s">
        <v>2445</v>
      </c>
      <c r="F172" s="595">
        <v>43532</v>
      </c>
      <c r="G172" s="594">
        <v>0.5</v>
      </c>
      <c r="H172" s="568" t="s">
        <v>2444</v>
      </c>
      <c r="I172" s="602">
        <v>300</v>
      </c>
      <c r="J172" s="470" t="s">
        <v>2443</v>
      </c>
      <c r="K172" s="516" t="s">
        <v>2667</v>
      </c>
      <c r="L172" s="515"/>
      <c r="M172" s="390"/>
    </row>
    <row r="173" spans="1:92" s="13" customFormat="1" x14ac:dyDescent="0.35">
      <c r="A173" s="605">
        <v>43528</v>
      </c>
      <c r="B173" s="515" t="s">
        <v>2442</v>
      </c>
      <c r="C173" s="607"/>
      <c r="D173" s="606"/>
      <c r="E173" s="603" t="s">
        <v>2441</v>
      </c>
      <c r="F173" s="605">
        <v>43532</v>
      </c>
      <c r="G173" s="604">
        <v>0.54166666666666696</v>
      </c>
      <c r="H173" s="603" t="s">
        <v>1737</v>
      </c>
      <c r="I173" s="602">
        <v>936</v>
      </c>
      <c r="J173" s="593" t="s">
        <v>2440</v>
      </c>
      <c r="K173" s="564"/>
      <c r="L173" s="515"/>
      <c r="M173" s="390"/>
    </row>
    <row r="174" spans="1:92" s="13" customFormat="1" ht="29" x14ac:dyDescent="0.35">
      <c r="A174" s="519">
        <v>43525</v>
      </c>
      <c r="B174" s="552" t="s">
        <v>2439</v>
      </c>
      <c r="C174" s="552" t="s">
        <v>2438</v>
      </c>
      <c r="D174" s="552" t="s">
        <v>15</v>
      </c>
      <c r="E174" s="569" t="s">
        <v>2437</v>
      </c>
      <c r="F174" s="545">
        <v>43532</v>
      </c>
      <c r="G174" s="544">
        <v>0.5</v>
      </c>
      <c r="H174" s="528" t="s">
        <v>2436</v>
      </c>
      <c r="I174" s="522">
        <v>243</v>
      </c>
      <c r="J174" s="593" t="s">
        <v>2435</v>
      </c>
      <c r="K174" s="516" t="s">
        <v>2667</v>
      </c>
      <c r="L174" s="515"/>
      <c r="M174" s="390"/>
    </row>
    <row r="175" spans="1:92" s="13" customFormat="1" x14ac:dyDescent="0.35">
      <c r="A175" s="519">
        <v>43525</v>
      </c>
      <c r="B175" s="506" t="s">
        <v>2434</v>
      </c>
      <c r="C175" s="520"/>
      <c r="D175" s="552" t="s">
        <v>15</v>
      </c>
      <c r="E175" s="470" t="s">
        <v>2433</v>
      </c>
      <c r="F175" s="519">
        <v>43532</v>
      </c>
      <c r="G175" s="518">
        <v>0.625</v>
      </c>
      <c r="H175" s="470" t="s">
        <v>2432</v>
      </c>
      <c r="I175" s="463">
        <v>199</v>
      </c>
      <c r="J175" s="470" t="s">
        <v>257</v>
      </c>
      <c r="K175" s="516" t="s">
        <v>2667</v>
      </c>
      <c r="L175" s="515"/>
      <c r="M175" s="390"/>
    </row>
    <row r="176" spans="1:92" s="13" customFormat="1" ht="29" x14ac:dyDescent="0.35">
      <c r="A176" s="595">
        <v>43530</v>
      </c>
      <c r="B176" s="598" t="s">
        <v>1772</v>
      </c>
      <c r="C176" s="597" t="s">
        <v>2431</v>
      </c>
      <c r="D176" s="596"/>
      <c r="E176" s="568" t="s">
        <v>2430</v>
      </c>
      <c r="F176" s="595">
        <v>43532</v>
      </c>
      <c r="G176" s="594">
        <v>0.66666666666666696</v>
      </c>
      <c r="H176" s="568" t="s">
        <v>2429</v>
      </c>
      <c r="I176" s="522">
        <v>343</v>
      </c>
      <c r="J176" s="469" t="s">
        <v>2428</v>
      </c>
      <c r="K176" s="506" t="s">
        <v>2667</v>
      </c>
      <c r="L176" s="515"/>
      <c r="M176" s="390"/>
      <c r="N176" s="390"/>
      <c r="O176" s="390"/>
      <c r="P176" s="390"/>
      <c r="Q176" s="390"/>
      <c r="R176" s="390"/>
      <c r="S176" s="390"/>
      <c r="T176" s="390"/>
      <c r="U176" s="390"/>
      <c r="V176" s="390"/>
      <c r="W176" s="390"/>
      <c r="X176" s="390"/>
      <c r="Y176" s="390"/>
      <c r="Z176" s="390"/>
      <c r="AA176" s="390"/>
      <c r="AB176" s="390"/>
      <c r="AC176" s="390"/>
      <c r="AD176" s="390"/>
      <c r="AE176" s="390"/>
      <c r="AF176" s="390"/>
      <c r="AG176" s="390"/>
      <c r="AH176" s="390"/>
      <c r="AI176" s="390"/>
      <c r="AJ176" s="390"/>
      <c r="AK176" s="390"/>
      <c r="AL176" s="390"/>
      <c r="AM176" s="390"/>
      <c r="AN176" s="390"/>
      <c r="AO176" s="390"/>
      <c r="AP176" s="390"/>
      <c r="AQ176" s="390"/>
      <c r="AR176" s="390"/>
      <c r="AS176" s="390"/>
      <c r="AT176" s="390"/>
      <c r="AU176" s="390"/>
      <c r="AV176" s="390"/>
      <c r="AW176" s="390"/>
      <c r="AX176" s="390"/>
      <c r="AY176" s="390"/>
      <c r="AZ176" s="390"/>
      <c r="BA176" s="390"/>
      <c r="BB176" s="390"/>
      <c r="BC176" s="390"/>
      <c r="BD176" s="390"/>
      <c r="BE176" s="390"/>
      <c r="BF176" s="390"/>
      <c r="BG176" s="390"/>
      <c r="BH176" s="390"/>
      <c r="BI176" s="390"/>
      <c r="BJ176" s="390"/>
      <c r="BK176" s="390"/>
      <c r="BL176" s="390"/>
      <c r="BM176" s="390"/>
      <c r="BN176" s="390"/>
      <c r="BO176" s="390"/>
      <c r="BP176" s="390"/>
      <c r="BQ176" s="390"/>
      <c r="BR176" s="390"/>
      <c r="BS176" s="390"/>
      <c r="BT176" s="390"/>
      <c r="BU176" s="390"/>
      <c r="BV176" s="390"/>
      <c r="BW176" s="390"/>
      <c r="BX176" s="390"/>
      <c r="BY176" s="390"/>
      <c r="BZ176" s="390"/>
      <c r="CA176" s="390"/>
      <c r="CB176" s="390"/>
      <c r="CC176" s="390"/>
      <c r="CD176" s="390"/>
      <c r="CE176" s="390"/>
      <c r="CF176" s="390"/>
      <c r="CG176" s="390"/>
      <c r="CH176" s="390"/>
      <c r="CI176" s="390"/>
      <c r="CJ176" s="390"/>
      <c r="CK176" s="390"/>
      <c r="CL176" s="390"/>
      <c r="CM176" s="390"/>
      <c r="CN176" s="390"/>
    </row>
    <row r="177" spans="1:92" s="13" customFormat="1" x14ac:dyDescent="0.35">
      <c r="A177" s="595">
        <v>43530</v>
      </c>
      <c r="B177" s="598" t="s">
        <v>2427</v>
      </c>
      <c r="C177" s="597" t="s">
        <v>2404</v>
      </c>
      <c r="D177" s="601"/>
      <c r="E177" s="600" t="s">
        <v>2426</v>
      </c>
      <c r="F177" s="595">
        <v>43532</v>
      </c>
      <c r="G177" s="594">
        <v>0.66666666666666696</v>
      </c>
      <c r="H177" s="568" t="s">
        <v>2402</v>
      </c>
      <c r="I177" s="463">
        <v>152</v>
      </c>
      <c r="J177" s="470" t="s">
        <v>257</v>
      </c>
      <c r="K177" s="566"/>
      <c r="L177" s="515"/>
      <c r="M177" s="390"/>
      <c r="N177" s="390"/>
      <c r="O177" s="390"/>
      <c r="P177" s="390"/>
      <c r="Q177" s="390"/>
      <c r="R177" s="390"/>
      <c r="S177" s="390"/>
      <c r="T177" s="390"/>
      <c r="U177" s="390"/>
      <c r="V177" s="390"/>
      <c r="W177" s="390"/>
      <c r="X177" s="390"/>
      <c r="Y177" s="390"/>
      <c r="Z177" s="390"/>
      <c r="AA177" s="390"/>
      <c r="AB177" s="390"/>
      <c r="AC177" s="390"/>
      <c r="AD177" s="390"/>
      <c r="AE177" s="390"/>
      <c r="AF177" s="390"/>
      <c r="AG177" s="390"/>
      <c r="AH177" s="390"/>
      <c r="AI177" s="390"/>
      <c r="AJ177" s="390"/>
      <c r="AK177" s="390"/>
      <c r="AL177" s="390"/>
      <c r="AM177" s="390"/>
      <c r="AN177" s="390"/>
      <c r="AO177" s="390"/>
      <c r="AP177" s="390"/>
      <c r="AQ177" s="390"/>
      <c r="AR177" s="390"/>
      <c r="AS177" s="390"/>
      <c r="AT177" s="390"/>
      <c r="AU177" s="390"/>
      <c r="AV177" s="390"/>
      <c r="AW177" s="390"/>
      <c r="AX177" s="390"/>
      <c r="AY177" s="390"/>
      <c r="AZ177" s="390"/>
      <c r="BA177" s="390"/>
      <c r="BB177" s="390"/>
      <c r="BC177" s="390"/>
      <c r="BD177" s="390"/>
      <c r="BE177" s="390"/>
      <c r="BF177" s="390"/>
      <c r="BG177" s="390"/>
      <c r="BH177" s="390"/>
      <c r="BI177" s="390"/>
      <c r="BJ177" s="390"/>
      <c r="BK177" s="390"/>
      <c r="BL177" s="390"/>
      <c r="BM177" s="390"/>
      <c r="BN177" s="390"/>
      <c r="BO177" s="390"/>
      <c r="BP177" s="390"/>
      <c r="BQ177" s="390"/>
      <c r="BR177" s="390"/>
      <c r="BS177" s="390"/>
      <c r="BT177" s="390"/>
      <c r="BU177" s="390"/>
      <c r="BV177" s="390"/>
      <c r="BW177" s="390"/>
      <c r="BX177" s="390"/>
      <c r="BY177" s="390"/>
      <c r="BZ177" s="390"/>
      <c r="CA177" s="390"/>
      <c r="CB177" s="390"/>
      <c r="CC177" s="390"/>
      <c r="CD177" s="390"/>
      <c r="CE177" s="390"/>
      <c r="CF177" s="390"/>
      <c r="CG177" s="390"/>
      <c r="CH177" s="390"/>
      <c r="CI177" s="390"/>
      <c r="CJ177" s="390"/>
      <c r="CK177" s="390"/>
      <c r="CL177" s="390"/>
      <c r="CM177" s="390"/>
      <c r="CN177" s="390"/>
    </row>
    <row r="178" spans="1:92" s="368" customFormat="1" x14ac:dyDescent="0.35">
      <c r="A178" s="510">
        <v>43508</v>
      </c>
      <c r="B178" s="506" t="s">
        <v>2255</v>
      </c>
      <c r="C178" s="520" t="s">
        <v>2254</v>
      </c>
      <c r="D178" s="506" t="s">
        <v>2253</v>
      </c>
      <c r="E178" s="470" t="s">
        <v>2425</v>
      </c>
      <c r="F178" s="510">
        <v>43532</v>
      </c>
      <c r="G178" s="599">
        <v>0.70833333333333304</v>
      </c>
      <c r="H178" s="508" t="s">
        <v>985</v>
      </c>
      <c r="I178" s="463">
        <v>161.5</v>
      </c>
      <c r="J178" s="470" t="s">
        <v>2251</v>
      </c>
      <c r="K178" s="566" t="s">
        <v>2667</v>
      </c>
      <c r="L178" s="506"/>
    </row>
    <row r="179" spans="1:92" s="13" customFormat="1" x14ac:dyDescent="0.35">
      <c r="A179" s="595">
        <v>43529</v>
      </c>
      <c r="B179" s="598" t="s">
        <v>1602</v>
      </c>
      <c r="C179" s="597"/>
      <c r="D179" s="596"/>
      <c r="E179" s="568" t="s">
        <v>2424</v>
      </c>
      <c r="F179" s="595">
        <v>43532</v>
      </c>
      <c r="G179" s="594">
        <v>0.70833333333333304</v>
      </c>
      <c r="H179" s="568" t="s">
        <v>2423</v>
      </c>
      <c r="I179" s="463">
        <v>152</v>
      </c>
      <c r="J179" s="593" t="s">
        <v>2422</v>
      </c>
      <c r="K179" s="516" t="s">
        <v>2667</v>
      </c>
      <c r="L179" s="515"/>
      <c r="M179" s="390"/>
      <c r="N179" s="390"/>
      <c r="O179" s="390"/>
      <c r="P179" s="390"/>
      <c r="Q179" s="390"/>
      <c r="R179" s="390"/>
      <c r="S179" s="390"/>
      <c r="T179" s="390"/>
      <c r="U179" s="390"/>
      <c r="V179" s="390"/>
      <c r="W179" s="390"/>
      <c r="X179" s="390"/>
      <c r="Y179" s="390"/>
      <c r="Z179" s="390"/>
      <c r="AA179" s="390"/>
      <c r="AB179" s="390"/>
      <c r="AC179" s="390"/>
      <c r="AD179" s="390"/>
      <c r="AE179" s="390"/>
      <c r="AF179" s="390"/>
      <c r="AG179" s="390"/>
      <c r="AH179" s="390"/>
      <c r="AI179" s="390"/>
      <c r="AJ179" s="390"/>
      <c r="AK179" s="390"/>
      <c r="AL179" s="390"/>
      <c r="AM179" s="390"/>
      <c r="AN179" s="390"/>
      <c r="AO179" s="390"/>
      <c r="AP179" s="390"/>
      <c r="AQ179" s="390"/>
      <c r="AR179" s="390"/>
      <c r="AS179" s="390"/>
      <c r="AT179" s="390"/>
      <c r="AU179" s="390"/>
      <c r="AV179" s="390"/>
      <c r="AW179" s="390"/>
      <c r="AX179" s="390"/>
      <c r="AY179" s="390"/>
      <c r="AZ179" s="390"/>
      <c r="BA179" s="390"/>
      <c r="BB179" s="390"/>
      <c r="BC179" s="390"/>
      <c r="BD179" s="390"/>
      <c r="BE179" s="390"/>
      <c r="BF179" s="390"/>
      <c r="BG179" s="390"/>
      <c r="BH179" s="390"/>
      <c r="BI179" s="390"/>
      <c r="BJ179" s="390"/>
      <c r="BK179" s="390"/>
      <c r="BL179" s="390"/>
      <c r="BM179" s="390"/>
      <c r="BN179" s="390"/>
      <c r="BO179" s="390"/>
      <c r="BP179" s="390"/>
      <c r="BQ179" s="390"/>
      <c r="BR179" s="390"/>
      <c r="BS179" s="390"/>
      <c r="BT179" s="390"/>
      <c r="BU179" s="390"/>
      <c r="BV179" s="390"/>
      <c r="BW179" s="390"/>
      <c r="BX179" s="390"/>
      <c r="BY179" s="390"/>
      <c r="BZ179" s="390"/>
      <c r="CA179" s="390"/>
      <c r="CB179" s="390"/>
      <c r="CC179" s="390"/>
      <c r="CD179" s="390"/>
      <c r="CE179" s="390"/>
      <c r="CF179" s="390"/>
      <c r="CG179" s="390"/>
      <c r="CH179" s="390"/>
      <c r="CI179" s="390"/>
      <c r="CJ179" s="390"/>
      <c r="CK179" s="390"/>
      <c r="CL179" s="390"/>
      <c r="CM179" s="390"/>
      <c r="CN179" s="390"/>
    </row>
    <row r="180" spans="1:92" s="13" customFormat="1" ht="29" x14ac:dyDescent="0.35">
      <c r="A180" s="519">
        <v>43529</v>
      </c>
      <c r="B180" s="506" t="s">
        <v>2421</v>
      </c>
      <c r="C180" s="520"/>
      <c r="D180" s="506"/>
      <c r="E180" s="470" t="s">
        <v>2420</v>
      </c>
      <c r="F180" s="519">
        <v>43532</v>
      </c>
      <c r="G180" s="518">
        <v>0.70833333333333304</v>
      </c>
      <c r="H180" s="470" t="s">
        <v>2419</v>
      </c>
      <c r="I180" s="463">
        <v>608</v>
      </c>
      <c r="J180" s="593" t="s">
        <v>2418</v>
      </c>
      <c r="K180" s="516" t="s">
        <v>2667</v>
      </c>
      <c r="L180" s="515"/>
      <c r="M180" s="390"/>
      <c r="N180" s="390"/>
      <c r="O180" s="390"/>
      <c r="P180" s="390"/>
      <c r="Q180" s="390"/>
      <c r="R180" s="390"/>
      <c r="S180" s="390"/>
      <c r="T180" s="390"/>
      <c r="U180" s="390"/>
      <c r="V180" s="390"/>
      <c r="W180" s="390"/>
      <c r="X180" s="390"/>
      <c r="Y180" s="390"/>
      <c r="Z180" s="390"/>
      <c r="AA180" s="390"/>
      <c r="AB180" s="390"/>
      <c r="AC180" s="390"/>
      <c r="AD180" s="390"/>
      <c r="AE180" s="390"/>
      <c r="AF180" s="390"/>
      <c r="AG180" s="390"/>
      <c r="AH180" s="390"/>
      <c r="AI180" s="390"/>
      <c r="AJ180" s="390"/>
      <c r="AK180" s="390"/>
      <c r="AL180" s="390"/>
      <c r="AM180" s="390"/>
      <c r="AN180" s="390"/>
      <c r="AO180" s="390"/>
      <c r="AP180" s="390"/>
      <c r="AQ180" s="390"/>
      <c r="AR180" s="390"/>
      <c r="AS180" s="390"/>
      <c r="AT180" s="390"/>
      <c r="AU180" s="390"/>
      <c r="AV180" s="390"/>
      <c r="AW180" s="390"/>
      <c r="AX180" s="390"/>
      <c r="AY180" s="390"/>
      <c r="AZ180" s="390"/>
      <c r="BA180" s="390"/>
      <c r="BB180" s="390"/>
      <c r="BC180" s="390"/>
      <c r="BD180" s="390"/>
      <c r="BE180" s="390"/>
      <c r="BF180" s="390"/>
      <c r="BG180" s="390"/>
      <c r="BH180" s="390"/>
      <c r="BI180" s="390"/>
      <c r="BJ180" s="390"/>
      <c r="BK180" s="390"/>
      <c r="BL180" s="390"/>
      <c r="BM180" s="390"/>
      <c r="BN180" s="390"/>
      <c r="BO180" s="390"/>
      <c r="BP180" s="390"/>
      <c r="BQ180" s="390"/>
      <c r="BR180" s="390"/>
      <c r="BS180" s="390"/>
      <c r="BT180" s="390"/>
      <c r="BU180" s="390"/>
      <c r="BV180" s="390"/>
      <c r="BW180" s="390"/>
      <c r="BX180" s="390"/>
      <c r="BY180" s="390"/>
      <c r="BZ180" s="390"/>
      <c r="CA180" s="390"/>
      <c r="CB180" s="390"/>
      <c r="CC180" s="390"/>
      <c r="CD180" s="390"/>
      <c r="CE180" s="390"/>
      <c r="CF180" s="390"/>
      <c r="CG180" s="390"/>
      <c r="CH180" s="390"/>
      <c r="CI180" s="390"/>
      <c r="CJ180" s="390"/>
      <c r="CK180" s="390"/>
      <c r="CL180" s="390"/>
      <c r="CM180" s="390"/>
      <c r="CN180" s="390"/>
    </row>
    <row r="181" spans="1:92" s="13" customFormat="1" ht="26.9" customHeight="1" x14ac:dyDescent="0.35">
      <c r="A181" s="592">
        <v>43530</v>
      </c>
      <c r="B181" s="591" t="s">
        <v>2417</v>
      </c>
      <c r="C181" s="590" t="s">
        <v>2416</v>
      </c>
      <c r="D181" s="589"/>
      <c r="E181" s="586" t="s">
        <v>2415</v>
      </c>
      <c r="F181" s="588">
        <v>43532</v>
      </c>
      <c r="G181" s="587">
        <v>0.70833333333333304</v>
      </c>
      <c r="H181" s="586" t="s">
        <v>2414</v>
      </c>
      <c r="I181" s="585">
        <v>101</v>
      </c>
      <c r="J181" s="528" t="s">
        <v>2413</v>
      </c>
      <c r="K181" s="516" t="s">
        <v>2667</v>
      </c>
      <c r="L181" s="368"/>
      <c r="M181" s="368"/>
      <c r="N181" s="390"/>
      <c r="O181" s="390"/>
      <c r="P181" s="390"/>
      <c r="Q181" s="390"/>
      <c r="R181" s="390"/>
      <c r="S181" s="390"/>
      <c r="T181" s="390"/>
      <c r="U181" s="390"/>
      <c r="V181" s="390"/>
      <c r="W181" s="390"/>
      <c r="X181" s="390"/>
      <c r="Y181" s="390"/>
      <c r="Z181" s="390"/>
      <c r="AA181" s="390"/>
      <c r="AB181" s="390"/>
      <c r="AC181" s="390"/>
      <c r="AD181" s="390"/>
      <c r="AE181" s="390"/>
      <c r="AF181" s="390"/>
      <c r="AG181" s="390"/>
      <c r="AH181" s="390"/>
      <c r="AI181" s="390"/>
      <c r="AJ181" s="390"/>
      <c r="AK181" s="390"/>
      <c r="AL181" s="390"/>
      <c r="AM181" s="390"/>
      <c r="AN181" s="390"/>
      <c r="AO181" s="390"/>
      <c r="AP181" s="390"/>
      <c r="AQ181" s="390"/>
      <c r="AR181" s="390"/>
      <c r="AS181" s="390"/>
      <c r="AT181" s="390"/>
      <c r="AU181" s="390"/>
      <c r="AV181" s="390"/>
      <c r="AW181" s="390"/>
      <c r="AX181" s="390"/>
      <c r="AY181" s="390"/>
      <c r="AZ181" s="390"/>
      <c r="BA181" s="390"/>
      <c r="BB181" s="390"/>
      <c r="BC181" s="390"/>
      <c r="BD181" s="390"/>
      <c r="BE181" s="390"/>
      <c r="BF181" s="390"/>
      <c r="BG181" s="390"/>
      <c r="BH181" s="390"/>
      <c r="BI181" s="390"/>
      <c r="BJ181" s="390"/>
      <c r="BK181" s="390"/>
      <c r="BL181" s="390"/>
      <c r="BM181" s="390"/>
      <c r="BN181" s="390"/>
      <c r="BO181" s="390"/>
      <c r="BP181" s="390"/>
      <c r="BQ181" s="390"/>
      <c r="BR181" s="390"/>
      <c r="BS181" s="390"/>
      <c r="BT181" s="390"/>
      <c r="BU181" s="390"/>
      <c r="BV181" s="390"/>
      <c r="BW181" s="390"/>
      <c r="BX181" s="390"/>
      <c r="BY181" s="390"/>
      <c r="BZ181" s="390"/>
      <c r="CA181" s="390"/>
      <c r="CB181" s="390"/>
      <c r="CC181" s="390"/>
      <c r="CD181" s="390"/>
      <c r="CE181" s="390"/>
      <c r="CF181" s="390"/>
      <c r="CG181" s="390"/>
      <c r="CH181" s="390"/>
      <c r="CI181" s="390"/>
      <c r="CJ181" s="390"/>
      <c r="CK181" s="390"/>
      <c r="CL181" s="390"/>
      <c r="CM181" s="390"/>
      <c r="CN181" s="390"/>
    </row>
    <row r="182" spans="1:92" s="577" customFormat="1" ht="29" x14ac:dyDescent="0.35">
      <c r="A182" s="580">
        <v>43528</v>
      </c>
      <c r="B182" s="584" t="s">
        <v>1812</v>
      </c>
      <c r="C182" s="583" t="s">
        <v>1854</v>
      </c>
      <c r="D182" s="582"/>
      <c r="E182" s="581" t="s">
        <v>2412</v>
      </c>
      <c r="F182" s="580">
        <v>43532</v>
      </c>
      <c r="G182" s="579">
        <v>0.75</v>
      </c>
      <c r="H182" s="578" t="s">
        <v>2407</v>
      </c>
      <c r="I182" s="463">
        <v>188</v>
      </c>
      <c r="J182" s="470" t="s">
        <v>2411</v>
      </c>
      <c r="K182" s="516" t="s">
        <v>2667</v>
      </c>
      <c r="L182" s="515"/>
      <c r="M182" s="394"/>
      <c r="N182" s="394"/>
      <c r="O182" s="394"/>
      <c r="P182" s="394"/>
      <c r="Q182" s="394"/>
      <c r="R182" s="394"/>
      <c r="S182" s="394"/>
      <c r="T182" s="394"/>
      <c r="U182" s="394"/>
      <c r="V182" s="394"/>
      <c r="W182" s="394"/>
      <c r="X182" s="394"/>
      <c r="Y182" s="394"/>
      <c r="Z182" s="394"/>
      <c r="AA182" s="394"/>
      <c r="AB182" s="394"/>
      <c r="AC182" s="394"/>
      <c r="AD182" s="394"/>
      <c r="AE182" s="394"/>
      <c r="AF182" s="394"/>
      <c r="AG182" s="394"/>
      <c r="AH182" s="394"/>
      <c r="AI182" s="394"/>
      <c r="AJ182" s="394"/>
      <c r="AK182" s="394"/>
      <c r="AL182" s="394"/>
      <c r="AM182" s="394"/>
      <c r="AN182" s="394"/>
      <c r="AO182" s="394"/>
      <c r="AP182" s="394"/>
      <c r="AQ182" s="394"/>
      <c r="AR182" s="394"/>
      <c r="AS182" s="394"/>
      <c r="AT182" s="394"/>
      <c r="AU182" s="394"/>
      <c r="AV182" s="394"/>
      <c r="AW182" s="394"/>
      <c r="AX182" s="394"/>
      <c r="AY182" s="394"/>
      <c r="AZ182" s="394"/>
      <c r="BA182" s="394"/>
      <c r="BB182" s="394"/>
      <c r="BC182" s="394"/>
      <c r="BD182" s="394"/>
      <c r="BE182" s="394"/>
      <c r="BF182" s="394"/>
      <c r="BG182" s="394"/>
      <c r="BH182" s="394"/>
      <c r="BI182" s="394"/>
      <c r="BJ182" s="394"/>
      <c r="BK182" s="394"/>
      <c r="BL182" s="394"/>
      <c r="BM182" s="394"/>
      <c r="BN182" s="394"/>
      <c r="BO182" s="394"/>
      <c r="BP182" s="394"/>
      <c r="BQ182" s="394"/>
      <c r="BR182" s="394"/>
      <c r="BS182" s="394"/>
      <c r="BT182" s="394"/>
      <c r="BU182" s="394"/>
      <c r="BV182" s="394"/>
      <c r="BW182" s="394"/>
      <c r="BX182" s="394"/>
      <c r="BY182" s="394"/>
      <c r="BZ182" s="394"/>
      <c r="CA182" s="394"/>
      <c r="CB182" s="394"/>
      <c r="CC182" s="394"/>
      <c r="CD182" s="394"/>
      <c r="CE182" s="394"/>
      <c r="CF182" s="394"/>
      <c r="CG182" s="394"/>
      <c r="CH182" s="394"/>
      <c r="CI182" s="394"/>
      <c r="CJ182" s="394"/>
      <c r="CK182" s="394"/>
      <c r="CL182" s="394"/>
      <c r="CM182" s="394"/>
      <c r="CN182" s="394"/>
    </row>
    <row r="183" spans="1:92" s="13" customFormat="1" ht="30.65" customHeight="1" x14ac:dyDescent="0.35">
      <c r="A183" s="573">
        <v>43527</v>
      </c>
      <c r="B183" s="576" t="s">
        <v>2410</v>
      </c>
      <c r="C183" s="575" t="s">
        <v>2409</v>
      </c>
      <c r="D183" s="574"/>
      <c r="E183" s="571" t="s">
        <v>2408</v>
      </c>
      <c r="F183" s="573">
        <v>43532</v>
      </c>
      <c r="G183" s="572" t="s">
        <v>1514</v>
      </c>
      <c r="H183" s="571" t="s">
        <v>2407</v>
      </c>
      <c r="I183" s="462">
        <v>100</v>
      </c>
      <c r="J183" s="571" t="s">
        <v>2406</v>
      </c>
      <c r="K183" s="566" t="s">
        <v>2667</v>
      </c>
      <c r="L183" s="515"/>
      <c r="M183" s="390"/>
      <c r="N183" s="390"/>
      <c r="O183" s="390"/>
      <c r="P183" s="390"/>
      <c r="Q183" s="390"/>
      <c r="R183" s="390"/>
      <c r="S183" s="390"/>
      <c r="T183" s="390"/>
      <c r="U183" s="390"/>
      <c r="V183" s="390"/>
      <c r="W183" s="390"/>
      <c r="X183" s="390"/>
      <c r="Y183" s="390"/>
      <c r="Z183" s="390"/>
      <c r="AA183" s="390"/>
      <c r="AB183" s="390"/>
      <c r="AC183" s="390"/>
      <c r="AD183" s="390"/>
      <c r="AE183" s="390"/>
      <c r="AF183" s="390"/>
      <c r="AG183" s="390"/>
      <c r="AH183" s="390"/>
      <c r="AI183" s="390"/>
      <c r="AJ183" s="390"/>
      <c r="AK183" s="390"/>
      <c r="AL183" s="390"/>
      <c r="AM183" s="390"/>
      <c r="AN183" s="390"/>
      <c r="AO183" s="390"/>
      <c r="AP183" s="390"/>
      <c r="AQ183" s="390"/>
      <c r="AR183" s="390"/>
      <c r="AS183" s="390"/>
      <c r="AT183" s="390"/>
      <c r="AU183" s="390"/>
      <c r="AV183" s="390"/>
      <c r="AW183" s="390"/>
      <c r="AX183" s="390"/>
      <c r="AY183" s="390"/>
      <c r="AZ183" s="390"/>
      <c r="BA183" s="390"/>
      <c r="BB183" s="390"/>
      <c r="BC183" s="390"/>
      <c r="BD183" s="390"/>
      <c r="BE183" s="390"/>
      <c r="BF183" s="390"/>
      <c r="BG183" s="390"/>
      <c r="BH183" s="390"/>
      <c r="BI183" s="390"/>
      <c r="BJ183" s="390"/>
      <c r="BK183" s="390"/>
      <c r="BL183" s="390"/>
      <c r="BM183" s="390"/>
      <c r="BN183" s="390"/>
      <c r="BO183" s="390"/>
      <c r="BP183" s="390"/>
      <c r="BQ183" s="390"/>
      <c r="BR183" s="390"/>
      <c r="BS183" s="390"/>
      <c r="BT183" s="390"/>
      <c r="BU183" s="390"/>
      <c r="BV183" s="390"/>
      <c r="BW183" s="390"/>
      <c r="BX183" s="390"/>
      <c r="BY183" s="390"/>
      <c r="BZ183" s="390"/>
      <c r="CA183" s="390"/>
      <c r="CB183" s="390"/>
      <c r="CC183" s="390"/>
      <c r="CD183" s="390"/>
      <c r="CE183" s="390"/>
      <c r="CF183" s="390"/>
      <c r="CG183" s="390"/>
      <c r="CH183" s="390"/>
      <c r="CI183" s="390"/>
      <c r="CJ183" s="390"/>
      <c r="CK183" s="390"/>
      <c r="CL183" s="390"/>
      <c r="CM183" s="390"/>
      <c r="CN183" s="390"/>
    </row>
    <row r="184" spans="1:92" s="13" customFormat="1" x14ac:dyDescent="0.35">
      <c r="A184" s="545">
        <v>43530</v>
      </c>
      <c r="B184" s="549" t="s">
        <v>2405</v>
      </c>
      <c r="C184" s="548" t="s">
        <v>2404</v>
      </c>
      <c r="D184" s="570"/>
      <c r="E184" s="569" t="s">
        <v>2403</v>
      </c>
      <c r="F184" s="545">
        <v>43533</v>
      </c>
      <c r="G184" s="544">
        <v>0.66666666666666696</v>
      </c>
      <c r="H184" s="568" t="s">
        <v>2402</v>
      </c>
      <c r="I184" s="463">
        <v>192</v>
      </c>
      <c r="J184" s="567" t="s">
        <v>257</v>
      </c>
      <c r="K184" s="566"/>
      <c r="L184" s="515"/>
      <c r="M184" s="390"/>
      <c r="N184" s="390"/>
      <c r="O184" s="390"/>
      <c r="P184" s="390"/>
      <c r="Q184" s="390"/>
      <c r="R184" s="390"/>
      <c r="S184" s="390"/>
      <c r="T184" s="390"/>
      <c r="U184" s="390"/>
      <c r="V184" s="390"/>
      <c r="W184" s="390"/>
      <c r="X184" s="390"/>
      <c r="Y184" s="390"/>
      <c r="Z184" s="390"/>
      <c r="AA184" s="390"/>
      <c r="AB184" s="390"/>
      <c r="AC184" s="390"/>
      <c r="AD184" s="390"/>
      <c r="AE184" s="390"/>
      <c r="AF184" s="390"/>
      <c r="AG184" s="390"/>
      <c r="AH184" s="390"/>
      <c r="AI184" s="390"/>
      <c r="AJ184" s="390"/>
      <c r="AK184" s="390"/>
      <c r="AL184" s="390"/>
      <c r="AM184" s="390"/>
      <c r="AN184" s="390"/>
      <c r="AO184" s="390"/>
      <c r="AP184" s="390"/>
      <c r="AQ184" s="390"/>
      <c r="AR184" s="390"/>
      <c r="AS184" s="390"/>
      <c r="AT184" s="390"/>
      <c r="AU184" s="390"/>
      <c r="AV184" s="390"/>
      <c r="AW184" s="390"/>
      <c r="AX184" s="390"/>
      <c r="AY184" s="390"/>
      <c r="AZ184" s="390"/>
      <c r="BA184" s="390"/>
      <c r="BB184" s="390"/>
      <c r="BC184" s="390"/>
      <c r="BD184" s="390"/>
      <c r="BE184" s="390"/>
      <c r="BF184" s="390"/>
      <c r="BG184" s="390"/>
      <c r="BH184" s="390"/>
      <c r="BI184" s="390"/>
      <c r="BJ184" s="390"/>
      <c r="BK184" s="390"/>
      <c r="BL184" s="390"/>
      <c r="BM184" s="390"/>
      <c r="BN184" s="390"/>
      <c r="BO184" s="390"/>
      <c r="BP184" s="390"/>
      <c r="BQ184" s="390"/>
      <c r="BR184" s="390"/>
      <c r="BS184" s="390"/>
      <c r="BT184" s="390"/>
      <c r="BU184" s="390"/>
      <c r="BV184" s="390"/>
      <c r="BW184" s="390"/>
      <c r="BX184" s="390"/>
      <c r="BY184" s="390"/>
      <c r="BZ184" s="390"/>
      <c r="CA184" s="390"/>
      <c r="CB184" s="390"/>
      <c r="CC184" s="390"/>
      <c r="CD184" s="390"/>
      <c r="CE184" s="390"/>
      <c r="CF184" s="390"/>
      <c r="CG184" s="390"/>
      <c r="CH184" s="390"/>
      <c r="CI184" s="390"/>
      <c r="CJ184" s="390"/>
      <c r="CK184" s="390"/>
      <c r="CL184" s="390"/>
      <c r="CM184" s="390"/>
      <c r="CN184" s="390"/>
    </row>
    <row r="185" spans="1:92" s="494" customFormat="1" ht="29" x14ac:dyDescent="0.35">
      <c r="A185" s="545">
        <v>43514</v>
      </c>
      <c r="B185" s="549" t="s">
        <v>2401</v>
      </c>
      <c r="C185" s="548" t="s">
        <v>2400</v>
      </c>
      <c r="D185" s="552" t="s">
        <v>15</v>
      </c>
      <c r="E185" s="563" t="s">
        <v>2399</v>
      </c>
      <c r="F185" s="545">
        <v>43533</v>
      </c>
      <c r="G185" s="544">
        <v>0.75</v>
      </c>
      <c r="H185" s="543" t="s">
        <v>1516</v>
      </c>
      <c r="I185" s="522" t="s">
        <v>2398</v>
      </c>
      <c r="J185" s="565" t="s">
        <v>2397</v>
      </c>
      <c r="K185" s="564" t="s">
        <v>2662</v>
      </c>
      <c r="L185" s="515"/>
      <c r="M185" s="390"/>
      <c r="N185" s="390"/>
      <c r="O185" s="390"/>
      <c r="P185" s="390"/>
      <c r="Q185" s="390"/>
      <c r="R185" s="390"/>
      <c r="S185" s="390"/>
      <c r="T185" s="390"/>
      <c r="U185" s="390"/>
      <c r="V185" s="390"/>
      <c r="W185" s="390"/>
      <c r="X185" s="390"/>
      <c r="Y185" s="390"/>
      <c r="Z185" s="390"/>
      <c r="AA185" s="390"/>
      <c r="AB185" s="390"/>
      <c r="AC185" s="390"/>
      <c r="AD185" s="390"/>
      <c r="AE185" s="390"/>
      <c r="AF185" s="390"/>
      <c r="AG185" s="390"/>
      <c r="AH185" s="390"/>
      <c r="AI185" s="390"/>
      <c r="AJ185" s="390"/>
      <c r="AK185" s="390"/>
      <c r="AL185" s="390"/>
      <c r="AM185" s="390"/>
      <c r="AN185" s="390"/>
      <c r="AO185" s="390"/>
      <c r="AP185" s="390"/>
      <c r="AQ185" s="390"/>
      <c r="AR185" s="390"/>
      <c r="AS185" s="390"/>
      <c r="AT185" s="390"/>
      <c r="AU185" s="390"/>
      <c r="AV185" s="390"/>
      <c r="AW185" s="390"/>
      <c r="AX185" s="390"/>
      <c r="AY185" s="390"/>
      <c r="AZ185" s="390"/>
      <c r="BA185" s="390"/>
      <c r="BB185" s="390"/>
      <c r="BC185" s="390"/>
      <c r="BD185" s="390"/>
      <c r="BE185" s="390"/>
      <c r="BF185" s="390"/>
      <c r="BG185" s="390"/>
      <c r="BH185" s="390"/>
      <c r="BI185" s="390"/>
      <c r="BJ185" s="390"/>
      <c r="BK185" s="390"/>
      <c r="BL185" s="390"/>
      <c r="BM185" s="390"/>
      <c r="BN185" s="390"/>
      <c r="BO185" s="390"/>
      <c r="BP185" s="390"/>
      <c r="BQ185" s="390"/>
      <c r="BR185" s="390"/>
      <c r="BS185" s="390"/>
      <c r="BT185" s="390"/>
      <c r="BU185" s="390"/>
      <c r="BV185" s="390"/>
      <c r="BW185" s="390"/>
      <c r="BX185" s="390"/>
      <c r="BY185" s="390"/>
      <c r="BZ185" s="390"/>
      <c r="CA185" s="390"/>
      <c r="CB185" s="390"/>
      <c r="CC185" s="390"/>
      <c r="CD185" s="390"/>
      <c r="CE185" s="390"/>
      <c r="CF185" s="390"/>
      <c r="CG185" s="390"/>
      <c r="CH185" s="390"/>
      <c r="CI185" s="390"/>
      <c r="CJ185" s="390"/>
      <c r="CK185" s="390"/>
      <c r="CL185" s="390"/>
      <c r="CM185" s="390"/>
      <c r="CN185" s="390"/>
    </row>
    <row r="186" spans="1:92" s="502" customFormat="1" x14ac:dyDescent="0.35">
      <c r="A186" s="545">
        <v>43519</v>
      </c>
      <c r="B186" s="549" t="s">
        <v>2396</v>
      </c>
      <c r="C186" s="548" t="s">
        <v>545</v>
      </c>
      <c r="D186" s="552" t="s">
        <v>15</v>
      </c>
      <c r="E186" s="563" t="s">
        <v>2674</v>
      </c>
      <c r="F186" s="545">
        <v>43533</v>
      </c>
      <c r="G186" s="544" t="s">
        <v>539</v>
      </c>
      <c r="H186" s="543" t="s">
        <v>545</v>
      </c>
      <c r="I186" s="551">
        <v>585</v>
      </c>
      <c r="J186" s="554" t="s">
        <v>2673</v>
      </c>
      <c r="K186" s="491" t="s">
        <v>2662</v>
      </c>
      <c r="L186" s="515"/>
      <c r="M186" s="499"/>
      <c r="N186" s="499"/>
      <c r="O186" s="499"/>
      <c r="P186" s="499"/>
      <c r="Q186" s="499"/>
      <c r="R186" s="499"/>
      <c r="S186" s="499"/>
      <c r="T186" s="499"/>
      <c r="U186" s="499"/>
      <c r="V186" s="499"/>
      <c r="W186" s="499"/>
      <c r="X186" s="499"/>
      <c r="Y186" s="499"/>
      <c r="Z186" s="499"/>
      <c r="AA186" s="499"/>
      <c r="AB186" s="499"/>
      <c r="AC186" s="499"/>
      <c r="AD186" s="499"/>
      <c r="AE186" s="499"/>
      <c r="AF186" s="499"/>
      <c r="AG186" s="499"/>
      <c r="AH186" s="499"/>
      <c r="AI186" s="499"/>
      <c r="AJ186" s="499"/>
      <c r="AK186" s="499"/>
      <c r="AL186" s="499"/>
      <c r="AM186" s="499"/>
      <c r="AN186" s="499"/>
      <c r="AO186" s="499"/>
      <c r="AP186" s="499"/>
      <c r="AQ186" s="499"/>
      <c r="AR186" s="499"/>
      <c r="AS186" s="499"/>
      <c r="AT186" s="499"/>
      <c r="AU186" s="499"/>
      <c r="AV186" s="499"/>
      <c r="AW186" s="499"/>
      <c r="AX186" s="499"/>
      <c r="AY186" s="499"/>
      <c r="AZ186" s="499"/>
      <c r="BA186" s="499"/>
      <c r="BB186" s="499"/>
      <c r="BC186" s="499"/>
      <c r="BD186" s="499"/>
      <c r="BE186" s="499"/>
      <c r="BF186" s="499"/>
      <c r="BG186" s="499"/>
      <c r="BH186" s="499"/>
      <c r="BI186" s="499"/>
      <c r="BJ186" s="499"/>
      <c r="BK186" s="499"/>
      <c r="BL186" s="499"/>
      <c r="BM186" s="499"/>
      <c r="BN186" s="499"/>
      <c r="BO186" s="499"/>
      <c r="BP186" s="499"/>
      <c r="BQ186" s="499"/>
      <c r="BR186" s="499"/>
      <c r="BS186" s="499"/>
      <c r="BT186" s="499"/>
      <c r="BU186" s="499"/>
      <c r="BV186" s="499"/>
      <c r="BW186" s="499"/>
      <c r="BX186" s="499"/>
      <c r="BY186" s="499"/>
      <c r="BZ186" s="499"/>
      <c r="CA186" s="499"/>
      <c r="CB186" s="499"/>
      <c r="CC186" s="499"/>
      <c r="CD186" s="499"/>
      <c r="CE186" s="499"/>
      <c r="CF186" s="499"/>
      <c r="CG186" s="499"/>
      <c r="CH186" s="499"/>
      <c r="CI186" s="499"/>
      <c r="CJ186" s="499"/>
      <c r="CK186" s="499"/>
      <c r="CL186" s="499"/>
      <c r="CM186" s="499"/>
      <c r="CN186" s="499"/>
    </row>
    <row r="187" spans="1:92" s="13" customFormat="1" ht="43.5" x14ac:dyDescent="0.35">
      <c r="A187" s="558">
        <v>43519</v>
      </c>
      <c r="B187" s="562" t="s">
        <v>2394</v>
      </c>
      <c r="C187" s="561" t="s">
        <v>2393</v>
      </c>
      <c r="D187" s="560" t="s">
        <v>2392</v>
      </c>
      <c r="E187" s="559" t="s">
        <v>2391</v>
      </c>
      <c r="F187" s="558">
        <v>43533</v>
      </c>
      <c r="G187" s="557">
        <v>0.91666666666666696</v>
      </c>
      <c r="H187" s="556" t="s">
        <v>545</v>
      </c>
      <c r="I187" s="555">
        <v>585</v>
      </c>
      <c r="J187" s="554" t="s">
        <v>2673</v>
      </c>
      <c r="K187" s="553" t="s">
        <v>2662</v>
      </c>
      <c r="L187" s="515"/>
      <c r="M187" s="390"/>
      <c r="N187" s="390"/>
      <c r="O187" s="390"/>
      <c r="P187" s="390"/>
      <c r="Q187" s="390"/>
      <c r="R187" s="390"/>
      <c r="S187" s="390"/>
      <c r="T187" s="390"/>
      <c r="U187" s="390"/>
      <c r="V187" s="390"/>
      <c r="W187" s="390"/>
      <c r="X187" s="390"/>
      <c r="Y187" s="390"/>
      <c r="Z187" s="390"/>
      <c r="AA187" s="390"/>
      <c r="AB187" s="390"/>
      <c r="AC187" s="390"/>
      <c r="AD187" s="390"/>
      <c r="AE187" s="390"/>
      <c r="AF187" s="390"/>
      <c r="AG187" s="390"/>
      <c r="AH187" s="390"/>
      <c r="AI187" s="390"/>
      <c r="AJ187" s="390"/>
      <c r="AK187" s="390"/>
      <c r="AL187" s="390"/>
      <c r="AM187" s="390"/>
      <c r="AN187" s="390"/>
      <c r="AO187" s="390"/>
      <c r="AP187" s="390"/>
      <c r="AQ187" s="390"/>
      <c r="AR187" s="390"/>
      <c r="AS187" s="390"/>
      <c r="AT187" s="390"/>
      <c r="AU187" s="390"/>
      <c r="AV187" s="390"/>
      <c r="AW187" s="390"/>
      <c r="AX187" s="390"/>
      <c r="AY187" s="390"/>
      <c r="AZ187" s="390"/>
      <c r="BA187" s="390"/>
      <c r="BB187" s="390"/>
      <c r="BC187" s="390"/>
      <c r="BD187" s="390"/>
      <c r="BE187" s="390"/>
      <c r="BF187" s="390"/>
      <c r="BG187" s="390"/>
      <c r="BH187" s="390"/>
      <c r="BI187" s="390"/>
      <c r="BJ187" s="390"/>
      <c r="BK187" s="390"/>
      <c r="BL187" s="390"/>
      <c r="BM187" s="390"/>
      <c r="BN187" s="390"/>
      <c r="BO187" s="390"/>
      <c r="BP187" s="390"/>
      <c r="BQ187" s="390"/>
      <c r="BR187" s="390"/>
      <c r="BS187" s="390"/>
      <c r="BT187" s="390"/>
      <c r="BU187" s="390"/>
      <c r="BV187" s="390"/>
      <c r="BW187" s="390"/>
      <c r="BX187" s="390"/>
      <c r="BY187" s="390"/>
      <c r="BZ187" s="390"/>
      <c r="CA187" s="390"/>
      <c r="CB187" s="390"/>
      <c r="CC187" s="390"/>
      <c r="CD187" s="390"/>
      <c r="CE187" s="390"/>
      <c r="CF187" s="390"/>
      <c r="CG187" s="390"/>
      <c r="CH187" s="390"/>
      <c r="CI187" s="390"/>
      <c r="CJ187" s="390"/>
      <c r="CK187" s="390"/>
      <c r="CL187" s="390"/>
      <c r="CM187" s="390"/>
      <c r="CN187" s="390"/>
    </row>
    <row r="188" spans="1:92" s="13" customFormat="1" ht="29" x14ac:dyDescent="0.35">
      <c r="A188" s="545">
        <v>43523</v>
      </c>
      <c r="B188" s="549" t="s">
        <v>1512</v>
      </c>
      <c r="C188" s="548" t="s">
        <v>1850</v>
      </c>
      <c r="D188" s="552" t="s">
        <v>15</v>
      </c>
      <c r="E188" s="546" t="s">
        <v>2389</v>
      </c>
      <c r="F188" s="545">
        <v>43533</v>
      </c>
      <c r="G188" s="544">
        <v>0.66666666666666696</v>
      </c>
      <c r="H188" s="470" t="s">
        <v>2388</v>
      </c>
      <c r="I188" s="463">
        <v>50</v>
      </c>
      <c r="J188" s="470" t="s">
        <v>2387</v>
      </c>
      <c r="K188" s="516" t="s">
        <v>2667</v>
      </c>
      <c r="L188" s="506"/>
      <c r="M188" s="390"/>
      <c r="N188" s="390"/>
      <c r="O188" s="390"/>
      <c r="P188" s="390"/>
      <c r="Q188" s="390"/>
      <c r="R188" s="390"/>
      <c r="S188" s="390"/>
      <c r="T188" s="390"/>
      <c r="U188" s="390"/>
      <c r="V188" s="390"/>
      <c r="W188" s="390"/>
      <c r="X188" s="390"/>
      <c r="Y188" s="390"/>
      <c r="Z188" s="390"/>
      <c r="AA188" s="390"/>
      <c r="AB188" s="390"/>
      <c r="AC188" s="390"/>
      <c r="AD188" s="390"/>
      <c r="AE188" s="390"/>
      <c r="AF188" s="390"/>
      <c r="AG188" s="390"/>
      <c r="AH188" s="390"/>
      <c r="AI188" s="390"/>
      <c r="AJ188" s="390"/>
      <c r="AK188" s="390"/>
      <c r="AL188" s="390"/>
      <c r="AM188" s="390"/>
      <c r="AN188" s="390"/>
      <c r="AO188" s="390"/>
      <c r="AP188" s="390"/>
      <c r="AQ188" s="390"/>
      <c r="AR188" s="390"/>
      <c r="AS188" s="390"/>
      <c r="AT188" s="390"/>
      <c r="AU188" s="390"/>
      <c r="AV188" s="390"/>
      <c r="AW188" s="390"/>
      <c r="AX188" s="390"/>
      <c r="AY188" s="390"/>
      <c r="AZ188" s="390"/>
      <c r="BA188" s="390"/>
      <c r="BB188" s="390"/>
      <c r="BC188" s="390"/>
      <c r="BD188" s="390"/>
      <c r="BE188" s="390"/>
      <c r="BF188" s="390"/>
      <c r="BG188" s="390"/>
      <c r="BH188" s="390"/>
      <c r="BI188" s="390"/>
      <c r="BJ188" s="390"/>
      <c r="BK188" s="390"/>
      <c r="BL188" s="390"/>
      <c r="BM188" s="390"/>
      <c r="BN188" s="390"/>
      <c r="BO188" s="390"/>
      <c r="BP188" s="390"/>
      <c r="BQ188" s="390"/>
      <c r="BR188" s="390"/>
      <c r="BS188" s="390"/>
      <c r="BT188" s="390"/>
      <c r="BU188" s="390"/>
      <c r="BV188" s="390"/>
      <c r="BW188" s="390"/>
      <c r="BX188" s="390"/>
      <c r="BY188" s="390"/>
      <c r="BZ188" s="390"/>
      <c r="CA188" s="390"/>
      <c r="CB188" s="390"/>
      <c r="CC188" s="390"/>
      <c r="CD188" s="390"/>
      <c r="CE188" s="390"/>
      <c r="CF188" s="390"/>
      <c r="CG188" s="390"/>
      <c r="CH188" s="390"/>
      <c r="CI188" s="390"/>
      <c r="CJ188" s="390"/>
      <c r="CK188" s="390"/>
      <c r="CL188" s="390"/>
      <c r="CM188" s="390"/>
      <c r="CN188" s="390"/>
    </row>
    <row r="189" spans="1:92" s="13" customFormat="1" x14ac:dyDescent="0.35">
      <c r="A189" s="545">
        <v>43525</v>
      </c>
      <c r="B189" s="549" t="s">
        <v>2386</v>
      </c>
      <c r="C189" s="548" t="s">
        <v>2385</v>
      </c>
      <c r="D189" s="547" t="s">
        <v>2384</v>
      </c>
      <c r="E189" s="546" t="s">
        <v>2383</v>
      </c>
      <c r="F189" s="545">
        <v>43533</v>
      </c>
      <c r="G189" s="544">
        <v>0.72916666666666696</v>
      </c>
      <c r="H189" s="543" t="s">
        <v>2165</v>
      </c>
      <c r="I189" s="551">
        <v>650</v>
      </c>
      <c r="J189" s="550" t="s">
        <v>2382</v>
      </c>
      <c r="K189" s="516" t="s">
        <v>2667</v>
      </c>
      <c r="L189" s="506"/>
      <c r="M189" s="390"/>
      <c r="N189" s="390"/>
      <c r="O189" s="390"/>
      <c r="P189" s="390"/>
      <c r="Q189" s="390"/>
      <c r="R189" s="390"/>
      <c r="S189" s="390"/>
      <c r="T189" s="390"/>
      <c r="U189" s="390"/>
      <c r="V189" s="390"/>
      <c r="W189" s="390"/>
      <c r="X189" s="390"/>
      <c r="Y189" s="390"/>
      <c r="Z189" s="390"/>
      <c r="AA189" s="390"/>
      <c r="AB189" s="390"/>
      <c r="AC189" s="390"/>
      <c r="AD189" s="390"/>
      <c r="AE189" s="390"/>
      <c r="AF189" s="390"/>
      <c r="AG189" s="390"/>
      <c r="AH189" s="390"/>
      <c r="AI189" s="390"/>
      <c r="AJ189" s="390"/>
      <c r="AK189" s="390"/>
      <c r="AL189" s="390"/>
      <c r="AM189" s="390"/>
      <c r="AN189" s="390"/>
      <c r="AO189" s="390"/>
      <c r="AP189" s="390"/>
      <c r="AQ189" s="390"/>
      <c r="AR189" s="390"/>
      <c r="AS189" s="390"/>
      <c r="AT189" s="390"/>
      <c r="AU189" s="390"/>
      <c r="AV189" s="390"/>
      <c r="AW189" s="390"/>
      <c r="AX189" s="390"/>
      <c r="AY189" s="390"/>
      <c r="AZ189" s="390"/>
      <c r="BA189" s="390"/>
      <c r="BB189" s="390"/>
      <c r="BC189" s="390"/>
      <c r="BD189" s="390"/>
      <c r="BE189" s="390"/>
      <c r="BF189" s="390"/>
      <c r="BG189" s="390"/>
      <c r="BH189" s="390"/>
      <c r="BI189" s="390"/>
      <c r="BJ189" s="390"/>
      <c r="BK189" s="390"/>
      <c r="BL189" s="390"/>
      <c r="BM189" s="390"/>
      <c r="BN189" s="390"/>
      <c r="BO189" s="390"/>
      <c r="BP189" s="390"/>
      <c r="BQ189" s="390"/>
      <c r="BR189" s="390"/>
      <c r="BS189" s="390"/>
      <c r="BT189" s="390"/>
      <c r="BU189" s="390"/>
      <c r="BV189" s="390"/>
      <c r="BW189" s="390"/>
      <c r="BX189" s="390"/>
      <c r="BY189" s="390"/>
      <c r="BZ189" s="390"/>
      <c r="CA189" s="390"/>
      <c r="CB189" s="390"/>
      <c r="CC189" s="390"/>
      <c r="CD189" s="390"/>
      <c r="CE189" s="390"/>
      <c r="CF189" s="390"/>
      <c r="CG189" s="390"/>
      <c r="CH189" s="390"/>
      <c r="CI189" s="390"/>
      <c r="CJ189" s="390"/>
      <c r="CK189" s="390"/>
      <c r="CL189" s="390"/>
      <c r="CM189" s="390"/>
      <c r="CN189" s="390"/>
    </row>
    <row r="190" spans="1:92" s="13" customFormat="1" ht="29" x14ac:dyDescent="0.35">
      <c r="A190" s="545">
        <v>43529</v>
      </c>
      <c r="B190" s="549" t="s">
        <v>2381</v>
      </c>
      <c r="C190" s="548" t="s">
        <v>2380</v>
      </c>
      <c r="D190" s="547"/>
      <c r="E190" s="546" t="s">
        <v>2379</v>
      </c>
      <c r="F190" s="545">
        <v>43534</v>
      </c>
      <c r="G190" s="544">
        <v>0.5</v>
      </c>
      <c r="H190" s="543" t="s">
        <v>2378</v>
      </c>
      <c r="I190" s="463">
        <v>152</v>
      </c>
      <c r="J190" s="470" t="s">
        <v>2672</v>
      </c>
      <c r="K190" s="516" t="s">
        <v>2667</v>
      </c>
      <c r="L190" s="506"/>
      <c r="M190" s="390"/>
      <c r="N190" s="390"/>
      <c r="O190" s="390"/>
      <c r="P190" s="390"/>
      <c r="Q190" s="390"/>
      <c r="R190" s="390"/>
      <c r="S190" s="390"/>
      <c r="T190" s="390"/>
      <c r="U190" s="390"/>
      <c r="V190" s="390"/>
      <c r="W190" s="390"/>
      <c r="X190" s="390"/>
      <c r="Y190" s="390"/>
      <c r="Z190" s="390"/>
      <c r="AA190" s="390"/>
      <c r="AB190" s="390"/>
      <c r="AC190" s="390"/>
      <c r="AD190" s="390"/>
      <c r="AE190" s="390"/>
      <c r="AF190" s="390"/>
      <c r="AG190" s="390"/>
      <c r="AH190" s="390"/>
      <c r="AI190" s="390"/>
      <c r="AJ190" s="390"/>
      <c r="AK190" s="390"/>
      <c r="AL190" s="390"/>
      <c r="AM190" s="390"/>
      <c r="AN190" s="390"/>
      <c r="AO190" s="390"/>
      <c r="AP190" s="390"/>
      <c r="AQ190" s="390"/>
      <c r="AR190" s="390"/>
      <c r="AS190" s="390"/>
      <c r="AT190" s="390"/>
      <c r="AU190" s="390"/>
      <c r="AV190" s="390"/>
      <c r="AW190" s="390"/>
      <c r="AX190" s="390"/>
      <c r="AY190" s="390"/>
      <c r="AZ190" s="390"/>
      <c r="BA190" s="390"/>
      <c r="BB190" s="390"/>
      <c r="BC190" s="390"/>
      <c r="BD190" s="390"/>
      <c r="BE190" s="390"/>
      <c r="BF190" s="390"/>
      <c r="BG190" s="390"/>
      <c r="BH190" s="390"/>
      <c r="BI190" s="390"/>
      <c r="BJ190" s="390"/>
      <c r="BK190" s="390"/>
      <c r="BL190" s="390"/>
      <c r="BM190" s="390"/>
      <c r="BN190" s="390"/>
      <c r="BO190" s="390"/>
      <c r="BP190" s="390"/>
      <c r="BQ190" s="390"/>
      <c r="BR190" s="390"/>
      <c r="BS190" s="390"/>
      <c r="BT190" s="390"/>
      <c r="BU190" s="390"/>
      <c r="BV190" s="390"/>
      <c r="BW190" s="390"/>
      <c r="BX190" s="390"/>
      <c r="BY190" s="390"/>
      <c r="BZ190" s="390"/>
      <c r="CA190" s="390"/>
      <c r="CB190" s="390"/>
      <c r="CC190" s="390"/>
      <c r="CD190" s="390"/>
      <c r="CE190" s="390"/>
      <c r="CF190" s="390"/>
      <c r="CG190" s="390"/>
      <c r="CH190" s="390"/>
      <c r="CI190" s="390"/>
      <c r="CJ190" s="390"/>
      <c r="CK190" s="390"/>
      <c r="CL190" s="390"/>
      <c r="CM190" s="390"/>
      <c r="CN190" s="390"/>
    </row>
    <row r="191" spans="1:92" s="13" customFormat="1" ht="29" x14ac:dyDescent="0.35">
      <c r="A191" s="538">
        <v>43530</v>
      </c>
      <c r="B191" s="542" t="s">
        <v>2671</v>
      </c>
      <c r="C191" s="541" t="s">
        <v>1520</v>
      </c>
      <c r="D191" s="540"/>
      <c r="E191" s="539" t="s">
        <v>2375</v>
      </c>
      <c r="F191" s="538">
        <v>43535</v>
      </c>
      <c r="G191" s="537">
        <v>0.45833333333333298</v>
      </c>
      <c r="H191" s="535" t="s">
        <v>1520</v>
      </c>
      <c r="I191" s="536">
        <v>450</v>
      </c>
      <c r="J191" s="535" t="s">
        <v>2670</v>
      </c>
      <c r="K191" s="534"/>
      <c r="L191" s="515"/>
      <c r="M191" s="390"/>
      <c r="N191" s="390"/>
      <c r="O191" s="390"/>
      <c r="P191" s="390"/>
      <c r="Q191" s="390"/>
      <c r="R191" s="390"/>
      <c r="S191" s="390"/>
      <c r="T191" s="390"/>
      <c r="U191" s="390"/>
      <c r="V191" s="390"/>
      <c r="W191" s="390"/>
      <c r="X191" s="390"/>
      <c r="Y191" s="390"/>
      <c r="Z191" s="390"/>
      <c r="AA191" s="390"/>
      <c r="AB191" s="390"/>
      <c r="AC191" s="390"/>
      <c r="AD191" s="390"/>
      <c r="AE191" s="390"/>
      <c r="AF191" s="390"/>
      <c r="AG191" s="390"/>
      <c r="AH191" s="390"/>
      <c r="AI191" s="390"/>
      <c r="AJ191" s="390"/>
      <c r="AK191" s="390"/>
      <c r="AL191" s="390"/>
      <c r="AM191" s="390"/>
      <c r="AN191" s="390"/>
      <c r="AO191" s="390"/>
      <c r="AP191" s="390"/>
      <c r="AQ191" s="390"/>
      <c r="AR191" s="390"/>
      <c r="AS191" s="390"/>
      <c r="AT191" s="390"/>
      <c r="AU191" s="390"/>
      <c r="AV191" s="390"/>
      <c r="AW191" s="390"/>
      <c r="AX191" s="390"/>
      <c r="AY191" s="390"/>
      <c r="AZ191" s="390"/>
      <c r="BA191" s="390"/>
      <c r="BB191" s="390"/>
      <c r="BC191" s="390"/>
      <c r="BD191" s="390"/>
      <c r="BE191" s="390"/>
      <c r="BF191" s="390"/>
      <c r="BG191" s="390"/>
      <c r="BH191" s="390"/>
      <c r="BI191" s="390"/>
      <c r="BJ191" s="390"/>
      <c r="BK191" s="390"/>
      <c r="BL191" s="390"/>
      <c r="BM191" s="390"/>
      <c r="BN191" s="390"/>
      <c r="BO191" s="390"/>
      <c r="BP191" s="390"/>
      <c r="BQ191" s="390"/>
      <c r="BR191" s="390"/>
      <c r="BS191" s="390"/>
      <c r="BT191" s="390"/>
      <c r="BU191" s="390"/>
      <c r="BV191" s="390"/>
      <c r="BW191" s="390"/>
      <c r="BX191" s="390"/>
      <c r="BY191" s="390"/>
      <c r="BZ191" s="390"/>
      <c r="CA191" s="390"/>
      <c r="CB191" s="390"/>
      <c r="CC191" s="390"/>
      <c r="CD191" s="390"/>
      <c r="CE191" s="390"/>
      <c r="CF191" s="390"/>
      <c r="CG191" s="390"/>
      <c r="CH191" s="390"/>
      <c r="CI191" s="390"/>
      <c r="CJ191" s="390"/>
      <c r="CK191" s="390"/>
      <c r="CL191" s="390"/>
      <c r="CM191" s="390"/>
      <c r="CN191" s="390"/>
    </row>
    <row r="192" spans="1:92" s="13" customFormat="1" ht="29" x14ac:dyDescent="0.35">
      <c r="A192" s="531">
        <v>43532</v>
      </c>
      <c r="B192" s="533" t="s">
        <v>2373</v>
      </c>
      <c r="C192" s="533" t="s">
        <v>15</v>
      </c>
      <c r="D192" s="533" t="s">
        <v>15</v>
      </c>
      <c r="E192" s="532" t="s">
        <v>2372</v>
      </c>
      <c r="F192" s="531">
        <v>43535</v>
      </c>
      <c r="G192" s="530">
        <v>0.47916666666666702</v>
      </c>
      <c r="H192" s="508" t="s">
        <v>126</v>
      </c>
      <c r="I192" s="529" t="s">
        <v>15</v>
      </c>
      <c r="J192" s="528" t="s">
        <v>15</v>
      </c>
      <c r="K192" s="521" t="s">
        <v>2667</v>
      </c>
      <c r="L192" s="390"/>
    </row>
    <row r="193" spans="1:12" s="13" customFormat="1" ht="29" x14ac:dyDescent="0.35">
      <c r="A193" s="514">
        <v>43532</v>
      </c>
      <c r="B193" s="392" t="s">
        <v>2371</v>
      </c>
      <c r="C193" s="392">
        <v>723666535</v>
      </c>
      <c r="D193" s="392"/>
      <c r="E193" s="508" t="s">
        <v>2370</v>
      </c>
      <c r="F193" s="514">
        <v>43536</v>
      </c>
      <c r="G193" s="509">
        <v>0.5</v>
      </c>
      <c r="H193" s="508" t="s">
        <v>2342</v>
      </c>
      <c r="I193" s="529">
        <v>0</v>
      </c>
      <c r="J193" s="528"/>
      <c r="K193" s="521" t="s">
        <v>2667</v>
      </c>
      <c r="L193" s="390"/>
    </row>
    <row r="194" spans="1:12" s="13" customFormat="1" x14ac:dyDescent="0.35">
      <c r="A194" s="527">
        <v>43535</v>
      </c>
      <c r="B194" s="368" t="s">
        <v>2369</v>
      </c>
      <c r="C194" s="524">
        <v>732992727</v>
      </c>
      <c r="D194" s="524" t="s">
        <v>15</v>
      </c>
      <c r="E194" s="523" t="s">
        <v>2368</v>
      </c>
      <c r="F194" s="526">
        <v>43536</v>
      </c>
      <c r="G194" s="525">
        <v>0.45833333333333298</v>
      </c>
      <c r="H194" s="523" t="s">
        <v>2367</v>
      </c>
      <c r="I194" s="524">
        <v>166.25</v>
      </c>
      <c r="J194" s="523" t="s">
        <v>257</v>
      </c>
      <c r="K194" s="516" t="s">
        <v>2667</v>
      </c>
      <c r="L194" s="390"/>
    </row>
    <row r="195" spans="1:12" s="13" customFormat="1" x14ac:dyDescent="0.35">
      <c r="A195" s="527">
        <v>43535</v>
      </c>
      <c r="B195" s="368" t="s">
        <v>262</v>
      </c>
      <c r="C195" s="524" t="s">
        <v>15</v>
      </c>
      <c r="D195" s="524" t="s">
        <v>15</v>
      </c>
      <c r="E195" s="523" t="s">
        <v>2366</v>
      </c>
      <c r="F195" s="526">
        <v>43536</v>
      </c>
      <c r="G195" s="525">
        <v>0.5</v>
      </c>
      <c r="H195" s="523" t="s">
        <v>262</v>
      </c>
      <c r="I195" s="524" t="s">
        <v>15</v>
      </c>
      <c r="J195" s="523" t="s">
        <v>15</v>
      </c>
      <c r="K195" s="516" t="s">
        <v>2667</v>
      </c>
      <c r="L195" s="390"/>
    </row>
    <row r="196" spans="1:12" s="13" customFormat="1" ht="29" x14ac:dyDescent="0.35">
      <c r="A196" s="514">
        <v>43521</v>
      </c>
      <c r="B196" s="513" t="s">
        <v>2316</v>
      </c>
      <c r="C196" s="512" t="s">
        <v>2315</v>
      </c>
      <c r="D196" s="511" t="s">
        <v>2314</v>
      </c>
      <c r="E196" s="508" t="s">
        <v>2358</v>
      </c>
      <c r="F196" s="514">
        <v>43537</v>
      </c>
      <c r="G196" s="509">
        <v>0.75</v>
      </c>
      <c r="H196" s="508" t="s">
        <v>2312</v>
      </c>
      <c r="I196" s="507">
        <v>150</v>
      </c>
      <c r="J196" s="481" t="s">
        <v>2357</v>
      </c>
      <c r="K196" s="521" t="s">
        <v>2667</v>
      </c>
      <c r="L196" s="390"/>
    </row>
    <row r="197" spans="1:12" s="13" customFormat="1" ht="43.5" x14ac:dyDescent="0.35">
      <c r="A197" s="519">
        <v>43530</v>
      </c>
      <c r="B197" s="506" t="s">
        <v>2352</v>
      </c>
      <c r="C197" s="520" t="s">
        <v>17</v>
      </c>
      <c r="D197" s="511"/>
      <c r="E197" s="470" t="s">
        <v>2351</v>
      </c>
      <c r="F197" s="519">
        <v>43538</v>
      </c>
      <c r="G197" s="518">
        <v>0.3125</v>
      </c>
      <c r="H197" s="470" t="s">
        <v>2669</v>
      </c>
      <c r="I197" s="522">
        <v>1614</v>
      </c>
      <c r="J197" s="469" t="s">
        <v>1901</v>
      </c>
      <c r="K197" s="521" t="s">
        <v>2667</v>
      </c>
      <c r="L197" s="515"/>
    </row>
    <row r="198" spans="1:12" s="13" customFormat="1" x14ac:dyDescent="0.35">
      <c r="A198" s="519">
        <v>43532</v>
      </c>
      <c r="B198" s="506" t="s">
        <v>2668</v>
      </c>
      <c r="C198" s="520" t="s">
        <v>2334</v>
      </c>
      <c r="D198" s="511" t="s">
        <v>2333</v>
      </c>
      <c r="E198" s="470" t="s">
        <v>2332</v>
      </c>
      <c r="F198" s="519">
        <v>43540</v>
      </c>
      <c r="G198" s="518">
        <v>0.5</v>
      </c>
      <c r="H198" s="470" t="s">
        <v>2165</v>
      </c>
      <c r="I198" s="517">
        <v>400</v>
      </c>
      <c r="J198" s="470" t="s">
        <v>545</v>
      </c>
      <c r="K198" s="516" t="s">
        <v>2667</v>
      </c>
      <c r="L198" s="515"/>
    </row>
    <row r="199" spans="1:12" s="13" customFormat="1" ht="29" x14ac:dyDescent="0.35">
      <c r="A199" s="519">
        <v>43534</v>
      </c>
      <c r="B199" s="506" t="s">
        <v>2324</v>
      </c>
      <c r="C199" s="520" t="s">
        <v>2323</v>
      </c>
      <c r="D199" s="511"/>
      <c r="E199" s="470" t="s">
        <v>2322</v>
      </c>
      <c r="F199" s="519">
        <v>43541</v>
      </c>
      <c r="G199" s="518" t="s">
        <v>540</v>
      </c>
      <c r="H199" s="470" t="s">
        <v>2666</v>
      </c>
      <c r="I199" s="517">
        <v>455</v>
      </c>
      <c r="J199" s="470" t="s">
        <v>540</v>
      </c>
      <c r="K199" s="516"/>
      <c r="L199" s="515"/>
    </row>
    <row r="200" spans="1:12" s="13" customFormat="1" ht="29" x14ac:dyDescent="0.35">
      <c r="A200" s="514">
        <v>43521</v>
      </c>
      <c r="B200" s="513" t="s">
        <v>2316</v>
      </c>
      <c r="C200" s="512" t="s">
        <v>2315</v>
      </c>
      <c r="D200" s="511" t="s">
        <v>2314</v>
      </c>
      <c r="E200" s="508" t="s">
        <v>2313</v>
      </c>
      <c r="F200" s="510">
        <v>43541</v>
      </c>
      <c r="G200" s="509">
        <v>0.75</v>
      </c>
      <c r="H200" s="508" t="s">
        <v>2312</v>
      </c>
      <c r="I200" s="507" t="s">
        <v>2665</v>
      </c>
      <c r="J200" s="478" t="s">
        <v>2311</v>
      </c>
      <c r="K200" s="506" t="s">
        <v>2662</v>
      </c>
      <c r="L200" s="394"/>
    </row>
    <row r="201" spans="1:12" s="13" customFormat="1" x14ac:dyDescent="0.35">
      <c r="A201" s="503">
        <v>43522</v>
      </c>
      <c r="B201" s="502" t="s">
        <v>2664</v>
      </c>
      <c r="C201" s="505"/>
      <c r="D201" s="504" t="s">
        <v>15</v>
      </c>
      <c r="E201" s="500" t="s">
        <v>2663</v>
      </c>
      <c r="F201" s="503">
        <v>43543</v>
      </c>
      <c r="G201" s="502"/>
      <c r="H201" s="500"/>
      <c r="I201" s="501"/>
      <c r="J201" s="500"/>
      <c r="K201" s="491" t="s">
        <v>2662</v>
      </c>
      <c r="L201" s="499"/>
    </row>
    <row r="202" spans="1:12" s="13" customFormat="1" x14ac:dyDescent="0.35">
      <c r="A202" s="495">
        <v>43522</v>
      </c>
      <c r="B202" s="498" t="s">
        <v>1374</v>
      </c>
      <c r="C202" s="497" t="s">
        <v>1373</v>
      </c>
      <c r="D202" s="496" t="s">
        <v>1372</v>
      </c>
      <c r="E202" s="492" t="s">
        <v>1371</v>
      </c>
      <c r="F202" s="495" t="s">
        <v>539</v>
      </c>
      <c r="G202" s="494" t="s">
        <v>545</v>
      </c>
      <c r="H202" s="492"/>
      <c r="I202" s="493"/>
      <c r="J202" s="492" t="s">
        <v>540</v>
      </c>
      <c r="K202" s="491" t="s">
        <v>2662</v>
      </c>
      <c r="L202" s="390"/>
    </row>
    <row r="203" spans="1:12" s="13" customFormat="1" x14ac:dyDescent="0.35">
      <c r="A203" s="390"/>
      <c r="B203" s="390"/>
      <c r="C203" s="390"/>
      <c r="D203" s="390"/>
      <c r="E203" s="489"/>
      <c r="F203" s="393"/>
      <c r="G203" s="390"/>
      <c r="H203" s="489"/>
      <c r="I203" s="390"/>
      <c r="J203" s="489"/>
      <c r="K203" s="490"/>
      <c r="L203" s="390"/>
    </row>
    <row r="204" spans="1:12" s="13" customFormat="1" x14ac:dyDescent="0.35">
      <c r="A204" s="390"/>
      <c r="B204" s="390"/>
      <c r="C204" s="390"/>
      <c r="D204" s="390"/>
      <c r="E204" s="489"/>
      <c r="F204" s="393"/>
      <c r="G204" s="390"/>
      <c r="H204" s="489"/>
      <c r="I204" s="390"/>
      <c r="J204" s="489"/>
      <c r="K204" s="390"/>
      <c r="L204" s="390"/>
    </row>
    <row r="205" spans="1:12" s="13" customFormat="1" x14ac:dyDescent="0.35">
      <c r="A205" s="390"/>
      <c r="B205" s="390"/>
      <c r="C205" s="390"/>
      <c r="D205" s="390"/>
      <c r="E205" s="489"/>
      <c r="F205" s="393"/>
      <c r="G205" s="390"/>
      <c r="H205" s="489"/>
      <c r="I205" s="390"/>
      <c r="J205" s="489"/>
      <c r="K205" s="390"/>
      <c r="L205" s="390"/>
    </row>
    <row r="206" spans="1:12" s="13" customFormat="1" x14ac:dyDescent="0.35">
      <c r="A206" s="390"/>
      <c r="B206" s="390"/>
      <c r="C206" s="390"/>
      <c r="D206" s="390"/>
      <c r="E206" s="489"/>
      <c r="F206" s="393"/>
      <c r="G206" s="390"/>
      <c r="H206" s="489"/>
      <c r="I206" s="390"/>
      <c r="J206" s="489"/>
      <c r="K206" s="390"/>
      <c r="L206" s="390"/>
    </row>
    <row r="207" spans="1:12" s="13" customFormat="1" x14ac:dyDescent="0.35">
      <c r="A207" s="390"/>
      <c r="B207" s="390"/>
      <c r="C207" s="390"/>
      <c r="D207" s="390"/>
      <c r="E207" s="489"/>
      <c r="F207" s="393"/>
      <c r="G207" s="390"/>
      <c r="H207" s="489"/>
      <c r="I207" s="390"/>
      <c r="J207" s="489"/>
      <c r="K207" s="390"/>
      <c r="L207" s="390"/>
    </row>
    <row r="208" spans="1:12" s="13" customFormat="1" x14ac:dyDescent="0.35">
      <c r="E208" s="489"/>
      <c r="F208" s="393"/>
      <c r="G208" s="390"/>
      <c r="H208" s="489"/>
      <c r="I208" s="390"/>
      <c r="J208" s="489"/>
    </row>
    <row r="209" spans="5:10" s="13" customFormat="1" x14ac:dyDescent="0.35">
      <c r="E209" s="489"/>
      <c r="F209" s="393"/>
      <c r="G209" s="390"/>
      <c r="H209" s="489"/>
      <c r="I209" s="390"/>
      <c r="J209" s="489"/>
    </row>
    <row r="210" spans="5:10" s="13" customFormat="1" x14ac:dyDescent="0.35">
      <c r="E210" s="489"/>
      <c r="F210" s="393"/>
      <c r="G210" s="390"/>
      <c r="H210" s="489"/>
      <c r="I210" s="390"/>
      <c r="J210" s="489"/>
    </row>
    <row r="211" spans="5:10" s="13" customFormat="1" x14ac:dyDescent="0.35">
      <c r="E211" s="489"/>
      <c r="F211" s="393"/>
      <c r="G211" s="390"/>
      <c r="H211" s="489"/>
      <c r="I211" s="390"/>
      <c r="J211" s="489"/>
    </row>
    <row r="212" spans="5:10" s="13" customFormat="1" x14ac:dyDescent="0.35">
      <c r="E212" s="489"/>
      <c r="F212" s="393"/>
      <c r="G212" s="390"/>
      <c r="H212" s="489"/>
      <c r="I212" s="390"/>
      <c r="J212" s="489"/>
    </row>
    <row r="213" spans="5:10" s="13" customFormat="1" x14ac:dyDescent="0.35">
      <c r="E213" s="489"/>
      <c r="F213" s="393"/>
      <c r="G213" s="390"/>
      <c r="H213" s="489"/>
      <c r="I213" s="390"/>
      <c r="J213" s="489"/>
    </row>
    <row r="214" spans="5:10" s="13" customFormat="1" x14ac:dyDescent="0.35">
      <c r="E214" s="489"/>
      <c r="F214" s="393"/>
      <c r="G214" s="390"/>
      <c r="H214" s="489"/>
      <c r="I214" s="390"/>
      <c r="J214" s="489"/>
    </row>
    <row r="215" spans="5:10" s="13" customFormat="1" x14ac:dyDescent="0.35">
      <c r="E215" s="489"/>
      <c r="F215" s="393"/>
      <c r="G215" s="390"/>
      <c r="H215" s="489"/>
      <c r="I215" s="390"/>
      <c r="J215" s="489"/>
    </row>
    <row r="216" spans="5:10" s="13" customFormat="1" x14ac:dyDescent="0.35">
      <c r="E216" s="489"/>
      <c r="F216" s="393"/>
      <c r="G216" s="390"/>
      <c r="H216" s="489"/>
      <c r="I216" s="390"/>
      <c r="J216" s="489"/>
    </row>
    <row r="217" spans="5:10" s="13" customFormat="1" x14ac:dyDescent="0.35">
      <c r="E217" s="489"/>
      <c r="F217" s="393"/>
      <c r="G217" s="390"/>
      <c r="H217" s="489"/>
      <c r="I217" s="390"/>
      <c r="J217" s="489"/>
    </row>
    <row r="218" spans="5:10" s="13" customFormat="1" x14ac:dyDescent="0.35">
      <c r="E218" s="489"/>
      <c r="F218" s="393"/>
      <c r="G218" s="390"/>
      <c r="H218" s="489"/>
      <c r="I218" s="390"/>
      <c r="J218" s="489"/>
    </row>
    <row r="219" spans="5:10" s="13" customFormat="1" x14ac:dyDescent="0.35">
      <c r="E219" s="489"/>
      <c r="F219" s="393"/>
      <c r="G219" s="390"/>
      <c r="H219" s="489"/>
      <c r="I219" s="390"/>
      <c r="J219" s="489"/>
    </row>
    <row r="220" spans="5:10" s="13" customFormat="1" x14ac:dyDescent="0.35">
      <c r="E220" s="489"/>
      <c r="F220" s="393"/>
      <c r="G220" s="390"/>
      <c r="H220" s="489"/>
      <c r="I220" s="390"/>
      <c r="J220" s="489"/>
    </row>
    <row r="221" spans="5:10" s="13" customFormat="1" x14ac:dyDescent="0.35">
      <c r="E221" s="489"/>
      <c r="F221" s="393"/>
      <c r="G221" s="390"/>
      <c r="H221" s="489"/>
      <c r="I221" s="390"/>
      <c r="J221" s="489"/>
    </row>
    <row r="222" spans="5:10" s="13" customFormat="1" x14ac:dyDescent="0.35">
      <c r="E222" s="489"/>
      <c r="F222" s="393"/>
      <c r="G222" s="390"/>
      <c r="H222" s="489"/>
      <c r="I222" s="390"/>
      <c r="J222" s="489"/>
    </row>
    <row r="223" spans="5:10" s="13" customFormat="1" x14ac:dyDescent="0.35">
      <c r="E223" s="489"/>
      <c r="F223" s="393"/>
      <c r="G223" s="390"/>
      <c r="H223" s="489"/>
      <c r="I223" s="390"/>
      <c r="J223" s="489"/>
    </row>
    <row r="224" spans="5:10" s="13" customFormat="1" x14ac:dyDescent="0.35">
      <c r="E224" s="489"/>
      <c r="F224" s="393"/>
      <c r="G224" s="390"/>
      <c r="H224" s="489"/>
      <c r="I224" s="390"/>
      <c r="J224" s="489"/>
    </row>
    <row r="225" spans="5:10" s="13" customFormat="1" x14ac:dyDescent="0.35">
      <c r="E225" s="489"/>
      <c r="F225" s="393"/>
      <c r="G225" s="390"/>
      <c r="H225" s="489"/>
      <c r="I225" s="390"/>
      <c r="J225" s="489"/>
    </row>
    <row r="226" spans="5:10" s="13" customFormat="1" x14ac:dyDescent="0.35">
      <c r="E226" s="489"/>
      <c r="F226" s="393"/>
      <c r="G226" s="390"/>
      <c r="H226" s="489"/>
      <c r="I226" s="390"/>
      <c r="J226" s="489"/>
    </row>
    <row r="227" spans="5:10" s="13" customFormat="1" x14ac:dyDescent="0.35">
      <c r="E227" s="489"/>
      <c r="F227" s="393"/>
      <c r="G227" s="390"/>
      <c r="H227" s="489"/>
      <c r="I227" s="390"/>
      <c r="J227" s="489"/>
    </row>
    <row r="228" spans="5:10" s="13" customFormat="1" x14ac:dyDescent="0.35">
      <c r="E228" s="489"/>
      <c r="F228" s="393"/>
      <c r="G228" s="390"/>
      <c r="H228" s="489"/>
      <c r="I228" s="390"/>
      <c r="J228" s="489"/>
    </row>
    <row r="229" spans="5:10" s="13" customFormat="1" x14ac:dyDescent="0.35">
      <c r="E229" s="489"/>
      <c r="F229" s="393"/>
      <c r="G229" s="390"/>
      <c r="H229" s="489"/>
      <c r="I229" s="390"/>
      <c r="J229" s="489"/>
    </row>
    <row r="230" spans="5:10" s="13" customFormat="1" x14ac:dyDescent="0.35">
      <c r="E230" s="489"/>
      <c r="F230" s="393"/>
      <c r="G230" s="390"/>
      <c r="H230" s="489"/>
      <c r="I230" s="390"/>
      <c r="J230" s="489"/>
    </row>
    <row r="231" spans="5:10" s="13" customFormat="1" x14ac:dyDescent="0.35">
      <c r="E231" s="489"/>
      <c r="F231" s="393"/>
      <c r="G231" s="390"/>
      <c r="H231" s="489"/>
      <c r="I231" s="390"/>
      <c r="J231" s="489"/>
    </row>
    <row r="232" spans="5:10" s="13" customFormat="1" x14ac:dyDescent="0.35">
      <c r="E232" s="489"/>
      <c r="F232" s="393"/>
      <c r="G232" s="390"/>
      <c r="H232" s="489"/>
      <c r="I232" s="390"/>
      <c r="J232" s="489"/>
    </row>
    <row r="233" spans="5:10" s="13" customFormat="1" x14ac:dyDescent="0.35">
      <c r="E233" s="489"/>
      <c r="F233" s="393"/>
      <c r="G233" s="390"/>
      <c r="H233" s="489"/>
      <c r="I233" s="390"/>
      <c r="J233" s="489"/>
    </row>
    <row r="234" spans="5:10" s="13" customFormat="1" x14ac:dyDescent="0.35">
      <c r="E234" s="489"/>
      <c r="F234" s="393"/>
      <c r="G234" s="390"/>
      <c r="H234" s="489"/>
      <c r="I234" s="390"/>
      <c r="J234" s="489"/>
    </row>
    <row r="235" spans="5:10" s="13" customFormat="1" x14ac:dyDescent="0.35">
      <c r="E235" s="489"/>
      <c r="F235" s="393"/>
      <c r="G235" s="390"/>
      <c r="H235" s="489"/>
      <c r="I235" s="390"/>
      <c r="J235" s="489"/>
    </row>
    <row r="236" spans="5:10" s="13" customFormat="1" x14ac:dyDescent="0.35">
      <c r="E236" s="489"/>
      <c r="F236" s="393"/>
      <c r="G236" s="390"/>
      <c r="H236" s="489"/>
      <c r="I236" s="390"/>
      <c r="J236" s="489"/>
    </row>
    <row r="237" spans="5:10" s="13" customFormat="1" x14ac:dyDescent="0.35">
      <c r="E237" s="390"/>
      <c r="F237" s="393"/>
      <c r="G237" s="390"/>
      <c r="H237" s="390"/>
      <c r="I237" s="390"/>
      <c r="J237" s="390"/>
    </row>
    <row r="238" spans="5:10" s="13" customFormat="1" x14ac:dyDescent="0.35">
      <c r="E238" s="390"/>
      <c r="F238" s="393"/>
      <c r="G238" s="390"/>
      <c r="H238" s="390"/>
      <c r="I238" s="390"/>
      <c r="J238" s="390"/>
    </row>
    <row r="239" spans="5:10" s="13" customFormat="1" x14ac:dyDescent="0.35">
      <c r="E239" s="390"/>
      <c r="F239" s="393"/>
      <c r="G239" s="390"/>
      <c r="H239" s="390"/>
      <c r="I239" s="390"/>
      <c r="J239" s="390"/>
    </row>
    <row r="240" spans="5:10" s="13" customFormat="1" x14ac:dyDescent="0.35">
      <c r="F240" s="393"/>
    </row>
    <row r="241" spans="6:6" s="13" customFormat="1" x14ac:dyDescent="0.35">
      <c r="F241" s="393"/>
    </row>
    <row r="242" spans="6:6" s="13" customFormat="1" x14ac:dyDescent="0.35">
      <c r="F242" s="393"/>
    </row>
    <row r="243" spans="6:6" s="13" customFormat="1" x14ac:dyDescent="0.35">
      <c r="F243" s="393"/>
    </row>
    <row r="244" spans="6:6" s="13" customFormat="1" x14ac:dyDescent="0.35">
      <c r="F244" s="393"/>
    </row>
    <row r="245" spans="6:6" s="13" customFormat="1" x14ac:dyDescent="0.35">
      <c r="F245" s="393"/>
    </row>
    <row r="246" spans="6:6" s="13" customFormat="1" x14ac:dyDescent="0.35">
      <c r="F246" s="393"/>
    </row>
    <row r="247" spans="6:6" s="13" customFormat="1" x14ac:dyDescent="0.35">
      <c r="F247" s="393"/>
    </row>
    <row r="248" spans="6:6" s="13" customFormat="1" x14ac:dyDescent="0.35">
      <c r="F248" s="393"/>
    </row>
    <row r="249" spans="6:6" s="13" customFormat="1" x14ac:dyDescent="0.35">
      <c r="F249" s="393"/>
    </row>
    <row r="250" spans="6:6" s="13" customFormat="1" x14ac:dyDescent="0.35">
      <c r="F250" s="393"/>
    </row>
    <row r="251" spans="6:6" s="13" customFormat="1" x14ac:dyDescent="0.35">
      <c r="F251" s="393"/>
    </row>
    <row r="252" spans="6:6" s="13" customFormat="1" x14ac:dyDescent="0.35">
      <c r="F252" s="393"/>
    </row>
    <row r="253" spans="6:6" s="13" customFormat="1" x14ac:dyDescent="0.35">
      <c r="F253" s="393"/>
    </row>
    <row r="254" spans="6:6" s="13" customFormat="1" x14ac:dyDescent="0.35">
      <c r="F254" s="393"/>
    </row>
    <row r="255" spans="6:6" s="13" customFormat="1" x14ac:dyDescent="0.35">
      <c r="F255" s="393"/>
    </row>
    <row r="256" spans="6:6" s="13" customFormat="1" x14ac:dyDescent="0.35">
      <c r="F256" s="393"/>
    </row>
    <row r="257" spans="6:6" s="13" customFormat="1" x14ac:dyDescent="0.35">
      <c r="F257" s="393"/>
    </row>
    <row r="258" spans="6:6" s="13" customFormat="1" x14ac:dyDescent="0.35">
      <c r="F258" s="393"/>
    </row>
    <row r="259" spans="6:6" s="13" customFormat="1" x14ac:dyDescent="0.35">
      <c r="F259" s="393"/>
    </row>
    <row r="260" spans="6:6" s="13" customFormat="1" x14ac:dyDescent="0.35">
      <c r="F260" s="393"/>
    </row>
    <row r="261" spans="6:6" s="13" customFormat="1" x14ac:dyDescent="0.35">
      <c r="F261" s="393"/>
    </row>
    <row r="262" spans="6:6" s="13" customFormat="1" x14ac:dyDescent="0.35">
      <c r="F262" s="393"/>
    </row>
    <row r="263" spans="6:6" s="13" customFormat="1" x14ac:dyDescent="0.35">
      <c r="F263" s="393"/>
    </row>
    <row r="264" spans="6:6" s="13" customFormat="1" x14ac:dyDescent="0.35">
      <c r="F264" s="393"/>
    </row>
    <row r="265" spans="6:6" s="13" customFormat="1" x14ac:dyDescent="0.35">
      <c r="F265" s="393"/>
    </row>
    <row r="266" spans="6:6" s="13" customFormat="1" x14ac:dyDescent="0.35">
      <c r="F266" s="393"/>
    </row>
    <row r="267" spans="6:6" s="13" customFormat="1" x14ac:dyDescent="0.35">
      <c r="F267" s="393"/>
    </row>
    <row r="268" spans="6:6" s="13" customFormat="1" x14ac:dyDescent="0.35">
      <c r="F268" s="393"/>
    </row>
    <row r="269" spans="6:6" s="13" customFormat="1" x14ac:dyDescent="0.35">
      <c r="F269" s="393"/>
    </row>
    <row r="270" spans="6:6" s="13" customFormat="1" x14ac:dyDescent="0.35">
      <c r="F270" s="393"/>
    </row>
    <row r="271" spans="6:6" s="13" customFormat="1" x14ac:dyDescent="0.35">
      <c r="F271" s="393"/>
    </row>
    <row r="272" spans="6:6" s="13" customFormat="1" x14ac:dyDescent="0.35">
      <c r="F272" s="393"/>
    </row>
    <row r="273" spans="6:6" s="13" customFormat="1" x14ac:dyDescent="0.35">
      <c r="F273" s="393"/>
    </row>
    <row r="274" spans="6:6" s="13" customFormat="1" x14ac:dyDescent="0.35">
      <c r="F274" s="393"/>
    </row>
    <row r="275" spans="6:6" s="13" customFormat="1" x14ac:dyDescent="0.35">
      <c r="F275" s="393"/>
    </row>
    <row r="276" spans="6:6" s="13" customFormat="1" x14ac:dyDescent="0.35">
      <c r="F276" s="393"/>
    </row>
    <row r="277" spans="6:6" s="13" customFormat="1" x14ac:dyDescent="0.35">
      <c r="F277" s="393"/>
    </row>
    <row r="278" spans="6:6" s="13" customFormat="1" x14ac:dyDescent="0.35">
      <c r="F278" s="393"/>
    </row>
    <row r="279" spans="6:6" s="13" customFormat="1" x14ac:dyDescent="0.35">
      <c r="F279" s="393"/>
    </row>
    <row r="280" spans="6:6" s="13" customFormat="1" x14ac:dyDescent="0.35">
      <c r="F280" s="393"/>
    </row>
    <row r="281" spans="6:6" s="13" customFormat="1" x14ac:dyDescent="0.35">
      <c r="F281" s="393"/>
    </row>
    <row r="282" spans="6:6" s="13" customFormat="1" x14ac:dyDescent="0.35">
      <c r="F282" s="393"/>
    </row>
    <row r="283" spans="6:6" s="13" customFormat="1" x14ac:dyDescent="0.35">
      <c r="F283" s="393"/>
    </row>
    <row r="284" spans="6:6" s="13" customFormat="1" x14ac:dyDescent="0.35">
      <c r="F284" s="393"/>
    </row>
    <row r="285" spans="6:6" s="13" customFormat="1" x14ac:dyDescent="0.35">
      <c r="F285" s="393"/>
    </row>
    <row r="286" spans="6:6" s="13" customFormat="1" x14ac:dyDescent="0.35">
      <c r="F286" s="393"/>
    </row>
    <row r="287" spans="6:6" s="13" customFormat="1" x14ac:dyDescent="0.35">
      <c r="F287" s="393"/>
    </row>
    <row r="288" spans="6:6" s="13" customFormat="1" x14ac:dyDescent="0.35">
      <c r="F288" s="393"/>
    </row>
    <row r="289" spans="6:6" s="13" customFormat="1" x14ac:dyDescent="0.35">
      <c r="F289" s="393"/>
    </row>
    <row r="290" spans="6:6" s="13" customFormat="1" x14ac:dyDescent="0.35">
      <c r="F290" s="393"/>
    </row>
    <row r="291" spans="6:6" s="13" customFormat="1" x14ac:dyDescent="0.35">
      <c r="F291" s="393"/>
    </row>
    <row r="292" spans="6:6" s="13" customFormat="1" x14ac:dyDescent="0.35">
      <c r="F292" s="393"/>
    </row>
    <row r="293" spans="6:6" s="13" customFormat="1" x14ac:dyDescent="0.35">
      <c r="F293" s="393"/>
    </row>
    <row r="294" spans="6:6" s="13" customFormat="1" x14ac:dyDescent="0.35">
      <c r="F294" s="393"/>
    </row>
    <row r="295" spans="6:6" s="13" customFormat="1" x14ac:dyDescent="0.35">
      <c r="F295" s="393"/>
    </row>
    <row r="296" spans="6:6" s="13" customFormat="1" x14ac:dyDescent="0.35">
      <c r="F296" s="393"/>
    </row>
    <row r="297" spans="6:6" s="13" customFormat="1" x14ac:dyDescent="0.35">
      <c r="F297" s="393"/>
    </row>
    <row r="298" spans="6:6" s="13" customFormat="1" x14ac:dyDescent="0.35">
      <c r="F298" s="393"/>
    </row>
    <row r="299" spans="6:6" s="13" customFormat="1" x14ac:dyDescent="0.35">
      <c r="F299" s="393"/>
    </row>
  </sheetData>
  <dataValidations count="3">
    <dataValidation allowBlank="1" showInputMessage="1" showErrorMessage="1" promptTitle="Detalii" prompt="Adresa || Ora || Date Contact || Date Facturare || Alte Comentarii" sqref="H2:H3 H5:H28 H50" xr:uid="{00000000-0002-0000-1200-000000000000}">
      <formula1>0</formula1>
      <formula2>0</formula2>
    </dataValidation>
    <dataValidation type="time" allowBlank="1" showInputMessage="1" showErrorMessage="1" sqref="G2:G3 G8:G28" xr:uid="{00000000-0002-0000-1200-000001000000}">
      <formula1>0</formula1>
      <formula2>0.999305555555556</formula2>
    </dataValidation>
    <dataValidation type="list" allowBlank="1" showInputMessage="1" showErrorMessage="1" promptTitle="Date Facturare" sqref="J2:J3 J10" xr:uid="{00000000-0002-0000-1200-000002000000}">
      <formula1>"Persoana Fizica - Cash,Persoana Fizica - OP,Persoana Juridica - Cash,Persoana Juridica - OP,Cash ,Achitat,Abonament,N/A"</formula1>
      <formula2>0</formula2>
    </dataValidation>
  </dataValidations>
  <hyperlinks>
    <hyperlink ref="D4" r:id="rId1" xr:uid="{00000000-0004-0000-1200-000000000000}"/>
    <hyperlink ref="D7" r:id="rId2" xr:uid="{00000000-0004-0000-1200-000001000000}"/>
    <hyperlink ref="D19" r:id="rId3" xr:uid="{00000000-0004-0000-1200-000002000000}"/>
    <hyperlink ref="D35" r:id="rId4" xr:uid="{00000000-0004-0000-1200-000003000000}"/>
    <hyperlink ref="D36" r:id="rId5" xr:uid="{00000000-0004-0000-1200-000004000000}"/>
    <hyperlink ref="D37" r:id="rId6" xr:uid="{00000000-0004-0000-1200-000005000000}"/>
    <hyperlink ref="D38" r:id="rId7" xr:uid="{00000000-0004-0000-1200-000006000000}"/>
    <hyperlink ref="D46" r:id="rId8" xr:uid="{00000000-0004-0000-1200-000007000000}"/>
    <hyperlink ref="D48" r:id="rId9" xr:uid="{00000000-0004-0000-1200-000008000000}"/>
    <hyperlink ref="D49" r:id="rId10" xr:uid="{00000000-0004-0000-1200-000009000000}"/>
    <hyperlink ref="D60" r:id="rId11" xr:uid="{00000000-0004-0000-1200-00000A000000}"/>
    <hyperlink ref="D78" r:id="rId12" xr:uid="{00000000-0004-0000-1200-00000B000000}"/>
    <hyperlink ref="D132" r:id="rId13" xr:uid="{00000000-0004-0000-1200-00000C000000}"/>
    <hyperlink ref="D135" r:id="rId14" xr:uid="{00000000-0004-0000-1200-00000D000000}"/>
    <hyperlink ref="D136" r:id="rId15" xr:uid="{00000000-0004-0000-1200-00000E000000}"/>
    <hyperlink ref="C137" r:id="rId16" xr:uid="{00000000-0004-0000-1200-00000F000000}"/>
    <hyperlink ref="D187" r:id="rId17" xr:uid="{00000000-0004-0000-1200-000010000000}"/>
    <hyperlink ref="D189" r:id="rId18" xr:uid="{00000000-0004-0000-1200-000011000000}"/>
    <hyperlink ref="D196" r:id="rId19" xr:uid="{00000000-0004-0000-1200-000012000000}"/>
    <hyperlink ref="D200" r:id="rId20" xr:uid="{00000000-0004-0000-1200-000013000000}"/>
    <hyperlink ref="D202" r:id="rId21" xr:uid="{00000000-0004-0000-1200-000014000000}"/>
  </hyperlinks>
  <pageMargins left="0.7" right="0.7" top="0.75" bottom="0.75" header="0.51180555555555496" footer="0.51180555555555496"/>
  <pageSetup scale="10" firstPageNumber="0" orientation="landscape" horizontalDpi="300" verticalDpi="300" r:id="rId22"/>
  <tableParts count="1">
    <tablePart r:id="rId2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A1:L378"/>
  <sheetViews>
    <sheetView zoomScale="55" zoomScaleNormal="55" workbookViewId="0">
      <selection activeCell="B7" sqref="B7"/>
    </sheetView>
  </sheetViews>
  <sheetFormatPr defaultColWidth="8.453125" defaultRowHeight="14.5" x14ac:dyDescent="0.35"/>
  <cols>
    <col min="1" max="1" width="12.54296875" style="751" customWidth="1"/>
    <col min="2" max="2" width="28.54296875" style="14" customWidth="1"/>
    <col min="3" max="3" width="96.54296875" style="13" customWidth="1"/>
    <col min="4" max="4" width="11.453125" style="751" customWidth="1"/>
    <col min="5" max="5" width="17.453125" style="750" customWidth="1"/>
    <col min="6" max="6" width="100.453125" style="13" customWidth="1"/>
    <col min="7" max="7" width="26.453125" style="13" customWidth="1"/>
    <col min="8" max="8" width="52.54296875" style="13" customWidth="1"/>
    <col min="9" max="9" width="23.453125" style="344" customWidth="1"/>
    <col min="10" max="10" width="2.54296875" style="13" customWidth="1"/>
    <col min="11" max="11" width="15.54296875" style="13" customWidth="1"/>
    <col min="12" max="12" width="17.453125" style="13" customWidth="1"/>
    <col min="13" max="1025" width="8.453125" style="13" customWidth="1"/>
    <col min="1026" max="16384" width="8.453125" style="13"/>
  </cols>
  <sheetData>
    <row r="1" spans="1:12" s="795" customFormat="1" x14ac:dyDescent="0.35">
      <c r="A1" s="796" t="s">
        <v>0</v>
      </c>
      <c r="B1" s="17" t="s">
        <v>1</v>
      </c>
      <c r="C1" s="65" t="s">
        <v>2</v>
      </c>
      <c r="D1" s="484" t="s">
        <v>3</v>
      </c>
      <c r="E1" s="483" t="s">
        <v>3041</v>
      </c>
      <c r="F1" s="65" t="s">
        <v>3040</v>
      </c>
      <c r="G1" s="17" t="s">
        <v>8</v>
      </c>
      <c r="H1" s="65" t="s">
        <v>9</v>
      </c>
      <c r="I1" s="65" t="s">
        <v>3200</v>
      </c>
    </row>
    <row r="2" spans="1:12" x14ac:dyDescent="0.35">
      <c r="A2" s="794" t="s">
        <v>3199</v>
      </c>
      <c r="B2" s="17"/>
      <c r="C2" s="65"/>
      <c r="D2" s="484"/>
      <c r="E2" s="483"/>
      <c r="F2" s="65"/>
      <c r="G2" s="17"/>
      <c r="H2" s="65"/>
      <c r="I2" s="65"/>
    </row>
    <row r="3" spans="1:12" x14ac:dyDescent="0.35">
      <c r="A3" s="755">
        <v>43468</v>
      </c>
      <c r="B3" s="528" t="s">
        <v>3198</v>
      </c>
      <c r="C3" s="368" t="s">
        <v>3197</v>
      </c>
      <c r="D3" s="772">
        <v>43471</v>
      </c>
      <c r="E3" s="770">
        <v>0.66666666666666696</v>
      </c>
      <c r="F3" s="368" t="s">
        <v>2960</v>
      </c>
      <c r="G3" s="783">
        <v>565</v>
      </c>
      <c r="H3" s="368" t="s">
        <v>3187</v>
      </c>
      <c r="I3" s="688" t="s">
        <v>2662</v>
      </c>
    </row>
    <row r="4" spans="1:12" x14ac:dyDescent="0.35">
      <c r="A4" s="755">
        <v>43468</v>
      </c>
      <c r="B4" s="528" t="s">
        <v>3196</v>
      </c>
      <c r="C4" s="368" t="s">
        <v>3195</v>
      </c>
      <c r="D4" s="772">
        <v>43470</v>
      </c>
      <c r="E4" s="770">
        <v>0.5625</v>
      </c>
      <c r="F4" s="368" t="s">
        <v>2960</v>
      </c>
      <c r="G4" s="783">
        <v>624</v>
      </c>
      <c r="H4" s="368" t="s">
        <v>3187</v>
      </c>
      <c r="I4" s="688" t="s">
        <v>2662</v>
      </c>
    </row>
    <row r="5" spans="1:12" x14ac:dyDescent="0.35">
      <c r="A5" s="755">
        <v>43468</v>
      </c>
      <c r="B5" s="528" t="s">
        <v>3194</v>
      </c>
      <c r="C5" s="368" t="s">
        <v>3193</v>
      </c>
      <c r="D5" s="772">
        <v>43470</v>
      </c>
      <c r="E5" s="770">
        <v>0.58333333333333304</v>
      </c>
      <c r="F5" s="528" t="s">
        <v>3192</v>
      </c>
      <c r="G5" s="783">
        <v>300</v>
      </c>
      <c r="H5" s="368" t="s">
        <v>3191</v>
      </c>
      <c r="I5" s="688" t="s">
        <v>2662</v>
      </c>
    </row>
    <row r="6" spans="1:12" x14ac:dyDescent="0.35">
      <c r="A6" s="755">
        <v>43103</v>
      </c>
      <c r="B6" s="528" t="s">
        <v>3190</v>
      </c>
      <c r="C6" s="368" t="s">
        <v>3189</v>
      </c>
      <c r="D6" s="772">
        <v>43472</v>
      </c>
      <c r="E6" s="770">
        <v>0.41666666666666702</v>
      </c>
      <c r="F6" s="528" t="s">
        <v>3188</v>
      </c>
      <c r="G6" s="783">
        <v>298</v>
      </c>
      <c r="H6" s="368" t="s">
        <v>3187</v>
      </c>
      <c r="I6" s="688" t="s">
        <v>2662</v>
      </c>
      <c r="K6" s="394" t="s">
        <v>3186</v>
      </c>
    </row>
    <row r="7" spans="1:12" x14ac:dyDescent="0.35">
      <c r="A7" s="755">
        <v>43468</v>
      </c>
      <c r="B7" s="528" t="s">
        <v>3185</v>
      </c>
      <c r="C7" s="368" t="s">
        <v>3184</v>
      </c>
      <c r="D7" s="772">
        <v>43472</v>
      </c>
      <c r="E7" s="770">
        <v>0.35416666666666702</v>
      </c>
      <c r="F7" s="368" t="s">
        <v>224</v>
      </c>
      <c r="G7" s="783">
        <v>0</v>
      </c>
      <c r="H7" s="368" t="s">
        <v>224</v>
      </c>
      <c r="I7" s="688" t="s">
        <v>2662</v>
      </c>
    </row>
    <row r="8" spans="1:12" x14ac:dyDescent="0.35">
      <c r="A8" s="755">
        <v>43470</v>
      </c>
      <c r="B8" s="528" t="s">
        <v>3183</v>
      </c>
      <c r="C8" s="368" t="s">
        <v>3182</v>
      </c>
      <c r="D8" s="772" t="s">
        <v>1387</v>
      </c>
      <c r="E8" s="770" t="s">
        <v>1387</v>
      </c>
      <c r="F8" s="368" t="s">
        <v>224</v>
      </c>
      <c r="G8" s="783">
        <v>0</v>
      </c>
      <c r="H8" s="368" t="s">
        <v>224</v>
      </c>
      <c r="I8" s="688" t="s">
        <v>2662</v>
      </c>
      <c r="K8" s="355" t="s">
        <v>3017</v>
      </c>
      <c r="L8" s="355" t="s">
        <v>3016</v>
      </c>
    </row>
    <row r="9" spans="1:12" x14ac:dyDescent="0.35">
      <c r="A9" s="755">
        <v>43468</v>
      </c>
      <c r="B9" s="528" t="s">
        <v>3181</v>
      </c>
      <c r="C9" s="368" t="s">
        <v>3180</v>
      </c>
      <c r="D9" s="772">
        <v>43473</v>
      </c>
      <c r="E9" s="770" t="s">
        <v>1387</v>
      </c>
      <c r="F9" s="368" t="s">
        <v>224</v>
      </c>
      <c r="G9" s="783">
        <v>0</v>
      </c>
      <c r="H9" s="368" t="s">
        <v>224</v>
      </c>
      <c r="I9" s="688" t="s">
        <v>2662</v>
      </c>
      <c r="K9" s="355" t="s">
        <v>516</v>
      </c>
      <c r="L9" s="784">
        <f>SUM(G3:G11)/4.66</f>
        <v>482.51072961373387</v>
      </c>
    </row>
    <row r="10" spans="1:12" ht="116" x14ac:dyDescent="0.35">
      <c r="A10" s="793">
        <v>43471</v>
      </c>
      <c r="B10" s="741" t="s">
        <v>3179</v>
      </c>
      <c r="C10" s="789" t="s">
        <v>3178</v>
      </c>
      <c r="D10" s="792">
        <v>43472</v>
      </c>
      <c r="E10" s="791">
        <v>0.75</v>
      </c>
      <c r="F10" s="741" t="s">
        <v>3177</v>
      </c>
      <c r="G10" s="790">
        <v>133.5</v>
      </c>
      <c r="H10" s="789" t="s">
        <v>1955</v>
      </c>
      <c r="I10" s="788" t="s">
        <v>2662</v>
      </c>
      <c r="J10" s="787"/>
      <c r="K10" s="786" t="s">
        <v>515</v>
      </c>
      <c r="L10" s="785">
        <f>SUM(G13:G21)/4.66</f>
        <v>411.26609442060084</v>
      </c>
    </row>
    <row r="11" spans="1:12" x14ac:dyDescent="0.35">
      <c r="A11" s="755">
        <v>43472</v>
      </c>
      <c r="B11" s="528" t="s">
        <v>3176</v>
      </c>
      <c r="C11" s="368" t="s">
        <v>3175</v>
      </c>
      <c r="D11" s="772" t="s">
        <v>3174</v>
      </c>
      <c r="E11" s="770">
        <v>0.875</v>
      </c>
      <c r="F11" s="368" t="s">
        <v>224</v>
      </c>
      <c r="G11" s="368">
        <v>328</v>
      </c>
      <c r="H11" s="368" t="s">
        <v>3173</v>
      </c>
      <c r="I11" s="688" t="s">
        <v>2662</v>
      </c>
      <c r="K11" s="355" t="s">
        <v>514</v>
      </c>
      <c r="L11" s="784">
        <f>SUM(G22:G37)/4.66</f>
        <v>781.00858369098705</v>
      </c>
    </row>
    <row r="12" spans="1:12" x14ac:dyDescent="0.35">
      <c r="A12" s="755" t="s">
        <v>3172</v>
      </c>
      <c r="B12" s="528"/>
      <c r="C12" s="368"/>
      <c r="D12" s="772"/>
      <c r="E12" s="770"/>
      <c r="F12" s="368"/>
      <c r="G12" s="368"/>
      <c r="H12" s="368"/>
      <c r="I12" s="688"/>
      <c r="K12" s="355"/>
      <c r="L12" s="784"/>
    </row>
    <row r="13" spans="1:12" x14ac:dyDescent="0.35">
      <c r="A13" s="755">
        <v>43473</v>
      </c>
      <c r="B13" s="528" t="s">
        <v>2774</v>
      </c>
      <c r="C13" s="368" t="s">
        <v>3083</v>
      </c>
      <c r="D13" s="772">
        <v>43476</v>
      </c>
      <c r="E13" s="770">
        <v>0.45486111111111099</v>
      </c>
      <c r="F13" s="368" t="s">
        <v>3171</v>
      </c>
      <c r="G13" s="368">
        <v>0</v>
      </c>
      <c r="H13" s="368" t="s">
        <v>15</v>
      </c>
      <c r="I13" s="688" t="s">
        <v>2662</v>
      </c>
      <c r="K13" s="355"/>
      <c r="L13" s="784"/>
    </row>
    <row r="14" spans="1:12" x14ac:dyDescent="0.35">
      <c r="A14" s="755">
        <v>43475</v>
      </c>
      <c r="B14" s="528" t="s">
        <v>2774</v>
      </c>
      <c r="C14" s="368" t="s">
        <v>3083</v>
      </c>
      <c r="D14" s="772">
        <v>43476</v>
      </c>
      <c r="E14" s="770">
        <v>0.52083333333333304</v>
      </c>
      <c r="F14" s="368" t="s">
        <v>3170</v>
      </c>
      <c r="G14" s="368">
        <v>0</v>
      </c>
      <c r="H14" s="368" t="s">
        <v>15</v>
      </c>
      <c r="I14" s="688" t="s">
        <v>2662</v>
      </c>
      <c r="K14" s="355"/>
      <c r="L14" s="784"/>
    </row>
    <row r="15" spans="1:12" s="757" customFormat="1" x14ac:dyDescent="0.35">
      <c r="A15" s="775" t="s">
        <v>3169</v>
      </c>
      <c r="B15" s="671" t="s">
        <v>3168</v>
      </c>
      <c r="C15" s="672" t="s">
        <v>3167</v>
      </c>
      <c r="D15" s="759" t="s">
        <v>3166</v>
      </c>
      <c r="E15" s="758" t="s">
        <v>3165</v>
      </c>
      <c r="F15" s="672" t="s">
        <v>3164</v>
      </c>
      <c r="G15" s="672">
        <v>150</v>
      </c>
      <c r="H15" s="672" t="s">
        <v>49</v>
      </c>
      <c r="I15" s="688" t="s">
        <v>2662</v>
      </c>
    </row>
    <row r="16" spans="1:12" x14ac:dyDescent="0.35">
      <c r="A16" s="755">
        <v>43474</v>
      </c>
      <c r="B16" s="528" t="s">
        <v>3163</v>
      </c>
      <c r="C16" s="368" t="s">
        <v>3162</v>
      </c>
      <c r="D16" s="772">
        <v>43476</v>
      </c>
      <c r="E16" s="770">
        <v>0.5625</v>
      </c>
      <c r="F16" s="368" t="s">
        <v>3161</v>
      </c>
      <c r="G16" s="368">
        <v>331</v>
      </c>
      <c r="H16" s="368" t="s">
        <v>3052</v>
      </c>
      <c r="I16" s="688" t="s">
        <v>2662</v>
      </c>
      <c r="K16" s="355"/>
      <c r="L16" s="784"/>
    </row>
    <row r="17" spans="1:12" ht="87" x14ac:dyDescent="0.35">
      <c r="A17" s="755">
        <v>43473</v>
      </c>
      <c r="B17" s="528" t="s">
        <v>3160</v>
      </c>
      <c r="C17" s="368" t="s">
        <v>3159</v>
      </c>
      <c r="D17" s="772">
        <v>43477</v>
      </c>
      <c r="E17" s="770">
        <v>0.47222222222222199</v>
      </c>
      <c r="F17" s="528" t="s">
        <v>3158</v>
      </c>
      <c r="G17" s="368">
        <v>300</v>
      </c>
      <c r="H17" s="368" t="s">
        <v>3157</v>
      </c>
      <c r="I17" s="688" t="s">
        <v>2662</v>
      </c>
      <c r="K17" s="355" t="s">
        <v>513</v>
      </c>
      <c r="L17" s="784">
        <f>SUM(G38:G69)/4.66</f>
        <v>582.08154506437768</v>
      </c>
    </row>
    <row r="18" spans="1:12" x14ac:dyDescent="0.35">
      <c r="A18" s="755">
        <v>43474</v>
      </c>
      <c r="B18" s="528" t="s">
        <v>3156</v>
      </c>
      <c r="C18" s="368" t="s">
        <v>3155</v>
      </c>
      <c r="D18" s="772">
        <v>43478</v>
      </c>
      <c r="E18" s="770">
        <v>0.54166666666666696</v>
      </c>
      <c r="F18" s="528" t="s">
        <v>3154</v>
      </c>
      <c r="G18" s="368">
        <v>117</v>
      </c>
      <c r="H18" s="368" t="s">
        <v>3052</v>
      </c>
      <c r="I18" s="688" t="s">
        <v>2662</v>
      </c>
      <c r="K18" s="355"/>
      <c r="L18" s="784" t="s">
        <v>1466</v>
      </c>
    </row>
    <row r="19" spans="1:12" x14ac:dyDescent="0.35">
      <c r="A19" s="755" t="s">
        <v>3153</v>
      </c>
      <c r="B19" s="528" t="s">
        <v>3152</v>
      </c>
      <c r="C19" s="368" t="s">
        <v>3151</v>
      </c>
      <c r="D19" s="772" t="s">
        <v>3150</v>
      </c>
      <c r="E19" s="770">
        <v>0.4375</v>
      </c>
      <c r="F19" s="368" t="s">
        <v>2960</v>
      </c>
      <c r="G19" s="368">
        <v>600</v>
      </c>
      <c r="H19" s="368" t="s">
        <v>3052</v>
      </c>
      <c r="I19" s="688" t="s">
        <v>2662</v>
      </c>
      <c r="K19" s="355"/>
      <c r="L19" s="784"/>
    </row>
    <row r="20" spans="1:12" x14ac:dyDescent="0.35">
      <c r="A20" s="755">
        <v>43476</v>
      </c>
      <c r="B20" s="528" t="s">
        <v>2815</v>
      </c>
      <c r="C20" s="368" t="s">
        <v>3149</v>
      </c>
      <c r="D20" s="772">
        <v>43478</v>
      </c>
      <c r="E20" s="770">
        <v>0.73958333333333304</v>
      </c>
      <c r="F20" s="368" t="s">
        <v>3148</v>
      </c>
      <c r="G20" s="368">
        <v>418.5</v>
      </c>
      <c r="H20" s="368" t="s">
        <v>2791</v>
      </c>
      <c r="I20" s="688" t="s">
        <v>2662</v>
      </c>
      <c r="K20" s="355"/>
      <c r="L20" s="784"/>
    </row>
    <row r="21" spans="1:12" s="757" customFormat="1" x14ac:dyDescent="0.35">
      <c r="A21" s="775">
        <v>43473</v>
      </c>
      <c r="B21" s="671" t="s">
        <v>2164</v>
      </c>
      <c r="C21" s="672" t="s">
        <v>3147</v>
      </c>
      <c r="D21" s="759">
        <v>43479</v>
      </c>
      <c r="E21" s="758">
        <v>0.54166666666666696</v>
      </c>
      <c r="F21" s="672" t="s">
        <v>3144</v>
      </c>
      <c r="G21" s="672">
        <v>0</v>
      </c>
      <c r="H21" s="672" t="s">
        <v>15</v>
      </c>
      <c r="I21" s="688" t="s">
        <v>2662</v>
      </c>
      <c r="K21" s="766"/>
      <c r="L21" s="765"/>
    </row>
    <row r="22" spans="1:12" s="757" customFormat="1" x14ac:dyDescent="0.35">
      <c r="A22" s="775">
        <v>43479</v>
      </c>
      <c r="B22" s="671" t="s">
        <v>2164</v>
      </c>
      <c r="C22" s="672" t="s">
        <v>3147</v>
      </c>
      <c r="D22" s="759">
        <v>43480</v>
      </c>
      <c r="E22" s="758">
        <v>0.54166666666666696</v>
      </c>
      <c r="F22" s="672" t="s">
        <v>3144</v>
      </c>
      <c r="G22" s="672">
        <v>0</v>
      </c>
      <c r="H22" s="672" t="s">
        <v>15</v>
      </c>
      <c r="I22" s="688" t="s">
        <v>2662</v>
      </c>
      <c r="K22" s="766"/>
      <c r="L22" s="765"/>
    </row>
    <row r="23" spans="1:12" s="757" customFormat="1" x14ac:dyDescent="0.35">
      <c r="A23" s="775">
        <v>43479</v>
      </c>
      <c r="B23" s="671" t="s">
        <v>2164</v>
      </c>
      <c r="C23" s="672" t="s">
        <v>3147</v>
      </c>
      <c r="D23" s="759">
        <v>43480</v>
      </c>
      <c r="E23" s="758">
        <v>0.54166666666666696</v>
      </c>
      <c r="F23" s="672" t="s">
        <v>3144</v>
      </c>
      <c r="G23" s="672">
        <v>0</v>
      </c>
      <c r="H23" s="672" t="s">
        <v>15</v>
      </c>
      <c r="I23" s="688" t="s">
        <v>2662</v>
      </c>
      <c r="K23" s="766"/>
      <c r="L23" s="765"/>
    </row>
    <row r="24" spans="1:12" s="757" customFormat="1" x14ac:dyDescent="0.35">
      <c r="A24" s="775">
        <v>43479</v>
      </c>
      <c r="B24" s="671" t="s">
        <v>3146</v>
      </c>
      <c r="C24" s="672" t="s">
        <v>3145</v>
      </c>
      <c r="D24" s="759">
        <v>43480</v>
      </c>
      <c r="E24" s="758">
        <v>0.45833333333333298</v>
      </c>
      <c r="F24" s="672" t="s">
        <v>3144</v>
      </c>
      <c r="G24" s="672">
        <v>0</v>
      </c>
      <c r="H24" s="672" t="s">
        <v>15</v>
      </c>
      <c r="I24" s="688" t="s">
        <v>2662</v>
      </c>
      <c r="K24" s="766"/>
      <c r="L24" s="765"/>
    </row>
    <row r="25" spans="1:12" s="757" customFormat="1" x14ac:dyDescent="0.35">
      <c r="A25" s="775">
        <v>43477</v>
      </c>
      <c r="B25" s="671" t="s">
        <v>2255</v>
      </c>
      <c r="C25" s="672" t="s">
        <v>3143</v>
      </c>
      <c r="D25" s="759">
        <v>43481</v>
      </c>
      <c r="E25" s="758">
        <v>0.54166666666666696</v>
      </c>
      <c r="F25" s="671" t="s">
        <v>3053</v>
      </c>
      <c r="G25" s="672">
        <v>100</v>
      </c>
      <c r="H25" s="672" t="s">
        <v>3052</v>
      </c>
      <c r="I25" s="688" t="s">
        <v>2662</v>
      </c>
      <c r="K25" s="766"/>
      <c r="L25" s="765"/>
    </row>
    <row r="26" spans="1:12" s="757" customFormat="1" x14ac:dyDescent="0.35">
      <c r="A26" s="775">
        <v>43473</v>
      </c>
      <c r="B26" s="671" t="s">
        <v>2164</v>
      </c>
      <c r="C26" s="672" t="s">
        <v>3083</v>
      </c>
      <c r="D26" s="759">
        <v>43482</v>
      </c>
      <c r="E26" s="758">
        <v>0.54166666666666696</v>
      </c>
      <c r="F26" s="672" t="s">
        <v>3142</v>
      </c>
      <c r="G26" s="672">
        <v>0</v>
      </c>
      <c r="H26" s="672" t="s">
        <v>15</v>
      </c>
      <c r="I26" s="688" t="s">
        <v>2662</v>
      </c>
      <c r="K26" s="766" t="s">
        <v>2992</v>
      </c>
      <c r="L26" s="765">
        <f>SUM(G3:G140)/4.66</f>
        <v>2256.8669527896996</v>
      </c>
    </row>
    <row r="27" spans="1:12" s="757" customFormat="1" x14ac:dyDescent="0.35">
      <c r="A27" s="775">
        <v>14</v>
      </c>
      <c r="B27" s="671" t="s">
        <v>2164</v>
      </c>
      <c r="C27" s="672" t="s">
        <v>3083</v>
      </c>
      <c r="D27" s="759">
        <v>43482</v>
      </c>
      <c r="E27" s="758">
        <v>0.54166666666666696</v>
      </c>
      <c r="F27" s="672" t="s">
        <v>3141</v>
      </c>
      <c r="G27" s="672">
        <v>0</v>
      </c>
      <c r="H27" s="672"/>
      <c r="I27" s="688" t="s">
        <v>2662</v>
      </c>
      <c r="K27" s="766"/>
      <c r="L27" s="765"/>
    </row>
    <row r="28" spans="1:12" s="757" customFormat="1" x14ac:dyDescent="0.35">
      <c r="A28" s="775">
        <v>14</v>
      </c>
      <c r="B28" s="671" t="s">
        <v>2164</v>
      </c>
      <c r="C28" s="672" t="s">
        <v>3083</v>
      </c>
      <c r="D28" s="759">
        <v>43482</v>
      </c>
      <c r="E28" s="758">
        <v>0.54166666666666696</v>
      </c>
      <c r="F28" s="672" t="s">
        <v>3140</v>
      </c>
      <c r="G28" s="672">
        <v>0</v>
      </c>
      <c r="H28" s="672" t="s">
        <v>15</v>
      </c>
      <c r="I28" s="688" t="s">
        <v>2662</v>
      </c>
      <c r="K28" s="766"/>
      <c r="L28" s="765"/>
    </row>
    <row r="29" spans="1:12" s="757" customFormat="1" x14ac:dyDescent="0.35">
      <c r="A29" s="775" t="s">
        <v>3131</v>
      </c>
      <c r="B29" s="671" t="s">
        <v>1877</v>
      </c>
      <c r="C29" s="672" t="s">
        <v>3130</v>
      </c>
      <c r="D29" s="759" t="s">
        <v>3137</v>
      </c>
      <c r="E29" s="758">
        <v>0.45833333333333298</v>
      </c>
      <c r="F29" s="672" t="s">
        <v>3128</v>
      </c>
      <c r="G29" s="672">
        <v>0</v>
      </c>
      <c r="H29" s="672" t="s">
        <v>224</v>
      </c>
      <c r="I29" s="688" t="s">
        <v>2662</v>
      </c>
      <c r="K29" s="766"/>
      <c r="L29" s="765"/>
    </row>
    <row r="30" spans="1:12" s="757" customFormat="1" x14ac:dyDescent="0.35">
      <c r="A30" s="775">
        <v>15</v>
      </c>
      <c r="B30" s="671" t="s">
        <v>3139</v>
      </c>
      <c r="C30" s="672" t="s">
        <v>3138</v>
      </c>
      <c r="D30" s="759" t="s">
        <v>3137</v>
      </c>
      <c r="E30" s="758">
        <v>0.66666666666666696</v>
      </c>
      <c r="F30" s="672" t="s">
        <v>3136</v>
      </c>
      <c r="G30" s="672">
        <v>100</v>
      </c>
      <c r="H30" s="672" t="s">
        <v>3117</v>
      </c>
      <c r="I30" s="688" t="s">
        <v>2662</v>
      </c>
      <c r="K30" s="766"/>
      <c r="L30" s="765"/>
    </row>
    <row r="31" spans="1:12" x14ac:dyDescent="0.35">
      <c r="A31" s="755">
        <v>43475</v>
      </c>
      <c r="B31" s="528" t="s">
        <v>3135</v>
      </c>
      <c r="C31" s="368" t="s">
        <v>3134</v>
      </c>
      <c r="D31" s="772">
        <v>43484</v>
      </c>
      <c r="E31" s="770">
        <v>0.75</v>
      </c>
      <c r="F31" s="368" t="s">
        <v>3133</v>
      </c>
      <c r="G31" s="368">
        <v>0</v>
      </c>
      <c r="H31" s="687" t="s">
        <v>3132</v>
      </c>
      <c r="I31" s="688" t="s">
        <v>2662</v>
      </c>
    </row>
    <row r="32" spans="1:12" x14ac:dyDescent="0.35">
      <c r="A32" s="755" t="s">
        <v>3131</v>
      </c>
      <c r="B32" s="528" t="s">
        <v>1877</v>
      </c>
      <c r="C32" s="368" t="s">
        <v>3130</v>
      </c>
      <c r="D32" s="772" t="s">
        <v>3129</v>
      </c>
      <c r="E32" s="770">
        <v>0.70833333333333304</v>
      </c>
      <c r="F32" s="368" t="s">
        <v>3128</v>
      </c>
      <c r="G32" s="368">
        <v>0</v>
      </c>
      <c r="H32" s="368">
        <v>0</v>
      </c>
      <c r="I32" s="688" t="s">
        <v>2662</v>
      </c>
    </row>
    <row r="33" spans="1:11" x14ac:dyDescent="0.35">
      <c r="A33" s="755">
        <v>43103</v>
      </c>
      <c r="B33" s="528" t="s">
        <v>262</v>
      </c>
      <c r="C33" s="368" t="s">
        <v>3127</v>
      </c>
      <c r="D33" s="772">
        <v>43484</v>
      </c>
      <c r="E33" s="770" t="s">
        <v>15</v>
      </c>
      <c r="F33" s="368" t="s">
        <v>15</v>
      </c>
      <c r="G33" s="783">
        <v>2630</v>
      </c>
      <c r="H33" s="368" t="s">
        <v>262</v>
      </c>
      <c r="I33" s="688" t="s">
        <v>2662</v>
      </c>
      <c r="K33" s="390">
        <f>COUNTIF(I30:I166,"Nu Am Primit")</f>
        <v>0</v>
      </c>
    </row>
    <row r="34" spans="1:11" s="757" customFormat="1" x14ac:dyDescent="0.35">
      <c r="A34" s="775">
        <v>43468</v>
      </c>
      <c r="B34" s="671" t="s">
        <v>3126</v>
      </c>
      <c r="C34" s="672" t="s">
        <v>3125</v>
      </c>
      <c r="D34" s="759">
        <v>43484</v>
      </c>
      <c r="E34" s="758">
        <v>0.75</v>
      </c>
      <c r="F34" s="672" t="s">
        <v>3124</v>
      </c>
      <c r="G34" s="705">
        <v>489.5</v>
      </c>
      <c r="H34" s="672" t="s">
        <v>3123</v>
      </c>
      <c r="I34" s="688" t="s">
        <v>2662</v>
      </c>
    </row>
    <row r="35" spans="1:11" s="779" customFormat="1" x14ac:dyDescent="0.35">
      <c r="A35" s="755">
        <v>18</v>
      </c>
      <c r="B35" s="709" t="s">
        <v>2815</v>
      </c>
      <c r="C35" s="708" t="s">
        <v>3122</v>
      </c>
      <c r="D35" s="782">
        <v>20</v>
      </c>
      <c r="E35" s="781">
        <v>0.66666666666666696</v>
      </c>
      <c r="F35" s="708" t="s">
        <v>3121</v>
      </c>
      <c r="G35" s="780">
        <v>170</v>
      </c>
      <c r="H35" s="708" t="s">
        <v>3120</v>
      </c>
      <c r="I35" s="688" t="s">
        <v>2662</v>
      </c>
    </row>
    <row r="36" spans="1:11" s="757" customFormat="1" x14ac:dyDescent="0.35">
      <c r="A36" s="759">
        <v>43485</v>
      </c>
      <c r="B36" s="713" t="s">
        <v>1461</v>
      </c>
      <c r="C36" s="711" t="s">
        <v>3119</v>
      </c>
      <c r="D36" s="769">
        <v>43486</v>
      </c>
      <c r="E36" s="768">
        <v>0.75</v>
      </c>
      <c r="F36" s="711" t="s">
        <v>3118</v>
      </c>
      <c r="G36" s="778">
        <v>150</v>
      </c>
      <c r="H36" s="711" t="s">
        <v>3117</v>
      </c>
      <c r="I36" s="688" t="s">
        <v>2662</v>
      </c>
    </row>
    <row r="37" spans="1:11" s="757" customFormat="1" x14ac:dyDescent="0.35">
      <c r="A37" s="759">
        <v>43485</v>
      </c>
      <c r="B37" s="672" t="s">
        <v>3116</v>
      </c>
      <c r="C37" s="672" t="s">
        <v>3100</v>
      </c>
      <c r="D37" s="759">
        <v>43486</v>
      </c>
      <c r="E37" s="761" t="s">
        <v>3115</v>
      </c>
      <c r="F37" s="758" t="s">
        <v>3114</v>
      </c>
      <c r="G37" s="672">
        <v>0</v>
      </c>
      <c r="H37" s="672" t="s">
        <v>15</v>
      </c>
      <c r="I37" s="688" t="s">
        <v>2662</v>
      </c>
    </row>
    <row r="38" spans="1:11" s="757" customFormat="1" x14ac:dyDescent="0.35">
      <c r="A38" s="759">
        <v>43485</v>
      </c>
      <c r="B38" s="672" t="s">
        <v>2774</v>
      </c>
      <c r="C38" s="672" t="s">
        <v>3113</v>
      </c>
      <c r="D38" s="759">
        <v>43487</v>
      </c>
      <c r="E38" s="758">
        <v>0.48958333333333298</v>
      </c>
      <c r="F38" s="758" t="s">
        <v>3112</v>
      </c>
      <c r="G38" s="672">
        <v>0</v>
      </c>
      <c r="H38" s="672" t="s">
        <v>15</v>
      </c>
      <c r="I38" s="688" t="s">
        <v>2662</v>
      </c>
    </row>
    <row r="39" spans="1:11" s="757" customFormat="1" x14ac:dyDescent="0.35">
      <c r="A39" s="775" t="s">
        <v>3111</v>
      </c>
      <c r="B39" s="777" t="s">
        <v>3110</v>
      </c>
      <c r="C39" s="673" t="s">
        <v>3109</v>
      </c>
      <c r="D39" s="775" t="s">
        <v>3105</v>
      </c>
      <c r="E39" s="776" t="s">
        <v>3108</v>
      </c>
      <c r="F39" s="673"/>
      <c r="G39" s="673">
        <v>122.5</v>
      </c>
      <c r="H39" s="673" t="s">
        <v>3107</v>
      </c>
      <c r="I39" s="688" t="s">
        <v>2662</v>
      </c>
    </row>
    <row r="40" spans="1:11" x14ac:dyDescent="0.35">
      <c r="A40" s="755" t="s">
        <v>3105</v>
      </c>
      <c r="B40" s="489" t="s">
        <v>1961</v>
      </c>
      <c r="C40" s="390" t="s">
        <v>3106</v>
      </c>
      <c r="D40" s="755" t="s">
        <v>3105</v>
      </c>
      <c r="E40" s="753" t="s">
        <v>3104</v>
      </c>
      <c r="F40" s="390" t="s">
        <v>3103</v>
      </c>
      <c r="G40" s="390">
        <v>140</v>
      </c>
      <c r="H40" s="390" t="s">
        <v>3102</v>
      </c>
      <c r="I40" s="688" t="s">
        <v>2662</v>
      </c>
    </row>
    <row r="41" spans="1:11" s="757" customFormat="1" x14ac:dyDescent="0.35">
      <c r="A41" s="775">
        <v>43486</v>
      </c>
      <c r="B41" s="773" t="s">
        <v>2774</v>
      </c>
      <c r="C41" s="672" t="s">
        <v>3100</v>
      </c>
      <c r="D41" s="759">
        <v>43487</v>
      </c>
      <c r="E41" s="774">
        <v>0.5625</v>
      </c>
      <c r="F41" s="774" t="s">
        <v>3101</v>
      </c>
      <c r="G41" s="773">
        <v>0</v>
      </c>
      <c r="H41" s="773" t="s">
        <v>15</v>
      </c>
      <c r="I41" s="688" t="s">
        <v>2662</v>
      </c>
    </row>
    <row r="42" spans="1:11" s="757" customFormat="1" ht="14.25" customHeight="1" x14ac:dyDescent="0.35">
      <c r="A42" s="759">
        <v>43485</v>
      </c>
      <c r="B42" s="672" t="s">
        <v>2774</v>
      </c>
      <c r="C42" s="672" t="s">
        <v>3100</v>
      </c>
      <c r="D42" s="759">
        <v>43488</v>
      </c>
      <c r="E42" s="758">
        <v>0.49652777777777801</v>
      </c>
      <c r="F42" s="758" t="s">
        <v>3099</v>
      </c>
      <c r="G42" s="672">
        <v>0</v>
      </c>
      <c r="H42" s="672" t="s">
        <v>15</v>
      </c>
      <c r="I42" s="688" t="s">
        <v>2662</v>
      </c>
    </row>
    <row r="43" spans="1:11" s="757" customFormat="1" x14ac:dyDescent="0.35">
      <c r="A43" s="759">
        <v>24</v>
      </c>
      <c r="B43" s="671" t="s">
        <v>3096</v>
      </c>
      <c r="C43" s="672" t="s">
        <v>3098</v>
      </c>
      <c r="D43" s="704" t="s">
        <v>3097</v>
      </c>
      <c r="E43" s="758">
        <v>0.375</v>
      </c>
      <c r="F43" s="672" t="s">
        <v>3096</v>
      </c>
      <c r="G43" s="672">
        <v>0</v>
      </c>
      <c r="H43" s="672" t="s">
        <v>15</v>
      </c>
      <c r="I43" s="688" t="s">
        <v>2662</v>
      </c>
    </row>
    <row r="44" spans="1:11" ht="29" x14ac:dyDescent="0.35">
      <c r="A44" s="772">
        <v>18</v>
      </c>
      <c r="B44" s="528" t="s">
        <v>3095</v>
      </c>
      <c r="C44" s="528" t="s">
        <v>3094</v>
      </c>
      <c r="D44" s="771" t="s">
        <v>3092</v>
      </c>
      <c r="E44" s="770">
        <v>0.70833333333333304</v>
      </c>
      <c r="F44" s="528" t="s">
        <v>3093</v>
      </c>
      <c r="G44" s="368">
        <v>325</v>
      </c>
      <c r="H44" s="368" t="s">
        <v>3071</v>
      </c>
      <c r="I44" s="688" t="s">
        <v>2662</v>
      </c>
    </row>
    <row r="45" spans="1:11" s="757" customFormat="1" x14ac:dyDescent="0.35">
      <c r="A45" s="759" t="s">
        <v>3092</v>
      </c>
      <c r="B45" s="671" t="s">
        <v>3091</v>
      </c>
      <c r="C45" s="671" t="s">
        <v>3090</v>
      </c>
      <c r="D45" s="704" t="s">
        <v>3082</v>
      </c>
      <c r="E45" s="758">
        <v>0.58333333333333304</v>
      </c>
      <c r="F45" s="671" t="s">
        <v>3089</v>
      </c>
      <c r="G45" s="672">
        <v>0</v>
      </c>
      <c r="H45" s="672"/>
      <c r="I45" s="688" t="s">
        <v>2662</v>
      </c>
    </row>
    <row r="46" spans="1:11" s="757" customFormat="1" x14ac:dyDescent="0.35">
      <c r="A46" s="759">
        <v>18</v>
      </c>
      <c r="B46" s="671" t="s">
        <v>1486</v>
      </c>
      <c r="C46" s="672" t="s">
        <v>3088</v>
      </c>
      <c r="D46" s="704" t="s">
        <v>3082</v>
      </c>
      <c r="E46" s="758">
        <v>0.66666666666666696</v>
      </c>
      <c r="F46" s="672" t="s">
        <v>3087</v>
      </c>
      <c r="G46" s="672">
        <v>120</v>
      </c>
      <c r="H46" s="672" t="s">
        <v>3086</v>
      </c>
      <c r="I46" s="688" t="s">
        <v>2662</v>
      </c>
    </row>
    <row r="47" spans="1:11" s="757" customFormat="1" x14ac:dyDescent="0.35">
      <c r="A47" s="759" t="s">
        <v>3085</v>
      </c>
      <c r="B47" s="671" t="s">
        <v>3084</v>
      </c>
      <c r="C47" s="672" t="s">
        <v>3083</v>
      </c>
      <c r="D47" s="704" t="s">
        <v>3082</v>
      </c>
      <c r="E47" s="758">
        <v>0.66666666666666696</v>
      </c>
      <c r="F47" s="672" t="s">
        <v>3081</v>
      </c>
      <c r="G47" s="672">
        <v>0</v>
      </c>
      <c r="H47" s="672"/>
      <c r="I47" s="688" t="s">
        <v>2662</v>
      </c>
    </row>
    <row r="48" spans="1:11" s="757" customFormat="1" x14ac:dyDescent="0.35">
      <c r="A48" s="759">
        <v>18</v>
      </c>
      <c r="B48" s="671" t="s">
        <v>3080</v>
      </c>
      <c r="C48" s="672" t="s">
        <v>3079</v>
      </c>
      <c r="D48" s="704" t="s">
        <v>3073</v>
      </c>
      <c r="E48" s="758">
        <v>0.58333333333333304</v>
      </c>
      <c r="F48" s="672" t="s">
        <v>3078</v>
      </c>
      <c r="G48" s="672">
        <v>500</v>
      </c>
      <c r="H48" s="672" t="s">
        <v>2767</v>
      </c>
      <c r="I48" s="688" t="s">
        <v>2662</v>
      </c>
    </row>
    <row r="49" spans="1:12" s="757" customFormat="1" x14ac:dyDescent="0.35">
      <c r="A49" s="759">
        <v>18</v>
      </c>
      <c r="B49" s="671" t="s">
        <v>3077</v>
      </c>
      <c r="C49" s="672" t="s">
        <v>3076</v>
      </c>
      <c r="D49" s="704" t="s">
        <v>3073</v>
      </c>
      <c r="E49" s="758">
        <v>0.4375</v>
      </c>
      <c r="F49" s="672" t="s">
        <v>3075</v>
      </c>
      <c r="G49" s="672">
        <v>500</v>
      </c>
      <c r="H49" s="672" t="s">
        <v>2767</v>
      </c>
      <c r="I49" s="688" t="s">
        <v>2662</v>
      </c>
    </row>
    <row r="50" spans="1:12" s="757" customFormat="1" ht="17.899999999999999" customHeight="1" x14ac:dyDescent="0.35">
      <c r="A50" s="759">
        <v>43477</v>
      </c>
      <c r="B50" s="671" t="s">
        <v>2255</v>
      </c>
      <c r="C50" s="672" t="s">
        <v>3074</v>
      </c>
      <c r="D50" s="704" t="s">
        <v>3073</v>
      </c>
      <c r="E50" s="758">
        <v>0.72916666666666696</v>
      </c>
      <c r="F50" s="671" t="s">
        <v>3072</v>
      </c>
      <c r="G50" s="672">
        <v>320</v>
      </c>
      <c r="H50" s="672" t="s">
        <v>3071</v>
      </c>
      <c r="I50" s="688" t="s">
        <v>2662</v>
      </c>
      <c r="K50" s="766"/>
      <c r="L50" s="765"/>
    </row>
    <row r="51" spans="1:12" s="757" customFormat="1" ht="17.899999999999999" customHeight="1" x14ac:dyDescent="0.35">
      <c r="A51" s="759">
        <v>43491</v>
      </c>
      <c r="B51" s="671" t="s">
        <v>3070</v>
      </c>
      <c r="C51" s="672" t="s">
        <v>2984</v>
      </c>
      <c r="D51" s="704" t="s">
        <v>3068</v>
      </c>
      <c r="E51" s="758">
        <v>0.4375</v>
      </c>
      <c r="F51" s="671" t="s">
        <v>229</v>
      </c>
      <c r="G51" s="672" t="s">
        <v>15</v>
      </c>
      <c r="H51" s="672" t="s">
        <v>15</v>
      </c>
      <c r="I51" s="688" t="s">
        <v>2662</v>
      </c>
      <c r="K51" s="766"/>
      <c r="L51" s="765"/>
    </row>
    <row r="52" spans="1:12" s="757" customFormat="1" ht="17.899999999999999" customHeight="1" x14ac:dyDescent="0.35">
      <c r="A52" s="759">
        <v>43491</v>
      </c>
      <c r="B52" s="671" t="s">
        <v>3069</v>
      </c>
      <c r="C52" s="672" t="s">
        <v>2984</v>
      </c>
      <c r="D52" s="704" t="s">
        <v>3068</v>
      </c>
      <c r="E52" s="758">
        <v>0.57986111111111105</v>
      </c>
      <c r="F52" s="671" t="s">
        <v>3067</v>
      </c>
      <c r="G52" s="672" t="s">
        <v>15</v>
      </c>
      <c r="H52" s="672" t="s">
        <v>15</v>
      </c>
      <c r="I52" s="688" t="s">
        <v>2662</v>
      </c>
      <c r="K52" s="766"/>
      <c r="L52" s="765"/>
    </row>
    <row r="53" spans="1:12" s="757" customFormat="1" ht="17.899999999999999" customHeight="1" x14ac:dyDescent="0.35">
      <c r="A53" s="759">
        <v>43491</v>
      </c>
      <c r="B53" s="671" t="s">
        <v>3066</v>
      </c>
      <c r="C53" s="672" t="s">
        <v>2984</v>
      </c>
      <c r="D53" s="704" t="s">
        <v>3060</v>
      </c>
      <c r="E53" s="758">
        <v>0.35416666666666702</v>
      </c>
      <c r="F53" s="671" t="s">
        <v>229</v>
      </c>
      <c r="G53" s="672" t="s">
        <v>15</v>
      </c>
      <c r="H53" s="672" t="s">
        <v>15</v>
      </c>
      <c r="I53" s="688" t="s">
        <v>2662</v>
      </c>
      <c r="K53" s="766"/>
      <c r="L53" s="765"/>
    </row>
    <row r="54" spans="1:12" s="757" customFormat="1" ht="17.899999999999999" customHeight="1" x14ac:dyDescent="0.35">
      <c r="A54" s="759">
        <v>28</v>
      </c>
      <c r="B54" s="671" t="s">
        <v>3065</v>
      </c>
      <c r="C54" s="672" t="s">
        <v>2984</v>
      </c>
      <c r="D54" s="704" t="s">
        <v>3060</v>
      </c>
      <c r="E54" s="758">
        <v>0.45833333333333298</v>
      </c>
      <c r="F54" s="671" t="s">
        <v>3064</v>
      </c>
      <c r="G54" s="672" t="s">
        <v>15</v>
      </c>
      <c r="H54" s="672"/>
      <c r="I54" s="688" t="s">
        <v>2662</v>
      </c>
      <c r="K54" s="766"/>
      <c r="L54" s="765"/>
    </row>
    <row r="55" spans="1:12" s="757" customFormat="1" ht="17.899999999999999" customHeight="1" x14ac:dyDescent="0.35">
      <c r="A55" s="759">
        <v>28</v>
      </c>
      <c r="B55" s="671" t="s">
        <v>3063</v>
      </c>
      <c r="C55" s="672" t="s">
        <v>2984</v>
      </c>
      <c r="D55" s="704" t="s">
        <v>3060</v>
      </c>
      <c r="E55" s="758">
        <v>0.45833333333333298</v>
      </c>
      <c r="F55" s="671" t="s">
        <v>3062</v>
      </c>
      <c r="G55" s="672" t="s">
        <v>15</v>
      </c>
      <c r="H55" s="672"/>
      <c r="I55" s="688" t="s">
        <v>2662</v>
      </c>
      <c r="K55" s="766"/>
      <c r="L55" s="765"/>
    </row>
    <row r="56" spans="1:12" s="757" customFormat="1" ht="17.899999999999999" customHeight="1" x14ac:dyDescent="0.35">
      <c r="A56" s="759">
        <v>28</v>
      </c>
      <c r="B56" s="671" t="s">
        <v>3061</v>
      </c>
      <c r="C56" s="672" t="s">
        <v>2984</v>
      </c>
      <c r="D56" s="704" t="s">
        <v>3060</v>
      </c>
      <c r="E56" s="758">
        <v>0.45833333333333298</v>
      </c>
      <c r="F56" s="671" t="s">
        <v>3059</v>
      </c>
      <c r="G56" s="672" t="s">
        <v>15</v>
      </c>
      <c r="H56" s="672"/>
      <c r="I56" s="688" t="s">
        <v>2662</v>
      </c>
      <c r="K56" s="766"/>
      <c r="L56" s="765"/>
    </row>
    <row r="57" spans="1:12" s="757" customFormat="1" x14ac:dyDescent="0.35">
      <c r="A57" s="769">
        <v>43492</v>
      </c>
      <c r="B57" s="713" t="s">
        <v>2057</v>
      </c>
      <c r="C57" s="711" t="s">
        <v>3058</v>
      </c>
      <c r="D57" s="714" t="s">
        <v>3057</v>
      </c>
      <c r="E57" s="768">
        <v>0.54166666666666696</v>
      </c>
      <c r="F57" s="711" t="s">
        <v>3056</v>
      </c>
      <c r="G57" s="711">
        <v>100</v>
      </c>
      <c r="H57" s="711" t="s">
        <v>2997</v>
      </c>
      <c r="I57" s="688" t="s">
        <v>2662</v>
      </c>
    </row>
    <row r="58" spans="1:12" s="757" customFormat="1" x14ac:dyDescent="0.35">
      <c r="A58" s="759">
        <v>43477</v>
      </c>
      <c r="B58" s="671" t="s">
        <v>2255</v>
      </c>
      <c r="C58" s="672" t="s">
        <v>3055</v>
      </c>
      <c r="D58" s="759" t="s">
        <v>3054</v>
      </c>
      <c r="E58" s="758">
        <v>0.66666666666666696</v>
      </c>
      <c r="F58" s="671" t="s">
        <v>3053</v>
      </c>
      <c r="G58" s="672">
        <v>240</v>
      </c>
      <c r="H58" s="672" t="s">
        <v>3052</v>
      </c>
      <c r="I58" s="688" t="s">
        <v>2662</v>
      </c>
      <c r="J58" s="767"/>
      <c r="K58" s="766"/>
      <c r="L58" s="765"/>
    </row>
    <row r="59" spans="1:12" s="757" customFormat="1" x14ac:dyDescent="0.35">
      <c r="A59" s="764">
        <v>43492</v>
      </c>
      <c r="B59" s="763" t="s">
        <v>3051</v>
      </c>
      <c r="C59" s="760" t="s">
        <v>3050</v>
      </c>
      <c r="D59" s="762">
        <v>43496</v>
      </c>
      <c r="E59" s="761">
        <v>0.41666666666666702</v>
      </c>
      <c r="F59" s="757" t="s">
        <v>3049</v>
      </c>
      <c r="G59" s="760">
        <v>100</v>
      </c>
      <c r="H59" s="760" t="s">
        <v>2997</v>
      </c>
      <c r="I59" s="688" t="s">
        <v>2662</v>
      </c>
    </row>
    <row r="60" spans="1:12" s="757" customFormat="1" ht="15.65" customHeight="1" x14ac:dyDescent="0.35">
      <c r="A60" s="759">
        <v>43491</v>
      </c>
      <c r="B60" s="671" t="s">
        <v>3048</v>
      </c>
      <c r="C60" s="672" t="s">
        <v>2984</v>
      </c>
      <c r="D60" s="704" t="s">
        <v>1387</v>
      </c>
      <c r="E60" s="758" t="s">
        <v>1387</v>
      </c>
      <c r="F60" s="671" t="s">
        <v>229</v>
      </c>
      <c r="G60" s="672" t="s">
        <v>15</v>
      </c>
      <c r="H60" s="672" t="s">
        <v>15</v>
      </c>
      <c r="I60" s="688" t="s">
        <v>2662</v>
      </c>
    </row>
    <row r="61" spans="1:12" s="757" customFormat="1" x14ac:dyDescent="0.35">
      <c r="A61" s="759">
        <v>43491</v>
      </c>
      <c r="B61" s="671" t="s">
        <v>3048</v>
      </c>
      <c r="C61" s="672" t="s">
        <v>2984</v>
      </c>
      <c r="D61" s="704" t="s">
        <v>3044</v>
      </c>
      <c r="E61" s="758">
        <v>0.5</v>
      </c>
      <c r="F61" s="671" t="s">
        <v>3047</v>
      </c>
      <c r="G61" s="672" t="s">
        <v>15</v>
      </c>
      <c r="H61" s="672" t="s">
        <v>15</v>
      </c>
      <c r="I61" s="688" t="s">
        <v>2662</v>
      </c>
    </row>
    <row r="62" spans="1:12" s="757" customFormat="1" ht="16.399999999999999" customHeight="1" x14ac:dyDescent="0.35">
      <c r="A62" s="759">
        <v>43495</v>
      </c>
      <c r="B62" s="671" t="s">
        <v>3046</v>
      </c>
      <c r="C62" s="672" t="s">
        <v>3045</v>
      </c>
      <c r="D62" s="704" t="s">
        <v>3044</v>
      </c>
      <c r="E62" s="758">
        <v>0.875</v>
      </c>
      <c r="F62" s="672" t="s">
        <v>3043</v>
      </c>
      <c r="G62" s="672">
        <v>245</v>
      </c>
      <c r="H62" s="672" t="s">
        <v>3042</v>
      </c>
      <c r="I62" s="688" t="s">
        <v>2662</v>
      </c>
    </row>
    <row r="63" spans="1:12" x14ac:dyDescent="0.35">
      <c r="A63" s="755"/>
      <c r="B63" s="489"/>
      <c r="C63" s="390"/>
      <c r="D63" s="754"/>
      <c r="E63" s="753"/>
      <c r="F63" s="390"/>
      <c r="G63" s="390"/>
      <c r="H63" s="390"/>
      <c r="I63" s="756"/>
    </row>
    <row r="64" spans="1:12" x14ac:dyDescent="0.35">
      <c r="A64" s="755"/>
      <c r="B64" s="489"/>
      <c r="C64" s="390"/>
      <c r="D64" s="754"/>
      <c r="E64" s="753"/>
      <c r="F64" s="390"/>
      <c r="G64" s="390"/>
      <c r="H64" s="390"/>
      <c r="I64" s="687"/>
    </row>
    <row r="65" spans="1:9" x14ac:dyDescent="0.35">
      <c r="A65" s="755"/>
      <c r="B65" s="489"/>
      <c r="C65" s="390"/>
      <c r="D65" s="754"/>
      <c r="E65" s="753"/>
      <c r="F65" s="390"/>
      <c r="G65" s="390"/>
      <c r="H65" s="390"/>
      <c r="I65" s="368"/>
    </row>
    <row r="66" spans="1:9" x14ac:dyDescent="0.35">
      <c r="A66" s="755"/>
      <c r="B66" s="489"/>
      <c r="C66" s="390"/>
      <c r="D66" s="754"/>
      <c r="E66" s="753"/>
      <c r="F66" s="390"/>
      <c r="G66" s="390"/>
      <c r="H66" s="390"/>
      <c r="I66" s="368"/>
    </row>
    <row r="67" spans="1:9" x14ac:dyDescent="0.35">
      <c r="A67" s="755"/>
      <c r="B67" s="489"/>
      <c r="C67" s="390"/>
      <c r="D67" s="754"/>
      <c r="E67" s="753"/>
      <c r="F67" s="390"/>
      <c r="G67" s="390"/>
      <c r="H67" s="390"/>
      <c r="I67" s="368"/>
    </row>
    <row r="68" spans="1:9" x14ac:dyDescent="0.35">
      <c r="D68" s="752"/>
      <c r="G68" s="390"/>
      <c r="H68" s="390"/>
      <c r="I68" s="368"/>
    </row>
    <row r="69" spans="1:9" x14ac:dyDescent="0.35">
      <c r="D69" s="752"/>
    </row>
    <row r="70" spans="1:9" x14ac:dyDescent="0.35">
      <c r="D70" s="752"/>
    </row>
    <row r="71" spans="1:9" x14ac:dyDescent="0.35">
      <c r="D71" s="752"/>
    </row>
    <row r="72" spans="1:9" x14ac:dyDescent="0.35">
      <c r="D72" s="752"/>
    </row>
    <row r="73" spans="1:9" x14ac:dyDescent="0.35">
      <c r="D73" s="752"/>
    </row>
    <row r="74" spans="1:9" x14ac:dyDescent="0.35">
      <c r="D74" s="752"/>
    </row>
    <row r="75" spans="1:9" x14ac:dyDescent="0.35">
      <c r="D75" s="752"/>
    </row>
    <row r="76" spans="1:9" x14ac:dyDescent="0.35">
      <c r="D76" s="752"/>
    </row>
    <row r="77" spans="1:9" x14ac:dyDescent="0.35">
      <c r="D77" s="752"/>
    </row>
    <row r="78" spans="1:9" x14ac:dyDescent="0.35">
      <c r="D78" s="752"/>
    </row>
    <row r="79" spans="1:9" x14ac:dyDescent="0.35">
      <c r="D79" s="752"/>
    </row>
    <row r="80" spans="1:9" x14ac:dyDescent="0.35">
      <c r="D80" s="752"/>
    </row>
    <row r="81" spans="4:4" s="13" customFormat="1" x14ac:dyDescent="0.35">
      <c r="D81" s="752"/>
    </row>
    <row r="82" spans="4:4" s="13" customFormat="1" x14ac:dyDescent="0.35">
      <c r="D82" s="752"/>
    </row>
    <row r="83" spans="4:4" s="13" customFormat="1" x14ac:dyDescent="0.35">
      <c r="D83" s="752"/>
    </row>
    <row r="84" spans="4:4" s="13" customFormat="1" x14ac:dyDescent="0.35">
      <c r="D84" s="752"/>
    </row>
    <row r="85" spans="4:4" s="13" customFormat="1" x14ac:dyDescent="0.35">
      <c r="D85" s="752"/>
    </row>
    <row r="86" spans="4:4" s="13" customFormat="1" x14ac:dyDescent="0.35">
      <c r="D86" s="752"/>
    </row>
    <row r="87" spans="4:4" s="13" customFormat="1" x14ac:dyDescent="0.35">
      <c r="D87" s="752"/>
    </row>
    <row r="88" spans="4:4" s="13" customFormat="1" x14ac:dyDescent="0.35">
      <c r="D88" s="752"/>
    </row>
    <row r="89" spans="4:4" s="13" customFormat="1" x14ac:dyDescent="0.35">
      <c r="D89" s="752"/>
    </row>
    <row r="90" spans="4:4" s="13" customFormat="1" x14ac:dyDescent="0.35">
      <c r="D90" s="752"/>
    </row>
    <row r="91" spans="4:4" s="13" customFormat="1" x14ac:dyDescent="0.35">
      <c r="D91" s="752"/>
    </row>
    <row r="92" spans="4:4" s="13" customFormat="1" x14ac:dyDescent="0.35">
      <c r="D92" s="752"/>
    </row>
    <row r="93" spans="4:4" s="13" customFormat="1" x14ac:dyDescent="0.35">
      <c r="D93" s="752"/>
    </row>
    <row r="94" spans="4:4" s="13" customFormat="1" x14ac:dyDescent="0.35">
      <c r="D94" s="752"/>
    </row>
    <row r="95" spans="4:4" s="13" customFormat="1" x14ac:dyDescent="0.35">
      <c r="D95" s="752"/>
    </row>
    <row r="96" spans="4:4" s="13" customFormat="1" x14ac:dyDescent="0.35">
      <c r="D96" s="752"/>
    </row>
    <row r="97" spans="4:4" s="13" customFormat="1" x14ac:dyDescent="0.35">
      <c r="D97" s="752"/>
    </row>
    <row r="98" spans="4:4" s="13" customFormat="1" x14ac:dyDescent="0.35">
      <c r="D98" s="752"/>
    </row>
    <row r="99" spans="4:4" s="13" customFormat="1" x14ac:dyDescent="0.35">
      <c r="D99" s="752"/>
    </row>
    <row r="100" spans="4:4" s="13" customFormat="1" x14ac:dyDescent="0.35">
      <c r="D100" s="752"/>
    </row>
    <row r="101" spans="4:4" s="13" customFormat="1" x14ac:dyDescent="0.35">
      <c r="D101" s="752"/>
    </row>
    <row r="102" spans="4:4" s="13" customFormat="1" x14ac:dyDescent="0.35">
      <c r="D102" s="752"/>
    </row>
    <row r="103" spans="4:4" s="13" customFormat="1" x14ac:dyDescent="0.35">
      <c r="D103" s="752"/>
    </row>
    <row r="104" spans="4:4" s="13" customFormat="1" x14ac:dyDescent="0.35">
      <c r="D104" s="752"/>
    </row>
    <row r="105" spans="4:4" s="13" customFormat="1" x14ac:dyDescent="0.35">
      <c r="D105" s="752"/>
    </row>
    <row r="106" spans="4:4" s="13" customFormat="1" x14ac:dyDescent="0.35">
      <c r="D106" s="752"/>
    </row>
    <row r="107" spans="4:4" s="13" customFormat="1" x14ac:dyDescent="0.35">
      <c r="D107" s="752"/>
    </row>
    <row r="108" spans="4:4" s="13" customFormat="1" x14ac:dyDescent="0.35">
      <c r="D108" s="752"/>
    </row>
    <row r="109" spans="4:4" s="13" customFormat="1" x14ac:dyDescent="0.35">
      <c r="D109" s="752"/>
    </row>
    <row r="110" spans="4:4" s="13" customFormat="1" x14ac:dyDescent="0.35">
      <c r="D110" s="752"/>
    </row>
    <row r="111" spans="4:4" s="13" customFormat="1" x14ac:dyDescent="0.35">
      <c r="D111" s="752"/>
    </row>
    <row r="112" spans="4:4" s="13" customFormat="1" x14ac:dyDescent="0.35">
      <c r="D112" s="752"/>
    </row>
    <row r="113" spans="4:4" s="13" customFormat="1" x14ac:dyDescent="0.35">
      <c r="D113" s="752"/>
    </row>
    <row r="114" spans="4:4" s="13" customFormat="1" x14ac:dyDescent="0.35">
      <c r="D114" s="752"/>
    </row>
    <row r="115" spans="4:4" s="13" customFormat="1" x14ac:dyDescent="0.35">
      <c r="D115" s="752"/>
    </row>
    <row r="116" spans="4:4" s="13" customFormat="1" x14ac:dyDescent="0.35">
      <c r="D116" s="752"/>
    </row>
    <row r="117" spans="4:4" s="13" customFormat="1" x14ac:dyDescent="0.35">
      <c r="D117" s="752"/>
    </row>
    <row r="118" spans="4:4" s="13" customFormat="1" x14ac:dyDescent="0.35">
      <c r="D118" s="752"/>
    </row>
    <row r="119" spans="4:4" s="13" customFormat="1" x14ac:dyDescent="0.35">
      <c r="D119" s="752"/>
    </row>
    <row r="120" spans="4:4" s="13" customFormat="1" x14ac:dyDescent="0.35">
      <c r="D120" s="752"/>
    </row>
    <row r="121" spans="4:4" s="13" customFormat="1" x14ac:dyDescent="0.35">
      <c r="D121" s="752"/>
    </row>
    <row r="122" spans="4:4" s="13" customFormat="1" x14ac:dyDescent="0.35">
      <c r="D122" s="752"/>
    </row>
    <row r="123" spans="4:4" s="13" customFormat="1" x14ac:dyDescent="0.35">
      <c r="D123" s="752"/>
    </row>
    <row r="124" spans="4:4" s="13" customFormat="1" x14ac:dyDescent="0.35">
      <c r="D124" s="752"/>
    </row>
    <row r="125" spans="4:4" s="13" customFormat="1" x14ac:dyDescent="0.35">
      <c r="D125" s="752"/>
    </row>
    <row r="126" spans="4:4" s="13" customFormat="1" x14ac:dyDescent="0.35">
      <c r="D126" s="752"/>
    </row>
    <row r="127" spans="4:4" s="13" customFormat="1" x14ac:dyDescent="0.35">
      <c r="D127" s="752"/>
    </row>
    <row r="128" spans="4:4" s="13" customFormat="1" x14ac:dyDescent="0.35">
      <c r="D128" s="752"/>
    </row>
    <row r="129" spans="4:4" s="13" customFormat="1" x14ac:dyDescent="0.35">
      <c r="D129" s="752"/>
    </row>
    <row r="130" spans="4:4" s="13" customFormat="1" x14ac:dyDescent="0.35">
      <c r="D130" s="752"/>
    </row>
    <row r="131" spans="4:4" s="13" customFormat="1" x14ac:dyDescent="0.35">
      <c r="D131" s="752"/>
    </row>
    <row r="132" spans="4:4" s="13" customFormat="1" x14ac:dyDescent="0.35">
      <c r="D132" s="752"/>
    </row>
    <row r="133" spans="4:4" s="13" customFormat="1" x14ac:dyDescent="0.35">
      <c r="D133" s="752"/>
    </row>
    <row r="134" spans="4:4" s="13" customFormat="1" x14ac:dyDescent="0.35">
      <c r="D134" s="752"/>
    </row>
    <row r="135" spans="4:4" s="13" customFormat="1" x14ac:dyDescent="0.35">
      <c r="D135" s="752"/>
    </row>
    <row r="136" spans="4:4" s="13" customFormat="1" x14ac:dyDescent="0.35">
      <c r="D136" s="752"/>
    </row>
    <row r="137" spans="4:4" s="13" customFormat="1" x14ac:dyDescent="0.35">
      <c r="D137" s="752"/>
    </row>
    <row r="138" spans="4:4" s="13" customFormat="1" x14ac:dyDescent="0.35">
      <c r="D138" s="752"/>
    </row>
    <row r="139" spans="4:4" s="13" customFormat="1" x14ac:dyDescent="0.35">
      <c r="D139" s="752"/>
    </row>
    <row r="140" spans="4:4" s="13" customFormat="1" x14ac:dyDescent="0.35">
      <c r="D140" s="752"/>
    </row>
    <row r="141" spans="4:4" s="13" customFormat="1" x14ac:dyDescent="0.35">
      <c r="D141" s="752"/>
    </row>
    <row r="142" spans="4:4" s="13" customFormat="1" x14ac:dyDescent="0.35">
      <c r="D142" s="752"/>
    </row>
    <row r="143" spans="4:4" s="13" customFormat="1" x14ac:dyDescent="0.35">
      <c r="D143" s="752"/>
    </row>
    <row r="144" spans="4:4" s="13" customFormat="1" x14ac:dyDescent="0.35">
      <c r="D144" s="752"/>
    </row>
    <row r="145" spans="4:4" s="13" customFormat="1" x14ac:dyDescent="0.35">
      <c r="D145" s="752"/>
    </row>
    <row r="146" spans="4:4" s="13" customFormat="1" x14ac:dyDescent="0.35">
      <c r="D146" s="752"/>
    </row>
    <row r="147" spans="4:4" s="13" customFormat="1" x14ac:dyDescent="0.35">
      <c r="D147" s="752"/>
    </row>
    <row r="148" spans="4:4" s="13" customFormat="1" x14ac:dyDescent="0.35">
      <c r="D148" s="752"/>
    </row>
    <row r="149" spans="4:4" s="13" customFormat="1" x14ac:dyDescent="0.35">
      <c r="D149" s="752"/>
    </row>
    <row r="150" spans="4:4" s="13" customFormat="1" x14ac:dyDescent="0.35">
      <c r="D150" s="752"/>
    </row>
    <row r="151" spans="4:4" s="13" customFormat="1" x14ac:dyDescent="0.35">
      <c r="D151" s="752"/>
    </row>
    <row r="152" spans="4:4" s="13" customFormat="1" x14ac:dyDescent="0.35">
      <c r="D152" s="752"/>
    </row>
    <row r="153" spans="4:4" s="13" customFormat="1" x14ac:dyDescent="0.35">
      <c r="D153" s="752"/>
    </row>
    <row r="154" spans="4:4" s="13" customFormat="1" x14ac:dyDescent="0.35">
      <c r="D154" s="752"/>
    </row>
    <row r="155" spans="4:4" s="13" customFormat="1" x14ac:dyDescent="0.35">
      <c r="D155" s="752"/>
    </row>
    <row r="156" spans="4:4" s="13" customFormat="1" x14ac:dyDescent="0.35">
      <c r="D156" s="752"/>
    </row>
    <row r="157" spans="4:4" s="13" customFormat="1" x14ac:dyDescent="0.35">
      <c r="D157" s="752"/>
    </row>
    <row r="158" spans="4:4" s="13" customFormat="1" x14ac:dyDescent="0.35">
      <c r="D158" s="752"/>
    </row>
    <row r="159" spans="4:4" s="13" customFormat="1" x14ac:dyDescent="0.35">
      <c r="D159" s="752"/>
    </row>
    <row r="160" spans="4:4" s="13" customFormat="1" x14ac:dyDescent="0.35">
      <c r="D160" s="752"/>
    </row>
    <row r="161" spans="4:4" s="13" customFormat="1" x14ac:dyDescent="0.35">
      <c r="D161" s="752"/>
    </row>
    <row r="162" spans="4:4" s="13" customFormat="1" x14ac:dyDescent="0.35">
      <c r="D162" s="752"/>
    </row>
    <row r="163" spans="4:4" s="13" customFormat="1" x14ac:dyDescent="0.35">
      <c r="D163" s="752"/>
    </row>
    <row r="164" spans="4:4" s="13" customFormat="1" x14ac:dyDescent="0.35">
      <c r="D164" s="752"/>
    </row>
    <row r="165" spans="4:4" s="13" customFormat="1" x14ac:dyDescent="0.35">
      <c r="D165" s="752"/>
    </row>
    <row r="166" spans="4:4" s="13" customFormat="1" x14ac:dyDescent="0.35">
      <c r="D166" s="752"/>
    </row>
    <row r="167" spans="4:4" s="13" customFormat="1" x14ac:dyDescent="0.35">
      <c r="D167" s="752"/>
    </row>
    <row r="168" spans="4:4" s="13" customFormat="1" x14ac:dyDescent="0.35">
      <c r="D168" s="752"/>
    </row>
    <row r="169" spans="4:4" s="13" customFormat="1" x14ac:dyDescent="0.35">
      <c r="D169" s="752"/>
    </row>
    <row r="170" spans="4:4" s="13" customFormat="1" x14ac:dyDescent="0.35">
      <c r="D170" s="752"/>
    </row>
    <row r="171" spans="4:4" s="13" customFormat="1" x14ac:dyDescent="0.35">
      <c r="D171" s="752"/>
    </row>
    <row r="172" spans="4:4" s="13" customFormat="1" x14ac:dyDescent="0.35">
      <c r="D172" s="752"/>
    </row>
    <row r="173" spans="4:4" s="13" customFormat="1" x14ac:dyDescent="0.35">
      <c r="D173" s="752"/>
    </row>
    <row r="174" spans="4:4" s="13" customFormat="1" x14ac:dyDescent="0.35">
      <c r="D174" s="752"/>
    </row>
    <row r="175" spans="4:4" s="13" customFormat="1" x14ac:dyDescent="0.35">
      <c r="D175" s="752"/>
    </row>
    <row r="176" spans="4:4" s="13" customFormat="1" x14ac:dyDescent="0.35">
      <c r="D176" s="752"/>
    </row>
    <row r="177" spans="4:4" s="13" customFormat="1" x14ac:dyDescent="0.35">
      <c r="D177" s="752"/>
    </row>
    <row r="178" spans="4:4" s="13" customFormat="1" x14ac:dyDescent="0.35">
      <c r="D178" s="752"/>
    </row>
    <row r="179" spans="4:4" s="13" customFormat="1" x14ac:dyDescent="0.35">
      <c r="D179" s="752"/>
    </row>
    <row r="180" spans="4:4" s="13" customFormat="1" x14ac:dyDescent="0.35">
      <c r="D180" s="752"/>
    </row>
    <row r="181" spans="4:4" s="13" customFormat="1" x14ac:dyDescent="0.35">
      <c r="D181" s="752"/>
    </row>
    <row r="182" spans="4:4" s="13" customFormat="1" x14ac:dyDescent="0.35">
      <c r="D182" s="752"/>
    </row>
    <row r="183" spans="4:4" s="13" customFormat="1" x14ac:dyDescent="0.35">
      <c r="D183" s="752"/>
    </row>
    <row r="184" spans="4:4" s="13" customFormat="1" x14ac:dyDescent="0.35">
      <c r="D184" s="752"/>
    </row>
    <row r="185" spans="4:4" s="13" customFormat="1" x14ac:dyDescent="0.35">
      <c r="D185" s="752"/>
    </row>
    <row r="186" spans="4:4" s="13" customFormat="1" x14ac:dyDescent="0.35">
      <c r="D186" s="752"/>
    </row>
    <row r="187" spans="4:4" s="13" customFormat="1" x14ac:dyDescent="0.35">
      <c r="D187" s="752"/>
    </row>
    <row r="188" spans="4:4" s="13" customFormat="1" x14ac:dyDescent="0.35">
      <c r="D188" s="752"/>
    </row>
    <row r="189" spans="4:4" s="13" customFormat="1" x14ac:dyDescent="0.35">
      <c r="D189" s="752"/>
    </row>
    <row r="190" spans="4:4" s="13" customFormat="1" x14ac:dyDescent="0.35">
      <c r="D190" s="752"/>
    </row>
    <row r="191" spans="4:4" s="13" customFormat="1" x14ac:dyDescent="0.35">
      <c r="D191" s="752"/>
    </row>
    <row r="192" spans="4:4" s="13" customFormat="1" x14ac:dyDescent="0.35">
      <c r="D192" s="752"/>
    </row>
    <row r="193" spans="4:4" s="13" customFormat="1" x14ac:dyDescent="0.35">
      <c r="D193" s="752"/>
    </row>
    <row r="194" spans="4:4" s="13" customFormat="1" x14ac:dyDescent="0.35">
      <c r="D194" s="752"/>
    </row>
    <row r="195" spans="4:4" s="13" customFormat="1" x14ac:dyDescent="0.35">
      <c r="D195" s="752"/>
    </row>
    <row r="196" spans="4:4" s="13" customFormat="1" x14ac:dyDescent="0.35">
      <c r="D196" s="752"/>
    </row>
    <row r="197" spans="4:4" s="13" customFormat="1" x14ac:dyDescent="0.35">
      <c r="D197" s="752"/>
    </row>
    <row r="198" spans="4:4" s="13" customFormat="1" x14ac:dyDescent="0.35">
      <c r="D198" s="752"/>
    </row>
    <row r="199" spans="4:4" s="13" customFormat="1" x14ac:dyDescent="0.35">
      <c r="D199" s="752"/>
    </row>
    <row r="200" spans="4:4" s="13" customFormat="1" x14ac:dyDescent="0.35">
      <c r="D200" s="752"/>
    </row>
    <row r="201" spans="4:4" s="13" customFormat="1" x14ac:dyDescent="0.35">
      <c r="D201" s="752"/>
    </row>
    <row r="202" spans="4:4" s="13" customFormat="1" x14ac:dyDescent="0.35">
      <c r="D202" s="752"/>
    </row>
    <row r="203" spans="4:4" s="13" customFormat="1" x14ac:dyDescent="0.35">
      <c r="D203" s="752"/>
    </row>
    <row r="204" spans="4:4" s="13" customFormat="1" x14ac:dyDescent="0.35">
      <c r="D204" s="752"/>
    </row>
    <row r="205" spans="4:4" s="13" customFormat="1" x14ac:dyDescent="0.35">
      <c r="D205" s="752"/>
    </row>
    <row r="206" spans="4:4" s="13" customFormat="1" x14ac:dyDescent="0.35">
      <c r="D206" s="752"/>
    </row>
    <row r="207" spans="4:4" s="13" customFormat="1" x14ac:dyDescent="0.35">
      <c r="D207" s="752"/>
    </row>
    <row r="208" spans="4:4" s="13" customFormat="1" x14ac:dyDescent="0.35">
      <c r="D208" s="752"/>
    </row>
    <row r="209" spans="4:4" s="13" customFormat="1" x14ac:dyDescent="0.35">
      <c r="D209" s="752"/>
    </row>
    <row r="210" spans="4:4" s="13" customFormat="1" x14ac:dyDescent="0.35">
      <c r="D210" s="752"/>
    </row>
    <row r="211" spans="4:4" s="13" customFormat="1" x14ac:dyDescent="0.35">
      <c r="D211" s="752"/>
    </row>
    <row r="212" spans="4:4" s="13" customFormat="1" x14ac:dyDescent="0.35">
      <c r="D212" s="752"/>
    </row>
    <row r="213" spans="4:4" s="13" customFormat="1" x14ac:dyDescent="0.35">
      <c r="D213" s="752"/>
    </row>
    <row r="214" spans="4:4" s="13" customFormat="1" x14ac:dyDescent="0.35">
      <c r="D214" s="752"/>
    </row>
    <row r="215" spans="4:4" s="13" customFormat="1" x14ac:dyDescent="0.35">
      <c r="D215" s="752"/>
    </row>
    <row r="216" spans="4:4" s="13" customFormat="1" x14ac:dyDescent="0.35">
      <c r="D216" s="752"/>
    </row>
    <row r="217" spans="4:4" s="13" customFormat="1" x14ac:dyDescent="0.35">
      <c r="D217" s="752"/>
    </row>
    <row r="218" spans="4:4" s="13" customFormat="1" x14ac:dyDescent="0.35">
      <c r="D218" s="752"/>
    </row>
    <row r="219" spans="4:4" s="13" customFormat="1" x14ac:dyDescent="0.35">
      <c r="D219" s="752"/>
    </row>
    <row r="220" spans="4:4" s="13" customFormat="1" x14ac:dyDescent="0.35">
      <c r="D220" s="752"/>
    </row>
    <row r="221" spans="4:4" s="13" customFormat="1" x14ac:dyDescent="0.35">
      <c r="D221" s="752"/>
    </row>
    <row r="222" spans="4:4" s="13" customFormat="1" x14ac:dyDescent="0.35">
      <c r="D222" s="752"/>
    </row>
    <row r="223" spans="4:4" s="13" customFormat="1" x14ac:dyDescent="0.35">
      <c r="D223" s="752"/>
    </row>
    <row r="224" spans="4:4" s="13" customFormat="1" x14ac:dyDescent="0.35">
      <c r="D224" s="752"/>
    </row>
    <row r="225" spans="4:4" s="13" customFormat="1" x14ac:dyDescent="0.35">
      <c r="D225" s="752"/>
    </row>
    <row r="226" spans="4:4" s="13" customFormat="1" x14ac:dyDescent="0.35">
      <c r="D226" s="752"/>
    </row>
    <row r="227" spans="4:4" s="13" customFormat="1" x14ac:dyDescent="0.35">
      <c r="D227" s="752"/>
    </row>
    <row r="228" spans="4:4" s="13" customFormat="1" x14ac:dyDescent="0.35">
      <c r="D228" s="752"/>
    </row>
    <row r="229" spans="4:4" s="13" customFormat="1" x14ac:dyDescent="0.35">
      <c r="D229" s="752"/>
    </row>
    <row r="230" spans="4:4" s="13" customFormat="1" x14ac:dyDescent="0.35">
      <c r="D230" s="752"/>
    </row>
    <row r="231" spans="4:4" s="13" customFormat="1" x14ac:dyDescent="0.35">
      <c r="D231" s="752"/>
    </row>
    <row r="232" spans="4:4" s="13" customFormat="1" x14ac:dyDescent="0.35">
      <c r="D232" s="752"/>
    </row>
    <row r="233" spans="4:4" s="13" customFormat="1" x14ac:dyDescent="0.35">
      <c r="D233" s="752"/>
    </row>
    <row r="234" spans="4:4" s="13" customFormat="1" x14ac:dyDescent="0.35">
      <c r="D234" s="752"/>
    </row>
    <row r="235" spans="4:4" s="13" customFormat="1" x14ac:dyDescent="0.35">
      <c r="D235" s="752"/>
    </row>
    <row r="236" spans="4:4" s="13" customFormat="1" x14ac:dyDescent="0.35">
      <c r="D236" s="752"/>
    </row>
    <row r="237" spans="4:4" s="13" customFormat="1" x14ac:dyDescent="0.35">
      <c r="D237" s="752"/>
    </row>
    <row r="238" spans="4:4" s="13" customFormat="1" x14ac:dyDescent="0.35">
      <c r="D238" s="752"/>
    </row>
    <row r="239" spans="4:4" s="13" customFormat="1" x14ac:dyDescent="0.35">
      <c r="D239" s="752"/>
    </row>
    <row r="240" spans="4:4" s="13" customFormat="1" x14ac:dyDescent="0.35">
      <c r="D240" s="752"/>
    </row>
    <row r="241" spans="4:4" s="13" customFormat="1" x14ac:dyDescent="0.35">
      <c r="D241" s="752"/>
    </row>
    <row r="242" spans="4:4" s="13" customFormat="1" x14ac:dyDescent="0.35">
      <c r="D242" s="752"/>
    </row>
    <row r="243" spans="4:4" s="13" customFormat="1" x14ac:dyDescent="0.35">
      <c r="D243" s="752"/>
    </row>
    <row r="244" spans="4:4" s="13" customFormat="1" x14ac:dyDescent="0.35">
      <c r="D244" s="752"/>
    </row>
    <row r="245" spans="4:4" s="13" customFormat="1" x14ac:dyDescent="0.35">
      <c r="D245" s="752"/>
    </row>
    <row r="246" spans="4:4" s="13" customFormat="1" x14ac:dyDescent="0.35">
      <c r="D246" s="752"/>
    </row>
    <row r="247" spans="4:4" s="13" customFormat="1" x14ac:dyDescent="0.35">
      <c r="D247" s="752"/>
    </row>
    <row r="248" spans="4:4" s="13" customFormat="1" x14ac:dyDescent="0.35">
      <c r="D248" s="752"/>
    </row>
    <row r="249" spans="4:4" s="13" customFormat="1" x14ac:dyDescent="0.35">
      <c r="D249" s="752"/>
    </row>
    <row r="250" spans="4:4" s="13" customFormat="1" x14ac:dyDescent="0.35">
      <c r="D250" s="752"/>
    </row>
    <row r="251" spans="4:4" s="13" customFormat="1" x14ac:dyDescent="0.35">
      <c r="D251" s="752"/>
    </row>
    <row r="252" spans="4:4" s="13" customFormat="1" x14ac:dyDescent="0.35">
      <c r="D252" s="752"/>
    </row>
    <row r="253" spans="4:4" s="13" customFormat="1" x14ac:dyDescent="0.35">
      <c r="D253" s="752"/>
    </row>
    <row r="254" spans="4:4" s="13" customFormat="1" x14ac:dyDescent="0.35">
      <c r="D254" s="752"/>
    </row>
    <row r="255" spans="4:4" s="13" customFormat="1" x14ac:dyDescent="0.35">
      <c r="D255" s="752"/>
    </row>
    <row r="256" spans="4:4" s="13" customFormat="1" x14ac:dyDescent="0.35">
      <c r="D256" s="752"/>
    </row>
    <row r="257" spans="4:4" s="13" customFormat="1" x14ac:dyDescent="0.35">
      <c r="D257" s="752"/>
    </row>
    <row r="258" spans="4:4" s="13" customFormat="1" x14ac:dyDescent="0.35">
      <c r="D258" s="752"/>
    </row>
    <row r="259" spans="4:4" s="13" customFormat="1" x14ac:dyDescent="0.35">
      <c r="D259" s="752"/>
    </row>
    <row r="260" spans="4:4" s="13" customFormat="1" x14ac:dyDescent="0.35">
      <c r="D260" s="752"/>
    </row>
    <row r="261" spans="4:4" s="13" customFormat="1" x14ac:dyDescent="0.35">
      <c r="D261" s="752"/>
    </row>
    <row r="262" spans="4:4" s="13" customFormat="1" x14ac:dyDescent="0.35">
      <c r="D262" s="752"/>
    </row>
    <row r="263" spans="4:4" s="13" customFormat="1" x14ac:dyDescent="0.35">
      <c r="D263" s="752"/>
    </row>
    <row r="264" spans="4:4" s="13" customFormat="1" x14ac:dyDescent="0.35">
      <c r="D264" s="752"/>
    </row>
    <row r="265" spans="4:4" s="13" customFormat="1" x14ac:dyDescent="0.35">
      <c r="D265" s="752"/>
    </row>
    <row r="266" spans="4:4" s="13" customFormat="1" x14ac:dyDescent="0.35">
      <c r="D266" s="752"/>
    </row>
    <row r="267" spans="4:4" s="13" customFormat="1" x14ac:dyDescent="0.35">
      <c r="D267" s="752"/>
    </row>
    <row r="268" spans="4:4" s="13" customFormat="1" x14ac:dyDescent="0.35">
      <c r="D268" s="752"/>
    </row>
    <row r="269" spans="4:4" s="13" customFormat="1" x14ac:dyDescent="0.35">
      <c r="D269" s="752"/>
    </row>
    <row r="270" spans="4:4" s="13" customFormat="1" x14ac:dyDescent="0.35">
      <c r="D270" s="752"/>
    </row>
    <row r="271" spans="4:4" s="13" customFormat="1" x14ac:dyDescent="0.35">
      <c r="D271" s="752"/>
    </row>
    <row r="272" spans="4:4" s="13" customFormat="1" x14ac:dyDescent="0.35">
      <c r="D272" s="752"/>
    </row>
    <row r="273" spans="4:4" s="13" customFormat="1" x14ac:dyDescent="0.35">
      <c r="D273" s="752"/>
    </row>
    <row r="274" spans="4:4" s="13" customFormat="1" x14ac:dyDescent="0.35">
      <c r="D274" s="752"/>
    </row>
    <row r="275" spans="4:4" s="13" customFormat="1" x14ac:dyDescent="0.35">
      <c r="D275" s="752"/>
    </row>
    <row r="276" spans="4:4" s="13" customFormat="1" x14ac:dyDescent="0.35">
      <c r="D276" s="752"/>
    </row>
    <row r="277" spans="4:4" s="13" customFormat="1" x14ac:dyDescent="0.35">
      <c r="D277" s="752"/>
    </row>
    <row r="278" spans="4:4" s="13" customFormat="1" x14ac:dyDescent="0.35">
      <c r="D278" s="752"/>
    </row>
    <row r="279" spans="4:4" s="13" customFormat="1" x14ac:dyDescent="0.35">
      <c r="D279" s="752"/>
    </row>
    <row r="280" spans="4:4" s="13" customFormat="1" x14ac:dyDescent="0.35">
      <c r="D280" s="752"/>
    </row>
    <row r="281" spans="4:4" s="13" customFormat="1" x14ac:dyDescent="0.35">
      <c r="D281" s="752"/>
    </row>
    <row r="282" spans="4:4" s="13" customFormat="1" x14ac:dyDescent="0.35">
      <c r="D282" s="752"/>
    </row>
    <row r="283" spans="4:4" s="13" customFormat="1" x14ac:dyDescent="0.35">
      <c r="D283" s="752"/>
    </row>
    <row r="284" spans="4:4" s="13" customFormat="1" x14ac:dyDescent="0.35">
      <c r="D284" s="752"/>
    </row>
    <row r="285" spans="4:4" s="13" customFormat="1" x14ac:dyDescent="0.35">
      <c r="D285" s="752"/>
    </row>
    <row r="286" spans="4:4" s="13" customFormat="1" x14ac:dyDescent="0.35">
      <c r="D286" s="752"/>
    </row>
    <row r="287" spans="4:4" s="13" customFormat="1" x14ac:dyDescent="0.35">
      <c r="D287" s="752"/>
    </row>
    <row r="288" spans="4:4" s="13" customFormat="1" x14ac:dyDescent="0.35">
      <c r="D288" s="752"/>
    </row>
    <row r="289" spans="4:4" s="13" customFormat="1" x14ac:dyDescent="0.35">
      <c r="D289" s="752"/>
    </row>
    <row r="290" spans="4:4" s="13" customFormat="1" x14ac:dyDescent="0.35">
      <c r="D290" s="752"/>
    </row>
    <row r="291" spans="4:4" s="13" customFormat="1" x14ac:dyDescent="0.35">
      <c r="D291" s="752"/>
    </row>
    <row r="292" spans="4:4" s="13" customFormat="1" x14ac:dyDescent="0.35">
      <c r="D292" s="752"/>
    </row>
    <row r="293" spans="4:4" s="13" customFormat="1" x14ac:dyDescent="0.35">
      <c r="D293" s="752"/>
    </row>
    <row r="294" spans="4:4" s="13" customFormat="1" x14ac:dyDescent="0.35">
      <c r="D294" s="752"/>
    </row>
    <row r="295" spans="4:4" s="13" customFormat="1" x14ac:dyDescent="0.35">
      <c r="D295" s="752"/>
    </row>
    <row r="296" spans="4:4" s="13" customFormat="1" x14ac:dyDescent="0.35">
      <c r="D296" s="752"/>
    </row>
    <row r="297" spans="4:4" s="13" customFormat="1" x14ac:dyDescent="0.35">
      <c r="D297" s="752"/>
    </row>
    <row r="298" spans="4:4" s="13" customFormat="1" x14ac:dyDescent="0.35">
      <c r="D298" s="752"/>
    </row>
    <row r="299" spans="4:4" s="13" customFormat="1" x14ac:dyDescent="0.35">
      <c r="D299" s="752"/>
    </row>
    <row r="300" spans="4:4" s="13" customFormat="1" x14ac:dyDescent="0.35">
      <c r="D300" s="752"/>
    </row>
    <row r="301" spans="4:4" s="13" customFormat="1" x14ac:dyDescent="0.35">
      <c r="D301" s="752"/>
    </row>
    <row r="302" spans="4:4" s="13" customFormat="1" x14ac:dyDescent="0.35">
      <c r="D302" s="752"/>
    </row>
    <row r="303" spans="4:4" s="13" customFormat="1" x14ac:dyDescent="0.35">
      <c r="D303" s="752"/>
    </row>
    <row r="304" spans="4:4" s="13" customFormat="1" x14ac:dyDescent="0.35">
      <c r="D304" s="752"/>
    </row>
    <row r="305" spans="4:4" s="13" customFormat="1" x14ac:dyDescent="0.35">
      <c r="D305" s="752"/>
    </row>
    <row r="306" spans="4:4" s="13" customFormat="1" x14ac:dyDescent="0.35">
      <c r="D306" s="752"/>
    </row>
    <row r="307" spans="4:4" s="13" customFormat="1" x14ac:dyDescent="0.35">
      <c r="D307" s="752"/>
    </row>
    <row r="308" spans="4:4" s="13" customFormat="1" x14ac:dyDescent="0.35">
      <c r="D308" s="752"/>
    </row>
    <row r="309" spans="4:4" s="13" customFormat="1" x14ac:dyDescent="0.35">
      <c r="D309" s="752"/>
    </row>
    <row r="310" spans="4:4" s="13" customFormat="1" x14ac:dyDescent="0.35">
      <c r="D310" s="752"/>
    </row>
    <row r="311" spans="4:4" s="13" customFormat="1" x14ac:dyDescent="0.35">
      <c r="D311" s="752"/>
    </row>
    <row r="312" spans="4:4" s="13" customFormat="1" x14ac:dyDescent="0.35">
      <c r="D312" s="752"/>
    </row>
    <row r="313" spans="4:4" s="13" customFormat="1" x14ac:dyDescent="0.35">
      <c r="D313" s="752"/>
    </row>
    <row r="314" spans="4:4" s="13" customFormat="1" x14ac:dyDescent="0.35">
      <c r="D314" s="752"/>
    </row>
    <row r="315" spans="4:4" s="13" customFormat="1" x14ac:dyDescent="0.35">
      <c r="D315" s="752"/>
    </row>
    <row r="316" spans="4:4" s="13" customFormat="1" x14ac:dyDescent="0.35">
      <c r="D316" s="752"/>
    </row>
    <row r="317" spans="4:4" s="13" customFormat="1" x14ac:dyDescent="0.35">
      <c r="D317" s="752"/>
    </row>
    <row r="318" spans="4:4" s="13" customFormat="1" x14ac:dyDescent="0.35">
      <c r="D318" s="752"/>
    </row>
    <row r="319" spans="4:4" s="13" customFormat="1" x14ac:dyDescent="0.35">
      <c r="D319" s="752"/>
    </row>
    <row r="320" spans="4:4" s="13" customFormat="1" x14ac:dyDescent="0.35">
      <c r="D320" s="752"/>
    </row>
    <row r="321" spans="4:4" s="13" customFormat="1" x14ac:dyDescent="0.35">
      <c r="D321" s="752"/>
    </row>
    <row r="322" spans="4:4" s="13" customFormat="1" x14ac:dyDescent="0.35">
      <c r="D322" s="752"/>
    </row>
    <row r="323" spans="4:4" s="13" customFormat="1" x14ac:dyDescent="0.35">
      <c r="D323" s="752"/>
    </row>
    <row r="324" spans="4:4" s="13" customFormat="1" x14ac:dyDescent="0.35">
      <c r="D324" s="752"/>
    </row>
    <row r="325" spans="4:4" s="13" customFormat="1" x14ac:dyDescent="0.35">
      <c r="D325" s="752"/>
    </row>
    <row r="326" spans="4:4" s="13" customFormat="1" x14ac:dyDescent="0.35">
      <c r="D326" s="752"/>
    </row>
    <row r="327" spans="4:4" s="13" customFormat="1" x14ac:dyDescent="0.35">
      <c r="D327" s="752"/>
    </row>
    <row r="328" spans="4:4" s="13" customFormat="1" x14ac:dyDescent="0.35">
      <c r="D328" s="752"/>
    </row>
    <row r="329" spans="4:4" s="13" customFormat="1" x14ac:dyDescent="0.35">
      <c r="D329" s="752"/>
    </row>
    <row r="330" spans="4:4" s="13" customFormat="1" x14ac:dyDescent="0.35">
      <c r="D330" s="752"/>
    </row>
    <row r="331" spans="4:4" s="13" customFormat="1" x14ac:dyDescent="0.35">
      <c r="D331" s="752"/>
    </row>
    <row r="332" spans="4:4" s="13" customFormat="1" x14ac:dyDescent="0.35">
      <c r="D332" s="752"/>
    </row>
    <row r="333" spans="4:4" s="13" customFormat="1" x14ac:dyDescent="0.35">
      <c r="D333" s="752"/>
    </row>
    <row r="334" spans="4:4" s="13" customFormat="1" x14ac:dyDescent="0.35">
      <c r="D334" s="752"/>
    </row>
    <row r="335" spans="4:4" s="13" customFormat="1" x14ac:dyDescent="0.35">
      <c r="D335" s="752"/>
    </row>
    <row r="336" spans="4:4" s="13" customFormat="1" x14ac:dyDescent="0.35">
      <c r="D336" s="752"/>
    </row>
    <row r="337" spans="4:4" s="13" customFormat="1" x14ac:dyDescent="0.35">
      <c r="D337" s="752"/>
    </row>
    <row r="338" spans="4:4" s="13" customFormat="1" x14ac:dyDescent="0.35">
      <c r="D338" s="752"/>
    </row>
    <row r="339" spans="4:4" s="13" customFormat="1" x14ac:dyDescent="0.35">
      <c r="D339" s="752"/>
    </row>
    <row r="340" spans="4:4" s="13" customFormat="1" x14ac:dyDescent="0.35">
      <c r="D340" s="752"/>
    </row>
    <row r="341" spans="4:4" s="13" customFormat="1" x14ac:dyDescent="0.35">
      <c r="D341" s="752"/>
    </row>
    <row r="342" spans="4:4" s="13" customFormat="1" x14ac:dyDescent="0.35">
      <c r="D342" s="752"/>
    </row>
    <row r="343" spans="4:4" s="13" customFormat="1" x14ac:dyDescent="0.35">
      <c r="D343" s="752"/>
    </row>
    <row r="344" spans="4:4" s="13" customFormat="1" x14ac:dyDescent="0.35">
      <c r="D344" s="752"/>
    </row>
    <row r="345" spans="4:4" s="13" customFormat="1" x14ac:dyDescent="0.35">
      <c r="D345" s="752"/>
    </row>
    <row r="346" spans="4:4" s="13" customFormat="1" x14ac:dyDescent="0.35">
      <c r="D346" s="752"/>
    </row>
    <row r="347" spans="4:4" s="13" customFormat="1" x14ac:dyDescent="0.35">
      <c r="D347" s="752"/>
    </row>
    <row r="348" spans="4:4" s="13" customFormat="1" x14ac:dyDescent="0.35">
      <c r="D348" s="752"/>
    </row>
    <row r="349" spans="4:4" s="13" customFormat="1" x14ac:dyDescent="0.35">
      <c r="D349" s="752"/>
    </row>
    <row r="350" spans="4:4" s="13" customFormat="1" x14ac:dyDescent="0.35">
      <c r="D350" s="752"/>
    </row>
    <row r="351" spans="4:4" s="13" customFormat="1" x14ac:dyDescent="0.35">
      <c r="D351" s="752"/>
    </row>
    <row r="352" spans="4:4" s="13" customFormat="1" x14ac:dyDescent="0.35">
      <c r="D352" s="752"/>
    </row>
    <row r="353" spans="4:4" s="13" customFormat="1" x14ac:dyDescent="0.35">
      <c r="D353" s="752"/>
    </row>
    <row r="354" spans="4:4" s="13" customFormat="1" x14ac:dyDescent="0.35">
      <c r="D354" s="752"/>
    </row>
    <row r="355" spans="4:4" s="13" customFormat="1" x14ac:dyDescent="0.35">
      <c r="D355" s="752"/>
    </row>
    <row r="356" spans="4:4" s="13" customFormat="1" x14ac:dyDescent="0.35">
      <c r="D356" s="752"/>
    </row>
    <row r="357" spans="4:4" s="13" customFormat="1" x14ac:dyDescent="0.35">
      <c r="D357" s="752"/>
    </row>
    <row r="358" spans="4:4" s="13" customFormat="1" x14ac:dyDescent="0.35">
      <c r="D358" s="752"/>
    </row>
    <row r="359" spans="4:4" s="13" customFormat="1" x14ac:dyDescent="0.35">
      <c r="D359" s="752"/>
    </row>
    <row r="360" spans="4:4" s="13" customFormat="1" x14ac:dyDescent="0.35">
      <c r="D360" s="752"/>
    </row>
    <row r="361" spans="4:4" s="13" customFormat="1" x14ac:dyDescent="0.35">
      <c r="D361" s="752"/>
    </row>
    <row r="362" spans="4:4" s="13" customFormat="1" x14ac:dyDescent="0.35">
      <c r="D362" s="752"/>
    </row>
    <row r="363" spans="4:4" s="13" customFormat="1" x14ac:dyDescent="0.35">
      <c r="D363" s="752"/>
    </row>
    <row r="364" spans="4:4" s="13" customFormat="1" x14ac:dyDescent="0.35">
      <c r="D364" s="752"/>
    </row>
    <row r="365" spans="4:4" s="13" customFormat="1" x14ac:dyDescent="0.35">
      <c r="D365" s="752"/>
    </row>
    <row r="366" spans="4:4" s="13" customFormat="1" x14ac:dyDescent="0.35">
      <c r="D366" s="752"/>
    </row>
    <row r="367" spans="4:4" s="13" customFormat="1" x14ac:dyDescent="0.35">
      <c r="D367" s="752"/>
    </row>
    <row r="368" spans="4:4" s="13" customFormat="1" x14ac:dyDescent="0.35">
      <c r="D368" s="752"/>
    </row>
    <row r="369" spans="4:4" s="13" customFormat="1" x14ac:dyDescent="0.35">
      <c r="D369" s="752"/>
    </row>
    <row r="370" spans="4:4" s="13" customFormat="1" x14ac:dyDescent="0.35">
      <c r="D370" s="752"/>
    </row>
    <row r="371" spans="4:4" s="13" customFormat="1" x14ac:dyDescent="0.35">
      <c r="D371" s="752"/>
    </row>
    <row r="372" spans="4:4" s="13" customFormat="1" x14ac:dyDescent="0.35">
      <c r="D372" s="752"/>
    </row>
    <row r="373" spans="4:4" s="13" customFormat="1" x14ac:dyDescent="0.35">
      <c r="D373" s="752"/>
    </row>
    <row r="374" spans="4:4" s="13" customFormat="1" x14ac:dyDescent="0.35">
      <c r="D374" s="752"/>
    </row>
    <row r="375" spans="4:4" s="13" customFormat="1" x14ac:dyDescent="0.35">
      <c r="D375" s="752"/>
    </row>
    <row r="376" spans="4:4" s="13" customFormat="1" x14ac:dyDescent="0.35">
      <c r="D376" s="752"/>
    </row>
    <row r="377" spans="4:4" s="13" customFormat="1" x14ac:dyDescent="0.35">
      <c r="D377" s="752"/>
    </row>
    <row r="378" spans="4:4" s="13" customFormat="1" x14ac:dyDescent="0.35">
      <c r="D378" s="752"/>
    </row>
  </sheetData>
  <pageMargins left="0.7" right="0.7" top="0.75" bottom="0.75" header="0.51180555555555496" footer="0.51180555555555496"/>
  <pageSetup paperSize="9" firstPageNumber="0"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Q24"/>
  <sheetViews>
    <sheetView topLeftCell="A7" workbookViewId="0">
      <selection activeCell="B19" sqref="B19"/>
    </sheetView>
  </sheetViews>
  <sheetFormatPr defaultRowHeight="14.5" x14ac:dyDescent="0.35"/>
  <cols>
    <col min="2" max="2" width="100.81640625" bestFit="1" customWidth="1"/>
    <col min="15" max="15" width="15.453125" customWidth="1"/>
  </cols>
  <sheetData>
    <row r="1" spans="1:17" x14ac:dyDescent="0.35">
      <c r="A1" t="s">
        <v>2144</v>
      </c>
    </row>
    <row r="2" spans="1:17" x14ac:dyDescent="0.35">
      <c r="A2" s="155">
        <v>43527</v>
      </c>
      <c r="B2" s="65" t="s">
        <v>2485</v>
      </c>
      <c r="C2" s="65" t="s">
        <v>1598</v>
      </c>
      <c r="D2" s="65" t="s">
        <v>15</v>
      </c>
      <c r="E2" s="65" t="s">
        <v>2487</v>
      </c>
      <c r="F2" s="174">
        <v>43532</v>
      </c>
      <c r="G2" s="177">
        <v>0.33333333333333298</v>
      </c>
      <c r="H2" s="65" t="s">
        <v>2486</v>
      </c>
      <c r="I2" s="476">
        <v>144</v>
      </c>
      <c r="J2" s="1352" t="s">
        <v>2482</v>
      </c>
      <c r="K2" s="403" t="s">
        <v>2177</v>
      </c>
      <c r="L2" s="65" t="s">
        <v>15</v>
      </c>
      <c r="M2" s="154" t="s">
        <v>15</v>
      </c>
    </row>
    <row r="3" spans="1:17" x14ac:dyDescent="0.35">
      <c r="A3" s="155">
        <v>43527</v>
      </c>
      <c r="B3" s="65" t="s">
        <v>2485</v>
      </c>
      <c r="C3" s="65" t="s">
        <v>1598</v>
      </c>
      <c r="D3" s="65" t="s">
        <v>15</v>
      </c>
      <c r="E3" s="65" t="s">
        <v>2484</v>
      </c>
      <c r="F3" s="174">
        <v>43532</v>
      </c>
      <c r="G3" s="177">
        <v>0.33333333333333298</v>
      </c>
      <c r="H3" s="65" t="s">
        <v>2483</v>
      </c>
      <c r="I3" s="213">
        <v>144</v>
      </c>
      <c r="J3" s="1353" t="s">
        <v>2482</v>
      </c>
      <c r="K3" s="403" t="s">
        <v>2177</v>
      </c>
      <c r="L3" s="65" t="s">
        <v>15</v>
      </c>
      <c r="M3" s="154" t="s">
        <v>15</v>
      </c>
      <c r="O3" s="1366" t="s">
        <v>4457</v>
      </c>
      <c r="P3" s="1366" t="s">
        <v>4458</v>
      </c>
      <c r="Q3" s="1365"/>
    </row>
    <row r="4" spans="1:17" x14ac:dyDescent="0.35">
      <c r="A4" s="155">
        <v>43535</v>
      </c>
      <c r="B4" s="65" t="s">
        <v>2369</v>
      </c>
      <c r="C4" s="65">
        <v>732992727</v>
      </c>
      <c r="D4" s="65" t="s">
        <v>15</v>
      </c>
      <c r="E4" s="65" t="s">
        <v>2368</v>
      </c>
      <c r="F4" s="125">
        <v>43536</v>
      </c>
      <c r="G4" s="177">
        <v>0.45833333333333298</v>
      </c>
      <c r="H4" s="65" t="s">
        <v>2367</v>
      </c>
      <c r="I4" s="213">
        <v>166.25</v>
      </c>
      <c r="J4" s="1354" t="s">
        <v>257</v>
      </c>
      <c r="K4" s="403" t="s">
        <v>2177</v>
      </c>
      <c r="L4" s="65" t="s">
        <v>17</v>
      </c>
      <c r="M4" s="154" t="s">
        <v>17</v>
      </c>
      <c r="O4" s="1367" t="s">
        <v>4460</v>
      </c>
      <c r="P4" s="1368">
        <v>5082</v>
      </c>
      <c r="Q4" s="1365"/>
    </row>
    <row r="5" spans="1:17" x14ac:dyDescent="0.35">
      <c r="A5" s="155">
        <v>43535</v>
      </c>
      <c r="B5" s="65" t="s">
        <v>2365</v>
      </c>
      <c r="C5" s="65">
        <v>722450598</v>
      </c>
      <c r="D5" s="65" t="s">
        <v>15</v>
      </c>
      <c r="E5" s="65" t="s">
        <v>2364</v>
      </c>
      <c r="F5" s="125">
        <v>43536</v>
      </c>
      <c r="G5" s="177">
        <v>0.45833333333333298</v>
      </c>
      <c r="H5" s="65" t="s">
        <v>2363</v>
      </c>
      <c r="I5" s="213">
        <v>268.2</v>
      </c>
      <c r="J5" s="1353" t="s">
        <v>2362</v>
      </c>
      <c r="K5" s="403" t="s">
        <v>2177</v>
      </c>
      <c r="L5" s="65" t="s">
        <v>17</v>
      </c>
      <c r="M5" s="154" t="s">
        <v>17</v>
      </c>
      <c r="O5" s="1367" t="s">
        <v>2148</v>
      </c>
      <c r="P5" s="1368">
        <v>0</v>
      </c>
      <c r="Q5" s="1365"/>
    </row>
    <row r="6" spans="1:17" x14ac:dyDescent="0.35">
      <c r="A6" s="455">
        <v>43538</v>
      </c>
      <c r="B6" s="135" t="s">
        <v>2339</v>
      </c>
      <c r="C6" s="438" t="s">
        <v>2338</v>
      </c>
      <c r="D6" s="1355"/>
      <c r="E6" s="135" t="s">
        <v>2337</v>
      </c>
      <c r="F6" s="453">
        <v>43540</v>
      </c>
      <c r="G6" s="452">
        <v>0.39583333333333298</v>
      </c>
      <c r="H6" s="135" t="s">
        <v>1301</v>
      </c>
      <c r="I6" s="231">
        <v>99</v>
      </c>
      <c r="J6" s="1356" t="s">
        <v>2336</v>
      </c>
      <c r="K6" s="403" t="s">
        <v>2177</v>
      </c>
      <c r="L6" s="65" t="s">
        <v>17</v>
      </c>
      <c r="M6" s="154" t="s">
        <v>17</v>
      </c>
      <c r="O6" s="1367" t="s">
        <v>2146</v>
      </c>
      <c r="P6" s="1368">
        <v>450</v>
      </c>
      <c r="Q6" s="1365"/>
    </row>
    <row r="7" spans="1:17" x14ac:dyDescent="0.35">
      <c r="A7" s="439">
        <v>43546</v>
      </c>
      <c r="B7" s="135" t="s">
        <v>2242</v>
      </c>
      <c r="C7" s="438" t="s">
        <v>2241</v>
      </c>
      <c r="D7" s="1357"/>
      <c r="E7" s="135" t="s">
        <v>2240</v>
      </c>
      <c r="F7" s="174">
        <v>43548</v>
      </c>
      <c r="G7" s="436">
        <v>0.52083333333333304</v>
      </c>
      <c r="H7" s="135" t="s">
        <v>2239</v>
      </c>
      <c r="I7" s="231">
        <v>255</v>
      </c>
      <c r="J7" s="135" t="s">
        <v>257</v>
      </c>
      <c r="K7" s="403" t="s">
        <v>2177</v>
      </c>
      <c r="L7" s="65" t="s">
        <v>17</v>
      </c>
      <c r="O7" s="1367" t="s">
        <v>2144</v>
      </c>
      <c r="P7" s="1368">
        <v>1853</v>
      </c>
      <c r="Q7" s="1365"/>
    </row>
    <row r="8" spans="1:17" x14ac:dyDescent="0.35">
      <c r="A8" s="439">
        <v>43546</v>
      </c>
      <c r="B8" s="65" t="s">
        <v>2234</v>
      </c>
      <c r="C8" s="302" t="s">
        <v>2233</v>
      </c>
      <c r="D8" s="1357"/>
      <c r="E8" s="135" t="s">
        <v>2232</v>
      </c>
      <c r="F8" s="174">
        <v>43549</v>
      </c>
      <c r="G8" s="436">
        <v>0.52083333333333304</v>
      </c>
      <c r="H8" s="135" t="s">
        <v>2231</v>
      </c>
      <c r="I8" s="231">
        <v>267.3</v>
      </c>
      <c r="J8" s="1358" t="s">
        <v>2230</v>
      </c>
      <c r="K8" s="403" t="s">
        <v>2177</v>
      </c>
      <c r="L8" s="65" t="s">
        <v>22</v>
      </c>
      <c r="M8" s="154"/>
      <c r="O8" s="1369" t="s">
        <v>2142</v>
      </c>
      <c r="P8" s="1368">
        <v>3532</v>
      </c>
      <c r="Q8" s="1365"/>
    </row>
    <row r="9" spans="1:17" x14ac:dyDescent="0.35">
      <c r="A9" s="402">
        <v>43553</v>
      </c>
      <c r="B9" s="404" t="s">
        <v>2193</v>
      </c>
      <c r="C9" s="401"/>
      <c r="D9" s="404"/>
      <c r="E9" s="404" t="s">
        <v>2192</v>
      </c>
      <c r="F9" s="399">
        <v>43553</v>
      </c>
      <c r="G9" s="404"/>
      <c r="H9" s="1359"/>
      <c r="I9" s="213">
        <v>59.4</v>
      </c>
      <c r="J9" s="1360" t="s">
        <v>1901</v>
      </c>
      <c r="K9" s="173"/>
      <c r="L9" s="65"/>
      <c r="M9" s="154"/>
      <c r="O9" s="1369" t="s">
        <v>2139</v>
      </c>
      <c r="P9" s="1368">
        <v>6156</v>
      </c>
      <c r="Q9" s="1365"/>
    </row>
    <row r="10" spans="1:17" x14ac:dyDescent="0.35">
      <c r="A10" s="538">
        <v>43530</v>
      </c>
      <c r="B10" s="542" t="s">
        <v>2671</v>
      </c>
      <c r="C10" s="541" t="s">
        <v>1520</v>
      </c>
      <c r="D10" s="540"/>
      <c r="E10" s="542" t="s">
        <v>2375</v>
      </c>
      <c r="F10" s="538">
        <v>43535</v>
      </c>
      <c r="G10" s="537">
        <v>0.45833333333333298</v>
      </c>
      <c r="H10" s="1362" t="s">
        <v>1520</v>
      </c>
      <c r="I10" s="536">
        <v>450</v>
      </c>
      <c r="J10" s="1363"/>
      <c r="K10" s="239"/>
      <c r="L10" s="64"/>
      <c r="M10" s="64"/>
      <c r="O10" s="1369" t="s">
        <v>2137</v>
      </c>
      <c r="P10" s="1368">
        <v>2939</v>
      </c>
      <c r="Q10" s="1365"/>
    </row>
    <row r="11" spans="1:17" x14ac:dyDescent="0.35">
      <c r="A11" t="s">
        <v>2146</v>
      </c>
      <c r="I11" s="1361">
        <f>SUM(I2:I10)</f>
        <v>1853.15</v>
      </c>
      <c r="O11" s="1369" t="s">
        <v>2137</v>
      </c>
      <c r="P11" s="1368">
        <v>1689</v>
      </c>
      <c r="Q11" s="1365"/>
    </row>
    <row r="12" spans="1:17" x14ac:dyDescent="0.35">
      <c r="A12" s="659">
        <v>43505</v>
      </c>
      <c r="B12" s="552" t="s">
        <v>2928</v>
      </c>
      <c r="C12" s="653" t="s">
        <v>2927</v>
      </c>
      <c r="D12" s="547" t="s">
        <v>2926</v>
      </c>
      <c r="E12" s="552" t="s">
        <v>2925</v>
      </c>
      <c r="F12" s="659">
        <v>43510</v>
      </c>
      <c r="G12" s="658">
        <v>0.66666666666666696</v>
      </c>
      <c r="H12" s="504" t="s">
        <v>2924</v>
      </c>
      <c r="I12" s="703">
        <v>270</v>
      </c>
      <c r="J12" s="552"/>
      <c r="O12" s="1369" t="s">
        <v>4459</v>
      </c>
      <c r="P12" s="1368">
        <v>5898</v>
      </c>
      <c r="Q12" s="1365"/>
    </row>
    <row r="13" spans="1:17" x14ac:dyDescent="0.35">
      <c r="A13" s="723">
        <v>43501</v>
      </c>
      <c r="B13" s="552" t="s">
        <v>2808</v>
      </c>
      <c r="C13" s="653" t="s">
        <v>2807</v>
      </c>
      <c r="D13" s="547" t="s">
        <v>15</v>
      </c>
      <c r="E13" s="552" t="s">
        <v>2806</v>
      </c>
      <c r="F13" s="659">
        <v>43517</v>
      </c>
      <c r="G13" s="658">
        <v>0.41666666666666702</v>
      </c>
      <c r="H13" s="552" t="s">
        <v>2805</v>
      </c>
      <c r="I13" s="703">
        <v>180</v>
      </c>
      <c r="J13" s="392"/>
      <c r="O13" s="1369" t="s">
        <v>4462</v>
      </c>
      <c r="P13" s="1368" t="s">
        <v>49</v>
      </c>
      <c r="Q13" s="1365"/>
    </row>
    <row r="14" spans="1:17" x14ac:dyDescent="0.35">
      <c r="I14" s="1361">
        <f>SUM(I12:I13)</f>
        <v>450</v>
      </c>
      <c r="O14" s="1370" t="s">
        <v>4463</v>
      </c>
      <c r="P14" s="1374">
        <f>SUM(P4:P13)</f>
        <v>27599</v>
      </c>
      <c r="Q14" s="1365"/>
    </row>
    <row r="15" spans="1:17" x14ac:dyDescent="0.35">
      <c r="A15" t="s">
        <v>4460</v>
      </c>
      <c r="O15" s="1371"/>
      <c r="P15" s="1372"/>
      <c r="Q15" s="1365"/>
    </row>
    <row r="16" spans="1:17" x14ac:dyDescent="0.35">
      <c r="A16" s="390" t="s">
        <v>3521</v>
      </c>
      <c r="B16" s="390" t="s">
        <v>3520</v>
      </c>
      <c r="C16" s="798">
        <v>43440</v>
      </c>
      <c r="D16" s="390" t="s">
        <v>15</v>
      </c>
      <c r="E16" s="390" t="s">
        <v>15</v>
      </c>
      <c r="F16" s="390">
        <v>3712</v>
      </c>
      <c r="G16" s="390" t="s">
        <v>15</v>
      </c>
      <c r="H16" s="799" t="s">
        <v>3201</v>
      </c>
      <c r="O16" s="1370" t="s">
        <v>4464</v>
      </c>
      <c r="P16" s="1374">
        <v>6050</v>
      </c>
      <c r="Q16" s="1373">
        <f>P16/P14</f>
        <v>0.21921084097249902</v>
      </c>
    </row>
    <row r="17" spans="1:8" x14ac:dyDescent="0.35">
      <c r="A17" s="390" t="s">
        <v>2928</v>
      </c>
      <c r="B17" s="390" t="s">
        <v>3482</v>
      </c>
      <c r="C17" s="798">
        <v>43447</v>
      </c>
      <c r="D17" s="800">
        <v>0.47916666666666702</v>
      </c>
      <c r="E17" s="390" t="s">
        <v>3481</v>
      </c>
      <c r="F17" s="390">
        <v>157</v>
      </c>
      <c r="G17" s="390" t="s">
        <v>3187</v>
      </c>
      <c r="H17" s="799" t="s">
        <v>3201</v>
      </c>
    </row>
    <row r="18" spans="1:8" x14ac:dyDescent="0.35">
      <c r="A18" s="390" t="s">
        <v>4461</v>
      </c>
      <c r="B18" s="390" t="s">
        <v>3410</v>
      </c>
      <c r="C18" s="798">
        <v>43453</v>
      </c>
      <c r="D18" s="800" t="s">
        <v>3409</v>
      </c>
      <c r="E18" s="390" t="s">
        <v>3408</v>
      </c>
      <c r="F18" s="390">
        <v>313.2</v>
      </c>
      <c r="G18" s="390" t="s">
        <v>3407</v>
      </c>
      <c r="H18" s="799" t="s">
        <v>3201</v>
      </c>
    </row>
    <row r="19" spans="1:8" x14ac:dyDescent="0.35">
      <c r="A19" s="390" t="s">
        <v>1428</v>
      </c>
      <c r="B19" s="390" t="s">
        <v>3371</v>
      </c>
      <c r="C19" s="798">
        <v>43455</v>
      </c>
      <c r="D19" s="800">
        <v>0.79166666666666696</v>
      </c>
      <c r="E19" s="390" t="s">
        <v>3370</v>
      </c>
      <c r="F19" s="390">
        <v>75</v>
      </c>
      <c r="G19" s="390" t="s">
        <v>3187</v>
      </c>
      <c r="H19" s="799" t="s">
        <v>3201</v>
      </c>
    </row>
    <row r="20" spans="1:8" x14ac:dyDescent="0.35">
      <c r="A20" s="390" t="s">
        <v>3369</v>
      </c>
      <c r="B20" s="394" t="s">
        <v>3368</v>
      </c>
      <c r="C20" s="798">
        <v>43455</v>
      </c>
      <c r="D20" s="800" t="s">
        <v>3367</v>
      </c>
      <c r="E20" s="390" t="s">
        <v>3366</v>
      </c>
      <c r="F20" s="390">
        <v>202.5</v>
      </c>
      <c r="G20" s="390" t="s">
        <v>3187</v>
      </c>
      <c r="H20" s="799" t="s">
        <v>3201</v>
      </c>
    </row>
    <row r="21" spans="1:8" x14ac:dyDescent="0.35">
      <c r="A21" s="390" t="s">
        <v>2928</v>
      </c>
      <c r="B21" s="390" t="s">
        <v>3349</v>
      </c>
      <c r="C21" s="798">
        <v>43456</v>
      </c>
      <c r="D21" s="800">
        <v>0.66666666666666696</v>
      </c>
      <c r="E21" s="1364" t="s">
        <v>3348</v>
      </c>
      <c r="F21" s="390">
        <v>286</v>
      </c>
      <c r="G21" s="390" t="s">
        <v>3187</v>
      </c>
      <c r="H21" s="799" t="s">
        <v>3201</v>
      </c>
    </row>
    <row r="22" spans="1:8" x14ac:dyDescent="0.35">
      <c r="A22" s="390" t="s">
        <v>1566</v>
      </c>
      <c r="B22" s="390" t="s">
        <v>3290</v>
      </c>
      <c r="C22" s="798">
        <v>43458</v>
      </c>
      <c r="D22" s="800" t="s">
        <v>3289</v>
      </c>
      <c r="E22" s="390" t="s">
        <v>3288</v>
      </c>
      <c r="F22" s="390">
        <v>202.5</v>
      </c>
      <c r="G22" s="390" t="s">
        <v>3287</v>
      </c>
      <c r="H22" s="799" t="s">
        <v>3201</v>
      </c>
    </row>
    <row r="23" spans="1:8" x14ac:dyDescent="0.35">
      <c r="A23" s="390" t="s">
        <v>1577</v>
      </c>
      <c r="B23" s="390" t="s">
        <v>3258</v>
      </c>
      <c r="C23" s="798">
        <v>43458</v>
      </c>
      <c r="D23" s="800" t="s">
        <v>3257</v>
      </c>
      <c r="E23" s="390" t="s">
        <v>3256</v>
      </c>
      <c r="F23" s="390">
        <v>135</v>
      </c>
      <c r="G23" s="390" t="s">
        <v>3252</v>
      </c>
      <c r="H23" s="799" t="s">
        <v>3201</v>
      </c>
    </row>
    <row r="24" spans="1:8" x14ac:dyDescent="0.35">
      <c r="F24">
        <f>SUM(F16:F23)</f>
        <v>5083.2</v>
      </c>
    </row>
  </sheetData>
  <hyperlinks>
    <hyperlink ref="D12" r:id="rId1" xr:uid="{00000000-0004-0000-1400-000000000000}"/>
  </hyperlinks>
  <pageMargins left="0.7" right="0.7" top="0.75" bottom="0.75" header="0.3" footer="0.3"/>
  <pageSetup paperSize="9" orientation="portrait" horizontalDpi="4294967293"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L124"/>
  <sheetViews>
    <sheetView topLeftCell="B84" zoomScale="55" zoomScaleNormal="55" workbookViewId="0">
      <selection activeCell="B123" sqref="B123"/>
    </sheetView>
  </sheetViews>
  <sheetFormatPr defaultColWidth="8.453125" defaultRowHeight="14.5" x14ac:dyDescent="0.35"/>
  <cols>
    <col min="1" max="1" width="16.453125" style="13" customWidth="1"/>
    <col min="2" max="2" width="22.453125" style="13" customWidth="1"/>
    <col min="3" max="3" width="110" style="13" customWidth="1"/>
    <col min="4" max="4" width="13.54296875" style="13" customWidth="1"/>
    <col min="5" max="5" width="25.54296875" style="13" customWidth="1"/>
    <col min="6" max="6" width="51" style="13" customWidth="1"/>
    <col min="7" max="7" width="16" style="13" customWidth="1"/>
    <col min="8" max="8" width="34.453125" style="13" customWidth="1"/>
    <col min="9" max="9" width="23.453125" style="13" customWidth="1"/>
    <col min="10" max="10" width="2.54296875" style="13" customWidth="1"/>
    <col min="11" max="11" width="15.54296875" style="13" customWidth="1"/>
    <col min="12" max="12" width="17.453125" style="13" customWidth="1"/>
    <col min="13" max="1025" width="8.453125" style="13" customWidth="1"/>
    <col min="1026" max="16384" width="8.453125" style="13"/>
  </cols>
  <sheetData>
    <row r="1" spans="1:12" x14ac:dyDescent="0.35">
      <c r="A1" s="392" t="s">
        <v>0</v>
      </c>
      <c r="B1" s="392" t="s">
        <v>1</v>
      </c>
      <c r="C1" s="392" t="s">
        <v>2</v>
      </c>
      <c r="D1" s="392" t="s">
        <v>3</v>
      </c>
      <c r="E1" s="392" t="s">
        <v>3041</v>
      </c>
      <c r="F1" s="392" t="s">
        <v>3040</v>
      </c>
      <c r="G1" s="392" t="s">
        <v>8</v>
      </c>
      <c r="H1" s="804" t="s">
        <v>9</v>
      </c>
      <c r="I1" s="392" t="s">
        <v>3200</v>
      </c>
    </row>
    <row r="2" spans="1:12" x14ac:dyDescent="0.35">
      <c r="A2" s="801" t="s">
        <v>3199</v>
      </c>
      <c r="B2" s="390"/>
      <c r="C2" s="390"/>
      <c r="D2" s="390"/>
      <c r="E2" s="390"/>
      <c r="F2" s="390"/>
      <c r="G2" s="390"/>
      <c r="H2" s="390"/>
      <c r="I2" s="803"/>
    </row>
    <row r="3" spans="1:12" x14ac:dyDescent="0.35">
      <c r="A3" s="798" t="s">
        <v>15</v>
      </c>
      <c r="B3" s="390" t="s">
        <v>3524</v>
      </c>
      <c r="C3" s="390" t="s">
        <v>3523</v>
      </c>
      <c r="D3" s="798">
        <v>43435</v>
      </c>
      <c r="E3" s="390" t="s">
        <v>15</v>
      </c>
      <c r="F3" s="390" t="s">
        <v>15</v>
      </c>
      <c r="G3" s="390">
        <v>60</v>
      </c>
      <c r="H3" s="390" t="s">
        <v>15</v>
      </c>
      <c r="I3" s="799" t="s">
        <v>3201</v>
      </c>
      <c r="K3" s="394" t="s">
        <v>3186</v>
      </c>
    </row>
    <row r="4" spans="1:12" x14ac:dyDescent="0.35">
      <c r="A4" s="798" t="s">
        <v>15</v>
      </c>
      <c r="B4" s="390" t="s">
        <v>3522</v>
      </c>
      <c r="C4" s="390" t="s">
        <v>3516</v>
      </c>
      <c r="D4" s="798">
        <v>43438</v>
      </c>
      <c r="E4" s="390" t="s">
        <v>15</v>
      </c>
      <c r="F4" s="390" t="s">
        <v>15</v>
      </c>
      <c r="G4" s="390">
        <v>250</v>
      </c>
      <c r="H4" s="390" t="s">
        <v>15</v>
      </c>
      <c r="I4" s="799" t="s">
        <v>3201</v>
      </c>
      <c r="K4" s="390">
        <f>COUNTIF(I2:I190,"Nu Am Primit")</f>
        <v>0</v>
      </c>
    </row>
    <row r="5" spans="1:12" x14ac:dyDescent="0.35">
      <c r="A5" s="798" t="s">
        <v>15</v>
      </c>
      <c r="B5" s="390" t="s">
        <v>3521</v>
      </c>
      <c r="C5" s="390" t="s">
        <v>3520</v>
      </c>
      <c r="D5" s="798">
        <v>43440</v>
      </c>
      <c r="E5" s="390" t="s">
        <v>15</v>
      </c>
      <c r="F5" s="390" t="s">
        <v>15</v>
      </c>
      <c r="G5" s="390">
        <v>3712</v>
      </c>
      <c r="H5" s="390" t="s">
        <v>15</v>
      </c>
      <c r="I5" s="799" t="s">
        <v>3201</v>
      </c>
    </row>
    <row r="6" spans="1:12" x14ac:dyDescent="0.35">
      <c r="A6" s="798" t="s">
        <v>15</v>
      </c>
      <c r="B6" s="390" t="s">
        <v>3519</v>
      </c>
      <c r="C6" s="390" t="s">
        <v>3518</v>
      </c>
      <c r="D6" s="798">
        <v>43440</v>
      </c>
      <c r="E6" s="390" t="s">
        <v>15</v>
      </c>
      <c r="F6" s="390" t="s">
        <v>15</v>
      </c>
      <c r="G6" s="390">
        <v>120</v>
      </c>
      <c r="H6" s="390" t="s">
        <v>15</v>
      </c>
      <c r="I6" s="799" t="s">
        <v>3201</v>
      </c>
    </row>
    <row r="7" spans="1:12" x14ac:dyDescent="0.35">
      <c r="A7" s="798" t="s">
        <v>15</v>
      </c>
      <c r="B7" s="390" t="s">
        <v>3517</v>
      </c>
      <c r="C7" s="390" t="s">
        <v>3516</v>
      </c>
      <c r="D7" s="798">
        <v>43441</v>
      </c>
      <c r="E7" s="390" t="s">
        <v>15</v>
      </c>
      <c r="F7" s="390" t="s">
        <v>15</v>
      </c>
      <c r="G7" s="390">
        <v>1182</v>
      </c>
      <c r="H7" s="390" t="s">
        <v>15</v>
      </c>
      <c r="I7" s="799" t="s">
        <v>3201</v>
      </c>
      <c r="K7" s="355" t="s">
        <v>3017</v>
      </c>
      <c r="L7" s="355" t="s">
        <v>3016</v>
      </c>
    </row>
    <row r="8" spans="1:12" x14ac:dyDescent="0.35">
      <c r="A8" s="798" t="s">
        <v>15</v>
      </c>
      <c r="B8" s="390" t="s">
        <v>22</v>
      </c>
      <c r="C8" s="390" t="s">
        <v>3515</v>
      </c>
      <c r="D8" s="798">
        <v>43441</v>
      </c>
      <c r="E8" s="390" t="s">
        <v>15</v>
      </c>
      <c r="F8" s="390" t="s">
        <v>15</v>
      </c>
      <c r="G8" s="390">
        <v>100</v>
      </c>
      <c r="H8" s="390" t="s">
        <v>15</v>
      </c>
      <c r="I8" s="799" t="s">
        <v>3201</v>
      </c>
      <c r="K8" s="355" t="s">
        <v>516</v>
      </c>
      <c r="L8" s="802">
        <f>SUM(G3:G9)/4.66</f>
        <v>1227.8969957081545</v>
      </c>
    </row>
    <row r="9" spans="1:12" x14ac:dyDescent="0.35">
      <c r="A9" s="798" t="s">
        <v>15</v>
      </c>
      <c r="B9" s="390" t="s">
        <v>3514</v>
      </c>
      <c r="C9" s="390" t="s">
        <v>3513</v>
      </c>
      <c r="D9" s="798">
        <v>43441</v>
      </c>
      <c r="E9" s="390" t="s">
        <v>15</v>
      </c>
      <c r="F9" s="390" t="s">
        <v>15</v>
      </c>
      <c r="G9" s="390">
        <v>298</v>
      </c>
      <c r="H9" s="390" t="s">
        <v>15</v>
      </c>
      <c r="I9" s="799" t="s">
        <v>3201</v>
      </c>
      <c r="K9" s="355" t="s">
        <v>515</v>
      </c>
      <c r="L9" s="802">
        <f>SUM(G11:G27)/4.66</f>
        <v>1209.656652360515</v>
      </c>
    </row>
    <row r="10" spans="1:12" x14ac:dyDescent="0.35">
      <c r="A10" s="801" t="s">
        <v>3172</v>
      </c>
      <c r="B10" s="390"/>
      <c r="C10" s="390"/>
      <c r="D10" s="798"/>
      <c r="E10" s="390"/>
      <c r="F10" s="390"/>
      <c r="G10" s="390"/>
      <c r="H10" s="390"/>
      <c r="I10" s="390"/>
      <c r="K10" s="355" t="s">
        <v>514</v>
      </c>
      <c r="L10" s="802">
        <f>SUM(G30:G75)/4.66</f>
        <v>4555.4077253218884</v>
      </c>
    </row>
    <row r="11" spans="1:12" x14ac:dyDescent="0.35">
      <c r="A11" s="798" t="s">
        <v>15</v>
      </c>
      <c r="B11" s="390" t="s">
        <v>2960</v>
      </c>
      <c r="C11" s="390" t="s">
        <v>3509</v>
      </c>
      <c r="D11" s="798">
        <v>43442</v>
      </c>
      <c r="E11" s="390" t="s">
        <v>15</v>
      </c>
      <c r="F11" s="390" t="s">
        <v>15</v>
      </c>
      <c r="G11" s="390">
        <v>360</v>
      </c>
      <c r="H11" s="390" t="s">
        <v>15</v>
      </c>
      <c r="I11" s="799" t="s">
        <v>3201</v>
      </c>
      <c r="K11" s="355" t="s">
        <v>513</v>
      </c>
      <c r="L11" s="802">
        <f>SUM(G77:G121)/4.66</f>
        <v>2979.2918454935621</v>
      </c>
    </row>
    <row r="12" spans="1:12" x14ac:dyDescent="0.35">
      <c r="A12" s="798" t="s">
        <v>15</v>
      </c>
      <c r="B12" s="390" t="s">
        <v>3512</v>
      </c>
      <c r="C12" s="390" t="s">
        <v>3511</v>
      </c>
      <c r="D12" s="798">
        <v>43442</v>
      </c>
      <c r="E12" s="390" t="s">
        <v>15</v>
      </c>
      <c r="F12" s="390" t="s">
        <v>15</v>
      </c>
      <c r="G12" s="390">
        <v>279</v>
      </c>
      <c r="H12" s="390" t="s">
        <v>15</v>
      </c>
      <c r="I12" s="799" t="s">
        <v>3201</v>
      </c>
      <c r="K12" s="355"/>
      <c r="L12" s="802"/>
    </row>
    <row r="13" spans="1:12" x14ac:dyDescent="0.35">
      <c r="A13" s="798" t="s">
        <v>15</v>
      </c>
      <c r="B13" s="390" t="s">
        <v>3358</v>
      </c>
      <c r="C13" s="390" t="s">
        <v>3510</v>
      </c>
      <c r="D13" s="798">
        <v>43442</v>
      </c>
      <c r="E13" s="390" t="s">
        <v>15</v>
      </c>
      <c r="F13" s="390" t="s">
        <v>15</v>
      </c>
      <c r="G13" s="390">
        <v>137</v>
      </c>
      <c r="H13" s="390" t="s">
        <v>15</v>
      </c>
      <c r="I13" s="799" t="s">
        <v>3201</v>
      </c>
      <c r="K13" s="355" t="s">
        <v>2992</v>
      </c>
      <c r="L13" s="802">
        <f>SUM(G2:G192)/4.66</f>
        <v>9972.2532188841196</v>
      </c>
    </row>
    <row r="14" spans="1:12" x14ac:dyDescent="0.35">
      <c r="A14" s="798" t="s">
        <v>15</v>
      </c>
      <c r="B14" s="390" t="s">
        <v>2960</v>
      </c>
      <c r="C14" s="390" t="s">
        <v>3509</v>
      </c>
      <c r="D14" s="798">
        <v>43443</v>
      </c>
      <c r="E14" s="390" t="s">
        <v>15</v>
      </c>
      <c r="F14" s="390" t="s">
        <v>15</v>
      </c>
      <c r="G14" s="390">
        <v>549</v>
      </c>
      <c r="H14" s="390" t="s">
        <v>15</v>
      </c>
      <c r="I14" s="799" t="s">
        <v>3201</v>
      </c>
    </row>
    <row r="15" spans="1:12" x14ac:dyDescent="0.35">
      <c r="A15" s="798" t="s">
        <v>15</v>
      </c>
      <c r="B15" s="390" t="s">
        <v>3508</v>
      </c>
      <c r="C15" s="390" t="s">
        <v>3507</v>
      </c>
      <c r="D15" s="798">
        <v>43443</v>
      </c>
      <c r="E15" s="390" t="s">
        <v>15</v>
      </c>
      <c r="F15" s="390" t="s">
        <v>15</v>
      </c>
      <c r="G15" s="390">
        <v>225</v>
      </c>
      <c r="H15" s="390" t="s">
        <v>15</v>
      </c>
      <c r="I15" s="799" t="s">
        <v>3201</v>
      </c>
    </row>
    <row r="16" spans="1:12" x14ac:dyDescent="0.35">
      <c r="A16" s="798">
        <v>43444</v>
      </c>
      <c r="B16" s="390" t="s">
        <v>3506</v>
      </c>
      <c r="C16" s="390" t="s">
        <v>3354</v>
      </c>
      <c r="D16" s="798">
        <v>43444</v>
      </c>
      <c r="E16" s="800">
        <v>0.83333333333333304</v>
      </c>
      <c r="F16" s="390" t="s">
        <v>15</v>
      </c>
      <c r="G16" s="390">
        <v>75</v>
      </c>
      <c r="H16" s="390" t="s">
        <v>15</v>
      </c>
      <c r="I16" s="799" t="s">
        <v>3201</v>
      </c>
    </row>
    <row r="17" spans="1:9" x14ac:dyDescent="0.35">
      <c r="A17" s="798">
        <v>43444</v>
      </c>
      <c r="B17" s="390" t="s">
        <v>3442</v>
      </c>
      <c r="C17" s="390" t="s">
        <v>3505</v>
      </c>
      <c r="D17" s="798">
        <v>43445</v>
      </c>
      <c r="E17" s="390" t="s">
        <v>3504</v>
      </c>
      <c r="F17" s="390" t="s">
        <v>126</v>
      </c>
      <c r="G17" s="390">
        <v>0</v>
      </c>
      <c r="H17" s="390" t="s">
        <v>15</v>
      </c>
      <c r="I17" s="799" t="s">
        <v>3201</v>
      </c>
    </row>
    <row r="18" spans="1:9" x14ac:dyDescent="0.35">
      <c r="A18" s="798">
        <v>43444</v>
      </c>
      <c r="B18" s="390" t="s">
        <v>3503</v>
      </c>
      <c r="C18" s="390" t="s">
        <v>3502</v>
      </c>
      <c r="D18" s="798">
        <v>43445</v>
      </c>
      <c r="E18" s="390" t="s">
        <v>3501</v>
      </c>
      <c r="F18" s="390" t="s">
        <v>3500</v>
      </c>
      <c r="G18" s="390">
        <v>1500</v>
      </c>
      <c r="H18" s="390" t="s">
        <v>3499</v>
      </c>
      <c r="I18" s="799" t="s">
        <v>3201</v>
      </c>
    </row>
    <row r="19" spans="1:9" ht="130.5" x14ac:dyDescent="0.35">
      <c r="A19" s="798" t="s">
        <v>15</v>
      </c>
      <c r="B19" s="390" t="s">
        <v>3498</v>
      </c>
      <c r="C19" s="489" t="s">
        <v>3497</v>
      </c>
      <c r="D19" s="798">
        <v>43446</v>
      </c>
      <c r="E19" s="800">
        <v>0.66666666666666696</v>
      </c>
      <c r="F19" s="390" t="s">
        <v>3496</v>
      </c>
      <c r="G19" s="390">
        <v>800</v>
      </c>
      <c r="H19" s="390" t="s">
        <v>3187</v>
      </c>
      <c r="I19" s="799" t="s">
        <v>3201</v>
      </c>
    </row>
    <row r="20" spans="1:9" x14ac:dyDescent="0.35">
      <c r="A20" s="798" t="s">
        <v>15</v>
      </c>
      <c r="B20" s="390" t="s">
        <v>3495</v>
      </c>
      <c r="C20" s="489" t="s">
        <v>3494</v>
      </c>
      <c r="D20" s="798">
        <v>43446</v>
      </c>
      <c r="E20" s="800" t="s">
        <v>3493</v>
      </c>
      <c r="F20" s="390" t="s">
        <v>3492</v>
      </c>
      <c r="G20" s="390">
        <v>0</v>
      </c>
      <c r="H20" s="390" t="s">
        <v>3187</v>
      </c>
      <c r="I20" s="799" t="s">
        <v>3201</v>
      </c>
    </row>
    <row r="21" spans="1:9" x14ac:dyDescent="0.35">
      <c r="A21" s="798" t="s">
        <v>15</v>
      </c>
      <c r="B21" s="390" t="s">
        <v>3491</v>
      </c>
      <c r="C21" s="390" t="s">
        <v>3490</v>
      </c>
      <c r="D21" s="798">
        <v>43447</v>
      </c>
      <c r="E21" s="390" t="s">
        <v>15</v>
      </c>
      <c r="F21" s="390" t="s">
        <v>3489</v>
      </c>
      <c r="G21" s="390">
        <v>96</v>
      </c>
      <c r="H21" s="390" t="s">
        <v>3187</v>
      </c>
      <c r="I21" s="799" t="s">
        <v>3201</v>
      </c>
    </row>
    <row r="22" spans="1:9" x14ac:dyDescent="0.35">
      <c r="A22" s="798"/>
      <c r="B22" s="390" t="s">
        <v>216</v>
      </c>
      <c r="C22" s="390" t="s">
        <v>3352</v>
      </c>
      <c r="D22" s="798">
        <v>43447</v>
      </c>
      <c r="E22" s="390" t="s">
        <v>3488</v>
      </c>
      <c r="F22" s="390" t="s">
        <v>216</v>
      </c>
      <c r="G22" s="390">
        <v>0</v>
      </c>
      <c r="H22" s="390" t="s">
        <v>3487</v>
      </c>
      <c r="I22" s="799" t="s">
        <v>3201</v>
      </c>
    </row>
    <row r="23" spans="1:9" ht="87" x14ac:dyDescent="0.35">
      <c r="A23" s="798">
        <v>43445</v>
      </c>
      <c r="B23" s="390" t="s">
        <v>3226</v>
      </c>
      <c r="C23" s="489" t="s">
        <v>3486</v>
      </c>
      <c r="D23" s="798" t="s">
        <v>3485</v>
      </c>
      <c r="E23" s="800">
        <v>0.64583333333333304</v>
      </c>
      <c r="F23" s="390" t="s">
        <v>3484</v>
      </c>
      <c r="G23" s="390">
        <v>750</v>
      </c>
      <c r="H23" s="489" t="s">
        <v>3483</v>
      </c>
      <c r="I23" s="799" t="s">
        <v>3201</v>
      </c>
    </row>
    <row r="24" spans="1:9" x14ac:dyDescent="0.35">
      <c r="A24" s="798">
        <v>43445</v>
      </c>
      <c r="B24" s="390" t="s">
        <v>2928</v>
      </c>
      <c r="C24" s="390" t="s">
        <v>3482</v>
      </c>
      <c r="D24" s="798">
        <v>43447</v>
      </c>
      <c r="E24" s="800">
        <v>0.47916666666666702</v>
      </c>
      <c r="F24" s="390" t="s">
        <v>3481</v>
      </c>
      <c r="G24" s="390">
        <v>157</v>
      </c>
      <c r="H24" s="390" t="s">
        <v>3187</v>
      </c>
      <c r="I24" s="799" t="s">
        <v>3201</v>
      </c>
    </row>
    <row r="25" spans="1:9" x14ac:dyDescent="0.35">
      <c r="A25" s="798">
        <v>43444</v>
      </c>
      <c r="B25" s="390" t="s">
        <v>1486</v>
      </c>
      <c r="C25" s="390" t="s">
        <v>3480</v>
      </c>
      <c r="D25" s="798">
        <v>43448</v>
      </c>
      <c r="E25" s="390" t="s">
        <v>3479</v>
      </c>
      <c r="F25" s="390" t="s">
        <v>3478</v>
      </c>
      <c r="G25" s="390">
        <v>634</v>
      </c>
      <c r="H25" s="390" t="s">
        <v>15</v>
      </c>
      <c r="I25" s="799" t="s">
        <v>3201</v>
      </c>
    </row>
    <row r="26" spans="1:9" x14ac:dyDescent="0.35">
      <c r="A26" s="798">
        <v>43447</v>
      </c>
      <c r="B26" s="390" t="s">
        <v>2057</v>
      </c>
      <c r="C26" s="390" t="s">
        <v>3477</v>
      </c>
      <c r="D26" s="798">
        <v>43448</v>
      </c>
      <c r="E26" s="390" t="s">
        <v>3476</v>
      </c>
      <c r="F26" s="390" t="s">
        <v>3475</v>
      </c>
      <c r="G26" s="390">
        <v>75</v>
      </c>
      <c r="H26" s="390" t="s">
        <v>3474</v>
      </c>
      <c r="I26" s="799" t="s">
        <v>3201</v>
      </c>
    </row>
    <row r="27" spans="1:9" x14ac:dyDescent="0.35">
      <c r="A27" s="798">
        <v>43446</v>
      </c>
      <c r="B27" s="390" t="s">
        <v>22</v>
      </c>
      <c r="C27" s="390" t="s">
        <v>3473</v>
      </c>
      <c r="D27" s="798" t="s">
        <v>3472</v>
      </c>
      <c r="E27" s="390" t="s">
        <v>1514</v>
      </c>
      <c r="F27" s="390"/>
      <c r="G27" s="390">
        <v>0</v>
      </c>
      <c r="H27" s="390"/>
      <c r="I27" s="799" t="s">
        <v>3201</v>
      </c>
    </row>
    <row r="28" spans="1:9" x14ac:dyDescent="0.35">
      <c r="A28" s="801" t="s">
        <v>3471</v>
      </c>
      <c r="B28" s="390"/>
      <c r="C28" s="390"/>
      <c r="D28" s="798"/>
      <c r="E28" s="390"/>
      <c r="F28" s="390"/>
      <c r="G28" s="390"/>
      <c r="H28" s="390"/>
      <c r="I28" s="390"/>
    </row>
    <row r="29" spans="1:9" x14ac:dyDescent="0.35">
      <c r="A29" s="798">
        <v>43446</v>
      </c>
      <c r="B29" s="390" t="s">
        <v>974</v>
      </c>
      <c r="C29" s="390" t="s">
        <v>3470</v>
      </c>
      <c r="D29" s="798" t="s">
        <v>3469</v>
      </c>
      <c r="E29" s="390" t="s">
        <v>3468</v>
      </c>
      <c r="F29" s="390"/>
      <c r="G29" s="390">
        <v>0</v>
      </c>
      <c r="H29" s="390"/>
      <c r="I29" s="799" t="s">
        <v>3201</v>
      </c>
    </row>
    <row r="30" spans="1:9" x14ac:dyDescent="0.35">
      <c r="A30" s="798" t="s">
        <v>15</v>
      </c>
      <c r="B30" s="390" t="s">
        <v>262</v>
      </c>
      <c r="C30" s="390" t="s">
        <v>3467</v>
      </c>
      <c r="D30" s="798">
        <v>43449</v>
      </c>
      <c r="E30" s="390" t="s">
        <v>15</v>
      </c>
      <c r="F30" s="390" t="s">
        <v>15</v>
      </c>
      <c r="G30" s="390">
        <v>8668</v>
      </c>
      <c r="H30" s="390" t="s">
        <v>3466</v>
      </c>
      <c r="I30" s="799" t="s">
        <v>3201</v>
      </c>
    </row>
    <row r="31" spans="1:9" x14ac:dyDescent="0.35">
      <c r="A31" s="798">
        <v>43445</v>
      </c>
      <c r="B31" s="390" t="s">
        <v>2960</v>
      </c>
      <c r="C31" s="390" t="s">
        <v>3465</v>
      </c>
      <c r="D31" s="798">
        <v>43449</v>
      </c>
      <c r="E31" s="800">
        <v>0.57291666666666696</v>
      </c>
      <c r="F31" s="390" t="s">
        <v>3464</v>
      </c>
      <c r="G31" s="390">
        <v>325.5</v>
      </c>
      <c r="H31" s="390" t="s">
        <v>3187</v>
      </c>
      <c r="I31" s="799" t="s">
        <v>3201</v>
      </c>
    </row>
    <row r="32" spans="1:9" x14ac:dyDescent="0.35">
      <c r="A32" s="798">
        <v>43449</v>
      </c>
      <c r="B32" s="390" t="s">
        <v>3463</v>
      </c>
      <c r="C32" s="394" t="s">
        <v>3462</v>
      </c>
      <c r="D32" s="798">
        <v>43450</v>
      </c>
      <c r="E32" s="800" t="s">
        <v>3461</v>
      </c>
      <c r="F32" s="390" t="s">
        <v>3460</v>
      </c>
      <c r="G32" s="390">
        <v>150</v>
      </c>
      <c r="H32" s="390" t="s">
        <v>3187</v>
      </c>
      <c r="I32" s="799" t="s">
        <v>3201</v>
      </c>
    </row>
    <row r="33" spans="1:9" x14ac:dyDescent="0.35">
      <c r="A33" s="798">
        <v>43446</v>
      </c>
      <c r="B33" s="390" t="s">
        <v>3459</v>
      </c>
      <c r="C33" s="390" t="s">
        <v>3458</v>
      </c>
      <c r="D33" s="798" t="s">
        <v>3401</v>
      </c>
      <c r="E33" s="800" t="s">
        <v>3405</v>
      </c>
      <c r="F33" s="390"/>
      <c r="G33" s="390">
        <v>0</v>
      </c>
      <c r="H33" s="390"/>
      <c r="I33" s="799" t="s">
        <v>3201</v>
      </c>
    </row>
    <row r="34" spans="1:9" x14ac:dyDescent="0.35">
      <c r="A34" s="798">
        <v>43450</v>
      </c>
      <c r="B34" s="390" t="s">
        <v>3457</v>
      </c>
      <c r="C34" s="390" t="s">
        <v>3456</v>
      </c>
      <c r="D34" s="798">
        <v>43451</v>
      </c>
      <c r="E34" s="800">
        <v>0.41666666666666702</v>
      </c>
      <c r="F34" s="390" t="s">
        <v>3455</v>
      </c>
      <c r="G34" s="390">
        <v>200</v>
      </c>
      <c r="H34" s="390" t="s">
        <v>3187</v>
      </c>
      <c r="I34" s="799" t="s">
        <v>3201</v>
      </c>
    </row>
    <row r="35" spans="1:9" x14ac:dyDescent="0.35">
      <c r="A35" s="798">
        <v>43442</v>
      </c>
      <c r="B35" s="390" t="s">
        <v>3454</v>
      </c>
      <c r="C35" s="390" t="s">
        <v>3453</v>
      </c>
      <c r="D35" s="798">
        <v>43451</v>
      </c>
      <c r="E35" s="390" t="s">
        <v>3452</v>
      </c>
      <c r="F35" s="390" t="s">
        <v>3451</v>
      </c>
      <c r="G35" s="390">
        <v>270</v>
      </c>
      <c r="H35" s="390" t="s">
        <v>3187</v>
      </c>
      <c r="I35" s="799" t="s">
        <v>3201</v>
      </c>
    </row>
    <row r="36" spans="1:9" x14ac:dyDescent="0.35">
      <c r="A36" s="798">
        <v>43446</v>
      </c>
      <c r="B36" s="390" t="s">
        <v>3450</v>
      </c>
      <c r="C36" s="390" t="s">
        <v>3449</v>
      </c>
      <c r="D36" s="798">
        <v>43451</v>
      </c>
      <c r="E36" s="390" t="s">
        <v>3448</v>
      </c>
      <c r="F36" s="390" t="s">
        <v>3447</v>
      </c>
      <c r="G36" s="390">
        <v>472.5</v>
      </c>
      <c r="H36" s="390" t="s">
        <v>3446</v>
      </c>
      <c r="I36" s="799" t="s">
        <v>3201</v>
      </c>
    </row>
    <row r="37" spans="1:9" ht="43.5" x14ac:dyDescent="0.35">
      <c r="A37" s="798">
        <v>43445</v>
      </c>
      <c r="B37" s="390" t="s">
        <v>3226</v>
      </c>
      <c r="C37" s="390" t="s">
        <v>3445</v>
      </c>
      <c r="D37" s="798">
        <v>43451</v>
      </c>
      <c r="E37" s="800">
        <v>0.73958333333333304</v>
      </c>
      <c r="F37" s="390" t="s">
        <v>3444</v>
      </c>
      <c r="G37" s="390">
        <v>1775</v>
      </c>
      <c r="H37" s="489" t="s">
        <v>3443</v>
      </c>
      <c r="I37" s="799" t="s">
        <v>3201</v>
      </c>
    </row>
    <row r="38" spans="1:9" x14ac:dyDescent="0.35">
      <c r="A38" s="798">
        <v>43447</v>
      </c>
      <c r="B38" s="390" t="s">
        <v>3442</v>
      </c>
      <c r="C38" s="390" t="s">
        <v>3441</v>
      </c>
      <c r="D38" s="798">
        <v>43452</v>
      </c>
      <c r="E38" s="800">
        <v>0.4375</v>
      </c>
      <c r="F38" s="390" t="s">
        <v>126</v>
      </c>
      <c r="G38" s="390">
        <v>770</v>
      </c>
      <c r="H38" s="489" t="s">
        <v>3440</v>
      </c>
      <c r="I38" s="799" t="s">
        <v>3201</v>
      </c>
    </row>
    <row r="39" spans="1:9" x14ac:dyDescent="0.35">
      <c r="A39" s="798">
        <v>43444</v>
      </c>
      <c r="B39" s="390" t="s">
        <v>3374</v>
      </c>
      <c r="C39" s="390" t="s">
        <v>3439</v>
      </c>
      <c r="D39" s="798">
        <v>43452</v>
      </c>
      <c r="E39" s="800">
        <v>0.4375</v>
      </c>
      <c r="F39" s="390" t="s">
        <v>126</v>
      </c>
      <c r="G39" s="390">
        <v>1012.5</v>
      </c>
      <c r="H39" s="390" t="s">
        <v>3372</v>
      </c>
      <c r="I39" s="799" t="s">
        <v>3201</v>
      </c>
    </row>
    <row r="40" spans="1:9" x14ac:dyDescent="0.35">
      <c r="A40" s="798" t="s">
        <v>3401</v>
      </c>
      <c r="B40" s="390" t="s">
        <v>1602</v>
      </c>
      <c r="C40" s="390" t="s">
        <v>3438</v>
      </c>
      <c r="D40" s="798" t="s">
        <v>3435</v>
      </c>
      <c r="E40" s="800" t="s">
        <v>3437</v>
      </c>
      <c r="F40" s="390" t="s">
        <v>126</v>
      </c>
      <c r="G40" s="390">
        <v>0</v>
      </c>
      <c r="H40" s="390"/>
      <c r="I40" s="799" t="s">
        <v>3201</v>
      </c>
    </row>
    <row r="41" spans="1:9" x14ac:dyDescent="0.35">
      <c r="A41" s="798" t="s">
        <v>3401</v>
      </c>
      <c r="B41" s="390" t="s">
        <v>2156</v>
      </c>
      <c r="C41" s="390" t="s">
        <v>3436</v>
      </c>
      <c r="D41" s="798" t="s">
        <v>3435</v>
      </c>
      <c r="E41" s="800" t="s">
        <v>3405</v>
      </c>
      <c r="F41" s="390" t="s">
        <v>3434</v>
      </c>
      <c r="G41" s="390">
        <v>0</v>
      </c>
      <c r="H41" s="390"/>
      <c r="I41" s="799" t="s">
        <v>3201</v>
      </c>
    </row>
    <row r="42" spans="1:9" x14ac:dyDescent="0.35">
      <c r="A42" s="798">
        <v>43447</v>
      </c>
      <c r="B42" s="390" t="s">
        <v>2156</v>
      </c>
      <c r="C42" s="390" t="s">
        <v>3433</v>
      </c>
      <c r="D42" s="798">
        <v>43818</v>
      </c>
      <c r="E42" s="800">
        <v>0.4375</v>
      </c>
      <c r="F42" s="390" t="s">
        <v>126</v>
      </c>
      <c r="G42" s="390">
        <v>495</v>
      </c>
      <c r="H42" s="390"/>
      <c r="I42" s="799" t="s">
        <v>3201</v>
      </c>
    </row>
    <row r="43" spans="1:9" x14ac:dyDescent="0.35">
      <c r="A43" s="798">
        <v>43813</v>
      </c>
      <c r="B43" s="390" t="s">
        <v>2960</v>
      </c>
      <c r="C43" s="390" t="s">
        <v>3432</v>
      </c>
      <c r="D43" s="798">
        <v>43453</v>
      </c>
      <c r="E43" s="800" t="s">
        <v>3431</v>
      </c>
      <c r="F43" s="390" t="s">
        <v>3430</v>
      </c>
      <c r="G43" s="390">
        <v>189</v>
      </c>
      <c r="H43" s="390" t="s">
        <v>3429</v>
      </c>
      <c r="I43" s="799" t="s">
        <v>3201</v>
      </c>
    </row>
    <row r="44" spans="1:9" x14ac:dyDescent="0.35">
      <c r="A44" s="798">
        <v>43446</v>
      </c>
      <c r="B44" s="390" t="s">
        <v>3428</v>
      </c>
      <c r="C44" s="390" t="s">
        <v>3427</v>
      </c>
      <c r="D44" s="798">
        <v>43818</v>
      </c>
      <c r="E44" s="800">
        <v>0.45138888888888901</v>
      </c>
      <c r="F44" s="390" t="s">
        <v>3426</v>
      </c>
      <c r="G44" s="390">
        <v>750</v>
      </c>
      <c r="H44" s="390" t="s">
        <v>2900</v>
      </c>
      <c r="I44" s="799" t="s">
        <v>3201</v>
      </c>
    </row>
    <row r="45" spans="1:9" x14ac:dyDescent="0.35">
      <c r="A45" s="798">
        <v>43451</v>
      </c>
      <c r="B45" s="390" t="s">
        <v>3425</v>
      </c>
      <c r="C45" s="390" t="s">
        <v>3424</v>
      </c>
      <c r="D45" s="798">
        <v>43818</v>
      </c>
      <c r="E45" s="800">
        <v>0.72916666666666696</v>
      </c>
      <c r="F45" s="390" t="s">
        <v>3423</v>
      </c>
      <c r="G45" s="390">
        <v>50</v>
      </c>
      <c r="H45" s="390" t="s">
        <v>3422</v>
      </c>
      <c r="I45" s="799" t="s">
        <v>3201</v>
      </c>
    </row>
    <row r="46" spans="1:9" x14ac:dyDescent="0.35">
      <c r="A46" s="798">
        <v>43444</v>
      </c>
      <c r="B46" s="390" t="s">
        <v>3421</v>
      </c>
      <c r="C46" s="390" t="s">
        <v>3420</v>
      </c>
      <c r="D46" s="798">
        <v>43453</v>
      </c>
      <c r="E46" s="800">
        <v>0.48958333333333298</v>
      </c>
      <c r="F46" s="390" t="s">
        <v>3419</v>
      </c>
      <c r="G46" s="390">
        <v>1200</v>
      </c>
      <c r="H46" s="390" t="s">
        <v>3418</v>
      </c>
      <c r="I46" s="799" t="s">
        <v>3201</v>
      </c>
    </row>
    <row r="47" spans="1:9" x14ac:dyDescent="0.35">
      <c r="A47" s="798">
        <v>43447</v>
      </c>
      <c r="B47" s="390" t="s">
        <v>3417</v>
      </c>
      <c r="C47" s="390" t="s">
        <v>3416</v>
      </c>
      <c r="D47" s="798">
        <v>43453</v>
      </c>
      <c r="E47" s="800">
        <v>0.54166666666666696</v>
      </c>
      <c r="F47" s="390" t="s">
        <v>3415</v>
      </c>
      <c r="G47" s="390">
        <v>240</v>
      </c>
      <c r="H47" s="390" t="s">
        <v>3187</v>
      </c>
      <c r="I47" s="799" t="s">
        <v>3201</v>
      </c>
    </row>
    <row r="48" spans="1:9" x14ac:dyDescent="0.35">
      <c r="A48" s="798">
        <v>43444</v>
      </c>
      <c r="B48" s="390" t="s">
        <v>1486</v>
      </c>
      <c r="C48" s="390" t="s">
        <v>3414</v>
      </c>
      <c r="D48" s="798">
        <v>43453</v>
      </c>
      <c r="E48" s="800" t="s">
        <v>3385</v>
      </c>
      <c r="F48" s="390" t="s">
        <v>126</v>
      </c>
      <c r="G48" s="390">
        <v>0</v>
      </c>
      <c r="H48" s="390" t="s">
        <v>15</v>
      </c>
      <c r="I48" s="799" t="s">
        <v>3201</v>
      </c>
    </row>
    <row r="49" spans="1:9" x14ac:dyDescent="0.35">
      <c r="A49" s="798">
        <v>43451</v>
      </c>
      <c r="B49" s="390" t="s">
        <v>697</v>
      </c>
      <c r="C49" s="390" t="s">
        <v>3413</v>
      </c>
      <c r="D49" s="798">
        <v>43453</v>
      </c>
      <c r="E49" s="800" t="s">
        <v>3412</v>
      </c>
      <c r="F49" s="390" t="s">
        <v>126</v>
      </c>
      <c r="G49" s="390">
        <v>0</v>
      </c>
      <c r="H49" s="390"/>
      <c r="I49" s="799" t="s">
        <v>3201</v>
      </c>
    </row>
    <row r="50" spans="1:9" x14ac:dyDescent="0.35">
      <c r="A50" s="798">
        <v>43448</v>
      </c>
      <c r="B50" s="390" t="s">
        <v>3411</v>
      </c>
      <c r="C50" s="390" t="s">
        <v>3410</v>
      </c>
      <c r="D50" s="798">
        <v>43453</v>
      </c>
      <c r="E50" s="800" t="s">
        <v>3409</v>
      </c>
      <c r="F50" s="390" t="s">
        <v>3408</v>
      </c>
      <c r="G50" s="390">
        <v>313.2</v>
      </c>
      <c r="H50" s="390" t="s">
        <v>3407</v>
      </c>
      <c r="I50" s="799" t="s">
        <v>3201</v>
      </c>
    </row>
    <row r="51" spans="1:9" x14ac:dyDescent="0.35">
      <c r="A51" s="798" t="s">
        <v>3401</v>
      </c>
      <c r="B51" s="390" t="s">
        <v>2156</v>
      </c>
      <c r="C51" s="390" t="s">
        <v>3406</v>
      </c>
      <c r="D51" s="798" t="s">
        <v>3395</v>
      </c>
      <c r="E51" s="800" t="s">
        <v>3405</v>
      </c>
      <c r="F51" s="390" t="s">
        <v>3404</v>
      </c>
      <c r="G51" s="390"/>
      <c r="H51" s="390"/>
      <c r="I51" s="799" t="s">
        <v>3201</v>
      </c>
    </row>
    <row r="52" spans="1:9" x14ac:dyDescent="0.35">
      <c r="A52" s="798" t="s">
        <v>3401</v>
      </c>
      <c r="B52" s="390" t="s">
        <v>22</v>
      </c>
      <c r="C52" s="390" t="s">
        <v>3403</v>
      </c>
      <c r="D52" s="798" t="s">
        <v>3395</v>
      </c>
      <c r="E52" s="800" t="s">
        <v>3402</v>
      </c>
      <c r="F52" s="390" t="s">
        <v>126</v>
      </c>
      <c r="G52" s="390"/>
      <c r="H52" s="390"/>
      <c r="I52" s="799" t="s">
        <v>3201</v>
      </c>
    </row>
    <row r="53" spans="1:9" x14ac:dyDescent="0.35">
      <c r="A53" s="798" t="s">
        <v>3401</v>
      </c>
      <c r="B53" s="390" t="s">
        <v>216</v>
      </c>
      <c r="C53" s="390" t="s">
        <v>3400</v>
      </c>
      <c r="D53" s="798" t="s">
        <v>3395</v>
      </c>
      <c r="E53" s="800" t="s">
        <v>3399</v>
      </c>
      <c r="F53" s="390" t="s">
        <v>126</v>
      </c>
      <c r="G53" s="390"/>
      <c r="H53" s="390"/>
      <c r="I53" s="799" t="s">
        <v>3201</v>
      </c>
    </row>
    <row r="54" spans="1:9" x14ac:dyDescent="0.35">
      <c r="A54" s="798">
        <v>43453</v>
      </c>
      <c r="B54" s="390" t="s">
        <v>3398</v>
      </c>
      <c r="C54" s="390" t="s">
        <v>3321</v>
      </c>
      <c r="D54" s="798">
        <v>43454</v>
      </c>
      <c r="E54" s="800" t="s">
        <v>1514</v>
      </c>
      <c r="F54" s="390" t="s">
        <v>3397</v>
      </c>
      <c r="G54" s="390">
        <v>150</v>
      </c>
      <c r="H54" s="390"/>
      <c r="I54" s="799" t="s">
        <v>3201</v>
      </c>
    </row>
    <row r="55" spans="1:9" x14ac:dyDescent="0.35">
      <c r="A55" s="798" t="s">
        <v>3395</v>
      </c>
      <c r="B55" s="390" t="s">
        <v>3185</v>
      </c>
      <c r="C55" s="390" t="s">
        <v>3396</v>
      </c>
      <c r="D55" s="798" t="s">
        <v>3395</v>
      </c>
      <c r="E55" s="800" t="s">
        <v>1514</v>
      </c>
      <c r="F55" s="390"/>
      <c r="G55" s="390" t="s">
        <v>1387</v>
      </c>
      <c r="H55" s="390"/>
      <c r="I55" s="799" t="s">
        <v>3201</v>
      </c>
    </row>
    <row r="56" spans="1:9" x14ac:dyDescent="0.35">
      <c r="A56" s="798">
        <v>43447</v>
      </c>
      <c r="B56" s="390" t="s">
        <v>3394</v>
      </c>
      <c r="C56" s="390" t="s">
        <v>3393</v>
      </c>
      <c r="D56" s="798">
        <v>43454</v>
      </c>
      <c r="E56" s="800">
        <v>0.60416666666666696</v>
      </c>
      <c r="F56" s="390" t="s">
        <v>3392</v>
      </c>
      <c r="G56" s="390">
        <v>1125</v>
      </c>
      <c r="H56" s="390" t="s">
        <v>3391</v>
      </c>
      <c r="I56" s="799" t="s">
        <v>3201</v>
      </c>
    </row>
    <row r="57" spans="1:9" x14ac:dyDescent="0.35">
      <c r="A57" s="798">
        <v>43454</v>
      </c>
      <c r="B57" s="390" t="s">
        <v>1486</v>
      </c>
      <c r="C57" s="390" t="s">
        <v>3390</v>
      </c>
      <c r="D57" s="798">
        <v>43455</v>
      </c>
      <c r="E57" s="800" t="s">
        <v>3389</v>
      </c>
      <c r="F57" s="390" t="s">
        <v>3388</v>
      </c>
      <c r="G57" s="390">
        <v>252</v>
      </c>
      <c r="H57" s="390" t="s">
        <v>2997</v>
      </c>
      <c r="I57" s="799" t="s">
        <v>3201</v>
      </c>
    </row>
    <row r="58" spans="1:9" x14ac:dyDescent="0.35">
      <c r="A58" s="798">
        <v>43444</v>
      </c>
      <c r="B58" s="390" t="s">
        <v>3387</v>
      </c>
      <c r="C58" s="390" t="s">
        <v>3386</v>
      </c>
      <c r="D58" s="798">
        <v>43455</v>
      </c>
      <c r="E58" s="800" t="s">
        <v>3385</v>
      </c>
      <c r="F58" s="390" t="s">
        <v>126</v>
      </c>
      <c r="G58" s="390">
        <v>0</v>
      </c>
      <c r="H58" s="390" t="s">
        <v>15</v>
      </c>
      <c r="I58" s="799" t="s">
        <v>3201</v>
      </c>
    </row>
    <row r="59" spans="1:9" x14ac:dyDescent="0.35">
      <c r="A59" s="798">
        <v>43451</v>
      </c>
      <c r="B59" s="390" t="s">
        <v>124</v>
      </c>
      <c r="C59" s="390" t="s">
        <v>3384</v>
      </c>
      <c r="D59" s="798">
        <v>43455</v>
      </c>
      <c r="E59" s="800" t="s">
        <v>2537</v>
      </c>
      <c r="F59" s="390" t="s">
        <v>3383</v>
      </c>
      <c r="G59" s="390">
        <v>185</v>
      </c>
      <c r="H59" s="390" t="s">
        <v>15</v>
      </c>
      <c r="I59" s="799" t="s">
        <v>3201</v>
      </c>
    </row>
    <row r="60" spans="1:9" x14ac:dyDescent="0.35">
      <c r="A60" s="798">
        <v>43452</v>
      </c>
      <c r="B60" s="390" t="s">
        <v>1122</v>
      </c>
      <c r="C60" s="390" t="s">
        <v>3382</v>
      </c>
      <c r="D60" s="798">
        <v>43455</v>
      </c>
      <c r="E60" s="800" t="s">
        <v>3381</v>
      </c>
      <c r="F60" s="390" t="s">
        <v>3380</v>
      </c>
      <c r="G60" s="390">
        <v>300</v>
      </c>
      <c r="H60" s="390" t="s">
        <v>3379</v>
      </c>
      <c r="I60" s="799" t="s">
        <v>3201</v>
      </c>
    </row>
    <row r="61" spans="1:9" x14ac:dyDescent="0.35">
      <c r="A61" s="798">
        <v>43446</v>
      </c>
      <c r="B61" s="390" t="s">
        <v>3378</v>
      </c>
      <c r="C61" s="390" t="s">
        <v>3377</v>
      </c>
      <c r="D61" s="798">
        <v>43455</v>
      </c>
      <c r="E61" s="800" t="s">
        <v>3376</v>
      </c>
      <c r="F61" s="390" t="s">
        <v>3375</v>
      </c>
      <c r="G61" s="390">
        <v>120</v>
      </c>
      <c r="H61" s="390" t="s">
        <v>3187</v>
      </c>
      <c r="I61" s="799" t="s">
        <v>3201</v>
      </c>
    </row>
    <row r="62" spans="1:9" x14ac:dyDescent="0.35">
      <c r="A62" s="798">
        <v>43444</v>
      </c>
      <c r="B62" s="390" t="s">
        <v>3374</v>
      </c>
      <c r="C62" s="390" t="s">
        <v>3373</v>
      </c>
      <c r="D62" s="798">
        <v>43455</v>
      </c>
      <c r="E62" s="800">
        <v>0.4375</v>
      </c>
      <c r="F62" s="390" t="s">
        <v>126</v>
      </c>
      <c r="G62" s="390">
        <v>337.5</v>
      </c>
      <c r="H62" s="390" t="s">
        <v>3372</v>
      </c>
      <c r="I62" s="799" t="s">
        <v>3201</v>
      </c>
    </row>
    <row r="63" spans="1:9" x14ac:dyDescent="0.35">
      <c r="A63" s="798">
        <v>43451</v>
      </c>
      <c r="B63" s="390" t="s">
        <v>1428</v>
      </c>
      <c r="C63" s="390" t="s">
        <v>3371</v>
      </c>
      <c r="D63" s="798">
        <v>43455</v>
      </c>
      <c r="E63" s="800">
        <v>0.79166666666666696</v>
      </c>
      <c r="F63" s="390" t="s">
        <v>3370</v>
      </c>
      <c r="G63" s="390">
        <v>75</v>
      </c>
      <c r="H63" s="390" t="s">
        <v>3187</v>
      </c>
      <c r="I63" s="799" t="s">
        <v>3201</v>
      </c>
    </row>
    <row r="64" spans="1:9" x14ac:dyDescent="0.35">
      <c r="A64" s="798">
        <v>43453</v>
      </c>
      <c r="B64" s="390" t="s">
        <v>3369</v>
      </c>
      <c r="C64" s="394" t="s">
        <v>3368</v>
      </c>
      <c r="D64" s="798">
        <v>43455</v>
      </c>
      <c r="E64" s="800" t="s">
        <v>3367</v>
      </c>
      <c r="F64" s="390" t="s">
        <v>3366</v>
      </c>
      <c r="G64" s="390">
        <v>202.5</v>
      </c>
      <c r="H64" s="390" t="s">
        <v>3187</v>
      </c>
      <c r="I64" s="799" t="s">
        <v>3201</v>
      </c>
    </row>
    <row r="65" spans="1:9" x14ac:dyDescent="0.35">
      <c r="A65" s="798">
        <v>43454</v>
      </c>
      <c r="B65" s="390" t="s">
        <v>2174</v>
      </c>
      <c r="C65" s="390" t="s">
        <v>3365</v>
      </c>
      <c r="D65" s="798">
        <v>43455</v>
      </c>
      <c r="E65" s="800" t="s">
        <v>3364</v>
      </c>
      <c r="F65" s="390" t="s">
        <v>1279</v>
      </c>
      <c r="G65" s="390">
        <v>150</v>
      </c>
      <c r="H65" s="390" t="s">
        <v>3363</v>
      </c>
      <c r="I65" s="799" t="s">
        <v>3201</v>
      </c>
    </row>
    <row r="66" spans="1:9" x14ac:dyDescent="0.35">
      <c r="A66" s="798">
        <v>43454</v>
      </c>
      <c r="B66" s="390" t="s">
        <v>3362</v>
      </c>
      <c r="C66" s="390" t="s">
        <v>3361</v>
      </c>
      <c r="D66" s="798">
        <v>43455</v>
      </c>
      <c r="E66" s="800" t="s">
        <v>2537</v>
      </c>
      <c r="F66" s="390" t="s">
        <v>2590</v>
      </c>
      <c r="G66" s="390">
        <v>0</v>
      </c>
      <c r="H66" s="390" t="s">
        <v>15</v>
      </c>
      <c r="I66" s="799" t="s">
        <v>3201</v>
      </c>
    </row>
    <row r="67" spans="1:9" x14ac:dyDescent="0.35">
      <c r="A67" s="798">
        <v>43443</v>
      </c>
      <c r="B67" s="390" t="s">
        <v>1723</v>
      </c>
      <c r="C67" s="390" t="s">
        <v>3360</v>
      </c>
      <c r="D67" s="798">
        <v>43455</v>
      </c>
      <c r="E67" s="800">
        <v>0.70833333333333304</v>
      </c>
      <c r="F67" s="390" t="s">
        <v>3359</v>
      </c>
      <c r="G67" s="390">
        <v>144.5</v>
      </c>
      <c r="H67" s="390" t="s">
        <v>3187</v>
      </c>
      <c r="I67" s="799" t="s">
        <v>3201</v>
      </c>
    </row>
    <row r="68" spans="1:9" x14ac:dyDescent="0.35">
      <c r="A68" s="798">
        <v>43447</v>
      </c>
      <c r="B68" s="390" t="s">
        <v>3358</v>
      </c>
      <c r="C68" s="390" t="s">
        <v>3357</v>
      </c>
      <c r="D68" s="798">
        <v>43456</v>
      </c>
      <c r="E68" s="800" t="s">
        <v>3356</v>
      </c>
      <c r="F68" s="390" t="s">
        <v>1737</v>
      </c>
      <c r="G68" s="390">
        <v>300</v>
      </c>
      <c r="H68" s="390" t="s">
        <v>3187</v>
      </c>
      <c r="I68" s="799" t="s">
        <v>3201</v>
      </c>
    </row>
    <row r="69" spans="1:9" x14ac:dyDescent="0.35">
      <c r="A69" s="798">
        <v>43452</v>
      </c>
      <c r="B69" s="390" t="s">
        <v>3355</v>
      </c>
      <c r="C69" s="390" t="s">
        <v>3354</v>
      </c>
      <c r="D69" s="798">
        <v>43456</v>
      </c>
      <c r="E69" s="800" t="s">
        <v>3353</v>
      </c>
      <c r="F69" s="390" t="s">
        <v>3342</v>
      </c>
      <c r="G69" s="390">
        <v>75</v>
      </c>
      <c r="H69" s="390" t="s">
        <v>3187</v>
      </c>
      <c r="I69" s="799" t="s">
        <v>3201</v>
      </c>
    </row>
    <row r="70" spans="1:9" x14ac:dyDescent="0.35">
      <c r="A70" s="798">
        <v>43451</v>
      </c>
      <c r="B70" s="390" t="s">
        <v>1619</v>
      </c>
      <c r="C70" s="390" t="s">
        <v>3352</v>
      </c>
      <c r="D70" s="798">
        <v>43456</v>
      </c>
      <c r="E70" s="800" t="s">
        <v>3351</v>
      </c>
      <c r="F70" s="390" t="s">
        <v>3350</v>
      </c>
      <c r="G70" s="390">
        <v>150</v>
      </c>
      <c r="H70" s="390" t="s">
        <v>3187</v>
      </c>
      <c r="I70" s="799" t="s">
        <v>3201</v>
      </c>
    </row>
    <row r="71" spans="1:9" ht="23.25" customHeight="1" x14ac:dyDescent="0.35">
      <c r="A71" s="798"/>
      <c r="B71" s="390" t="s">
        <v>2928</v>
      </c>
      <c r="C71" s="390" t="s">
        <v>3349</v>
      </c>
      <c r="D71" s="798">
        <v>43456</v>
      </c>
      <c r="E71" s="800">
        <v>0.66666666666666696</v>
      </c>
      <c r="F71" s="489" t="s">
        <v>3348</v>
      </c>
      <c r="G71" s="390">
        <v>286</v>
      </c>
      <c r="H71" s="390" t="s">
        <v>3187</v>
      </c>
      <c r="I71" s="799" t="s">
        <v>3201</v>
      </c>
    </row>
    <row r="72" spans="1:9" x14ac:dyDescent="0.35">
      <c r="A72" s="798">
        <v>43453</v>
      </c>
      <c r="B72" s="390" t="s">
        <v>3347</v>
      </c>
      <c r="C72" s="390" t="s">
        <v>3346</v>
      </c>
      <c r="D72" s="798">
        <v>43456</v>
      </c>
      <c r="E72" s="800" t="s">
        <v>3313</v>
      </c>
      <c r="F72" s="489" t="s">
        <v>3345</v>
      </c>
      <c r="G72" s="390">
        <v>150</v>
      </c>
      <c r="H72" s="390" t="s">
        <v>15</v>
      </c>
      <c r="I72" s="799" t="s">
        <v>3201</v>
      </c>
    </row>
    <row r="73" spans="1:9" x14ac:dyDescent="0.35">
      <c r="A73" s="798">
        <v>43455</v>
      </c>
      <c r="B73" s="390" t="s">
        <v>3344</v>
      </c>
      <c r="C73" s="390" t="s">
        <v>3258</v>
      </c>
      <c r="D73" s="798">
        <v>43457</v>
      </c>
      <c r="E73" s="800" t="s">
        <v>3343</v>
      </c>
      <c r="F73" s="489" t="s">
        <v>3342</v>
      </c>
      <c r="G73" s="390">
        <v>150</v>
      </c>
      <c r="H73" s="390" t="s">
        <v>3187</v>
      </c>
      <c r="I73" s="799" t="s">
        <v>3201</v>
      </c>
    </row>
    <row r="74" spans="1:9" x14ac:dyDescent="0.35">
      <c r="A74" s="798">
        <v>43451</v>
      </c>
      <c r="B74" s="390" t="s">
        <v>3341</v>
      </c>
      <c r="C74" s="390" t="s">
        <v>3340</v>
      </c>
      <c r="D74" s="798">
        <v>43457</v>
      </c>
      <c r="E74" s="800">
        <v>0.83333333333333304</v>
      </c>
      <c r="F74" s="390" t="s">
        <v>3339</v>
      </c>
      <c r="G74" s="390">
        <v>195</v>
      </c>
      <c r="H74" s="390" t="s">
        <v>3187</v>
      </c>
      <c r="I74" s="799" t="s">
        <v>3201</v>
      </c>
    </row>
    <row r="75" spans="1:9" x14ac:dyDescent="0.35">
      <c r="A75" s="798">
        <v>43447</v>
      </c>
      <c r="B75" s="390" t="s">
        <v>3338</v>
      </c>
      <c r="C75" s="390" t="s">
        <v>3337</v>
      </c>
      <c r="D75" s="798">
        <v>43457</v>
      </c>
      <c r="E75" s="800" t="s">
        <v>3336</v>
      </c>
      <c r="F75" s="390" t="s">
        <v>2966</v>
      </c>
      <c r="G75" s="390">
        <v>0</v>
      </c>
      <c r="H75" s="390" t="s">
        <v>15</v>
      </c>
      <c r="I75" s="799" t="s">
        <v>3201</v>
      </c>
    </row>
    <row r="76" spans="1:9" x14ac:dyDescent="0.35">
      <c r="A76" s="801" t="s">
        <v>3335</v>
      </c>
      <c r="B76" s="390"/>
      <c r="C76" s="390"/>
      <c r="D76" s="798"/>
      <c r="E76" s="390"/>
      <c r="F76" s="390"/>
      <c r="G76" s="390"/>
      <c r="H76" s="390"/>
      <c r="I76" s="799" t="s">
        <v>3201</v>
      </c>
    </row>
    <row r="77" spans="1:9" x14ac:dyDescent="0.35">
      <c r="A77" s="798">
        <v>43444</v>
      </c>
      <c r="B77" s="390" t="s">
        <v>3334</v>
      </c>
      <c r="C77" s="390" t="s">
        <v>3333</v>
      </c>
      <c r="D77" s="798">
        <v>43457</v>
      </c>
      <c r="E77" s="390" t="s">
        <v>1667</v>
      </c>
      <c r="F77" s="390" t="s">
        <v>3332</v>
      </c>
      <c r="G77" s="390">
        <v>150</v>
      </c>
      <c r="H77" s="390" t="s">
        <v>3187</v>
      </c>
      <c r="I77" s="799" t="s">
        <v>3201</v>
      </c>
    </row>
    <row r="78" spans="1:9" x14ac:dyDescent="0.35">
      <c r="A78" s="798">
        <v>43456</v>
      </c>
      <c r="B78" s="390" t="s">
        <v>3331</v>
      </c>
      <c r="C78" s="390" t="s">
        <v>3330</v>
      </c>
      <c r="D78" s="798">
        <v>43456</v>
      </c>
      <c r="E78" s="800" t="s">
        <v>3329</v>
      </c>
      <c r="F78" s="390" t="s">
        <v>3328</v>
      </c>
      <c r="G78" s="390">
        <v>75</v>
      </c>
      <c r="H78" s="390" t="s">
        <v>3187</v>
      </c>
      <c r="I78" s="799" t="s">
        <v>3201</v>
      </c>
    </row>
    <row r="79" spans="1:9" x14ac:dyDescent="0.35">
      <c r="A79" s="798">
        <v>43453</v>
      </c>
      <c r="B79" s="390" t="s">
        <v>3327</v>
      </c>
      <c r="C79" s="390" t="s">
        <v>3326</v>
      </c>
      <c r="D79" s="798">
        <v>43457</v>
      </c>
      <c r="E79" s="800">
        <v>0.58333333333333304</v>
      </c>
      <c r="F79" s="390" t="s">
        <v>3325</v>
      </c>
      <c r="G79" s="390">
        <v>216</v>
      </c>
      <c r="H79" s="390" t="s">
        <v>3230</v>
      </c>
      <c r="I79" s="799" t="s">
        <v>3201</v>
      </c>
    </row>
    <row r="80" spans="1:9" x14ac:dyDescent="0.35">
      <c r="A80" s="798">
        <v>43455</v>
      </c>
      <c r="B80" s="390" t="s">
        <v>2960</v>
      </c>
      <c r="C80" s="390" t="s">
        <v>3324</v>
      </c>
      <c r="D80" s="798">
        <v>43457</v>
      </c>
      <c r="E80" s="800">
        <v>0.58333333333333304</v>
      </c>
      <c r="F80" s="390" t="s">
        <v>3323</v>
      </c>
      <c r="G80" s="390">
        <v>400</v>
      </c>
      <c r="H80" s="390" t="s">
        <v>3187</v>
      </c>
      <c r="I80" s="799" t="s">
        <v>3201</v>
      </c>
    </row>
    <row r="81" spans="1:9" x14ac:dyDescent="0.35">
      <c r="A81" s="798">
        <v>43455</v>
      </c>
      <c r="B81" s="390" t="s">
        <v>3322</v>
      </c>
      <c r="C81" s="390" t="s">
        <v>3321</v>
      </c>
      <c r="D81" s="798">
        <v>43457</v>
      </c>
      <c r="E81" s="800" t="s">
        <v>3320</v>
      </c>
      <c r="F81" s="390" t="s">
        <v>3319</v>
      </c>
      <c r="G81" s="390">
        <v>150</v>
      </c>
      <c r="H81" s="390" t="s">
        <v>3187</v>
      </c>
      <c r="I81" s="799" t="s">
        <v>3201</v>
      </c>
    </row>
    <row r="82" spans="1:9" ht="20.149999999999999" customHeight="1" x14ac:dyDescent="0.35">
      <c r="A82" s="798">
        <v>43452</v>
      </c>
      <c r="B82" s="390" t="s">
        <v>3318</v>
      </c>
      <c r="C82" s="390" t="s">
        <v>3244</v>
      </c>
      <c r="D82" s="798">
        <v>43457</v>
      </c>
      <c r="E82" s="390" t="s">
        <v>3317</v>
      </c>
      <c r="F82" s="489" t="s">
        <v>3316</v>
      </c>
      <c r="G82" s="390">
        <v>150</v>
      </c>
      <c r="H82" s="390" t="s">
        <v>3187</v>
      </c>
      <c r="I82" s="799" t="s">
        <v>3201</v>
      </c>
    </row>
    <row r="83" spans="1:9" x14ac:dyDescent="0.35">
      <c r="A83" s="798">
        <v>43454</v>
      </c>
      <c r="B83" s="390" t="s">
        <v>3315</v>
      </c>
      <c r="C83" s="390" t="s">
        <v>3314</v>
      </c>
      <c r="D83" s="798">
        <v>43457</v>
      </c>
      <c r="E83" s="390" t="s">
        <v>3313</v>
      </c>
      <c r="F83" s="489" t="s">
        <v>3312</v>
      </c>
      <c r="G83" s="390">
        <v>0</v>
      </c>
      <c r="H83" s="390" t="s">
        <v>15</v>
      </c>
      <c r="I83" s="799" t="s">
        <v>3201</v>
      </c>
    </row>
    <row r="84" spans="1:9" x14ac:dyDescent="0.35">
      <c r="A84" s="798">
        <v>43454</v>
      </c>
      <c r="B84" s="390" t="s">
        <v>2057</v>
      </c>
      <c r="C84" s="390" t="s">
        <v>3311</v>
      </c>
      <c r="D84" s="798">
        <v>43457</v>
      </c>
      <c r="E84" s="390" t="s">
        <v>2537</v>
      </c>
      <c r="F84" s="489" t="s">
        <v>3310</v>
      </c>
      <c r="G84" s="390">
        <v>240</v>
      </c>
      <c r="H84" s="390" t="s">
        <v>3187</v>
      </c>
      <c r="I84" s="799" t="s">
        <v>3201</v>
      </c>
    </row>
    <row r="85" spans="1:9" x14ac:dyDescent="0.35">
      <c r="A85" s="798">
        <v>43454</v>
      </c>
      <c r="B85" s="390" t="s">
        <v>3309</v>
      </c>
      <c r="C85" s="390" t="s">
        <v>3308</v>
      </c>
      <c r="D85" s="798">
        <v>43457</v>
      </c>
      <c r="E85" s="390" t="s">
        <v>2537</v>
      </c>
      <c r="F85" s="489" t="s">
        <v>3307</v>
      </c>
      <c r="G85" s="390">
        <v>300</v>
      </c>
      <c r="H85" s="390" t="s">
        <v>3230</v>
      </c>
      <c r="I85" s="799" t="s">
        <v>3201</v>
      </c>
    </row>
    <row r="86" spans="1:9" x14ac:dyDescent="0.35">
      <c r="A86" s="798">
        <v>43445</v>
      </c>
      <c r="B86" s="390" t="s">
        <v>3306</v>
      </c>
      <c r="C86" s="390" t="s">
        <v>3305</v>
      </c>
      <c r="D86" s="798">
        <v>43457</v>
      </c>
      <c r="E86" s="390" t="s">
        <v>3304</v>
      </c>
      <c r="F86" s="390" t="s">
        <v>3303</v>
      </c>
      <c r="G86" s="390">
        <v>150</v>
      </c>
      <c r="H86" s="390" t="s">
        <v>3187</v>
      </c>
      <c r="I86" s="799" t="s">
        <v>3201</v>
      </c>
    </row>
    <row r="87" spans="1:9" x14ac:dyDescent="0.35">
      <c r="A87" s="798" t="s">
        <v>3302</v>
      </c>
      <c r="B87" s="390" t="s">
        <v>3301</v>
      </c>
      <c r="C87" s="390" t="s">
        <v>3300</v>
      </c>
      <c r="D87" s="798">
        <v>43458</v>
      </c>
      <c r="E87" s="800">
        <v>0.4375</v>
      </c>
      <c r="F87" s="390" t="s">
        <v>3299</v>
      </c>
      <c r="G87" s="390">
        <v>0</v>
      </c>
      <c r="H87" s="390" t="s">
        <v>15</v>
      </c>
      <c r="I87" s="799" t="s">
        <v>3201</v>
      </c>
    </row>
    <row r="88" spans="1:9" x14ac:dyDescent="0.35">
      <c r="A88" s="798">
        <v>43454</v>
      </c>
      <c r="B88" s="390" t="s">
        <v>2365</v>
      </c>
      <c r="C88" s="390" t="s">
        <v>3298</v>
      </c>
      <c r="D88" s="798">
        <v>43458</v>
      </c>
      <c r="E88" s="390" t="s">
        <v>3297</v>
      </c>
      <c r="F88" s="489" t="s">
        <v>3296</v>
      </c>
      <c r="G88" s="390">
        <v>351</v>
      </c>
      <c r="H88" s="390" t="s">
        <v>3187</v>
      </c>
      <c r="I88" s="799" t="s">
        <v>3201</v>
      </c>
    </row>
    <row r="89" spans="1:9" x14ac:dyDescent="0.35">
      <c r="A89" s="798">
        <v>43455</v>
      </c>
      <c r="B89" s="390" t="s">
        <v>3295</v>
      </c>
      <c r="C89" s="390" t="s">
        <v>3294</v>
      </c>
      <c r="D89" s="798">
        <v>43458</v>
      </c>
      <c r="E89" s="390" t="s">
        <v>3293</v>
      </c>
      <c r="F89" s="489" t="s">
        <v>3292</v>
      </c>
      <c r="G89" s="390">
        <v>100</v>
      </c>
      <c r="H89" s="390" t="s">
        <v>3291</v>
      </c>
      <c r="I89" s="799" t="s">
        <v>3201</v>
      </c>
    </row>
    <row r="90" spans="1:9" x14ac:dyDescent="0.35">
      <c r="A90" s="798">
        <v>43453</v>
      </c>
      <c r="B90" s="390" t="s">
        <v>1566</v>
      </c>
      <c r="C90" s="390" t="s">
        <v>3290</v>
      </c>
      <c r="D90" s="798">
        <v>43458</v>
      </c>
      <c r="E90" s="800" t="s">
        <v>3289</v>
      </c>
      <c r="F90" s="390" t="s">
        <v>3288</v>
      </c>
      <c r="G90" s="390">
        <v>202.5</v>
      </c>
      <c r="H90" s="390" t="s">
        <v>3287</v>
      </c>
      <c r="I90" s="799" t="s">
        <v>3201</v>
      </c>
    </row>
    <row r="91" spans="1:9" x14ac:dyDescent="0.35">
      <c r="A91" s="798">
        <v>43454</v>
      </c>
      <c r="B91" s="390" t="s">
        <v>3286</v>
      </c>
      <c r="C91" s="390" t="s">
        <v>3285</v>
      </c>
      <c r="D91" s="798">
        <v>43458</v>
      </c>
      <c r="E91" s="800" t="s">
        <v>3284</v>
      </c>
      <c r="F91" s="390" t="s">
        <v>3283</v>
      </c>
      <c r="G91" s="390">
        <v>150</v>
      </c>
      <c r="H91" s="390" t="s">
        <v>3187</v>
      </c>
      <c r="I91" s="799" t="s">
        <v>3201</v>
      </c>
    </row>
    <row r="92" spans="1:9" x14ac:dyDescent="0.35">
      <c r="A92" s="798">
        <v>43452</v>
      </c>
      <c r="B92" s="390" t="s">
        <v>3282</v>
      </c>
      <c r="C92" s="390" t="s">
        <v>3281</v>
      </c>
      <c r="D92" s="798">
        <v>43458</v>
      </c>
      <c r="E92" s="800" t="s">
        <v>3280</v>
      </c>
      <c r="F92" s="390" t="s">
        <v>3279</v>
      </c>
      <c r="G92" s="390">
        <v>300</v>
      </c>
      <c r="H92" s="390" t="s">
        <v>3187</v>
      </c>
      <c r="I92" s="799" t="s">
        <v>3201</v>
      </c>
    </row>
    <row r="93" spans="1:9" x14ac:dyDescent="0.35">
      <c r="A93" s="798">
        <v>43451</v>
      </c>
      <c r="B93" s="390" t="s">
        <v>3278</v>
      </c>
      <c r="C93" s="390" t="s">
        <v>3241</v>
      </c>
      <c r="D93" s="798">
        <v>43458</v>
      </c>
      <c r="E93" s="800" t="s">
        <v>3277</v>
      </c>
      <c r="F93" s="390" t="s">
        <v>3276</v>
      </c>
      <c r="G93" s="390">
        <v>300</v>
      </c>
      <c r="H93" s="390" t="s">
        <v>3187</v>
      </c>
      <c r="I93" s="799" t="s">
        <v>3201</v>
      </c>
    </row>
    <row r="94" spans="1:9" x14ac:dyDescent="0.35">
      <c r="A94" s="798">
        <v>43454</v>
      </c>
      <c r="B94" s="390" t="s">
        <v>3275</v>
      </c>
      <c r="C94" s="390" t="s">
        <v>3274</v>
      </c>
      <c r="D94" s="798">
        <v>43458</v>
      </c>
      <c r="E94" s="800" t="s">
        <v>3273</v>
      </c>
      <c r="F94" s="390" t="s">
        <v>3272</v>
      </c>
      <c r="G94" s="390">
        <v>150</v>
      </c>
      <c r="H94" s="390" t="s">
        <v>3187</v>
      </c>
      <c r="I94" s="799" t="s">
        <v>3201</v>
      </c>
    </row>
    <row r="95" spans="1:9" x14ac:dyDescent="0.35">
      <c r="A95" s="798">
        <v>43452</v>
      </c>
      <c r="B95" s="390" t="s">
        <v>1122</v>
      </c>
      <c r="C95" s="390" t="s">
        <v>3271</v>
      </c>
      <c r="D95" s="798">
        <v>43458</v>
      </c>
      <c r="E95" s="800">
        <v>0.5</v>
      </c>
      <c r="F95" s="390" t="s">
        <v>3270</v>
      </c>
      <c r="G95" s="390">
        <v>0</v>
      </c>
      <c r="H95" s="390" t="s">
        <v>15</v>
      </c>
      <c r="I95" s="799" t="s">
        <v>3201</v>
      </c>
    </row>
    <row r="96" spans="1:9" x14ac:dyDescent="0.35">
      <c r="A96" s="798">
        <v>43452</v>
      </c>
      <c r="B96" s="390" t="s">
        <v>3269</v>
      </c>
      <c r="C96" s="390" t="s">
        <v>3268</v>
      </c>
      <c r="D96" s="798">
        <v>43458</v>
      </c>
      <c r="E96" s="800" t="s">
        <v>3267</v>
      </c>
      <c r="F96" s="390" t="s">
        <v>3266</v>
      </c>
      <c r="G96" s="390">
        <v>494.5</v>
      </c>
      <c r="H96" s="390" t="s">
        <v>3187</v>
      </c>
      <c r="I96" s="799" t="s">
        <v>3201</v>
      </c>
    </row>
    <row r="97" spans="1:9" x14ac:dyDescent="0.35">
      <c r="A97" s="798">
        <v>43817</v>
      </c>
      <c r="B97" s="390" t="s">
        <v>3265</v>
      </c>
      <c r="C97" s="390" t="s">
        <v>3264</v>
      </c>
      <c r="D97" s="798">
        <v>43458</v>
      </c>
      <c r="E97" s="800">
        <v>0.42569444444444399</v>
      </c>
      <c r="F97" s="390" t="s">
        <v>3263</v>
      </c>
      <c r="G97" s="390">
        <v>150</v>
      </c>
      <c r="H97" s="390" t="s">
        <v>3187</v>
      </c>
      <c r="I97" s="799" t="s">
        <v>3201</v>
      </c>
    </row>
    <row r="98" spans="1:9" x14ac:dyDescent="0.35">
      <c r="A98" s="798">
        <v>43818</v>
      </c>
      <c r="B98" s="390" t="s">
        <v>3262</v>
      </c>
      <c r="C98" s="390" t="s">
        <v>3261</v>
      </c>
      <c r="D98" s="798">
        <v>43458</v>
      </c>
      <c r="E98" s="800" t="s">
        <v>3260</v>
      </c>
      <c r="F98" s="390" t="s">
        <v>3259</v>
      </c>
      <c r="G98" s="390">
        <v>375</v>
      </c>
      <c r="H98" s="390" t="s">
        <v>3187</v>
      </c>
      <c r="I98" s="799" t="s">
        <v>3201</v>
      </c>
    </row>
    <row r="99" spans="1:9" x14ac:dyDescent="0.35">
      <c r="A99" s="798">
        <v>43452</v>
      </c>
      <c r="B99" s="390" t="s">
        <v>1577</v>
      </c>
      <c r="C99" s="390" t="s">
        <v>3258</v>
      </c>
      <c r="D99" s="798">
        <v>43458</v>
      </c>
      <c r="E99" s="800" t="s">
        <v>3257</v>
      </c>
      <c r="F99" s="390" t="s">
        <v>3256</v>
      </c>
      <c r="G99" s="390">
        <v>135</v>
      </c>
      <c r="H99" s="390" t="s">
        <v>3252</v>
      </c>
      <c r="I99" s="799" t="s">
        <v>3201</v>
      </c>
    </row>
    <row r="100" spans="1:9" x14ac:dyDescent="0.35">
      <c r="A100" s="798">
        <v>43452</v>
      </c>
      <c r="B100" s="390" t="s">
        <v>1539</v>
      </c>
      <c r="C100" s="390" t="s">
        <v>3255</v>
      </c>
      <c r="D100" s="798">
        <v>43458</v>
      </c>
      <c r="E100" s="800" t="s">
        <v>3254</v>
      </c>
      <c r="F100" s="390" t="s">
        <v>3253</v>
      </c>
      <c r="G100" s="390">
        <v>0</v>
      </c>
      <c r="H100" s="390" t="s">
        <v>3252</v>
      </c>
      <c r="I100" s="799" t="s">
        <v>3201</v>
      </c>
    </row>
    <row r="101" spans="1:9" x14ac:dyDescent="0.35">
      <c r="A101" s="798">
        <v>43818</v>
      </c>
      <c r="B101" s="390" t="s">
        <v>3251</v>
      </c>
      <c r="C101" s="390" t="s">
        <v>3250</v>
      </c>
      <c r="D101" s="798">
        <v>43458</v>
      </c>
      <c r="E101" s="800">
        <v>0.5</v>
      </c>
      <c r="F101" s="390" t="s">
        <v>3249</v>
      </c>
      <c r="G101" s="390">
        <v>225</v>
      </c>
      <c r="H101" s="390" t="s">
        <v>3187</v>
      </c>
      <c r="I101" s="799" t="s">
        <v>3201</v>
      </c>
    </row>
    <row r="102" spans="1:9" x14ac:dyDescent="0.35">
      <c r="A102" s="798">
        <v>43457</v>
      </c>
      <c r="B102" s="390" t="s">
        <v>3248</v>
      </c>
      <c r="C102" s="390" t="s">
        <v>3247</v>
      </c>
      <c r="D102" s="798">
        <v>43458</v>
      </c>
      <c r="E102" s="800">
        <v>0.70833333333333304</v>
      </c>
      <c r="F102" s="390" t="s">
        <v>3246</v>
      </c>
      <c r="G102" s="390">
        <v>250</v>
      </c>
      <c r="H102" s="390" t="s">
        <v>2791</v>
      </c>
      <c r="I102" s="799" t="s">
        <v>3201</v>
      </c>
    </row>
    <row r="103" spans="1:9" x14ac:dyDescent="0.35">
      <c r="A103" s="798">
        <v>43451</v>
      </c>
      <c r="B103" s="390" t="s">
        <v>3245</v>
      </c>
      <c r="C103" s="390" t="s">
        <v>3244</v>
      </c>
      <c r="D103" s="798">
        <v>43458</v>
      </c>
      <c r="E103" s="800" t="s">
        <v>2473</v>
      </c>
      <c r="F103" s="390" t="s">
        <v>3243</v>
      </c>
      <c r="G103" s="390">
        <v>150</v>
      </c>
      <c r="H103" s="390" t="s">
        <v>3187</v>
      </c>
      <c r="I103" s="799" t="s">
        <v>3201</v>
      </c>
    </row>
    <row r="104" spans="1:9" x14ac:dyDescent="0.35">
      <c r="A104" s="798">
        <v>43458</v>
      </c>
      <c r="B104" s="390" t="s">
        <v>3242</v>
      </c>
      <c r="C104" s="390" t="s">
        <v>3241</v>
      </c>
      <c r="D104" s="798">
        <v>43458</v>
      </c>
      <c r="E104" s="800" t="s">
        <v>1667</v>
      </c>
      <c r="F104" s="390" t="s">
        <v>3240</v>
      </c>
      <c r="G104" s="390">
        <v>300</v>
      </c>
      <c r="H104" s="390" t="s">
        <v>3187</v>
      </c>
      <c r="I104" s="799" t="s">
        <v>3201</v>
      </c>
    </row>
    <row r="105" spans="1:9" x14ac:dyDescent="0.35">
      <c r="A105" s="798">
        <v>43447</v>
      </c>
      <c r="B105" s="390" t="s">
        <v>1482</v>
      </c>
      <c r="C105" s="390" t="s">
        <v>3239</v>
      </c>
      <c r="D105" s="798">
        <v>43458</v>
      </c>
      <c r="E105" s="800">
        <v>0.5</v>
      </c>
      <c r="F105" s="390" t="s">
        <v>3238</v>
      </c>
      <c r="G105" s="390">
        <v>365</v>
      </c>
      <c r="H105" s="390" t="s">
        <v>3230</v>
      </c>
      <c r="I105" s="799" t="s">
        <v>3201</v>
      </c>
    </row>
    <row r="106" spans="1:9" x14ac:dyDescent="0.35">
      <c r="A106" s="798">
        <v>43444</v>
      </c>
      <c r="B106" s="390" t="s">
        <v>3237</v>
      </c>
      <c r="C106" s="390" t="s">
        <v>3236</v>
      </c>
      <c r="D106" s="798">
        <v>43458</v>
      </c>
      <c r="E106" s="390" t="s">
        <v>3235</v>
      </c>
      <c r="F106" s="390" t="s">
        <v>3234</v>
      </c>
      <c r="G106" s="390">
        <v>150</v>
      </c>
      <c r="H106" s="390" t="s">
        <v>3187</v>
      </c>
      <c r="I106" s="799" t="s">
        <v>3201</v>
      </c>
    </row>
    <row r="107" spans="1:9" x14ac:dyDescent="0.35">
      <c r="A107" s="798">
        <v>43460</v>
      </c>
      <c r="B107" s="390" t="s">
        <v>3233</v>
      </c>
      <c r="C107" s="390" t="s">
        <v>3232</v>
      </c>
      <c r="D107" s="798">
        <v>43462</v>
      </c>
      <c r="E107" s="800">
        <v>0.5</v>
      </c>
      <c r="F107" s="390" t="s">
        <v>3231</v>
      </c>
      <c r="G107" s="390">
        <v>150</v>
      </c>
      <c r="H107" s="390" t="s">
        <v>3230</v>
      </c>
      <c r="I107" s="799" t="s">
        <v>3201</v>
      </c>
    </row>
    <row r="108" spans="1:9" x14ac:dyDescent="0.35">
      <c r="A108" s="798">
        <v>43461</v>
      </c>
      <c r="B108" s="390" t="s">
        <v>119</v>
      </c>
      <c r="C108" s="390" t="s">
        <v>3229</v>
      </c>
      <c r="D108" s="798">
        <v>43462</v>
      </c>
      <c r="E108" s="800" t="s">
        <v>3228</v>
      </c>
      <c r="F108" s="390" t="s">
        <v>3228</v>
      </c>
      <c r="G108" s="390">
        <v>80</v>
      </c>
      <c r="H108" s="390" t="s">
        <v>3227</v>
      </c>
      <c r="I108" s="799" t="s">
        <v>3201</v>
      </c>
    </row>
    <row r="109" spans="1:9" x14ac:dyDescent="0.35">
      <c r="A109" s="798">
        <v>43459</v>
      </c>
      <c r="B109" s="390" t="s">
        <v>3226</v>
      </c>
      <c r="C109" s="390" t="s">
        <v>3225</v>
      </c>
      <c r="D109" s="798">
        <v>43827</v>
      </c>
      <c r="E109" s="800">
        <v>0.39583333333333298</v>
      </c>
      <c r="F109" s="390" t="s">
        <v>3224</v>
      </c>
      <c r="G109" s="390">
        <v>668.5</v>
      </c>
      <c r="H109" s="390" t="s">
        <v>3187</v>
      </c>
      <c r="I109" s="799" t="s">
        <v>3201</v>
      </c>
    </row>
    <row r="110" spans="1:9" x14ac:dyDescent="0.35">
      <c r="A110" s="798">
        <v>43464</v>
      </c>
      <c r="B110" s="390" t="s">
        <v>3223</v>
      </c>
      <c r="C110" s="390" t="s">
        <v>3222</v>
      </c>
      <c r="D110" s="798">
        <v>43830</v>
      </c>
      <c r="E110" s="800">
        <v>0.45833333333333298</v>
      </c>
      <c r="F110" s="390" t="s">
        <v>3221</v>
      </c>
      <c r="G110" s="390">
        <v>400</v>
      </c>
      <c r="H110" s="390" t="s">
        <v>3220</v>
      </c>
      <c r="I110" s="799" t="s">
        <v>3201</v>
      </c>
    </row>
    <row r="111" spans="1:9" x14ac:dyDescent="0.35">
      <c r="A111" s="798">
        <v>43464</v>
      </c>
      <c r="B111" s="390" t="s">
        <v>3219</v>
      </c>
      <c r="C111" s="390" t="s">
        <v>3218</v>
      </c>
      <c r="D111" s="798">
        <v>43830</v>
      </c>
      <c r="E111" s="800" t="s">
        <v>3217</v>
      </c>
      <c r="F111" s="390" t="s">
        <v>3216</v>
      </c>
      <c r="G111" s="390">
        <v>345</v>
      </c>
      <c r="H111" s="390" t="s">
        <v>3215</v>
      </c>
      <c r="I111" s="799" t="s">
        <v>3201</v>
      </c>
    </row>
    <row r="112" spans="1:9" x14ac:dyDescent="0.35">
      <c r="A112" s="798">
        <v>43464</v>
      </c>
      <c r="B112" s="390" t="s">
        <v>2057</v>
      </c>
      <c r="C112" s="390" t="s">
        <v>3214</v>
      </c>
      <c r="D112" s="798">
        <v>43465</v>
      </c>
      <c r="E112" s="800" t="s">
        <v>3213</v>
      </c>
      <c r="F112" s="390" t="s">
        <v>3212</v>
      </c>
      <c r="G112" s="390">
        <v>87</v>
      </c>
      <c r="H112" s="390" t="s">
        <v>3211</v>
      </c>
      <c r="I112" s="799" t="s">
        <v>3201</v>
      </c>
    </row>
    <row r="113" spans="1:9" x14ac:dyDescent="0.35">
      <c r="A113" s="798"/>
      <c r="B113" s="390" t="s">
        <v>697</v>
      </c>
      <c r="C113" s="390" t="s">
        <v>3210</v>
      </c>
      <c r="D113" s="798">
        <v>43465</v>
      </c>
      <c r="E113" s="800" t="s">
        <v>49</v>
      </c>
      <c r="F113" s="390" t="s">
        <v>3209</v>
      </c>
      <c r="G113" s="390" t="s">
        <v>224</v>
      </c>
      <c r="H113" s="390">
        <v>0</v>
      </c>
      <c r="I113" s="799" t="s">
        <v>3201</v>
      </c>
    </row>
    <row r="114" spans="1:9" x14ac:dyDescent="0.35">
      <c r="A114" s="798">
        <v>43464</v>
      </c>
      <c r="B114" s="390" t="s">
        <v>3208</v>
      </c>
      <c r="C114" s="390" t="s">
        <v>3207</v>
      </c>
      <c r="D114" s="798">
        <v>43465</v>
      </c>
      <c r="E114" s="800" t="s">
        <v>3206</v>
      </c>
      <c r="F114" s="390" t="s">
        <v>3205</v>
      </c>
      <c r="G114" s="390">
        <v>174</v>
      </c>
      <c r="H114" s="390" t="s">
        <v>3187</v>
      </c>
      <c r="I114" s="799" t="s">
        <v>3201</v>
      </c>
    </row>
    <row r="115" spans="1:9" x14ac:dyDescent="0.35">
      <c r="A115" s="798" t="s">
        <v>15</v>
      </c>
      <c r="B115" s="390" t="s">
        <v>2156</v>
      </c>
      <c r="C115" s="390" t="s">
        <v>3204</v>
      </c>
      <c r="D115" s="798" t="s">
        <v>3203</v>
      </c>
      <c r="E115" s="390" t="s">
        <v>15</v>
      </c>
      <c r="F115" s="390" t="s">
        <v>15</v>
      </c>
      <c r="G115" s="390">
        <v>6000</v>
      </c>
      <c r="H115" s="390" t="s">
        <v>3202</v>
      </c>
      <c r="I115" s="799" t="s">
        <v>3201</v>
      </c>
    </row>
    <row r="117" spans="1:9" x14ac:dyDescent="0.35">
      <c r="A117" s="798"/>
      <c r="B117" s="390"/>
      <c r="C117" s="390"/>
      <c r="D117" s="798"/>
      <c r="E117" s="390"/>
      <c r="F117" s="390"/>
      <c r="G117" s="390"/>
      <c r="H117" s="390"/>
      <c r="I117" s="390"/>
    </row>
    <row r="118" spans="1:9" x14ac:dyDescent="0.35">
      <c r="A118" s="798"/>
      <c r="B118" s="390"/>
      <c r="C118" s="390"/>
      <c r="D118" s="798"/>
      <c r="E118" s="390"/>
      <c r="F118" s="390"/>
      <c r="G118" s="390"/>
      <c r="H118" s="390"/>
      <c r="I118" s="390"/>
    </row>
    <row r="119" spans="1:9" x14ac:dyDescent="0.35">
      <c r="A119" s="798"/>
      <c r="B119" s="390"/>
      <c r="C119" s="390"/>
      <c r="D119" s="798"/>
      <c r="E119" s="390"/>
      <c r="F119" s="390"/>
      <c r="G119" s="390"/>
      <c r="H119" s="390"/>
      <c r="I119" s="390"/>
    </row>
    <row r="121" spans="1:9" x14ac:dyDescent="0.35">
      <c r="D121" s="797"/>
    </row>
    <row r="122" spans="1:9" x14ac:dyDescent="0.35">
      <c r="D122" s="797"/>
    </row>
    <row r="123" spans="1:9" x14ac:dyDescent="0.35">
      <c r="D123" s="797"/>
    </row>
    <row r="124" spans="1:9" x14ac:dyDescent="0.35">
      <c r="D124" s="797"/>
    </row>
  </sheetData>
  <pageMargins left="0.7" right="0.7" top="0.75" bottom="0.75" header="0.51180555555555496" footer="0.51180555555555496"/>
  <pageSetup paperSize="9" firstPageNumber="0"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C5"/>
  <sheetViews>
    <sheetView workbookViewId="0">
      <selection activeCell="C6" sqref="C6"/>
    </sheetView>
  </sheetViews>
  <sheetFormatPr defaultRowHeight="14.5" x14ac:dyDescent="0.35"/>
  <sheetData>
    <row r="1" spans="1:3" x14ac:dyDescent="0.35">
      <c r="A1" t="s">
        <v>3674</v>
      </c>
    </row>
    <row r="4" spans="1:3" x14ac:dyDescent="0.35">
      <c r="A4" s="2">
        <v>43680</v>
      </c>
      <c r="B4" t="s">
        <v>3675</v>
      </c>
      <c r="C4">
        <v>702</v>
      </c>
    </row>
    <row r="5" spans="1:3" x14ac:dyDescent="0.35">
      <c r="A5" s="2">
        <v>43534</v>
      </c>
      <c r="B5" t="s">
        <v>49</v>
      </c>
      <c r="C5">
        <v>152</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D30"/>
  <sheetViews>
    <sheetView zoomScale="85" zoomScaleNormal="85" workbookViewId="0">
      <selection activeCell="B8" sqref="B8"/>
    </sheetView>
  </sheetViews>
  <sheetFormatPr defaultColWidth="8.453125" defaultRowHeight="14.5" x14ac:dyDescent="0.35"/>
  <cols>
    <col min="1" max="1" width="18" style="13" customWidth="1"/>
    <col min="2" max="2" width="29.54296875" style="13" customWidth="1"/>
    <col min="3" max="3" width="19.54296875" style="13" customWidth="1"/>
    <col min="4" max="4" width="25.54296875" style="13" customWidth="1"/>
    <col min="5" max="1025" width="8.453125" style="13" customWidth="1"/>
    <col min="1026" max="16384" width="8.453125" style="13"/>
  </cols>
  <sheetData>
    <row r="1" spans="1:4" x14ac:dyDescent="0.35">
      <c r="A1" s="13" t="s">
        <v>3554</v>
      </c>
    </row>
    <row r="2" spans="1:4" x14ac:dyDescent="0.35">
      <c r="A2" s="13" t="s">
        <v>3553</v>
      </c>
    </row>
    <row r="3" spans="1:4" x14ac:dyDescent="0.35">
      <c r="A3" s="805">
        <v>43406</v>
      </c>
      <c r="B3" s="13" t="s">
        <v>3509</v>
      </c>
      <c r="C3" s="13" t="s">
        <v>2960</v>
      </c>
      <c r="D3" s="13">
        <v>300</v>
      </c>
    </row>
    <row r="4" spans="1:4" x14ac:dyDescent="0.35">
      <c r="A4" s="805">
        <v>43407</v>
      </c>
      <c r="B4" s="13" t="s">
        <v>3552</v>
      </c>
      <c r="C4" s="13" t="s">
        <v>3519</v>
      </c>
      <c r="D4" s="13">
        <v>1100</v>
      </c>
    </row>
    <row r="5" spans="1:4" x14ac:dyDescent="0.35">
      <c r="A5" s="805">
        <v>43407</v>
      </c>
      <c r="B5" s="13" t="s">
        <v>3511</v>
      </c>
      <c r="C5" s="13" t="s">
        <v>262</v>
      </c>
      <c r="D5" s="13">
        <v>1470</v>
      </c>
    </row>
    <row r="6" spans="1:4" x14ac:dyDescent="0.35">
      <c r="A6" s="805">
        <v>43407</v>
      </c>
      <c r="B6" s="13" t="s">
        <v>3509</v>
      </c>
      <c r="C6" s="13" t="s">
        <v>3551</v>
      </c>
      <c r="D6" s="13">
        <v>820</v>
      </c>
    </row>
    <row r="7" spans="1:4" x14ac:dyDescent="0.35">
      <c r="A7" s="805">
        <v>43407</v>
      </c>
      <c r="B7" s="13" t="s">
        <v>3511</v>
      </c>
      <c r="C7" s="13" t="s">
        <v>2960</v>
      </c>
      <c r="D7" s="13">
        <v>392</v>
      </c>
    </row>
    <row r="8" spans="1:4" x14ac:dyDescent="0.35">
      <c r="A8" s="805">
        <v>43407</v>
      </c>
      <c r="B8" s="13" t="s">
        <v>3550</v>
      </c>
      <c r="C8" s="13" t="s">
        <v>2960</v>
      </c>
      <c r="D8" s="13">
        <v>210</v>
      </c>
    </row>
    <row r="9" spans="1:4" x14ac:dyDescent="0.35">
      <c r="A9" s="13" t="s">
        <v>3549</v>
      </c>
    </row>
    <row r="10" spans="1:4" x14ac:dyDescent="0.35">
      <c r="A10" s="805">
        <v>43412</v>
      </c>
      <c r="B10" s="13" t="s">
        <v>3548</v>
      </c>
      <c r="C10" s="13" t="s">
        <v>3547</v>
      </c>
      <c r="D10" s="13">
        <v>500</v>
      </c>
    </row>
    <row r="11" spans="1:4" x14ac:dyDescent="0.35">
      <c r="A11" s="805">
        <v>43413</v>
      </c>
      <c r="B11" s="13" t="s">
        <v>3546</v>
      </c>
      <c r="C11" s="13" t="s">
        <v>3545</v>
      </c>
      <c r="D11" s="13">
        <v>300</v>
      </c>
    </row>
    <row r="12" spans="1:4" x14ac:dyDescent="0.35">
      <c r="A12" s="805">
        <v>43412</v>
      </c>
      <c r="B12" s="13" t="s">
        <v>3509</v>
      </c>
      <c r="C12" s="13" t="s">
        <v>3544</v>
      </c>
      <c r="D12" s="13">
        <v>725</v>
      </c>
    </row>
    <row r="13" spans="1:4" x14ac:dyDescent="0.35">
      <c r="A13" s="805">
        <v>43414</v>
      </c>
      <c r="B13" s="13" t="s">
        <v>3543</v>
      </c>
      <c r="C13" s="13" t="s">
        <v>3491</v>
      </c>
      <c r="D13" s="13">
        <v>600</v>
      </c>
    </row>
    <row r="14" spans="1:4" x14ac:dyDescent="0.35">
      <c r="A14" s="805">
        <v>43414</v>
      </c>
      <c r="B14" s="13" t="s">
        <v>3511</v>
      </c>
      <c r="C14" s="13" t="s">
        <v>1512</v>
      </c>
      <c r="D14" s="13">
        <v>282</v>
      </c>
    </row>
    <row r="15" spans="1:4" x14ac:dyDescent="0.35">
      <c r="A15" s="805">
        <v>43414</v>
      </c>
      <c r="B15" s="13" t="s">
        <v>3542</v>
      </c>
      <c r="C15" s="13" t="s">
        <v>3541</v>
      </c>
      <c r="D15" s="13">
        <v>2600</v>
      </c>
    </row>
    <row r="16" spans="1:4" x14ac:dyDescent="0.35">
      <c r="A16" s="805">
        <v>43416</v>
      </c>
      <c r="B16" s="13" t="s">
        <v>3511</v>
      </c>
      <c r="C16" s="13" t="s">
        <v>3540</v>
      </c>
      <c r="D16" s="13">
        <v>160</v>
      </c>
    </row>
    <row r="17" spans="1:4" x14ac:dyDescent="0.35">
      <c r="A17" s="805">
        <v>43416</v>
      </c>
      <c r="B17" s="13" t="s">
        <v>3539</v>
      </c>
      <c r="C17" s="13" t="s">
        <v>3538</v>
      </c>
      <c r="D17" s="13">
        <v>40</v>
      </c>
    </row>
    <row r="18" spans="1:4" x14ac:dyDescent="0.35">
      <c r="A18" s="805">
        <v>43418</v>
      </c>
      <c r="B18" s="13" t="s">
        <v>3539</v>
      </c>
      <c r="C18" s="13" t="s">
        <v>3538</v>
      </c>
      <c r="D18" s="13">
        <v>47</v>
      </c>
    </row>
    <row r="19" spans="1:4" x14ac:dyDescent="0.35">
      <c r="A19" s="13" t="s">
        <v>3537</v>
      </c>
    </row>
    <row r="20" spans="1:4" x14ac:dyDescent="0.35">
      <c r="A20" s="805">
        <v>43420</v>
      </c>
      <c r="B20" s="13" t="s">
        <v>3511</v>
      </c>
      <c r="C20" s="13" t="s">
        <v>3536</v>
      </c>
      <c r="D20" s="13">
        <v>97.5</v>
      </c>
    </row>
    <row r="21" spans="1:4" x14ac:dyDescent="0.35">
      <c r="A21" s="805">
        <v>43420</v>
      </c>
      <c r="B21" s="13" t="s">
        <v>3511</v>
      </c>
      <c r="C21" s="13" t="s">
        <v>3535</v>
      </c>
      <c r="D21" s="13">
        <v>130</v>
      </c>
    </row>
    <row r="22" spans="1:4" x14ac:dyDescent="0.35">
      <c r="A22" s="805">
        <v>43420</v>
      </c>
      <c r="B22" s="13" t="s">
        <v>3511</v>
      </c>
      <c r="C22" s="13" t="s">
        <v>3533</v>
      </c>
      <c r="D22" s="13">
        <v>97.5</v>
      </c>
    </row>
    <row r="23" spans="1:4" x14ac:dyDescent="0.35">
      <c r="A23" s="805">
        <v>43420</v>
      </c>
      <c r="B23" s="13" t="s">
        <v>3534</v>
      </c>
      <c r="C23" s="13" t="s">
        <v>3533</v>
      </c>
      <c r="D23" s="13">
        <v>80</v>
      </c>
    </row>
    <row r="24" spans="1:4" x14ac:dyDescent="0.35">
      <c r="A24" s="13" t="s">
        <v>3532</v>
      </c>
    </row>
    <row r="25" spans="1:4" x14ac:dyDescent="0.35">
      <c r="A25" s="805">
        <v>43427</v>
      </c>
      <c r="B25" s="13" t="s">
        <v>3511</v>
      </c>
      <c r="C25" s="13" t="s">
        <v>3531</v>
      </c>
      <c r="D25" s="13">
        <v>150</v>
      </c>
    </row>
    <row r="26" spans="1:4" x14ac:dyDescent="0.35">
      <c r="A26" s="805">
        <v>43427</v>
      </c>
      <c r="B26" s="13" t="s">
        <v>3530</v>
      </c>
      <c r="C26" s="13" t="s">
        <v>17</v>
      </c>
      <c r="D26" s="13">
        <v>328</v>
      </c>
    </row>
    <row r="27" spans="1:4" x14ac:dyDescent="0.35">
      <c r="A27" s="805">
        <v>43429</v>
      </c>
      <c r="B27" s="13" t="s">
        <v>3511</v>
      </c>
      <c r="C27" s="13" t="s">
        <v>2960</v>
      </c>
      <c r="D27" s="13">
        <v>455</v>
      </c>
    </row>
    <row r="28" spans="1:4" x14ac:dyDescent="0.35">
      <c r="A28" s="805">
        <v>43430</v>
      </c>
      <c r="B28" s="13" t="s">
        <v>3529</v>
      </c>
      <c r="C28" s="13" t="s">
        <v>3528</v>
      </c>
      <c r="D28" s="13">
        <v>206</v>
      </c>
    </row>
    <row r="29" spans="1:4" x14ac:dyDescent="0.35">
      <c r="A29" s="805">
        <v>43432</v>
      </c>
      <c r="B29" s="13" t="s">
        <v>3527</v>
      </c>
      <c r="C29" s="13" t="s">
        <v>3526</v>
      </c>
      <c r="D29" s="13">
        <v>800</v>
      </c>
    </row>
    <row r="30" spans="1:4" x14ac:dyDescent="0.35">
      <c r="A30" s="805">
        <v>43433</v>
      </c>
      <c r="B30" s="13" t="s">
        <v>3525</v>
      </c>
      <c r="C30" s="13" t="s">
        <v>3512</v>
      </c>
      <c r="D30" s="13">
        <v>130</v>
      </c>
    </row>
  </sheetData>
  <pageMargins left="0.7" right="0.7" top="0.75" bottom="0.75" header="0.51180555555555496" footer="0.51180555555555496"/>
  <pageSetup firstPageNumber="0"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O17"/>
  <sheetViews>
    <sheetView zoomScale="85" zoomScaleNormal="85" workbookViewId="0">
      <selection activeCell="H15" sqref="H15"/>
    </sheetView>
  </sheetViews>
  <sheetFormatPr defaultColWidth="8.453125" defaultRowHeight="14.5" x14ac:dyDescent="0.35"/>
  <cols>
    <col min="1" max="2" width="8.453125" style="13" customWidth="1"/>
    <col min="3" max="3" width="9.453125" style="13" customWidth="1"/>
    <col min="4" max="9" width="8.453125" style="13" customWidth="1"/>
    <col min="10" max="10" width="12.54296875" style="13" customWidth="1"/>
    <col min="11" max="13" width="8.453125" style="13" customWidth="1"/>
    <col min="14" max="14" width="27.54296875" style="13" customWidth="1"/>
    <col min="15" max="15" width="12.54296875" style="13" customWidth="1"/>
    <col min="16" max="1025" width="8.453125" style="13" customWidth="1"/>
    <col min="1026" max="16384" width="8.453125" style="13"/>
  </cols>
  <sheetData>
    <row r="1" spans="1:15" ht="15" thickBot="1" x14ac:dyDescent="0.4">
      <c r="J1" s="355" t="s">
        <v>2112</v>
      </c>
      <c r="K1" s="355">
        <v>911</v>
      </c>
    </row>
    <row r="2" spans="1:15" x14ac:dyDescent="0.35">
      <c r="A2" s="359">
        <v>43495</v>
      </c>
      <c r="B2" s="358">
        <v>100</v>
      </c>
      <c r="C2" s="357" t="s">
        <v>2111</v>
      </c>
      <c r="D2" s="357"/>
      <c r="E2" s="356"/>
      <c r="J2" s="355" t="s">
        <v>2110</v>
      </c>
      <c r="K2" s="355">
        <f>K1-SUM(M4:M17)</f>
        <v>456</v>
      </c>
    </row>
    <row r="3" spans="1:15" x14ac:dyDescent="0.35">
      <c r="A3" s="351">
        <v>43496</v>
      </c>
      <c r="B3" s="350">
        <v>100</v>
      </c>
      <c r="C3" s="344" t="s">
        <v>2109</v>
      </c>
      <c r="D3" s="344"/>
      <c r="E3" s="349"/>
      <c r="L3" s="344" t="s">
        <v>2108</v>
      </c>
      <c r="M3" s="344" t="s">
        <v>2107</v>
      </c>
      <c r="N3" s="344" t="s">
        <v>2106</v>
      </c>
      <c r="O3" s="343"/>
    </row>
    <row r="4" spans="1:15" x14ac:dyDescent="0.35">
      <c r="A4" s="351">
        <v>43501</v>
      </c>
      <c r="B4" s="350">
        <v>94</v>
      </c>
      <c r="C4" s="344" t="s">
        <v>2105</v>
      </c>
      <c r="D4" s="344"/>
      <c r="E4" s="349"/>
      <c r="L4" s="354">
        <v>43580</v>
      </c>
      <c r="M4" s="344">
        <v>225</v>
      </c>
      <c r="N4" s="344" t="s">
        <v>2104</v>
      </c>
      <c r="O4" s="343"/>
    </row>
    <row r="5" spans="1:15" x14ac:dyDescent="0.35">
      <c r="A5" s="351">
        <v>43501</v>
      </c>
      <c r="B5" s="350">
        <v>100</v>
      </c>
      <c r="C5" s="344" t="s">
        <v>2103</v>
      </c>
      <c r="D5" s="344"/>
      <c r="E5" s="349"/>
      <c r="L5" s="354">
        <v>43581</v>
      </c>
      <c r="M5" s="344">
        <v>150</v>
      </c>
      <c r="N5" s="344" t="s">
        <v>2102</v>
      </c>
      <c r="O5" s="343"/>
    </row>
    <row r="6" spans="1:15" x14ac:dyDescent="0.35">
      <c r="A6" s="351">
        <v>43502</v>
      </c>
      <c r="B6" s="350">
        <v>100</v>
      </c>
      <c r="C6" s="344" t="s">
        <v>2101</v>
      </c>
      <c r="D6" s="344"/>
      <c r="E6" s="349"/>
      <c r="L6" s="353">
        <v>43605</v>
      </c>
      <c r="M6" s="344">
        <v>80</v>
      </c>
      <c r="N6" s="344" t="s">
        <v>2100</v>
      </c>
      <c r="O6" s="343"/>
    </row>
    <row r="7" spans="1:15" x14ac:dyDescent="0.35">
      <c r="A7" s="351">
        <v>43502</v>
      </c>
      <c r="B7" s="350">
        <v>100</v>
      </c>
      <c r="C7" s="344" t="s">
        <v>2099</v>
      </c>
      <c r="D7" s="344"/>
      <c r="E7" s="349"/>
      <c r="L7" s="344"/>
      <c r="M7" s="344"/>
      <c r="N7" s="344"/>
      <c r="O7" s="343"/>
    </row>
    <row r="8" spans="1:15" x14ac:dyDescent="0.35">
      <c r="A8" s="351">
        <v>43511</v>
      </c>
      <c r="B8" s="350">
        <v>100</v>
      </c>
      <c r="C8" s="344" t="s">
        <v>2098</v>
      </c>
      <c r="D8" s="344"/>
      <c r="E8" s="349"/>
      <c r="L8" s="344"/>
      <c r="M8" s="344"/>
      <c r="N8" s="344"/>
      <c r="O8" s="343"/>
    </row>
    <row r="9" spans="1:15" x14ac:dyDescent="0.35">
      <c r="A9" s="351">
        <v>43523</v>
      </c>
      <c r="B9" s="350">
        <v>149</v>
      </c>
      <c r="C9" s="344" t="s">
        <v>2097</v>
      </c>
      <c r="D9" s="344"/>
      <c r="E9" s="349"/>
      <c r="L9" s="344"/>
      <c r="M9" s="344"/>
      <c r="N9" s="344"/>
      <c r="O9" s="343"/>
    </row>
    <row r="10" spans="1:15" x14ac:dyDescent="0.35">
      <c r="A10" s="351">
        <v>43524</v>
      </c>
      <c r="B10" s="352">
        <v>234</v>
      </c>
      <c r="C10" s="344" t="s">
        <v>2096</v>
      </c>
      <c r="D10" s="344"/>
      <c r="E10" s="349"/>
      <c r="L10" s="344"/>
      <c r="M10" s="344"/>
      <c r="N10" s="344"/>
      <c r="O10" s="343"/>
    </row>
    <row r="11" spans="1:15" x14ac:dyDescent="0.35">
      <c r="A11" s="351">
        <v>43524</v>
      </c>
      <c r="B11" s="352">
        <v>198</v>
      </c>
      <c r="C11" s="344" t="s">
        <v>493</v>
      </c>
      <c r="D11" s="344"/>
      <c r="E11" s="349"/>
      <c r="L11" s="344"/>
      <c r="M11" s="344"/>
      <c r="N11" s="344"/>
      <c r="O11" s="343"/>
    </row>
    <row r="12" spans="1:15" x14ac:dyDescent="0.35">
      <c r="A12" s="351">
        <v>43525</v>
      </c>
      <c r="B12" s="350">
        <v>135</v>
      </c>
      <c r="C12" s="344" t="s">
        <v>2095</v>
      </c>
      <c r="D12" s="344"/>
      <c r="E12" s="349"/>
      <c r="L12" s="344"/>
      <c r="M12" s="344"/>
      <c r="N12" s="344"/>
      <c r="O12" s="343"/>
    </row>
    <row r="13" spans="1:15" x14ac:dyDescent="0.35">
      <c r="A13" s="351">
        <v>43543</v>
      </c>
      <c r="B13" s="350">
        <v>144</v>
      </c>
      <c r="C13" s="344" t="s">
        <v>493</v>
      </c>
      <c r="D13" s="344"/>
      <c r="E13" s="349"/>
      <c r="L13" s="344"/>
      <c r="M13" s="344"/>
      <c r="N13" s="344"/>
      <c r="O13" s="343"/>
    </row>
    <row r="14" spans="1:15" ht="15" thickBot="1" x14ac:dyDescent="0.4">
      <c r="A14" s="348">
        <v>43550</v>
      </c>
      <c r="B14" s="347">
        <v>100</v>
      </c>
      <c r="C14" s="346" t="s">
        <v>493</v>
      </c>
      <c r="D14" s="346"/>
      <c r="E14" s="345"/>
      <c r="L14" s="344"/>
      <c r="M14" s="344"/>
      <c r="N14" s="344"/>
      <c r="O14" s="343"/>
    </row>
    <row r="15" spans="1:15" x14ac:dyDescent="0.35">
      <c r="B15" s="342">
        <f>SUM(B2:B14)</f>
        <v>1654</v>
      </c>
    </row>
    <row r="17" spans="1:1" x14ac:dyDescent="0.35">
      <c r="A17" s="13" t="s">
        <v>2094</v>
      </c>
    </row>
  </sheetData>
  <pageMargins left="0.7" right="0.7" top="0.75" bottom="0.75" header="0.51180555555555496" footer="0.51180555555555496"/>
  <pageSetup firstPageNumber="0"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
  <sheetViews>
    <sheetView workbookViewId="0"/>
  </sheetViews>
  <sheetFormatPr defaultRowHeight="14.5" x14ac:dyDescent="0.35"/>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dimension ref="A1:M21"/>
  <sheetViews>
    <sheetView zoomScale="85" zoomScaleNormal="85" workbookViewId="0">
      <selection activeCell="D15" sqref="D15"/>
    </sheetView>
  </sheetViews>
  <sheetFormatPr defaultColWidth="8.453125" defaultRowHeight="14.5" x14ac:dyDescent="0.35"/>
  <cols>
    <col min="1" max="1" width="18.54296875" style="13" customWidth="1"/>
    <col min="2" max="2" width="14.54296875" style="13" customWidth="1"/>
    <col min="3" max="3" width="12" style="13" customWidth="1"/>
    <col min="4" max="4" width="12.54296875" style="13" customWidth="1"/>
    <col min="5" max="5" width="11" style="13" customWidth="1"/>
    <col min="6" max="6" width="10.453125" style="13" customWidth="1"/>
    <col min="7" max="7" width="13.453125" style="13" customWidth="1"/>
    <col min="8" max="8" width="8.453125" style="13" customWidth="1"/>
    <col min="9" max="9" width="13.54296875" style="13" customWidth="1"/>
    <col min="10" max="10" width="13.453125" style="13" customWidth="1"/>
    <col min="11" max="12" width="17.453125" style="13" customWidth="1"/>
    <col min="13" max="13" width="10.453125" style="13" customWidth="1"/>
    <col min="14" max="1025" width="8.453125" style="13" customWidth="1"/>
    <col min="1026" max="16384" width="8.453125" style="13"/>
  </cols>
  <sheetData>
    <row r="1" spans="1:13" ht="15" thickBot="1" x14ac:dyDescent="0.4">
      <c r="A1" s="379" t="s">
        <v>2108</v>
      </c>
      <c r="B1" s="378" t="s">
        <v>2127</v>
      </c>
      <c r="C1" s="378" t="s">
        <v>2126</v>
      </c>
      <c r="D1" s="378" t="s">
        <v>2125</v>
      </c>
      <c r="E1" s="378" t="s">
        <v>2124</v>
      </c>
      <c r="F1" s="378" t="s">
        <v>2123</v>
      </c>
      <c r="G1" s="378" t="s">
        <v>2122</v>
      </c>
      <c r="H1" s="378" t="s">
        <v>2121</v>
      </c>
      <c r="I1" s="378" t="s">
        <v>2120</v>
      </c>
      <c r="J1" s="388" t="s">
        <v>2119</v>
      </c>
      <c r="K1" s="387" t="s">
        <v>2130</v>
      </c>
      <c r="L1" s="387" t="s">
        <v>2129</v>
      </c>
      <c r="M1" s="387" t="s">
        <v>2128</v>
      </c>
    </row>
    <row r="2" spans="1:13" x14ac:dyDescent="0.35">
      <c r="A2" s="375" t="s">
        <v>2118</v>
      </c>
      <c r="B2" s="374"/>
      <c r="C2" s="374">
        <v>10</v>
      </c>
      <c r="D2" s="374">
        <v>1</v>
      </c>
      <c r="E2" s="374">
        <f>SUM(C2:D2)</f>
        <v>11</v>
      </c>
      <c r="F2" s="374"/>
      <c r="G2" s="374"/>
      <c r="H2" s="374"/>
      <c r="I2" s="374">
        <v>11</v>
      </c>
      <c r="J2" s="386"/>
      <c r="K2" s="382">
        <f t="shared" ref="K2:K7" si="0">B2</f>
        <v>0</v>
      </c>
      <c r="L2" s="381">
        <f t="shared" ref="L2:L7" si="1">SUM(C2:E2)</f>
        <v>22</v>
      </c>
      <c r="M2" s="381">
        <f t="shared" ref="M2:M7" si="2">SUM(I2:J2)</f>
        <v>11</v>
      </c>
    </row>
    <row r="3" spans="1:13" x14ac:dyDescent="0.35">
      <c r="A3" s="369" t="s">
        <v>2117</v>
      </c>
      <c r="B3" s="368">
        <v>1</v>
      </c>
      <c r="C3" s="368">
        <v>24</v>
      </c>
      <c r="D3" s="368">
        <v>2</v>
      </c>
      <c r="E3" s="368">
        <v>2</v>
      </c>
      <c r="F3" s="368"/>
      <c r="G3" s="368"/>
      <c r="H3" s="368"/>
      <c r="I3" s="368">
        <v>3</v>
      </c>
      <c r="J3" s="384"/>
      <c r="K3" s="382">
        <f t="shared" si="0"/>
        <v>1</v>
      </c>
      <c r="L3" s="381">
        <f t="shared" si="1"/>
        <v>28</v>
      </c>
      <c r="M3" s="381">
        <f t="shared" si="2"/>
        <v>3</v>
      </c>
    </row>
    <row r="4" spans="1:13" x14ac:dyDescent="0.35">
      <c r="A4" s="369" t="s">
        <v>2116</v>
      </c>
      <c r="B4" s="372">
        <v>6</v>
      </c>
      <c r="C4" s="372">
        <v>92</v>
      </c>
      <c r="D4" s="372">
        <v>15</v>
      </c>
      <c r="E4" s="372">
        <v>15</v>
      </c>
      <c r="F4" s="372"/>
      <c r="G4" s="372"/>
      <c r="H4" s="372"/>
      <c r="I4" s="372">
        <v>40</v>
      </c>
      <c r="J4" s="385">
        <v>1</v>
      </c>
      <c r="K4" s="382">
        <f t="shared" si="0"/>
        <v>6</v>
      </c>
      <c r="L4" s="381">
        <f t="shared" si="1"/>
        <v>122</v>
      </c>
      <c r="M4" s="381">
        <f t="shared" si="2"/>
        <v>41</v>
      </c>
    </row>
    <row r="5" spans="1:13" x14ac:dyDescent="0.35">
      <c r="A5" s="369" t="s">
        <v>2115</v>
      </c>
      <c r="B5" s="368"/>
      <c r="C5" s="368">
        <v>22</v>
      </c>
      <c r="D5" s="368">
        <v>6</v>
      </c>
      <c r="E5" s="368">
        <v>3</v>
      </c>
      <c r="F5" s="368">
        <v>1</v>
      </c>
      <c r="G5" s="368"/>
      <c r="H5" s="368">
        <v>1</v>
      </c>
      <c r="I5" s="368">
        <v>14</v>
      </c>
      <c r="J5" s="384"/>
      <c r="K5" s="382">
        <f t="shared" si="0"/>
        <v>0</v>
      </c>
      <c r="L5" s="381">
        <f t="shared" si="1"/>
        <v>31</v>
      </c>
      <c r="M5" s="381">
        <f t="shared" si="2"/>
        <v>14</v>
      </c>
    </row>
    <row r="6" spans="1:13" x14ac:dyDescent="0.35">
      <c r="A6" s="369" t="s">
        <v>2114</v>
      </c>
      <c r="B6" s="368"/>
      <c r="C6" s="368">
        <v>15</v>
      </c>
      <c r="D6" s="368">
        <v>1</v>
      </c>
      <c r="E6" s="368">
        <v>2</v>
      </c>
      <c r="F6" s="368">
        <v>2</v>
      </c>
      <c r="G6" s="368"/>
      <c r="H6" s="368"/>
      <c r="I6" s="368">
        <v>13</v>
      </c>
      <c r="J6" s="384">
        <v>2</v>
      </c>
      <c r="K6" s="382">
        <f t="shared" si="0"/>
        <v>0</v>
      </c>
      <c r="L6" s="381">
        <f t="shared" si="1"/>
        <v>18</v>
      </c>
      <c r="M6" s="381">
        <f t="shared" si="2"/>
        <v>15</v>
      </c>
    </row>
    <row r="7" spans="1:13" ht="15" thickBot="1" x14ac:dyDescent="0.4">
      <c r="A7" s="366" t="s">
        <v>2113</v>
      </c>
      <c r="B7" s="365"/>
      <c r="C7" s="365">
        <v>6</v>
      </c>
      <c r="D7" s="365">
        <v>3</v>
      </c>
      <c r="E7" s="365"/>
      <c r="F7" s="365"/>
      <c r="G7" s="365">
        <v>1</v>
      </c>
      <c r="H7" s="365"/>
      <c r="I7" s="365">
        <v>5</v>
      </c>
      <c r="J7" s="383"/>
      <c r="K7" s="382">
        <f t="shared" si="0"/>
        <v>0</v>
      </c>
      <c r="L7" s="381">
        <f t="shared" si="1"/>
        <v>9</v>
      </c>
      <c r="M7" s="381">
        <f t="shared" si="2"/>
        <v>5</v>
      </c>
    </row>
    <row r="8" spans="1:13" ht="15" thickBot="1" x14ac:dyDescent="0.4">
      <c r="A8" s="360"/>
      <c r="B8" s="360"/>
      <c r="C8" s="360"/>
      <c r="D8" s="360"/>
      <c r="E8" s="360"/>
      <c r="F8" s="360"/>
      <c r="G8" s="360"/>
      <c r="H8" s="360"/>
      <c r="I8" s="360"/>
      <c r="J8" s="360"/>
      <c r="K8" s="368"/>
      <c r="L8" s="344"/>
      <c r="M8" s="344"/>
    </row>
    <row r="9" spans="1:13" ht="15" thickBot="1" x14ac:dyDescent="0.4">
      <c r="A9" s="363" t="s">
        <v>512</v>
      </c>
      <c r="B9" s="362">
        <f t="shared" ref="B9:J9" si="3">SUM(B2:B8)</f>
        <v>7</v>
      </c>
      <c r="C9" s="362">
        <f t="shared" si="3"/>
        <v>169</v>
      </c>
      <c r="D9" s="362">
        <f t="shared" si="3"/>
        <v>28</v>
      </c>
      <c r="E9" s="362">
        <f t="shared" si="3"/>
        <v>33</v>
      </c>
      <c r="F9" s="362">
        <f t="shared" si="3"/>
        <v>3</v>
      </c>
      <c r="G9" s="362">
        <f t="shared" si="3"/>
        <v>1</v>
      </c>
      <c r="H9" s="362">
        <f t="shared" si="3"/>
        <v>1</v>
      </c>
      <c r="I9" s="362">
        <f t="shared" si="3"/>
        <v>86</v>
      </c>
      <c r="J9" s="380">
        <f t="shared" si="3"/>
        <v>3</v>
      </c>
      <c r="K9" s="368"/>
      <c r="L9" s="344"/>
      <c r="M9" s="344"/>
    </row>
    <row r="13" spans="1:13" ht="15" thickBot="1" x14ac:dyDescent="0.4">
      <c r="A13" s="379" t="s">
        <v>2108</v>
      </c>
      <c r="B13" s="378" t="s">
        <v>2127</v>
      </c>
      <c r="C13" s="378" t="s">
        <v>2126</v>
      </c>
      <c r="D13" s="378" t="s">
        <v>2125</v>
      </c>
      <c r="E13" s="378" t="s">
        <v>2124</v>
      </c>
      <c r="F13" s="378" t="s">
        <v>2123</v>
      </c>
      <c r="G13" s="378" t="s">
        <v>2122</v>
      </c>
      <c r="H13" s="378" t="s">
        <v>2121</v>
      </c>
      <c r="I13" s="378" t="s">
        <v>2120</v>
      </c>
      <c r="J13" s="377" t="s">
        <v>2119</v>
      </c>
      <c r="K13" s="376"/>
    </row>
    <row r="14" spans="1:13" x14ac:dyDescent="0.35">
      <c r="A14" s="375" t="s">
        <v>2118</v>
      </c>
      <c r="B14" s="374"/>
      <c r="C14" s="374">
        <v>10</v>
      </c>
      <c r="D14" s="374">
        <v>1</v>
      </c>
      <c r="E14" s="374"/>
      <c r="F14" s="374"/>
      <c r="G14" s="374"/>
      <c r="H14" s="374"/>
      <c r="I14" s="374">
        <v>11</v>
      </c>
      <c r="J14" s="373"/>
      <c r="K14" s="360"/>
    </row>
    <row r="15" spans="1:13" x14ac:dyDescent="0.35">
      <c r="A15" s="369" t="s">
        <v>2117</v>
      </c>
      <c r="B15" s="368">
        <v>1</v>
      </c>
      <c r="C15" s="368">
        <v>24</v>
      </c>
      <c r="D15" s="368">
        <v>2</v>
      </c>
      <c r="E15" s="368">
        <v>2</v>
      </c>
      <c r="F15" s="368"/>
      <c r="G15" s="368"/>
      <c r="H15" s="368"/>
      <c r="I15" s="368">
        <v>3</v>
      </c>
      <c r="J15" s="367"/>
      <c r="K15" s="360"/>
    </row>
    <row r="16" spans="1:13" x14ac:dyDescent="0.35">
      <c r="A16" s="369" t="s">
        <v>2116</v>
      </c>
      <c r="B16" s="372">
        <v>6</v>
      </c>
      <c r="C16" s="372">
        <v>22</v>
      </c>
      <c r="D16" s="372">
        <v>0</v>
      </c>
      <c r="E16" s="372">
        <v>0</v>
      </c>
      <c r="F16" s="372"/>
      <c r="G16" s="372"/>
      <c r="H16" s="372"/>
      <c r="I16" s="372">
        <v>20</v>
      </c>
      <c r="J16" s="371">
        <v>1</v>
      </c>
      <c r="K16" s="370"/>
    </row>
    <row r="17" spans="1:11" x14ac:dyDescent="0.35">
      <c r="A17" s="369" t="s">
        <v>2115</v>
      </c>
      <c r="B17" s="368"/>
      <c r="C17" s="368">
        <v>22</v>
      </c>
      <c r="D17" s="368">
        <v>6</v>
      </c>
      <c r="E17" s="368">
        <v>3</v>
      </c>
      <c r="F17" s="368">
        <v>1</v>
      </c>
      <c r="G17" s="368"/>
      <c r="H17" s="368">
        <v>1</v>
      </c>
      <c r="I17" s="368">
        <v>14</v>
      </c>
      <c r="J17" s="367"/>
      <c r="K17" s="360"/>
    </row>
    <row r="18" spans="1:11" x14ac:dyDescent="0.35">
      <c r="A18" s="369" t="s">
        <v>2114</v>
      </c>
      <c r="B18" s="368"/>
      <c r="C18" s="368">
        <v>15</v>
      </c>
      <c r="D18" s="368">
        <v>1</v>
      </c>
      <c r="E18" s="368">
        <v>2</v>
      </c>
      <c r="F18" s="368">
        <v>2</v>
      </c>
      <c r="G18" s="368"/>
      <c r="H18" s="368"/>
      <c r="I18" s="368">
        <v>13</v>
      </c>
      <c r="J18" s="367">
        <v>2</v>
      </c>
      <c r="K18" s="360"/>
    </row>
    <row r="19" spans="1:11" ht="15" thickBot="1" x14ac:dyDescent="0.4">
      <c r="A19" s="366" t="s">
        <v>2113</v>
      </c>
      <c r="B19" s="365"/>
      <c r="C19" s="365">
        <v>6</v>
      </c>
      <c r="D19" s="365">
        <v>3</v>
      </c>
      <c r="E19" s="365"/>
      <c r="F19" s="365"/>
      <c r="G19" s="365">
        <v>1</v>
      </c>
      <c r="H19" s="365"/>
      <c r="I19" s="365">
        <v>5</v>
      </c>
      <c r="J19" s="364"/>
      <c r="K19" s="360"/>
    </row>
    <row r="20" spans="1:11" ht="15" thickBot="1" x14ac:dyDescent="0.4">
      <c r="A20" s="360"/>
      <c r="B20" s="360"/>
      <c r="C20" s="360"/>
      <c r="D20" s="360"/>
      <c r="E20" s="360"/>
      <c r="F20" s="360"/>
      <c r="G20" s="360"/>
      <c r="H20" s="360"/>
      <c r="I20" s="360"/>
      <c r="J20" s="360"/>
      <c r="K20" s="360"/>
    </row>
    <row r="21" spans="1:11" ht="15" thickBot="1" x14ac:dyDescent="0.4">
      <c r="A21" s="363" t="s">
        <v>512</v>
      </c>
      <c r="B21" s="362">
        <f t="shared" ref="B21:J21" si="4">SUM(B14:B20)</f>
        <v>7</v>
      </c>
      <c r="C21" s="362">
        <f t="shared" si="4"/>
        <v>99</v>
      </c>
      <c r="D21" s="362">
        <f t="shared" si="4"/>
        <v>13</v>
      </c>
      <c r="E21" s="362">
        <f t="shared" si="4"/>
        <v>7</v>
      </c>
      <c r="F21" s="362">
        <f t="shared" si="4"/>
        <v>3</v>
      </c>
      <c r="G21" s="362">
        <f t="shared" si="4"/>
        <v>1</v>
      </c>
      <c r="H21" s="362">
        <f t="shared" si="4"/>
        <v>1</v>
      </c>
      <c r="I21" s="362">
        <f t="shared" si="4"/>
        <v>66</v>
      </c>
      <c r="J21" s="361">
        <f t="shared" si="4"/>
        <v>3</v>
      </c>
      <c r="K21" s="360"/>
    </row>
  </sheetData>
  <pageMargins left="0.7" right="0.7" top="0.75" bottom="0.75" header="0.51180555555555496" footer="0.51180555555555496"/>
  <pageSetup firstPageNumber="0"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A3:AI1399"/>
  <sheetViews>
    <sheetView zoomScale="70" zoomScaleNormal="70" workbookViewId="0">
      <selection activeCell="F4" sqref="F4"/>
    </sheetView>
  </sheetViews>
  <sheetFormatPr defaultColWidth="8.90625" defaultRowHeight="14.5" x14ac:dyDescent="0.35"/>
  <cols>
    <col min="1" max="1" width="9.08984375" style="1" customWidth="1"/>
    <col min="2" max="2" width="5.54296875" style="2761" customWidth="1"/>
    <col min="3" max="3" width="16.08984375" style="1" customWidth="1"/>
    <col min="4" max="4" width="11.90625" style="1" customWidth="1"/>
    <col min="5" max="5" width="33.08984375" style="1" customWidth="1"/>
    <col min="6" max="6" width="14" style="1" customWidth="1"/>
    <col min="7" max="7" width="11.08984375" style="1" customWidth="1"/>
    <col min="8" max="9" width="10.453125" style="1" customWidth="1"/>
    <col min="10" max="10" width="8.90625" style="1" customWidth="1"/>
    <col min="11" max="11" width="9.90625" style="1" customWidth="1"/>
    <col min="12" max="12" width="5.90625" style="1" customWidth="1"/>
    <col min="13" max="13" width="9.08984375" style="1" customWidth="1"/>
    <col min="14" max="14" width="13.08984375" style="1" customWidth="1"/>
    <col min="15" max="15" width="8.90625" style="1" customWidth="1"/>
    <col min="16" max="16" width="9.08984375" style="1" customWidth="1"/>
    <col min="17" max="17" width="25.90625" style="1" hidden="1" customWidth="1"/>
    <col min="18" max="18" width="27.453125" style="1" customWidth="1"/>
    <col min="19" max="19" width="8.90625" style="1" hidden="1" customWidth="1"/>
    <col min="20" max="20" width="8.90625" style="1" customWidth="1"/>
    <col min="21" max="21" width="18" style="1" customWidth="1"/>
    <col min="22" max="22" width="16.54296875" style="1" hidden="1" customWidth="1"/>
    <col min="23" max="23" width="13.08984375" style="1" customWidth="1"/>
    <col min="24" max="24" width="18.90625" style="1" customWidth="1"/>
    <col min="25" max="25" width="12.08984375" style="2761" customWidth="1"/>
    <col min="26" max="26" width="18.90625" style="1" hidden="1" customWidth="1"/>
    <col min="27" max="27" width="8.90625" style="1" hidden="1" customWidth="1"/>
    <col min="28" max="28" width="9.90625" style="1" customWidth="1"/>
    <col min="29" max="29" width="11.453125" style="1" customWidth="1"/>
    <col min="30" max="30" width="36.90625" style="1" hidden="1" customWidth="1"/>
    <col min="31" max="31" width="16.453125" style="1" customWidth="1"/>
    <col min="32" max="32" width="8.90625" style="1"/>
    <col min="33" max="33" width="17.90625" style="1" customWidth="1"/>
    <col min="34" max="16384" width="8.90625" style="1"/>
  </cols>
  <sheetData>
    <row r="3" spans="1:33" ht="33.5" x14ac:dyDescent="0.75">
      <c r="B3" s="2768" t="s">
        <v>10764</v>
      </c>
    </row>
    <row r="4" spans="1:33" ht="43.5" x14ac:dyDescent="0.35">
      <c r="A4" s="2656" t="s">
        <v>6818</v>
      </c>
      <c r="B4" s="2758" t="s">
        <v>10759</v>
      </c>
      <c r="C4" s="2656" t="s">
        <v>1</v>
      </c>
      <c r="D4" s="2656" t="s">
        <v>2084</v>
      </c>
      <c r="E4" s="2656" t="s">
        <v>2</v>
      </c>
      <c r="F4" s="2656" t="s">
        <v>8141</v>
      </c>
      <c r="G4" s="2656" t="s">
        <v>8142</v>
      </c>
      <c r="H4" s="2656" t="s">
        <v>8143</v>
      </c>
      <c r="I4" s="2656" t="s">
        <v>8144</v>
      </c>
      <c r="J4" s="2656" t="s">
        <v>10777</v>
      </c>
      <c r="K4" s="2656" t="s">
        <v>10778</v>
      </c>
      <c r="L4" s="2656" t="s">
        <v>8145</v>
      </c>
      <c r="M4" s="2656" t="s">
        <v>8146</v>
      </c>
      <c r="N4" s="2656" t="s">
        <v>8147</v>
      </c>
      <c r="O4" s="2656" t="s">
        <v>9466</v>
      </c>
      <c r="P4" s="2656" t="s">
        <v>3</v>
      </c>
      <c r="Q4" s="2656" t="s">
        <v>9463</v>
      </c>
      <c r="R4" s="2656" t="s">
        <v>2081</v>
      </c>
      <c r="S4" s="2656" t="s">
        <v>8153</v>
      </c>
      <c r="T4" s="2656" t="s">
        <v>5</v>
      </c>
      <c r="U4" s="2656" t="s">
        <v>10754</v>
      </c>
      <c r="V4" s="2656" t="s">
        <v>7</v>
      </c>
      <c r="W4" s="2656" t="s">
        <v>8</v>
      </c>
      <c r="X4" s="2656" t="s">
        <v>9</v>
      </c>
      <c r="Y4" s="2758" t="s">
        <v>10</v>
      </c>
      <c r="Z4" s="2656" t="s">
        <v>10757</v>
      </c>
      <c r="AA4" s="2656" t="s">
        <v>10758</v>
      </c>
      <c r="AB4" s="2656" t="s">
        <v>11</v>
      </c>
      <c r="AC4" s="2656" t="s">
        <v>6064</v>
      </c>
      <c r="AD4" s="2634" t="s">
        <v>2078</v>
      </c>
      <c r="AE4" s="1">
        <f>SUM(W4:W1053)/4.8</f>
        <v>33512.46875</v>
      </c>
      <c r="AF4" s="2662"/>
      <c r="AG4" s="2662"/>
    </row>
    <row r="5" spans="1:33" ht="101.5" hidden="1" x14ac:dyDescent="0.35">
      <c r="A5" s="2769">
        <v>43916</v>
      </c>
      <c r="B5" s="2760"/>
      <c r="C5" s="817" t="s">
        <v>7664</v>
      </c>
      <c r="D5" s="2701"/>
      <c r="E5" s="817" t="s">
        <v>7605</v>
      </c>
      <c r="F5" s="817"/>
      <c r="G5" s="817">
        <v>1</v>
      </c>
      <c r="H5" s="817"/>
      <c r="I5" s="817"/>
      <c r="J5" s="817"/>
      <c r="K5" s="817"/>
      <c r="L5" s="817"/>
      <c r="M5" s="817"/>
      <c r="N5" s="817"/>
      <c r="O5" s="817"/>
      <c r="P5" s="2769">
        <v>43922</v>
      </c>
      <c r="Q5" s="2769"/>
      <c r="R5" s="2770" t="s">
        <v>7449</v>
      </c>
      <c r="S5" s="2770"/>
      <c r="T5" s="2694">
        <v>0.45833333333333331</v>
      </c>
      <c r="U5" s="2694">
        <v>0.52083333333333337</v>
      </c>
      <c r="V5" s="2694">
        <v>0.52083333333333337</v>
      </c>
      <c r="W5" s="1956">
        <v>150</v>
      </c>
      <c r="X5" s="870" t="s">
        <v>7391</v>
      </c>
      <c r="Y5" s="2772"/>
      <c r="Z5" s="817"/>
      <c r="AA5" s="817"/>
      <c r="AB5" s="817" t="s">
        <v>974</v>
      </c>
      <c r="AC5" s="817" t="s">
        <v>6096</v>
      </c>
      <c r="AD5" s="2697" t="s">
        <v>1710</v>
      </c>
      <c r="AF5" s="2662"/>
      <c r="AG5" s="2711"/>
    </row>
    <row r="6" spans="1:33" ht="43.5" hidden="1" x14ac:dyDescent="0.35">
      <c r="A6" s="2828">
        <v>43920</v>
      </c>
      <c r="B6" s="2760"/>
      <c r="C6" s="817" t="s">
        <v>7562</v>
      </c>
      <c r="D6" s="2701"/>
      <c r="E6" s="817" t="s">
        <v>7563</v>
      </c>
      <c r="F6" s="817"/>
      <c r="G6" s="817"/>
      <c r="H6" s="817"/>
      <c r="I6" s="817"/>
      <c r="J6" s="817"/>
      <c r="K6" s="817"/>
      <c r="L6" s="817"/>
      <c r="M6" s="817"/>
      <c r="N6" s="817"/>
      <c r="O6" s="817"/>
      <c r="P6" s="2828">
        <v>43922</v>
      </c>
      <c r="Q6" s="2828"/>
      <c r="R6" s="2829" t="s">
        <v>7564</v>
      </c>
      <c r="S6" s="2829"/>
      <c r="T6" s="2694">
        <v>0.45833333333333331</v>
      </c>
      <c r="U6" s="2694">
        <v>0.58333333333333337</v>
      </c>
      <c r="V6" s="2694">
        <v>0.58333333333333337</v>
      </c>
      <c r="W6" s="1956">
        <v>90</v>
      </c>
      <c r="X6" s="817" t="s">
        <v>7565</v>
      </c>
      <c r="Y6" s="2772"/>
      <c r="Z6" s="817"/>
      <c r="AA6" s="817"/>
      <c r="AB6" s="817" t="s">
        <v>17</v>
      </c>
      <c r="AC6" s="817" t="s">
        <v>2084</v>
      </c>
      <c r="AD6" s="2696" t="s">
        <v>1710</v>
      </c>
      <c r="AF6" s="2662"/>
      <c r="AG6" s="2711"/>
    </row>
    <row r="7" spans="1:33" ht="29" hidden="1" x14ac:dyDescent="0.35">
      <c r="A7" s="1899">
        <v>43920</v>
      </c>
      <c r="B7" s="2759"/>
      <c r="C7" s="7" t="s">
        <v>20</v>
      </c>
      <c r="D7" s="2701"/>
      <c r="E7" s="7" t="s">
        <v>7578</v>
      </c>
      <c r="F7" s="7"/>
      <c r="G7" s="7"/>
      <c r="H7" s="7"/>
      <c r="I7" s="7"/>
      <c r="J7" s="7"/>
      <c r="K7" s="7"/>
      <c r="L7" s="7"/>
      <c r="M7" s="7"/>
      <c r="N7" s="7"/>
      <c r="O7" s="7"/>
      <c r="P7" s="1899">
        <v>43922</v>
      </c>
      <c r="Q7" s="1899"/>
      <c r="R7" s="881" t="s">
        <v>20</v>
      </c>
      <c r="S7" s="881"/>
      <c r="T7" s="836" t="s">
        <v>15</v>
      </c>
      <c r="U7" s="836" t="s">
        <v>15</v>
      </c>
      <c r="V7" s="836" t="s">
        <v>15</v>
      </c>
      <c r="W7" s="836" t="s">
        <v>15</v>
      </c>
      <c r="X7" s="836" t="s">
        <v>15</v>
      </c>
      <c r="Y7" s="2772"/>
      <c r="Z7" s="817"/>
      <c r="AA7" s="817"/>
      <c r="AB7" s="836" t="s">
        <v>15</v>
      </c>
      <c r="AC7" s="836" t="s">
        <v>15</v>
      </c>
      <c r="AD7" s="2696" t="s">
        <v>1710</v>
      </c>
      <c r="AF7" s="2662"/>
      <c r="AG7" s="2711"/>
    </row>
    <row r="8" spans="1:33" ht="72.5" hidden="1" x14ac:dyDescent="0.35">
      <c r="A8" s="2828">
        <v>43920</v>
      </c>
      <c r="B8" s="2760"/>
      <c r="C8" s="2828" t="s">
        <v>7595</v>
      </c>
      <c r="D8" s="2701"/>
      <c r="E8" s="817" t="s">
        <v>7590</v>
      </c>
      <c r="F8" s="817"/>
      <c r="G8" s="817"/>
      <c r="H8" s="817"/>
      <c r="I8" s="817"/>
      <c r="J8" s="817"/>
      <c r="K8" s="817"/>
      <c r="L8" s="817"/>
      <c r="M8" s="817"/>
      <c r="N8" s="817"/>
      <c r="O8" s="817"/>
      <c r="P8" s="2828">
        <v>43922</v>
      </c>
      <c r="Q8" s="2828"/>
      <c r="R8" s="2829" t="s">
        <v>7591</v>
      </c>
      <c r="S8" s="2829"/>
      <c r="T8" s="2694">
        <v>0.75</v>
      </c>
      <c r="U8" s="2694">
        <v>0.79166666666666663</v>
      </c>
      <c r="V8" s="2694">
        <v>0.79166666666666663</v>
      </c>
      <c r="W8" s="1956">
        <v>120</v>
      </c>
      <c r="X8" s="817" t="s">
        <v>7424</v>
      </c>
      <c r="Y8" s="2772"/>
      <c r="Z8" s="817"/>
      <c r="AA8" s="817"/>
      <c r="AB8" s="817" t="s">
        <v>17</v>
      </c>
      <c r="AC8" s="817" t="s">
        <v>6041</v>
      </c>
      <c r="AD8" s="2696" t="s">
        <v>1710</v>
      </c>
      <c r="AF8" s="2662"/>
      <c r="AG8" s="2711"/>
    </row>
    <row r="9" spans="1:33" ht="58" hidden="1" x14ac:dyDescent="0.35">
      <c r="A9" s="1899">
        <v>43918</v>
      </c>
      <c r="B9" s="2759"/>
      <c r="C9" s="7" t="s">
        <v>7498</v>
      </c>
      <c r="D9" s="2701"/>
      <c r="E9" s="7" t="s">
        <v>7499</v>
      </c>
      <c r="F9" s="7"/>
      <c r="G9" s="7"/>
      <c r="H9" s="7"/>
      <c r="I9" s="7"/>
      <c r="J9" s="7"/>
      <c r="K9" s="7"/>
      <c r="L9" s="7"/>
      <c r="M9" s="7"/>
      <c r="N9" s="7"/>
      <c r="O9" s="7"/>
      <c r="P9" s="1899">
        <v>43922</v>
      </c>
      <c r="Q9" s="1899"/>
      <c r="R9" s="881" t="s">
        <v>7500</v>
      </c>
      <c r="S9" s="881" t="s">
        <v>8154</v>
      </c>
      <c r="T9" s="836">
        <v>0.45833333333333331</v>
      </c>
      <c r="U9" s="836">
        <v>0.48958333333333331</v>
      </c>
      <c r="V9" s="836">
        <v>0.48958333333333331</v>
      </c>
      <c r="W9" s="1630">
        <v>159</v>
      </c>
      <c r="X9" s="836" t="s">
        <v>257</v>
      </c>
      <c r="Y9" s="2772"/>
      <c r="Z9" s="817"/>
      <c r="AA9" s="817"/>
      <c r="AB9" s="7" t="s">
        <v>17</v>
      </c>
      <c r="AC9" s="7" t="s">
        <v>2084</v>
      </c>
      <c r="AD9" s="2696" t="s">
        <v>1710</v>
      </c>
      <c r="AF9" s="2662"/>
      <c r="AG9" s="2711"/>
    </row>
    <row r="10" spans="1:33" ht="72.5" hidden="1" x14ac:dyDescent="0.35">
      <c r="A10" s="2828">
        <v>43921</v>
      </c>
      <c r="B10" s="2760"/>
      <c r="C10" s="817" t="s">
        <v>7656</v>
      </c>
      <c r="D10" s="2701"/>
      <c r="E10" s="817" t="s">
        <v>7657</v>
      </c>
      <c r="F10" s="817">
        <v>2</v>
      </c>
      <c r="G10" s="817">
        <v>1</v>
      </c>
      <c r="H10" s="817"/>
      <c r="I10" s="817"/>
      <c r="J10" s="817"/>
      <c r="K10" s="817"/>
      <c r="L10" s="817"/>
      <c r="M10" s="817"/>
      <c r="N10" s="817"/>
      <c r="O10" s="817"/>
      <c r="P10" s="2828">
        <v>43922</v>
      </c>
      <c r="Q10" s="2828"/>
      <c r="R10" s="2829" t="s">
        <v>7658</v>
      </c>
      <c r="S10" s="2829"/>
      <c r="T10" s="2694">
        <v>0.45833333333333331</v>
      </c>
      <c r="U10" s="2694">
        <v>0.55555555555555558</v>
      </c>
      <c r="V10" s="2694">
        <v>0.55555555555555558</v>
      </c>
      <c r="W10" s="1956">
        <v>200</v>
      </c>
      <c r="X10" s="870" t="s">
        <v>7659</v>
      </c>
      <c r="Y10" s="2772"/>
      <c r="Z10" s="817"/>
      <c r="AA10" s="817"/>
      <c r="AB10" s="817" t="s">
        <v>974</v>
      </c>
      <c r="AC10" s="817" t="s">
        <v>6096</v>
      </c>
      <c r="AD10" s="2696" t="s">
        <v>1710</v>
      </c>
      <c r="AF10" s="2662"/>
      <c r="AG10" s="2711"/>
    </row>
    <row r="11" spans="1:33" ht="58" hidden="1" x14ac:dyDescent="0.35">
      <c r="A11" s="1899">
        <v>43921</v>
      </c>
      <c r="B11" s="2759"/>
      <c r="C11" s="7" t="s">
        <v>6386</v>
      </c>
      <c r="D11" s="2701"/>
      <c r="E11" s="7" t="s">
        <v>7711</v>
      </c>
      <c r="F11" s="7"/>
      <c r="G11" s="7"/>
      <c r="H11" s="7"/>
      <c r="I11" s="7"/>
      <c r="J11" s="7"/>
      <c r="K11" s="7"/>
      <c r="L11" s="7"/>
      <c r="M11" s="7"/>
      <c r="N11" s="7"/>
      <c r="O11" s="7"/>
      <c r="P11" s="1899">
        <v>43923</v>
      </c>
      <c r="Q11" s="1899"/>
      <c r="R11" s="881" t="s">
        <v>7607</v>
      </c>
      <c r="S11" s="881"/>
      <c r="T11" s="836">
        <v>0.47916666666666669</v>
      </c>
      <c r="U11" s="2694">
        <v>0.5</v>
      </c>
      <c r="V11" s="2694">
        <v>0.5</v>
      </c>
      <c r="W11" s="1956">
        <v>172.8</v>
      </c>
      <c r="X11" s="870" t="s">
        <v>7608</v>
      </c>
      <c r="Y11" s="2772"/>
      <c r="Z11" s="817"/>
      <c r="AA11" s="817"/>
      <c r="AB11" s="2694" t="s">
        <v>974</v>
      </c>
      <c r="AC11" s="2694" t="s">
        <v>6096</v>
      </c>
      <c r="AD11" s="2696" t="s">
        <v>1710</v>
      </c>
      <c r="AF11" s="2662"/>
      <c r="AG11" s="2711"/>
    </row>
    <row r="12" spans="1:33" ht="43.5" hidden="1" x14ac:dyDescent="0.35">
      <c r="A12" s="2769">
        <v>43921</v>
      </c>
      <c r="B12" s="2760"/>
      <c r="C12" s="817" t="s">
        <v>7641</v>
      </c>
      <c r="D12" s="2701"/>
      <c r="E12" s="817" t="s">
        <v>7643</v>
      </c>
      <c r="F12" s="817"/>
      <c r="G12" s="817"/>
      <c r="H12" s="817"/>
      <c r="I12" s="817"/>
      <c r="J12" s="817"/>
      <c r="K12" s="817"/>
      <c r="L12" s="817"/>
      <c r="M12" s="817"/>
      <c r="N12" s="817"/>
      <c r="O12" s="817"/>
      <c r="P12" s="2769">
        <v>43923</v>
      </c>
      <c r="Q12" s="2769"/>
      <c r="R12" s="2770" t="s">
        <v>10738</v>
      </c>
      <c r="S12" s="2770"/>
      <c r="T12" s="2694">
        <v>0.47916666666666669</v>
      </c>
      <c r="U12" s="2694">
        <v>0.54166666666666663</v>
      </c>
      <c r="V12" s="2694">
        <v>0.54166666666666663</v>
      </c>
      <c r="W12" s="1956">
        <v>180</v>
      </c>
      <c r="X12" s="817" t="s">
        <v>7424</v>
      </c>
      <c r="Y12" s="2772"/>
      <c r="Z12" s="817"/>
      <c r="AA12" s="817"/>
      <c r="AB12" s="817" t="s">
        <v>17</v>
      </c>
      <c r="AC12" s="2829" t="s">
        <v>6041</v>
      </c>
      <c r="AD12" s="2696" t="s">
        <v>1710</v>
      </c>
      <c r="AF12" s="2662"/>
      <c r="AG12" s="2711"/>
    </row>
    <row r="13" spans="1:33" ht="87" hidden="1" x14ac:dyDescent="0.35">
      <c r="A13" s="2146">
        <v>43920</v>
      </c>
      <c r="B13" s="2777"/>
      <c r="C13" s="1733" t="s">
        <v>7800</v>
      </c>
      <c r="D13" s="2701"/>
      <c r="E13" s="1733" t="s">
        <v>7575</v>
      </c>
      <c r="F13" s="1733"/>
      <c r="G13" s="1733">
        <v>1</v>
      </c>
      <c r="H13" s="1733"/>
      <c r="I13" s="1733"/>
      <c r="J13" s="1733"/>
      <c r="K13" s="1733"/>
      <c r="L13" s="1733"/>
      <c r="M13" s="1733"/>
      <c r="N13" s="1733"/>
      <c r="O13" s="1733"/>
      <c r="P13" s="2146">
        <v>43924</v>
      </c>
      <c r="Q13" s="2146"/>
      <c r="R13" s="2150" t="s">
        <v>7574</v>
      </c>
      <c r="S13" s="2150"/>
      <c r="T13" s="836">
        <v>0.41666666666666669</v>
      </c>
      <c r="U13" s="2694">
        <v>0.4375</v>
      </c>
      <c r="V13" s="2694">
        <v>0.4375</v>
      </c>
      <c r="W13" s="1809">
        <v>445</v>
      </c>
      <c r="X13" s="817" t="s">
        <v>7577</v>
      </c>
      <c r="Y13" s="2772"/>
      <c r="Z13" s="817"/>
      <c r="AA13" s="817"/>
      <c r="AB13" s="817" t="s">
        <v>17</v>
      </c>
      <c r="AC13" s="817" t="s">
        <v>2084</v>
      </c>
      <c r="AD13" s="2696" t="s">
        <v>1710</v>
      </c>
      <c r="AF13" s="2662"/>
      <c r="AG13" s="2711"/>
    </row>
    <row r="14" spans="1:33" ht="72.5" hidden="1" x14ac:dyDescent="0.35">
      <c r="A14" s="2486">
        <v>43923</v>
      </c>
      <c r="B14" s="2718"/>
      <c r="C14" s="5" t="s">
        <v>7816</v>
      </c>
      <c r="D14" s="2701"/>
      <c r="E14" s="5" t="s">
        <v>7817</v>
      </c>
      <c r="F14" s="5">
        <v>1</v>
      </c>
      <c r="G14" s="5">
        <v>1</v>
      </c>
      <c r="H14" s="5"/>
      <c r="I14" s="5"/>
      <c r="J14" s="5"/>
      <c r="K14" s="5"/>
      <c r="L14" s="5"/>
      <c r="M14" s="5"/>
      <c r="N14" s="5"/>
      <c r="O14" s="5"/>
      <c r="P14" s="2486">
        <v>43924</v>
      </c>
      <c r="Q14" s="2486"/>
      <c r="R14" s="824" t="s">
        <v>7821</v>
      </c>
      <c r="S14" s="824"/>
      <c r="T14" s="824" t="s">
        <v>15</v>
      </c>
      <c r="U14" s="2694">
        <v>0.54166666666666663</v>
      </c>
      <c r="V14" s="2694">
        <v>0.54166666666666663</v>
      </c>
      <c r="W14" s="1809">
        <f>150+140</f>
        <v>290</v>
      </c>
      <c r="X14" s="2829" t="s">
        <v>7818</v>
      </c>
      <c r="Y14" s="2772"/>
      <c r="Z14" s="2829"/>
      <c r="AA14" s="2829"/>
      <c r="AB14" s="2829" t="s">
        <v>17</v>
      </c>
      <c r="AC14" s="2829" t="s">
        <v>6053</v>
      </c>
      <c r="AD14" s="2696" t="s">
        <v>1710</v>
      </c>
      <c r="AF14" s="2662"/>
      <c r="AG14" s="2711"/>
    </row>
    <row r="15" spans="1:33" ht="72.5" hidden="1" x14ac:dyDescent="0.35">
      <c r="A15" s="1899">
        <v>43922</v>
      </c>
      <c r="B15" s="2759"/>
      <c r="C15" s="7" t="s">
        <v>7700</v>
      </c>
      <c r="D15" s="2701"/>
      <c r="E15" s="7" t="s">
        <v>7701</v>
      </c>
      <c r="F15" s="7"/>
      <c r="G15" s="7"/>
      <c r="H15" s="7"/>
      <c r="I15" s="7"/>
      <c r="J15" s="7"/>
      <c r="K15" s="7"/>
      <c r="L15" s="7"/>
      <c r="M15" s="7"/>
      <c r="N15" s="7"/>
      <c r="O15" s="7"/>
      <c r="P15" s="1899">
        <v>43924</v>
      </c>
      <c r="Q15" s="1899"/>
      <c r="R15" s="881" t="s">
        <v>7702</v>
      </c>
      <c r="S15" s="881"/>
      <c r="T15" s="836" t="s">
        <v>15</v>
      </c>
      <c r="U15" s="836" t="s">
        <v>972</v>
      </c>
      <c r="V15" s="836" t="s">
        <v>972</v>
      </c>
      <c r="W15" s="1630">
        <v>210</v>
      </c>
      <c r="X15" s="836" t="s">
        <v>7682</v>
      </c>
      <c r="Y15" s="2717"/>
      <c r="Z15" s="7"/>
      <c r="AA15" s="7"/>
      <c r="AB15" s="7" t="s">
        <v>17</v>
      </c>
      <c r="AC15" s="7" t="s">
        <v>6041</v>
      </c>
      <c r="AD15" s="2696" t="s">
        <v>1710</v>
      </c>
      <c r="AF15" s="2662"/>
      <c r="AG15" s="2711"/>
    </row>
    <row r="16" spans="1:33" ht="43.5" hidden="1" x14ac:dyDescent="0.35">
      <c r="A16" s="2486">
        <v>43915</v>
      </c>
      <c r="B16" s="2718"/>
      <c r="C16" s="5" t="s">
        <v>7799</v>
      </c>
      <c r="D16" s="2701"/>
      <c r="E16" s="5" t="s">
        <v>7425</v>
      </c>
      <c r="F16" s="5"/>
      <c r="G16" s="5">
        <v>1</v>
      </c>
      <c r="H16" s="5"/>
      <c r="I16" s="5"/>
      <c r="J16" s="5"/>
      <c r="K16" s="5"/>
      <c r="L16" s="5"/>
      <c r="M16" s="5"/>
      <c r="N16" s="5"/>
      <c r="O16" s="5"/>
      <c r="P16" s="2486">
        <v>43924</v>
      </c>
      <c r="Q16" s="2486"/>
      <c r="R16" s="824" t="s">
        <v>7426</v>
      </c>
      <c r="S16" s="824"/>
      <c r="T16" s="6" t="s">
        <v>15</v>
      </c>
      <c r="U16" s="2694">
        <v>0.5</v>
      </c>
      <c r="V16" s="2694">
        <v>0.5</v>
      </c>
      <c r="W16" s="1956">
        <v>205</v>
      </c>
      <c r="X16" s="2694" t="s">
        <v>257</v>
      </c>
      <c r="Y16" s="2772"/>
      <c r="Z16" s="817"/>
      <c r="AA16" s="817"/>
      <c r="AB16" s="817" t="s">
        <v>17</v>
      </c>
      <c r="AC16" s="817" t="s">
        <v>6041</v>
      </c>
      <c r="AD16" s="2696" t="s">
        <v>1710</v>
      </c>
      <c r="AF16" s="2662"/>
      <c r="AG16" s="2711"/>
    </row>
    <row r="17" spans="1:33" ht="174" hidden="1" x14ac:dyDescent="0.35">
      <c r="A17" s="2486">
        <v>43923</v>
      </c>
      <c r="B17" s="2718"/>
      <c r="C17" s="5" t="s">
        <v>7779</v>
      </c>
      <c r="D17" s="2701"/>
      <c r="E17" s="5" t="s">
        <v>7780</v>
      </c>
      <c r="F17" s="5"/>
      <c r="G17" s="5"/>
      <c r="H17" s="5"/>
      <c r="I17" s="5"/>
      <c r="J17" s="5"/>
      <c r="K17" s="5"/>
      <c r="L17" s="5"/>
      <c r="M17" s="5"/>
      <c r="N17" s="5"/>
      <c r="O17" s="5"/>
      <c r="P17" s="2486">
        <v>43924</v>
      </c>
      <c r="Q17" s="2486"/>
      <c r="R17" s="824" t="s">
        <v>7822</v>
      </c>
      <c r="S17" s="824"/>
      <c r="T17" s="6">
        <v>0.41666666666666669</v>
      </c>
      <c r="U17" s="2694">
        <v>0.46875</v>
      </c>
      <c r="V17" s="2694">
        <v>0.46875</v>
      </c>
      <c r="W17" s="1956">
        <v>135</v>
      </c>
      <c r="X17" s="2694" t="s">
        <v>6984</v>
      </c>
      <c r="Y17" s="2772"/>
      <c r="Z17" s="2694"/>
      <c r="AA17" s="2694"/>
      <c r="AB17" s="817" t="s">
        <v>17</v>
      </c>
      <c r="AC17" s="817" t="s">
        <v>257</v>
      </c>
      <c r="AD17" s="2696" t="s">
        <v>1710</v>
      </c>
      <c r="AF17" s="2662"/>
      <c r="AG17" s="2711"/>
    </row>
    <row r="18" spans="1:33" ht="145" hidden="1" x14ac:dyDescent="0.35">
      <c r="A18" s="2146">
        <v>43924</v>
      </c>
      <c r="B18" s="2777"/>
      <c r="C18" s="1733" t="s">
        <v>7947</v>
      </c>
      <c r="D18" s="2701"/>
      <c r="E18" s="1850" t="s">
        <v>7951</v>
      </c>
      <c r="F18" s="5"/>
      <c r="G18" s="5"/>
      <c r="H18" s="5"/>
      <c r="I18" s="5"/>
      <c r="J18" s="5"/>
      <c r="K18" s="5"/>
      <c r="L18" s="5"/>
      <c r="M18" s="5"/>
      <c r="N18" s="5"/>
      <c r="O18" s="5"/>
      <c r="P18" s="2146">
        <v>43925</v>
      </c>
      <c r="Q18" s="2146"/>
      <c r="R18" s="2150" t="s">
        <v>7948</v>
      </c>
      <c r="S18" s="2150"/>
      <c r="T18" s="6">
        <v>0.625</v>
      </c>
      <c r="U18" s="2694">
        <v>0.6875</v>
      </c>
      <c r="V18" s="2694">
        <v>0.6875</v>
      </c>
      <c r="W18" s="1956">
        <v>164</v>
      </c>
      <c r="X18" s="817" t="s">
        <v>7949</v>
      </c>
      <c r="Y18" s="2772"/>
      <c r="Z18" s="817"/>
      <c r="AA18" s="817"/>
      <c r="AB18" s="817" t="s">
        <v>17</v>
      </c>
      <c r="AC18" s="817" t="s">
        <v>2084</v>
      </c>
      <c r="AD18" s="2696" t="s">
        <v>1710</v>
      </c>
      <c r="AF18" s="2662"/>
      <c r="AG18" s="2711"/>
    </row>
    <row r="19" spans="1:33" ht="116" hidden="1" x14ac:dyDescent="0.35">
      <c r="A19" s="2828">
        <v>43924</v>
      </c>
      <c r="B19" s="2760"/>
      <c r="C19" s="817" t="s">
        <v>7878</v>
      </c>
      <c r="D19" s="2701"/>
      <c r="E19" s="817" t="s">
        <v>7877</v>
      </c>
      <c r="F19" s="817"/>
      <c r="G19" s="817">
        <v>1</v>
      </c>
      <c r="H19" s="817"/>
      <c r="I19" s="817"/>
      <c r="J19" s="817"/>
      <c r="K19" s="817"/>
      <c r="L19" s="817"/>
      <c r="M19" s="817"/>
      <c r="N19" s="817"/>
      <c r="O19" s="817"/>
      <c r="P19" s="2828">
        <v>43925</v>
      </c>
      <c r="Q19" s="2828"/>
      <c r="R19" s="2829" t="s">
        <v>7879</v>
      </c>
      <c r="S19" s="2829"/>
      <c r="T19" s="2694">
        <v>0.625</v>
      </c>
      <c r="U19" s="2694">
        <v>0.72916666666666663</v>
      </c>
      <c r="V19" s="2694">
        <v>0.72916666666666663</v>
      </c>
      <c r="W19" s="1956">
        <v>165</v>
      </c>
      <c r="X19" s="817" t="s">
        <v>257</v>
      </c>
      <c r="Y19" s="2772"/>
      <c r="Z19" s="817"/>
      <c r="AA19" s="817"/>
      <c r="AB19" s="817" t="s">
        <v>17</v>
      </c>
      <c r="AC19" s="817" t="s">
        <v>2084</v>
      </c>
      <c r="AD19" s="2696" t="s">
        <v>1710</v>
      </c>
      <c r="AF19" s="2662"/>
      <c r="AG19" s="2711"/>
    </row>
    <row r="20" spans="1:33" ht="43.5" hidden="1" x14ac:dyDescent="0.35">
      <c r="A20" s="2486">
        <v>43924</v>
      </c>
      <c r="B20" s="2718"/>
      <c r="C20" s="7" t="s">
        <v>7926</v>
      </c>
      <c r="D20" s="2701"/>
      <c r="E20" s="817" t="s">
        <v>7925</v>
      </c>
      <c r="F20" s="5"/>
      <c r="G20" s="5"/>
      <c r="H20" s="5"/>
      <c r="I20" s="5"/>
      <c r="J20" s="5"/>
      <c r="K20" s="5"/>
      <c r="L20" s="5"/>
      <c r="M20" s="5"/>
      <c r="N20" s="5"/>
      <c r="O20" s="5"/>
      <c r="P20" s="2486">
        <v>43925</v>
      </c>
      <c r="Q20" s="2486"/>
      <c r="R20" s="824" t="s">
        <v>7928</v>
      </c>
      <c r="S20" s="824"/>
      <c r="T20" s="6">
        <v>0.625</v>
      </c>
      <c r="U20" s="2694">
        <v>0.70833333333333337</v>
      </c>
      <c r="V20" s="2694">
        <v>0.70833333333333337</v>
      </c>
      <c r="W20" s="1956">
        <v>90</v>
      </c>
      <c r="X20" s="817" t="s">
        <v>257</v>
      </c>
      <c r="Y20" s="2772"/>
      <c r="Z20" s="817"/>
      <c r="AA20" s="817"/>
      <c r="AB20" s="817" t="s">
        <v>17</v>
      </c>
      <c r="AC20" s="817" t="s">
        <v>7451</v>
      </c>
      <c r="AD20" s="2696" t="s">
        <v>1710</v>
      </c>
      <c r="AF20" s="2662"/>
      <c r="AG20" s="2711"/>
    </row>
    <row r="21" spans="1:33" ht="58" hidden="1" x14ac:dyDescent="0.35">
      <c r="A21" s="2486">
        <v>43924</v>
      </c>
      <c r="B21" s="2718"/>
      <c r="C21" s="5" t="s">
        <v>7913</v>
      </c>
      <c r="D21" s="2701"/>
      <c r="E21" s="817" t="s">
        <v>7829</v>
      </c>
      <c r="F21" s="5">
        <v>1</v>
      </c>
      <c r="G21" s="5">
        <v>1</v>
      </c>
      <c r="H21" s="5"/>
      <c r="I21" s="5"/>
      <c r="J21" s="5"/>
      <c r="K21" s="5"/>
      <c r="L21" s="5"/>
      <c r="M21" s="5"/>
      <c r="N21" s="5"/>
      <c r="O21" s="5"/>
      <c r="P21" s="2486">
        <v>43925</v>
      </c>
      <c r="Q21" s="2486"/>
      <c r="R21" s="824" t="s">
        <v>7914</v>
      </c>
      <c r="S21" s="824"/>
      <c r="T21" s="6">
        <v>0.625</v>
      </c>
      <c r="U21" s="2694">
        <v>0.66666666666666663</v>
      </c>
      <c r="V21" s="2694">
        <v>0.66666666666666663</v>
      </c>
      <c r="W21" s="1956">
        <v>100</v>
      </c>
      <c r="X21" s="817" t="s">
        <v>7437</v>
      </c>
      <c r="Y21" s="2772"/>
      <c r="Z21" s="817"/>
      <c r="AA21" s="817"/>
      <c r="AB21" s="817" t="s">
        <v>17</v>
      </c>
      <c r="AC21" s="817" t="s">
        <v>7451</v>
      </c>
      <c r="AD21" s="2696" t="s">
        <v>1710</v>
      </c>
      <c r="AF21" s="2662"/>
      <c r="AG21" s="2711"/>
    </row>
    <row r="22" spans="1:33" ht="43.5" hidden="1" x14ac:dyDescent="0.35">
      <c r="A22" s="2828">
        <v>43924</v>
      </c>
      <c r="B22" s="2760"/>
      <c r="C22" s="817" t="s">
        <v>7836</v>
      </c>
      <c r="D22" s="2701"/>
      <c r="E22" s="817" t="s">
        <v>7838</v>
      </c>
      <c r="F22" s="817"/>
      <c r="G22" s="817"/>
      <c r="H22" s="817"/>
      <c r="I22" s="817"/>
      <c r="J22" s="817"/>
      <c r="K22" s="817"/>
      <c r="L22" s="817"/>
      <c r="M22" s="817"/>
      <c r="N22" s="817"/>
      <c r="O22" s="817"/>
      <c r="P22" s="2828">
        <v>43925</v>
      </c>
      <c r="Q22" s="2828"/>
      <c r="R22" s="2829" t="s">
        <v>7837</v>
      </c>
      <c r="S22" s="2829"/>
      <c r="T22" s="2694">
        <v>0.42708333333333331</v>
      </c>
      <c r="U22" s="2694">
        <v>0.44791666666666669</v>
      </c>
      <c r="V22" s="2694">
        <v>0.44791666666666669</v>
      </c>
      <c r="W22" s="1956">
        <v>60</v>
      </c>
      <c r="X22" s="817" t="s">
        <v>7634</v>
      </c>
      <c r="Y22" s="2772"/>
      <c r="Z22" s="817"/>
      <c r="AA22" s="817"/>
      <c r="AB22" s="817" t="s">
        <v>17</v>
      </c>
      <c r="AC22" s="817" t="s">
        <v>6041</v>
      </c>
      <c r="AD22" s="2696" t="s">
        <v>1710</v>
      </c>
      <c r="AF22" s="2662"/>
      <c r="AG22" s="2711"/>
    </row>
    <row r="23" spans="1:33" ht="116" hidden="1" x14ac:dyDescent="0.35">
      <c r="A23" s="2828">
        <v>43924</v>
      </c>
      <c r="B23" s="2760"/>
      <c r="C23" s="817" t="s">
        <v>7876</v>
      </c>
      <c r="D23" s="2701"/>
      <c r="E23" s="817" t="s">
        <v>7873</v>
      </c>
      <c r="F23" s="817">
        <v>1</v>
      </c>
      <c r="G23" s="817"/>
      <c r="H23" s="817"/>
      <c r="I23" s="817"/>
      <c r="J23" s="817"/>
      <c r="K23" s="817"/>
      <c r="L23" s="817"/>
      <c r="M23" s="817"/>
      <c r="N23" s="817"/>
      <c r="O23" s="817"/>
      <c r="P23" s="2828">
        <v>43925</v>
      </c>
      <c r="Q23" s="2828"/>
      <c r="R23" s="2829" t="s">
        <v>7874</v>
      </c>
      <c r="S23" s="2829"/>
      <c r="T23" s="2694">
        <v>0.54166666666666663</v>
      </c>
      <c r="U23" s="2694">
        <v>0.5625</v>
      </c>
      <c r="V23" s="2694">
        <v>0.5625</v>
      </c>
      <c r="W23" s="1809">
        <f>0.7*(8*12+20*2.7+65+30+15+30)</f>
        <v>203</v>
      </c>
      <c r="X23" s="817" t="s">
        <v>7875</v>
      </c>
      <c r="Y23" s="2772"/>
      <c r="Z23" s="817"/>
      <c r="AA23" s="817"/>
      <c r="AB23" s="817" t="s">
        <v>17</v>
      </c>
      <c r="AC23" s="817" t="s">
        <v>6053</v>
      </c>
      <c r="AD23" s="2696" t="s">
        <v>1710</v>
      </c>
      <c r="AF23" s="2662"/>
      <c r="AG23" s="2711"/>
    </row>
    <row r="24" spans="1:33" ht="43.5" hidden="1" x14ac:dyDescent="0.35">
      <c r="A24" s="2486">
        <v>43924</v>
      </c>
      <c r="B24" s="2718"/>
      <c r="C24" s="5" t="s">
        <v>7885</v>
      </c>
      <c r="D24" s="2701"/>
      <c r="E24" s="5" t="s">
        <v>7886</v>
      </c>
      <c r="F24" s="5">
        <v>1</v>
      </c>
      <c r="G24" s="5"/>
      <c r="H24" s="5"/>
      <c r="I24" s="5">
        <v>1</v>
      </c>
      <c r="J24" s="5"/>
      <c r="K24" s="5"/>
      <c r="L24" s="5"/>
      <c r="M24" s="5"/>
      <c r="N24" s="5"/>
      <c r="O24" s="5"/>
      <c r="P24" s="2486">
        <v>43925</v>
      </c>
      <c r="Q24" s="2486"/>
      <c r="R24" s="824" t="s">
        <v>7887</v>
      </c>
      <c r="S24" s="824"/>
      <c r="T24" s="6">
        <v>0.625</v>
      </c>
      <c r="U24" s="2694">
        <v>0.64583333333333337</v>
      </c>
      <c r="V24" s="2694">
        <v>0.64583333333333337</v>
      </c>
      <c r="W24" s="1956">
        <v>130</v>
      </c>
      <c r="X24" s="817" t="s">
        <v>7634</v>
      </c>
      <c r="Y24" s="2772"/>
      <c r="Z24" s="817"/>
      <c r="AA24" s="817"/>
      <c r="AB24" s="817" t="s">
        <v>17</v>
      </c>
      <c r="AC24" s="817" t="s">
        <v>7451</v>
      </c>
      <c r="AD24" s="2696" t="s">
        <v>1710</v>
      </c>
      <c r="AF24" s="2662"/>
      <c r="AG24" s="2711"/>
    </row>
    <row r="25" spans="1:33" ht="58" hidden="1" x14ac:dyDescent="0.35">
      <c r="A25" s="1899">
        <v>43922</v>
      </c>
      <c r="B25" s="2759"/>
      <c r="C25" s="7" t="s">
        <v>7719</v>
      </c>
      <c r="D25" s="2701"/>
      <c r="E25" s="7" t="s">
        <v>7720</v>
      </c>
      <c r="F25" s="7"/>
      <c r="G25" s="7"/>
      <c r="H25" s="7"/>
      <c r="I25" s="7"/>
      <c r="J25" s="7"/>
      <c r="K25" s="7"/>
      <c r="L25" s="7"/>
      <c r="M25" s="7"/>
      <c r="N25" s="7"/>
      <c r="O25" s="7"/>
      <c r="P25" s="1899">
        <v>43925</v>
      </c>
      <c r="Q25" s="1899"/>
      <c r="R25" s="881" t="s">
        <v>7721</v>
      </c>
      <c r="S25" s="881"/>
      <c r="T25" s="836">
        <v>0.42708333333333331</v>
      </c>
      <c r="U25" s="2694">
        <v>0.47916666666666669</v>
      </c>
      <c r="V25" s="2694">
        <v>0.47916666666666669</v>
      </c>
      <c r="W25" s="1956">
        <v>180</v>
      </c>
      <c r="X25" s="836" t="s">
        <v>7682</v>
      </c>
      <c r="Y25" s="2717"/>
      <c r="Z25" s="7"/>
      <c r="AA25" s="7"/>
      <c r="AB25" s="7" t="s">
        <v>17</v>
      </c>
      <c r="AC25" s="817" t="s">
        <v>6041</v>
      </c>
      <c r="AD25" s="2696" t="s">
        <v>1710</v>
      </c>
      <c r="AF25" s="2662"/>
      <c r="AG25" s="2711"/>
    </row>
    <row r="26" spans="1:33" ht="58" hidden="1" x14ac:dyDescent="0.35">
      <c r="A26" s="1899">
        <v>43923</v>
      </c>
      <c r="B26" s="2759"/>
      <c r="C26" s="7" t="s">
        <v>7666</v>
      </c>
      <c r="D26" s="2701"/>
      <c r="E26" s="7" t="s">
        <v>7783</v>
      </c>
      <c r="F26" s="7"/>
      <c r="G26" s="7"/>
      <c r="H26" s="7"/>
      <c r="I26" s="7"/>
      <c r="J26" s="7"/>
      <c r="K26" s="7"/>
      <c r="L26" s="7"/>
      <c r="M26" s="7"/>
      <c r="N26" s="7"/>
      <c r="O26" s="7"/>
      <c r="P26" s="1899">
        <v>43925</v>
      </c>
      <c r="Q26" s="1899"/>
      <c r="R26" s="881" t="s">
        <v>7668</v>
      </c>
      <c r="S26" s="881"/>
      <c r="T26" s="836">
        <v>0.42708333333333331</v>
      </c>
      <c r="U26" s="836">
        <v>0.5</v>
      </c>
      <c r="V26" s="836">
        <v>0.5</v>
      </c>
      <c r="W26" s="2121">
        <v>65</v>
      </c>
      <c r="X26" s="2694" t="s">
        <v>7784</v>
      </c>
      <c r="Y26" s="2772"/>
      <c r="Z26" s="817"/>
      <c r="AA26" s="817"/>
      <c r="AB26" s="817" t="s">
        <v>17</v>
      </c>
      <c r="AC26" s="817" t="s">
        <v>2084</v>
      </c>
      <c r="AD26" s="2696" t="s">
        <v>1710</v>
      </c>
      <c r="AF26" s="2662"/>
      <c r="AG26" s="2711"/>
    </row>
    <row r="27" spans="1:33" ht="377" hidden="1" x14ac:dyDescent="0.35">
      <c r="A27" s="2486">
        <v>43924</v>
      </c>
      <c r="B27" s="2718"/>
      <c r="C27" s="7" t="s">
        <v>7945</v>
      </c>
      <c r="D27" s="2701"/>
      <c r="E27" s="817" t="s">
        <v>7946</v>
      </c>
      <c r="F27" s="5"/>
      <c r="G27" s="5"/>
      <c r="H27" s="5"/>
      <c r="I27" s="5"/>
      <c r="J27" s="5"/>
      <c r="K27" s="5"/>
      <c r="L27" s="5"/>
      <c r="M27" s="5"/>
      <c r="N27" s="5"/>
      <c r="O27" s="5"/>
      <c r="P27" s="2486">
        <v>43925</v>
      </c>
      <c r="Q27" s="2486"/>
      <c r="R27" s="824" t="s">
        <v>2034</v>
      </c>
      <c r="S27" s="824"/>
      <c r="T27" s="6">
        <v>0.54166666666666663</v>
      </c>
      <c r="U27" s="2694">
        <v>0.58333333333333337</v>
      </c>
      <c r="V27" s="2694">
        <v>0.58333333333333337</v>
      </c>
      <c r="W27" s="1809">
        <v>0</v>
      </c>
      <c r="X27" s="817" t="s">
        <v>15</v>
      </c>
      <c r="Y27" s="2772"/>
      <c r="Z27" s="817"/>
      <c r="AA27" s="817"/>
      <c r="AB27" s="817" t="s">
        <v>15</v>
      </c>
      <c r="AC27" s="817" t="s">
        <v>15</v>
      </c>
      <c r="AD27" s="2696" t="s">
        <v>1710</v>
      </c>
      <c r="AF27" s="2662"/>
      <c r="AG27" s="2711"/>
    </row>
    <row r="28" spans="1:33" ht="29" hidden="1" x14ac:dyDescent="0.35">
      <c r="A28" s="2486">
        <v>43925</v>
      </c>
      <c r="B28" s="2718"/>
      <c r="C28" s="7" t="s">
        <v>8016</v>
      </c>
      <c r="D28" s="2701"/>
      <c r="E28" s="817" t="s">
        <v>8017</v>
      </c>
      <c r="F28" s="5"/>
      <c r="G28" s="5"/>
      <c r="H28" s="5"/>
      <c r="I28" s="5"/>
      <c r="J28" s="5"/>
      <c r="K28" s="5"/>
      <c r="L28" s="5"/>
      <c r="M28" s="5"/>
      <c r="N28" s="5"/>
      <c r="O28" s="5"/>
      <c r="P28" s="2486">
        <v>43926</v>
      </c>
      <c r="Q28" s="2486"/>
      <c r="R28" s="824" t="s">
        <v>8018</v>
      </c>
      <c r="S28" s="824"/>
      <c r="T28" s="6">
        <v>0.40625</v>
      </c>
      <c r="U28" s="2694">
        <v>0.52083333333333337</v>
      </c>
      <c r="V28" s="2694">
        <v>0.52083333333333337</v>
      </c>
      <c r="W28" s="1956">
        <v>93</v>
      </c>
      <c r="X28" s="817" t="s">
        <v>7634</v>
      </c>
      <c r="Y28" s="2772"/>
      <c r="Z28" s="817"/>
      <c r="AA28" s="817"/>
      <c r="AB28" s="817" t="s">
        <v>17</v>
      </c>
      <c r="AC28" s="817" t="s">
        <v>6041</v>
      </c>
      <c r="AD28" s="2696" t="s">
        <v>1710</v>
      </c>
      <c r="AF28" s="2662"/>
      <c r="AG28" s="2711"/>
    </row>
    <row r="29" spans="1:33" ht="101.5" hidden="1" x14ac:dyDescent="0.35">
      <c r="A29" s="1899">
        <v>43917</v>
      </c>
      <c r="B29" s="2759"/>
      <c r="C29" s="7" t="s">
        <v>7268</v>
      </c>
      <c r="D29" s="2701"/>
      <c r="E29" s="7" t="s">
        <v>8029</v>
      </c>
      <c r="F29" s="7"/>
      <c r="G29" s="7"/>
      <c r="H29" s="7"/>
      <c r="I29" s="7"/>
      <c r="J29" s="7"/>
      <c r="K29" s="7"/>
      <c r="L29" s="7"/>
      <c r="M29" s="7"/>
      <c r="N29" s="7"/>
      <c r="O29" s="7"/>
      <c r="P29" s="1899">
        <v>43926</v>
      </c>
      <c r="Q29" s="1899"/>
      <c r="R29" s="881" t="s">
        <v>7491</v>
      </c>
      <c r="S29" s="881"/>
      <c r="T29" s="836">
        <v>0.40625</v>
      </c>
      <c r="U29" s="836">
        <v>0.5</v>
      </c>
      <c r="V29" s="836">
        <v>0.5</v>
      </c>
      <c r="W29" s="1630">
        <f>150+10*2.5</f>
        <v>175</v>
      </c>
      <c r="X29" s="7" t="s">
        <v>7492</v>
      </c>
      <c r="Y29" s="2772"/>
      <c r="Z29" s="817"/>
      <c r="AA29" s="817"/>
      <c r="AB29" s="7" t="s">
        <v>17</v>
      </c>
      <c r="AC29" s="7" t="s">
        <v>6121</v>
      </c>
      <c r="AD29" s="2696" t="s">
        <v>1710</v>
      </c>
      <c r="AF29" s="2662"/>
      <c r="AG29" s="2711"/>
    </row>
    <row r="30" spans="1:33" ht="43.5" hidden="1" x14ac:dyDescent="0.35">
      <c r="A30" s="1899">
        <v>43921</v>
      </c>
      <c r="B30" s="2759"/>
      <c r="C30" s="7" t="s">
        <v>7609</v>
      </c>
      <c r="D30" s="2701"/>
      <c r="E30" s="7" t="s">
        <v>7610</v>
      </c>
      <c r="F30" s="7"/>
      <c r="G30" s="7"/>
      <c r="H30" s="7"/>
      <c r="I30" s="7"/>
      <c r="J30" s="7"/>
      <c r="K30" s="7"/>
      <c r="L30" s="7"/>
      <c r="M30" s="7"/>
      <c r="N30" s="7"/>
      <c r="O30" s="7"/>
      <c r="P30" s="1899">
        <v>43926</v>
      </c>
      <c r="Q30" s="1899"/>
      <c r="R30" s="881" t="s">
        <v>7611</v>
      </c>
      <c r="S30" s="881"/>
      <c r="T30" s="836">
        <v>0.40625</v>
      </c>
      <c r="U30" s="2694">
        <v>0.45833333333333331</v>
      </c>
      <c r="V30" s="2694">
        <v>0.45833333333333331</v>
      </c>
      <c r="W30" s="1956">
        <v>80</v>
      </c>
      <c r="X30" s="1430" t="s">
        <v>125</v>
      </c>
      <c r="Y30" s="2772"/>
      <c r="Z30" s="817"/>
      <c r="AA30" s="817"/>
      <c r="AB30" s="817" t="s">
        <v>974</v>
      </c>
      <c r="AC30" s="817" t="s">
        <v>6096</v>
      </c>
      <c r="AD30" s="2697" t="s">
        <v>1710</v>
      </c>
      <c r="AE30" s="1" t="s">
        <v>7665</v>
      </c>
      <c r="AG30" s="2711"/>
    </row>
    <row r="31" spans="1:33" ht="29" hidden="1" x14ac:dyDescent="0.35">
      <c r="A31" s="2486">
        <v>43925</v>
      </c>
      <c r="B31" s="2718"/>
      <c r="C31" s="7" t="s">
        <v>20</v>
      </c>
      <c r="D31" s="2701"/>
      <c r="E31" s="817" t="s">
        <v>8050</v>
      </c>
      <c r="F31" s="5"/>
      <c r="G31" s="5"/>
      <c r="H31" s="5"/>
      <c r="I31" s="5"/>
      <c r="J31" s="5"/>
      <c r="K31" s="5"/>
      <c r="L31" s="5"/>
      <c r="M31" s="5"/>
      <c r="N31" s="5"/>
      <c r="O31" s="5"/>
      <c r="P31" s="2486">
        <v>43926</v>
      </c>
      <c r="Q31" s="2486"/>
      <c r="R31" s="824" t="s">
        <v>15</v>
      </c>
      <c r="S31" s="824"/>
      <c r="T31" s="824" t="s">
        <v>15</v>
      </c>
      <c r="U31" s="824" t="s">
        <v>15</v>
      </c>
      <c r="V31" s="824" t="s">
        <v>15</v>
      </c>
      <c r="W31" s="824" t="s">
        <v>15</v>
      </c>
      <c r="X31" s="824" t="s">
        <v>15</v>
      </c>
      <c r="Y31" s="2679"/>
      <c r="Z31" s="824"/>
      <c r="AA31" s="824"/>
      <c r="AB31" s="824" t="s">
        <v>15</v>
      </c>
      <c r="AC31" s="824" t="s">
        <v>20</v>
      </c>
      <c r="AD31" s="2697" t="s">
        <v>1710</v>
      </c>
      <c r="AG31" s="2711"/>
    </row>
    <row r="32" spans="1:33" ht="58" hidden="1" x14ac:dyDescent="0.35">
      <c r="A32" s="2828">
        <v>43924</v>
      </c>
      <c r="B32" s="2760"/>
      <c r="C32" s="817" t="s">
        <v>7865</v>
      </c>
      <c r="D32" s="2701"/>
      <c r="E32" s="817" t="s">
        <v>7866</v>
      </c>
      <c r="F32" s="817"/>
      <c r="G32" s="817"/>
      <c r="H32" s="817"/>
      <c r="I32" s="817"/>
      <c r="J32" s="817"/>
      <c r="K32" s="817"/>
      <c r="L32" s="817"/>
      <c r="M32" s="817"/>
      <c r="N32" s="817"/>
      <c r="O32" s="817"/>
      <c r="P32" s="2828">
        <v>43926</v>
      </c>
      <c r="Q32" s="2828"/>
      <c r="R32" s="2829" t="s">
        <v>7867</v>
      </c>
      <c r="S32" s="2829"/>
      <c r="T32" s="2694">
        <v>0.40625</v>
      </c>
      <c r="U32" s="2694">
        <v>0.44791666666666669</v>
      </c>
      <c r="V32" s="2694">
        <v>0.44791666666666669</v>
      </c>
      <c r="W32" s="1956">
        <v>120</v>
      </c>
      <c r="X32" s="817" t="s">
        <v>7634</v>
      </c>
      <c r="Y32" s="2772"/>
      <c r="Z32" s="817"/>
      <c r="AA32" s="817"/>
      <c r="AB32" s="817" t="s">
        <v>17</v>
      </c>
      <c r="AC32" s="817" t="s">
        <v>6041</v>
      </c>
      <c r="AD32" s="2697" t="s">
        <v>1710</v>
      </c>
      <c r="AG32" s="2662"/>
    </row>
    <row r="33" spans="1:33" ht="87" hidden="1" x14ac:dyDescent="0.35">
      <c r="A33" s="2486">
        <v>43894</v>
      </c>
      <c r="B33" s="2718"/>
      <c r="C33" s="7" t="s">
        <v>126</v>
      </c>
      <c r="D33" s="2701"/>
      <c r="E33" s="817" t="s">
        <v>8061</v>
      </c>
      <c r="F33" s="2710"/>
      <c r="G33" s="2710"/>
      <c r="H33" s="2710"/>
      <c r="I33" s="2710"/>
      <c r="J33" s="2710"/>
      <c r="K33" s="2710"/>
      <c r="L33" s="2710"/>
      <c r="M33" s="2710"/>
      <c r="N33" s="2710"/>
      <c r="O33" s="2710"/>
      <c r="P33" s="2486">
        <v>43926</v>
      </c>
      <c r="Q33" s="2486"/>
      <c r="R33" s="824" t="s">
        <v>8057</v>
      </c>
      <c r="S33" s="824"/>
      <c r="T33" s="6">
        <v>0.40625</v>
      </c>
      <c r="U33" s="2647">
        <v>0.58333333333333337</v>
      </c>
      <c r="V33" s="2647">
        <v>0.58333333333333337</v>
      </c>
      <c r="W33" s="2648">
        <v>0</v>
      </c>
      <c r="X33" s="817" t="s">
        <v>8058</v>
      </c>
      <c r="Y33" s="2772"/>
      <c r="Z33" s="817"/>
      <c r="AA33" s="817"/>
      <c r="AB33" s="817" t="s">
        <v>8059</v>
      </c>
      <c r="AC33" s="817" t="s">
        <v>8060</v>
      </c>
      <c r="AD33" s="2697" t="s">
        <v>1710</v>
      </c>
      <c r="AG33" s="2711"/>
    </row>
    <row r="34" spans="1:33" ht="87" hidden="1" x14ac:dyDescent="0.35">
      <c r="A34" s="1899">
        <v>43922</v>
      </c>
      <c r="B34" s="2759"/>
      <c r="C34" s="7" t="s">
        <v>7670</v>
      </c>
      <c r="D34" s="2701"/>
      <c r="E34" s="7" t="s">
        <v>7676</v>
      </c>
      <c r="F34" s="7"/>
      <c r="G34" s="7"/>
      <c r="H34" s="7"/>
      <c r="I34" s="7"/>
      <c r="J34" s="7"/>
      <c r="K34" s="7"/>
      <c r="L34" s="7"/>
      <c r="M34" s="7"/>
      <c r="N34" s="7"/>
      <c r="O34" s="7"/>
      <c r="P34" s="1899">
        <v>43926</v>
      </c>
      <c r="Q34" s="1899"/>
      <c r="R34" s="881" t="s">
        <v>7669</v>
      </c>
      <c r="S34" s="881"/>
      <c r="T34" s="836">
        <v>0.40625</v>
      </c>
      <c r="U34" s="836">
        <v>0.47916666666666669</v>
      </c>
      <c r="V34" s="836">
        <v>0.47916666666666669</v>
      </c>
      <c r="W34" s="1630">
        <v>150</v>
      </c>
      <c r="X34" s="836" t="s">
        <v>7671</v>
      </c>
      <c r="Y34" s="2772"/>
      <c r="Z34" s="817"/>
      <c r="AA34" s="817"/>
      <c r="AB34" s="7" t="s">
        <v>17</v>
      </c>
      <c r="AC34" s="7" t="s">
        <v>2084</v>
      </c>
      <c r="AD34" s="2697" t="s">
        <v>1710</v>
      </c>
      <c r="AG34" s="2711"/>
    </row>
    <row r="35" spans="1:33" ht="101.5" hidden="1" x14ac:dyDescent="0.35">
      <c r="A35" s="1899">
        <v>43923</v>
      </c>
      <c r="B35" s="2759"/>
      <c r="C35" s="7" t="s">
        <v>7802</v>
      </c>
      <c r="D35" s="2701"/>
      <c r="E35" s="7" t="s">
        <v>7964</v>
      </c>
      <c r="F35" s="2713"/>
      <c r="G35" s="2713"/>
      <c r="H35" s="2713"/>
      <c r="I35" s="2713"/>
      <c r="J35" s="2713"/>
      <c r="K35" s="2713"/>
      <c r="L35" s="2713"/>
      <c r="M35" s="2713"/>
      <c r="N35" s="2713"/>
      <c r="O35" s="2713"/>
      <c r="P35" s="1899">
        <v>43926</v>
      </c>
      <c r="Q35" s="1899"/>
      <c r="R35" s="881" t="s">
        <v>7967</v>
      </c>
      <c r="S35" s="881"/>
      <c r="T35" s="836">
        <v>0.40625</v>
      </c>
      <c r="U35" s="2647">
        <v>0.4375</v>
      </c>
      <c r="V35" s="2647">
        <v>0.4375</v>
      </c>
      <c r="W35" s="2648">
        <v>0</v>
      </c>
      <c r="X35" s="2649" t="s">
        <v>7966</v>
      </c>
      <c r="Y35" s="2772"/>
      <c r="Z35" s="817"/>
      <c r="AA35" s="817"/>
      <c r="AB35" s="817" t="s">
        <v>22</v>
      </c>
      <c r="AC35" s="817" t="s">
        <v>2084</v>
      </c>
      <c r="AD35" s="2697" t="s">
        <v>1710</v>
      </c>
      <c r="AG35" s="2711"/>
    </row>
    <row r="36" spans="1:33" ht="130.5" hidden="1" x14ac:dyDescent="0.35">
      <c r="A36" s="1899">
        <v>43921</v>
      </c>
      <c r="B36" s="2759"/>
      <c r="C36" s="7" t="s">
        <v>8056</v>
      </c>
      <c r="D36" s="2701"/>
      <c r="E36" s="7" t="s">
        <v>7713</v>
      </c>
      <c r="F36" s="7"/>
      <c r="G36" s="7"/>
      <c r="H36" s="7"/>
      <c r="I36" s="7"/>
      <c r="J36" s="7"/>
      <c r="K36" s="7"/>
      <c r="L36" s="7"/>
      <c r="M36" s="7"/>
      <c r="N36" s="7"/>
      <c r="O36" s="7"/>
      <c r="P36" s="1899">
        <v>43926</v>
      </c>
      <c r="Q36" s="1899"/>
      <c r="R36" s="881" t="s">
        <v>7714</v>
      </c>
      <c r="S36" s="881"/>
      <c r="T36" s="836">
        <v>0.40625</v>
      </c>
      <c r="U36" s="2694">
        <v>0.54166666666666663</v>
      </c>
      <c r="V36" s="2694">
        <v>0.54166666666666663</v>
      </c>
      <c r="W36" s="1956">
        <v>150</v>
      </c>
      <c r="X36" s="817" t="s">
        <v>7715</v>
      </c>
      <c r="Y36" s="2772"/>
      <c r="Z36" s="817"/>
      <c r="AA36" s="817"/>
      <c r="AB36" s="817" t="s">
        <v>974</v>
      </c>
      <c r="AC36" s="817" t="s">
        <v>6096</v>
      </c>
      <c r="AD36" s="2697" t="s">
        <v>1710</v>
      </c>
      <c r="AG36" s="2711"/>
    </row>
    <row r="37" spans="1:33" ht="130.5" hidden="1" x14ac:dyDescent="0.35">
      <c r="A37" s="2486">
        <v>43925</v>
      </c>
      <c r="B37" s="2718"/>
      <c r="C37" s="7" t="s">
        <v>8002</v>
      </c>
      <c r="D37" s="2701"/>
      <c r="E37" s="817" t="s">
        <v>8000</v>
      </c>
      <c r="F37" s="5"/>
      <c r="G37" s="5"/>
      <c r="H37" s="5"/>
      <c r="I37" s="5"/>
      <c r="J37" s="5"/>
      <c r="K37" s="5"/>
      <c r="L37" s="5"/>
      <c r="M37" s="5"/>
      <c r="N37" s="5"/>
      <c r="O37" s="5"/>
      <c r="P37" s="2486">
        <v>43927</v>
      </c>
      <c r="Q37" s="2486"/>
      <c r="R37" s="824" t="s">
        <v>8001</v>
      </c>
      <c r="S37" s="824"/>
      <c r="T37" s="6">
        <v>0.4375</v>
      </c>
      <c r="U37" s="2694">
        <v>0.47916666666666669</v>
      </c>
      <c r="V37" s="2694">
        <v>0.47916666666666669</v>
      </c>
      <c r="W37" s="1956">
        <v>120</v>
      </c>
      <c r="X37" s="817" t="s">
        <v>7634</v>
      </c>
      <c r="Y37" s="2772"/>
      <c r="Z37" s="817"/>
      <c r="AA37" s="817"/>
      <c r="AB37" s="817" t="s">
        <v>17</v>
      </c>
      <c r="AC37" s="817" t="s">
        <v>6041</v>
      </c>
      <c r="AD37" s="2697" t="s">
        <v>1710</v>
      </c>
      <c r="AG37" s="2711"/>
    </row>
    <row r="38" spans="1:33" ht="43.5" hidden="1" x14ac:dyDescent="0.35">
      <c r="A38" s="2486">
        <v>43924</v>
      </c>
      <c r="B38" s="2718"/>
      <c r="C38" s="5" t="s">
        <v>7907</v>
      </c>
      <c r="D38" s="2701"/>
      <c r="E38" s="817" t="s">
        <v>7908</v>
      </c>
      <c r="F38" s="5"/>
      <c r="G38" s="5"/>
      <c r="H38" s="5">
        <v>1</v>
      </c>
      <c r="I38" s="5"/>
      <c r="J38" s="5">
        <v>1</v>
      </c>
      <c r="K38" s="5"/>
      <c r="L38" s="5"/>
      <c r="M38" s="5"/>
      <c r="N38" s="5"/>
      <c r="O38" s="5"/>
      <c r="P38" s="2486">
        <v>43927</v>
      </c>
      <c r="Q38" s="2486"/>
      <c r="R38" s="824" t="s">
        <v>7906</v>
      </c>
      <c r="S38" s="824"/>
      <c r="T38" s="6">
        <v>0.625</v>
      </c>
      <c r="U38" s="2694">
        <v>0.64583333333333337</v>
      </c>
      <c r="V38" s="2694">
        <v>0.64583333333333337</v>
      </c>
      <c r="W38" s="1809">
        <v>0</v>
      </c>
      <c r="X38" s="817" t="s">
        <v>7909</v>
      </c>
      <c r="Y38" s="2772"/>
      <c r="Z38" s="817"/>
      <c r="AA38" s="817"/>
      <c r="AB38" s="817" t="s">
        <v>17</v>
      </c>
      <c r="AC38" s="817" t="s">
        <v>6034</v>
      </c>
      <c r="AD38" s="2697" t="s">
        <v>1710</v>
      </c>
      <c r="AG38" s="2711"/>
    </row>
    <row r="39" spans="1:33" ht="29" hidden="1" x14ac:dyDescent="0.35">
      <c r="A39" s="2486">
        <v>43927</v>
      </c>
      <c r="B39" s="2718"/>
      <c r="C39" s="5" t="s">
        <v>8151</v>
      </c>
      <c r="D39" s="2701"/>
      <c r="E39" s="817" t="s">
        <v>8149</v>
      </c>
      <c r="F39" s="2714">
        <v>1</v>
      </c>
      <c r="G39" s="2714">
        <v>1</v>
      </c>
      <c r="H39" s="2714"/>
      <c r="I39" s="2714"/>
      <c r="J39" s="2714"/>
      <c r="K39" s="2714"/>
      <c r="L39" s="817"/>
      <c r="M39" s="817"/>
      <c r="N39" s="817"/>
      <c r="O39" s="817"/>
      <c r="P39" s="2486">
        <v>43927</v>
      </c>
      <c r="Q39" s="2486"/>
      <c r="R39" s="824" t="s">
        <v>8150</v>
      </c>
      <c r="S39" s="824"/>
      <c r="T39" s="6">
        <v>0.625</v>
      </c>
      <c r="U39" s="2654">
        <v>0.66666666666666663</v>
      </c>
      <c r="V39" s="2654">
        <v>0.66666666666666663</v>
      </c>
      <c r="W39" s="2655">
        <v>100</v>
      </c>
      <c r="X39" s="817" t="s">
        <v>8152</v>
      </c>
      <c r="Y39" s="2772"/>
      <c r="Z39" s="817"/>
      <c r="AA39" s="817"/>
      <c r="AB39" s="817" t="s">
        <v>17</v>
      </c>
      <c r="AC39" s="817" t="s">
        <v>2084</v>
      </c>
      <c r="AD39" s="2697" t="s">
        <v>1710</v>
      </c>
      <c r="AG39" s="2711"/>
    </row>
    <row r="40" spans="1:33" ht="43.5" hidden="1" x14ac:dyDescent="0.35">
      <c r="A40" s="1899">
        <v>43923</v>
      </c>
      <c r="B40" s="2759"/>
      <c r="C40" s="7" t="s">
        <v>7802</v>
      </c>
      <c r="D40" s="2701"/>
      <c r="E40" s="7" t="s">
        <v>7965</v>
      </c>
      <c r="F40" s="7"/>
      <c r="G40" s="7"/>
      <c r="H40" s="7"/>
      <c r="I40" s="7"/>
      <c r="J40" s="7"/>
      <c r="K40" s="7"/>
      <c r="L40" s="7"/>
      <c r="M40" s="7"/>
      <c r="N40" s="7"/>
      <c r="O40" s="7"/>
      <c r="P40" s="1899">
        <v>43927</v>
      </c>
      <c r="Q40" s="1899"/>
      <c r="R40" s="881" t="s">
        <v>7801</v>
      </c>
      <c r="S40" s="881"/>
      <c r="T40" s="836">
        <v>0.4375</v>
      </c>
      <c r="U40" s="2694">
        <v>0.45833333333333331</v>
      </c>
      <c r="V40" s="2694">
        <v>0.45833333333333331</v>
      </c>
      <c r="W40" s="1809">
        <v>0</v>
      </c>
      <c r="X40" s="2649" t="s">
        <v>7966</v>
      </c>
      <c r="Y40" s="2772"/>
      <c r="Z40" s="817"/>
      <c r="AA40" s="817"/>
      <c r="AB40" s="817" t="s">
        <v>974</v>
      </c>
      <c r="AC40" s="817" t="s">
        <v>6096</v>
      </c>
      <c r="AD40" s="2697" t="s">
        <v>1710</v>
      </c>
      <c r="AG40" s="2711"/>
    </row>
    <row r="41" spans="1:33" ht="29" hidden="1" x14ac:dyDescent="0.35">
      <c r="A41" s="2828">
        <v>43926</v>
      </c>
      <c r="B41" s="2760"/>
      <c r="C41" s="2828" t="s">
        <v>8091</v>
      </c>
      <c r="D41" s="2701"/>
      <c r="E41" s="817" t="s">
        <v>8092</v>
      </c>
      <c r="F41" s="5"/>
      <c r="G41" s="5"/>
      <c r="H41" s="5"/>
      <c r="I41" s="5"/>
      <c r="J41" s="5">
        <v>2</v>
      </c>
      <c r="K41" s="5"/>
      <c r="L41" s="5"/>
      <c r="M41" s="5"/>
      <c r="N41" s="5"/>
      <c r="O41" s="5"/>
      <c r="P41" s="2828">
        <v>43928</v>
      </c>
      <c r="Q41" s="2828"/>
      <c r="R41" s="2829" t="s">
        <v>8097</v>
      </c>
      <c r="S41" s="2829"/>
      <c r="T41" s="2694">
        <v>0.52083333333333337</v>
      </c>
      <c r="U41" s="2694">
        <v>0.59375</v>
      </c>
      <c r="V41" s="2694">
        <v>0.63541666666666663</v>
      </c>
      <c r="W41" s="1956">
        <v>180</v>
      </c>
      <c r="X41" s="817" t="s">
        <v>257</v>
      </c>
      <c r="Y41" s="2772"/>
      <c r="Z41" s="817"/>
      <c r="AA41" s="817"/>
      <c r="AB41" s="817" t="s">
        <v>17</v>
      </c>
      <c r="AC41" s="817" t="s">
        <v>7451</v>
      </c>
      <c r="AD41" s="2697" t="s">
        <v>1710</v>
      </c>
      <c r="AG41" s="2711"/>
    </row>
    <row r="42" spans="1:33" ht="72.5" hidden="1" x14ac:dyDescent="0.35">
      <c r="A42" s="2486">
        <v>43924</v>
      </c>
      <c r="B42" s="2718"/>
      <c r="C42" s="5" t="s">
        <v>5598</v>
      </c>
      <c r="D42" s="2701"/>
      <c r="E42" s="817" t="s">
        <v>7957</v>
      </c>
      <c r="F42" s="5"/>
      <c r="G42" s="5"/>
      <c r="H42" s="5"/>
      <c r="I42" s="5"/>
      <c r="J42" s="5"/>
      <c r="K42" s="5"/>
      <c r="L42" s="5"/>
      <c r="M42" s="5"/>
      <c r="N42" s="5"/>
      <c r="O42" s="5"/>
      <c r="P42" s="2486">
        <v>43928</v>
      </c>
      <c r="Q42" s="2486"/>
      <c r="R42" s="824" t="s">
        <v>7958</v>
      </c>
      <c r="S42" s="824"/>
      <c r="T42" s="6">
        <v>0.42708333333333331</v>
      </c>
      <c r="U42" s="2694">
        <v>0.52083333333333337</v>
      </c>
      <c r="V42" s="2694">
        <v>0.52083333333333337</v>
      </c>
      <c r="W42" s="1956">
        <v>180</v>
      </c>
      <c r="X42" s="817" t="s">
        <v>7959</v>
      </c>
      <c r="Y42" s="2772"/>
      <c r="Z42" s="817"/>
      <c r="AA42" s="817"/>
      <c r="AB42" s="817" t="s">
        <v>22</v>
      </c>
      <c r="AC42" s="817" t="s">
        <v>6096</v>
      </c>
      <c r="AD42" s="2697" t="s">
        <v>1710</v>
      </c>
      <c r="AG42" s="2711"/>
    </row>
    <row r="43" spans="1:33" ht="174" hidden="1" x14ac:dyDescent="0.35">
      <c r="A43" s="2828">
        <v>43927</v>
      </c>
      <c r="B43" s="2760"/>
      <c r="C43" s="817" t="s">
        <v>8197</v>
      </c>
      <c r="D43" s="2701"/>
      <c r="E43" s="817" t="s">
        <v>8198</v>
      </c>
      <c r="F43" s="5"/>
      <c r="G43" s="5"/>
      <c r="H43" s="5"/>
      <c r="I43" s="5"/>
      <c r="J43" s="5"/>
      <c r="K43" s="5"/>
      <c r="L43" s="817"/>
      <c r="M43" s="817"/>
      <c r="N43" s="817"/>
      <c r="O43" s="817"/>
      <c r="P43" s="2828">
        <v>43928</v>
      </c>
      <c r="Q43" s="2828"/>
      <c r="R43" s="2829" t="s">
        <v>8298</v>
      </c>
      <c r="S43" s="2829"/>
      <c r="T43" s="2694" t="s">
        <v>15</v>
      </c>
      <c r="U43" s="2694" t="s">
        <v>972</v>
      </c>
      <c r="V43" s="2694" t="s">
        <v>972</v>
      </c>
      <c r="W43" s="1956">
        <v>120</v>
      </c>
      <c r="X43" s="817" t="s">
        <v>8299</v>
      </c>
      <c r="Y43" s="2772"/>
      <c r="Z43" s="817"/>
      <c r="AA43" s="817"/>
      <c r="AB43" s="817" t="s">
        <v>17</v>
      </c>
      <c r="AC43" s="817" t="s">
        <v>6041</v>
      </c>
      <c r="AD43" s="2697" t="s">
        <v>1710</v>
      </c>
      <c r="AG43" s="2711"/>
    </row>
    <row r="44" spans="1:33" ht="43.5" hidden="1" x14ac:dyDescent="0.35">
      <c r="A44" s="2486">
        <v>43925</v>
      </c>
      <c r="B44" s="2718"/>
      <c r="C44" s="7" t="s">
        <v>8030</v>
      </c>
      <c r="D44" s="2701"/>
      <c r="E44" s="817" t="s">
        <v>8031</v>
      </c>
      <c r="F44" s="5">
        <v>1</v>
      </c>
      <c r="G44" s="5">
        <v>1</v>
      </c>
      <c r="H44" s="5"/>
      <c r="I44" s="5"/>
      <c r="J44" s="5"/>
      <c r="K44" s="5"/>
      <c r="L44" s="5"/>
      <c r="M44" s="5"/>
      <c r="N44" s="5"/>
      <c r="O44" s="5"/>
      <c r="P44" s="2486">
        <v>43928</v>
      </c>
      <c r="Q44" s="2486"/>
      <c r="R44" s="824" t="s">
        <v>8032</v>
      </c>
      <c r="S44" s="824"/>
      <c r="T44" s="6">
        <v>0.42708333333333331</v>
      </c>
      <c r="U44" s="2694">
        <v>0.47916666666666669</v>
      </c>
      <c r="V44" s="2694">
        <v>0.47916666666666669</v>
      </c>
      <c r="W44" s="1956">
        <v>105</v>
      </c>
      <c r="X44" s="817" t="s">
        <v>257</v>
      </c>
      <c r="Y44" s="2772"/>
      <c r="Z44" s="817"/>
      <c r="AA44" s="817"/>
      <c r="AB44" s="817" t="s">
        <v>17</v>
      </c>
      <c r="AC44" s="817" t="s">
        <v>7451</v>
      </c>
      <c r="AD44" s="2697" t="s">
        <v>1710</v>
      </c>
      <c r="AG44" s="2711"/>
    </row>
    <row r="45" spans="1:33" ht="159.5" hidden="1" x14ac:dyDescent="0.35">
      <c r="A45" s="2486">
        <v>43924</v>
      </c>
      <c r="B45" s="2718"/>
      <c r="C45" s="5" t="s">
        <v>8368</v>
      </c>
      <c r="D45" s="2701"/>
      <c r="E45" s="817" t="s">
        <v>8369</v>
      </c>
      <c r="F45" s="5"/>
      <c r="G45" s="5"/>
      <c r="H45" s="5"/>
      <c r="I45" s="5"/>
      <c r="J45" s="5"/>
      <c r="K45" s="5"/>
      <c r="L45" s="817"/>
      <c r="M45" s="817"/>
      <c r="N45" s="817"/>
      <c r="O45" s="817"/>
      <c r="P45" s="2486">
        <v>43928</v>
      </c>
      <c r="Q45" s="2486"/>
      <c r="R45" s="824" t="s">
        <v>1510</v>
      </c>
      <c r="S45" s="2829"/>
      <c r="T45" s="6">
        <v>0.42708333333333331</v>
      </c>
      <c r="U45" s="2694">
        <v>0.5</v>
      </c>
      <c r="V45" s="2694">
        <v>0.5</v>
      </c>
      <c r="W45" s="1809">
        <v>0</v>
      </c>
      <c r="X45" s="817" t="s">
        <v>15</v>
      </c>
      <c r="Y45" s="2772"/>
      <c r="Z45" s="817"/>
      <c r="AA45" s="817"/>
      <c r="AB45" s="817" t="s">
        <v>17</v>
      </c>
      <c r="AC45" s="817" t="s">
        <v>8060</v>
      </c>
      <c r="AD45" s="2697" t="s">
        <v>1710</v>
      </c>
      <c r="AG45" s="2711"/>
    </row>
    <row r="46" spans="1:33" ht="58" hidden="1" x14ac:dyDescent="0.35">
      <c r="A46" s="2146">
        <v>43925</v>
      </c>
      <c r="B46" s="2777"/>
      <c r="C46" s="1733" t="s">
        <v>8048</v>
      </c>
      <c r="D46" s="2701"/>
      <c r="E46" s="1850" t="s">
        <v>8049</v>
      </c>
      <c r="F46" s="5"/>
      <c r="G46" s="5"/>
      <c r="H46" s="5"/>
      <c r="I46" s="5"/>
      <c r="J46" s="5"/>
      <c r="K46" s="5"/>
      <c r="L46" s="5"/>
      <c r="M46" s="5"/>
      <c r="N46" s="5"/>
      <c r="O46" s="5"/>
      <c r="P46" s="2146">
        <v>43928</v>
      </c>
      <c r="Q46" s="2146"/>
      <c r="R46" s="2150" t="s">
        <v>5502</v>
      </c>
      <c r="S46" s="2150"/>
      <c r="T46" s="1756">
        <v>0.54166666666666663</v>
      </c>
      <c r="U46" s="2694">
        <v>0.54166666666666663</v>
      </c>
      <c r="V46" s="2694">
        <v>0.54166666666666663</v>
      </c>
      <c r="W46" s="1956">
        <v>240</v>
      </c>
      <c r="X46" s="817" t="s">
        <v>257</v>
      </c>
      <c r="Y46" s="2772"/>
      <c r="Z46" s="817"/>
      <c r="AA46" s="817"/>
      <c r="AB46" s="817" t="s">
        <v>17</v>
      </c>
      <c r="AC46" s="817" t="s">
        <v>2084</v>
      </c>
      <c r="AD46" s="2697" t="s">
        <v>1710</v>
      </c>
      <c r="AG46" s="2711"/>
    </row>
    <row r="47" spans="1:33" ht="43.5" hidden="1" x14ac:dyDescent="0.35">
      <c r="A47" s="1899">
        <v>43922</v>
      </c>
      <c r="B47" s="2759"/>
      <c r="C47" s="7" t="s">
        <v>7728</v>
      </c>
      <c r="D47" s="2701"/>
      <c r="E47" s="7" t="s">
        <v>7729</v>
      </c>
      <c r="F47" s="7"/>
      <c r="G47" s="7"/>
      <c r="H47" s="7"/>
      <c r="I47" s="7"/>
      <c r="J47" s="7"/>
      <c r="K47" s="7"/>
      <c r="L47" s="7"/>
      <c r="M47" s="7"/>
      <c r="N47" s="7"/>
      <c r="O47" s="7"/>
      <c r="P47" s="1899">
        <v>43928</v>
      </c>
      <c r="Q47" s="1899"/>
      <c r="R47" s="881" t="s">
        <v>7730</v>
      </c>
      <c r="S47" s="881"/>
      <c r="T47" s="836">
        <v>0.42708333333333331</v>
      </c>
      <c r="U47" s="2694">
        <v>0.45833333333333331</v>
      </c>
      <c r="V47" s="2694">
        <v>0.45833333333333331</v>
      </c>
      <c r="W47" s="1956">
        <v>180</v>
      </c>
      <c r="X47" s="2694" t="s">
        <v>257</v>
      </c>
      <c r="Y47" s="2772"/>
      <c r="Z47" s="817"/>
      <c r="AA47" s="817"/>
      <c r="AB47" s="817" t="s">
        <v>6046</v>
      </c>
      <c r="AC47" s="817" t="s">
        <v>6041</v>
      </c>
      <c r="AD47" s="2697" t="s">
        <v>1710</v>
      </c>
      <c r="AG47" s="2711"/>
    </row>
    <row r="48" spans="1:33" ht="101.5" hidden="1" x14ac:dyDescent="0.35">
      <c r="A48" s="2486">
        <v>43925</v>
      </c>
      <c r="B48" s="2718"/>
      <c r="C48" s="7" t="s">
        <v>8020</v>
      </c>
      <c r="D48" s="2701"/>
      <c r="E48" s="817" t="s">
        <v>8019</v>
      </c>
      <c r="F48" s="824"/>
      <c r="G48" s="5"/>
      <c r="H48" s="5"/>
      <c r="I48" s="5"/>
      <c r="J48" s="5"/>
      <c r="K48" s="5"/>
      <c r="L48" s="5"/>
      <c r="M48" s="5"/>
      <c r="N48" s="5"/>
      <c r="O48" s="5"/>
      <c r="P48" s="2486">
        <v>43928</v>
      </c>
      <c r="Q48" s="2486"/>
      <c r="R48" s="824" t="s">
        <v>8370</v>
      </c>
      <c r="S48" s="824"/>
      <c r="T48" s="6">
        <v>0.52083333333333337</v>
      </c>
      <c r="U48" s="2694">
        <v>0.54166666666666663</v>
      </c>
      <c r="V48" s="2694">
        <v>0.54166666666666663</v>
      </c>
      <c r="W48" s="1956">
        <v>199</v>
      </c>
      <c r="X48" s="817" t="s">
        <v>7634</v>
      </c>
      <c r="Y48" s="2772"/>
      <c r="Z48" s="817"/>
      <c r="AA48" s="817"/>
      <c r="AB48" s="817" t="s">
        <v>17</v>
      </c>
      <c r="AC48" s="817" t="s">
        <v>6041</v>
      </c>
      <c r="AD48" s="2697" t="s">
        <v>1710</v>
      </c>
      <c r="AG48" s="2711"/>
    </row>
    <row r="49" spans="1:34" ht="43.5" hidden="1" x14ac:dyDescent="0.35">
      <c r="A49" s="2828">
        <v>43928</v>
      </c>
      <c r="B49" s="2760"/>
      <c r="C49" s="817" t="s">
        <v>8365</v>
      </c>
      <c r="D49" s="2701"/>
      <c r="E49" s="817" t="s">
        <v>8367</v>
      </c>
      <c r="F49" s="2679"/>
      <c r="G49" s="5">
        <v>2</v>
      </c>
      <c r="H49" s="5"/>
      <c r="I49" s="5"/>
      <c r="J49" s="5"/>
      <c r="K49" s="5"/>
      <c r="L49" s="817"/>
      <c r="M49" s="817"/>
      <c r="N49" s="817"/>
      <c r="O49" s="817"/>
      <c r="P49" s="2828">
        <v>43928</v>
      </c>
      <c r="Q49" s="2828"/>
      <c r="R49" s="2829" t="s">
        <v>8366</v>
      </c>
      <c r="S49" s="2829"/>
      <c r="T49" s="2694">
        <v>0.52083333333333337</v>
      </c>
      <c r="U49" s="2694">
        <v>0.5625</v>
      </c>
      <c r="V49" s="2694">
        <v>0.5625</v>
      </c>
      <c r="W49" s="1956">
        <f>15*3+100</f>
        <v>145</v>
      </c>
      <c r="X49" s="817" t="s">
        <v>257</v>
      </c>
      <c r="Y49" s="2772"/>
      <c r="Z49" s="817"/>
      <c r="AA49" s="817"/>
      <c r="AB49" s="817" t="s">
        <v>17</v>
      </c>
      <c r="AC49" s="817" t="s">
        <v>7451</v>
      </c>
      <c r="AD49" s="2697" t="s">
        <v>1710</v>
      </c>
      <c r="AG49" s="2711"/>
    </row>
    <row r="50" spans="1:34" ht="72.5" hidden="1" x14ac:dyDescent="0.35">
      <c r="A50" s="1899">
        <v>43928</v>
      </c>
      <c r="B50" s="2759"/>
      <c r="C50" s="2828" t="s">
        <v>8540</v>
      </c>
      <c r="D50" s="2701"/>
      <c r="E50" s="817" t="s">
        <v>8539</v>
      </c>
      <c r="F50" s="2679">
        <v>1</v>
      </c>
      <c r="G50" s="5">
        <v>1</v>
      </c>
      <c r="H50" s="5"/>
      <c r="I50" s="5"/>
      <c r="J50" s="5"/>
      <c r="K50" s="5"/>
      <c r="L50" s="5"/>
      <c r="M50" s="5"/>
      <c r="N50" s="5"/>
      <c r="O50" s="5"/>
      <c r="P50" s="2769">
        <v>43929</v>
      </c>
      <c r="Q50" s="2769"/>
      <c r="R50" s="2770" t="s">
        <v>8097</v>
      </c>
      <c r="S50" s="881"/>
      <c r="T50" s="836">
        <v>0.54166666666666663</v>
      </c>
      <c r="U50" s="2694" t="s">
        <v>972</v>
      </c>
      <c r="V50" s="2694" t="s">
        <v>972</v>
      </c>
      <c r="W50" s="2691">
        <v>0</v>
      </c>
      <c r="X50" s="7" t="s">
        <v>8541</v>
      </c>
      <c r="Y50" s="2684"/>
      <c r="Z50" s="2661"/>
      <c r="AA50" s="2661"/>
      <c r="AB50" s="7" t="s">
        <v>22</v>
      </c>
      <c r="AC50" s="817" t="s">
        <v>7451</v>
      </c>
      <c r="AD50" s="2697" t="s">
        <v>1710</v>
      </c>
      <c r="AG50" s="2711"/>
    </row>
    <row r="51" spans="1:34" ht="43.5" hidden="1" x14ac:dyDescent="0.35">
      <c r="A51" s="2486">
        <v>43928</v>
      </c>
      <c r="B51" s="2718"/>
      <c r="C51" s="7" t="s">
        <v>8409</v>
      </c>
      <c r="D51" s="2701"/>
      <c r="E51" s="817" t="s">
        <v>8403</v>
      </c>
      <c r="F51" s="2678"/>
      <c r="G51" s="2669"/>
      <c r="H51" s="2669"/>
      <c r="I51" s="2669"/>
      <c r="J51" s="2669"/>
      <c r="K51" s="2669"/>
      <c r="L51" s="817"/>
      <c r="M51" s="817"/>
      <c r="N51" s="817"/>
      <c r="O51" s="817"/>
      <c r="P51" s="2486">
        <v>43929</v>
      </c>
      <c r="Q51" s="2486"/>
      <c r="R51" s="824" t="s">
        <v>8410</v>
      </c>
      <c r="S51" s="2829"/>
      <c r="T51" s="6">
        <v>0.39583333333333331</v>
      </c>
      <c r="U51" s="2672">
        <v>0.41666666666666669</v>
      </c>
      <c r="V51" s="2672">
        <v>0.41666666666666669</v>
      </c>
      <c r="W51" s="2659">
        <v>120</v>
      </c>
      <c r="X51" s="817" t="s">
        <v>257</v>
      </c>
      <c r="Y51" s="2772"/>
      <c r="Z51" s="817"/>
      <c r="AA51" s="817"/>
      <c r="AB51" s="817" t="s">
        <v>17</v>
      </c>
      <c r="AC51" s="817" t="s">
        <v>6041</v>
      </c>
      <c r="AD51" s="2697" t="s">
        <v>1710</v>
      </c>
      <c r="AG51" s="2711"/>
    </row>
    <row r="52" spans="1:34" ht="101.5" hidden="1" x14ac:dyDescent="0.35">
      <c r="A52" s="2486">
        <v>43925</v>
      </c>
      <c r="B52" s="2718"/>
      <c r="C52" s="7" t="s">
        <v>7993</v>
      </c>
      <c r="D52" s="2701"/>
      <c r="E52" s="817" t="s">
        <v>7994</v>
      </c>
      <c r="F52" s="5"/>
      <c r="G52" s="5"/>
      <c r="H52" s="5"/>
      <c r="I52" s="5"/>
      <c r="J52" s="5"/>
      <c r="K52" s="5"/>
      <c r="L52" s="5"/>
      <c r="M52" s="5"/>
      <c r="N52" s="5"/>
      <c r="O52" s="5"/>
      <c r="P52" s="2486">
        <v>43929</v>
      </c>
      <c r="Q52" s="2486"/>
      <c r="R52" s="824" t="s">
        <v>7995</v>
      </c>
      <c r="S52" s="824"/>
      <c r="T52" s="6">
        <v>0.39583333333333331</v>
      </c>
      <c r="U52" s="2694">
        <v>0.5</v>
      </c>
      <c r="V52" s="2694">
        <v>0.5</v>
      </c>
      <c r="W52" s="1956">
        <v>600</v>
      </c>
      <c r="X52" s="817" t="s">
        <v>7996</v>
      </c>
      <c r="Y52" s="2772"/>
      <c r="Z52" s="817"/>
      <c r="AA52" s="817"/>
      <c r="AB52" s="817" t="s">
        <v>17</v>
      </c>
      <c r="AC52" s="817" t="s">
        <v>6041</v>
      </c>
      <c r="AD52" s="2697" t="s">
        <v>1710</v>
      </c>
      <c r="AG52" s="2711"/>
    </row>
    <row r="53" spans="1:34" ht="43.5" hidden="1" x14ac:dyDescent="0.35">
      <c r="A53" s="2828">
        <v>43928</v>
      </c>
      <c r="B53" s="2760"/>
      <c r="C53" s="7" t="s">
        <v>20</v>
      </c>
      <c r="D53" s="2701"/>
      <c r="E53" s="817" t="s">
        <v>8528</v>
      </c>
      <c r="F53" s="2678"/>
      <c r="G53" s="2669"/>
      <c r="H53" s="2669"/>
      <c r="I53" s="2669"/>
      <c r="J53" s="2669"/>
      <c r="K53" s="2669"/>
      <c r="L53" s="817"/>
      <c r="M53" s="817"/>
      <c r="N53" s="817"/>
      <c r="O53" s="817"/>
      <c r="P53" s="2828">
        <v>43929</v>
      </c>
      <c r="Q53" s="2828"/>
      <c r="R53" s="881" t="s">
        <v>15</v>
      </c>
      <c r="S53" s="881"/>
      <c r="T53" s="881" t="s">
        <v>15</v>
      </c>
      <c r="U53" s="881" t="s">
        <v>15</v>
      </c>
      <c r="V53" s="881" t="s">
        <v>15</v>
      </c>
      <c r="W53" s="881" t="s">
        <v>15</v>
      </c>
      <c r="X53" s="881" t="s">
        <v>15</v>
      </c>
      <c r="Y53" s="2717"/>
      <c r="Z53" s="881"/>
      <c r="AA53" s="881"/>
      <c r="AB53" s="881" t="s">
        <v>15</v>
      </c>
      <c r="AC53" s="7" t="s">
        <v>20</v>
      </c>
      <c r="AD53" s="2697" t="s">
        <v>1710</v>
      </c>
      <c r="AG53" s="2711"/>
    </row>
    <row r="54" spans="1:34" ht="159.5" hidden="1" x14ac:dyDescent="0.35">
      <c r="A54" s="2486">
        <v>43924</v>
      </c>
      <c r="B54" s="2718"/>
      <c r="C54" s="5" t="s">
        <v>8368</v>
      </c>
      <c r="D54" s="2701"/>
      <c r="E54" s="817" t="s">
        <v>8619</v>
      </c>
      <c r="F54" s="5"/>
      <c r="G54" s="5"/>
      <c r="H54" s="5"/>
      <c r="I54" s="5"/>
      <c r="J54" s="5"/>
      <c r="K54" s="5"/>
      <c r="L54" s="817"/>
      <c r="M54" s="817"/>
      <c r="N54" s="817"/>
      <c r="O54" s="817"/>
      <c r="P54" s="2486">
        <v>43929</v>
      </c>
      <c r="Q54" s="2486"/>
      <c r="R54" s="824" t="s">
        <v>1510</v>
      </c>
      <c r="S54" s="2829"/>
      <c r="T54" s="6">
        <v>0.39583333333333331</v>
      </c>
      <c r="U54" s="2694">
        <v>0.47916666666666669</v>
      </c>
      <c r="V54" s="2694">
        <v>0.47916666666666669</v>
      </c>
      <c r="W54" s="1809">
        <v>0</v>
      </c>
      <c r="X54" s="817" t="s">
        <v>15</v>
      </c>
      <c r="Y54" s="2772"/>
      <c r="Z54" s="817"/>
      <c r="AA54" s="817"/>
      <c r="AB54" s="817" t="s">
        <v>17</v>
      </c>
      <c r="AC54" s="817" t="s">
        <v>8060</v>
      </c>
      <c r="AD54" s="2697" t="s">
        <v>1710</v>
      </c>
      <c r="AG54" s="2662"/>
    </row>
    <row r="55" spans="1:34" ht="43.5" hidden="1" x14ac:dyDescent="0.35">
      <c r="A55" s="1899">
        <v>43928</v>
      </c>
      <c r="B55" s="2759"/>
      <c r="C55" s="7" t="s">
        <v>4820</v>
      </c>
      <c r="D55" s="2701"/>
      <c r="E55" s="7" t="s">
        <v>8402</v>
      </c>
      <c r="F55" s="2684"/>
      <c r="G55" s="2661"/>
      <c r="H55" s="2661"/>
      <c r="I55" s="2661"/>
      <c r="J55" s="2661"/>
      <c r="K55" s="2661"/>
      <c r="L55" s="817"/>
      <c r="M55" s="817"/>
      <c r="N55" s="817"/>
      <c r="O55" s="817"/>
      <c r="P55" s="1899">
        <v>43929</v>
      </c>
      <c r="Q55" s="1899"/>
      <c r="R55" s="881" t="s">
        <v>8372</v>
      </c>
      <c r="S55" s="2829"/>
      <c r="T55" s="836">
        <v>0.39583333333333331</v>
      </c>
      <c r="U55" s="2672">
        <v>0.44791666666666669</v>
      </c>
      <c r="V55" s="2694" t="s">
        <v>8620</v>
      </c>
      <c r="W55" s="2660">
        <v>102</v>
      </c>
      <c r="X55" s="2694" t="s">
        <v>257</v>
      </c>
      <c r="Y55" s="2772"/>
      <c r="Z55" s="817"/>
      <c r="AA55" s="817"/>
      <c r="AB55" s="817" t="s">
        <v>17</v>
      </c>
      <c r="AC55" s="817" t="s">
        <v>2084</v>
      </c>
      <c r="AD55" s="2697" t="s">
        <v>1710</v>
      </c>
      <c r="AG55" s="2662"/>
    </row>
    <row r="56" spans="1:34" ht="145" hidden="1" x14ac:dyDescent="0.35">
      <c r="A56" s="1899">
        <v>43928</v>
      </c>
      <c r="B56" s="2759"/>
      <c r="C56" s="7" t="s">
        <v>8756</v>
      </c>
      <c r="D56" s="2701"/>
      <c r="E56" s="7" t="s">
        <v>8585</v>
      </c>
      <c r="F56" s="2679"/>
      <c r="G56" s="5"/>
      <c r="H56" s="5"/>
      <c r="I56" s="5"/>
      <c r="J56" s="5"/>
      <c r="K56" s="5"/>
      <c r="L56" s="817"/>
      <c r="M56" s="817"/>
      <c r="N56" s="817"/>
      <c r="O56" s="817"/>
      <c r="P56" s="1899">
        <v>43930</v>
      </c>
      <c r="Q56" s="1899"/>
      <c r="R56" s="881" t="s">
        <v>8613</v>
      </c>
      <c r="S56" s="824"/>
      <c r="T56" s="836">
        <v>0.39583333333333331</v>
      </c>
      <c r="U56" s="836">
        <v>0.4236111111111111</v>
      </c>
      <c r="V56" s="836">
        <v>0.4236111111111111</v>
      </c>
      <c r="W56" s="1630">
        <v>180</v>
      </c>
      <c r="X56" s="5" t="s">
        <v>8592</v>
      </c>
      <c r="Y56" s="2679"/>
      <c r="Z56" s="5"/>
      <c r="AA56" s="5"/>
      <c r="AB56" s="5" t="s">
        <v>17</v>
      </c>
      <c r="AC56" s="5" t="s">
        <v>6041</v>
      </c>
      <c r="AD56" s="2697" t="s">
        <v>1710</v>
      </c>
      <c r="AG56" s="2711"/>
    </row>
    <row r="57" spans="1:34" ht="130.5" hidden="1" x14ac:dyDescent="0.35">
      <c r="A57" s="1899">
        <v>43927</v>
      </c>
      <c r="B57" s="2759"/>
      <c r="C57" s="7" t="s">
        <v>8219</v>
      </c>
      <c r="D57" s="2701"/>
      <c r="E57" s="7" t="s">
        <v>8220</v>
      </c>
      <c r="F57" s="5"/>
      <c r="G57" s="5"/>
      <c r="H57" s="5"/>
      <c r="I57" s="5"/>
      <c r="J57" s="5"/>
      <c r="K57" s="5"/>
      <c r="L57" s="817"/>
      <c r="M57" s="817"/>
      <c r="N57" s="817"/>
      <c r="O57" s="817"/>
      <c r="P57" s="1899">
        <v>43930</v>
      </c>
      <c r="Q57" s="1899"/>
      <c r="R57" s="881" t="s">
        <v>8318</v>
      </c>
      <c r="S57" s="2829"/>
      <c r="T57" s="836">
        <v>0.39583333333333331</v>
      </c>
      <c r="U57" s="836">
        <v>0.47222222222222227</v>
      </c>
      <c r="V57" s="836">
        <v>0.47222222222222227</v>
      </c>
      <c r="W57" s="1956">
        <v>190</v>
      </c>
      <c r="X57" s="817" t="s">
        <v>8268</v>
      </c>
      <c r="Y57" s="2772"/>
      <c r="Z57" s="817"/>
      <c r="AA57" s="817"/>
      <c r="AB57" s="817" t="s">
        <v>17</v>
      </c>
      <c r="AC57" s="817" t="s">
        <v>6041</v>
      </c>
      <c r="AD57" s="2697" t="s">
        <v>1710</v>
      </c>
      <c r="AG57" s="2711"/>
    </row>
    <row r="58" spans="1:34" ht="72.5" hidden="1" x14ac:dyDescent="0.35">
      <c r="A58" s="1899">
        <v>43927</v>
      </c>
      <c r="B58" s="2759"/>
      <c r="C58" s="7" t="s">
        <v>8178</v>
      </c>
      <c r="D58" s="2701"/>
      <c r="E58" s="7" t="s">
        <v>8180</v>
      </c>
      <c r="F58" s="5"/>
      <c r="G58" s="5"/>
      <c r="H58" s="5"/>
      <c r="I58" s="5"/>
      <c r="J58" s="5"/>
      <c r="K58" s="5"/>
      <c r="L58" s="817"/>
      <c r="M58" s="817"/>
      <c r="N58" s="817"/>
      <c r="O58" s="817"/>
      <c r="P58" s="1899">
        <v>43930</v>
      </c>
      <c r="Q58" s="1899"/>
      <c r="R58" s="881" t="s">
        <v>8280</v>
      </c>
      <c r="S58" s="2770"/>
      <c r="T58" s="836">
        <v>0.39583333333333331</v>
      </c>
      <c r="U58" s="836">
        <v>0.52430555555555558</v>
      </c>
      <c r="V58" s="836">
        <v>0.52430555555555558</v>
      </c>
      <c r="W58" s="1809">
        <v>0</v>
      </c>
      <c r="X58" s="817" t="s">
        <v>8281</v>
      </c>
      <c r="Y58" s="2772"/>
      <c r="Z58" s="817"/>
      <c r="AA58" s="817"/>
      <c r="AB58" s="817" t="s">
        <v>17</v>
      </c>
      <c r="AC58" s="817" t="s">
        <v>7451</v>
      </c>
      <c r="AD58" s="2697" t="s">
        <v>1710</v>
      </c>
      <c r="AG58" s="2711"/>
    </row>
    <row r="59" spans="1:34" ht="29" hidden="1" x14ac:dyDescent="0.35">
      <c r="A59" s="1899">
        <v>43927</v>
      </c>
      <c r="B59" s="2759"/>
      <c r="C59" s="7" t="s">
        <v>8194</v>
      </c>
      <c r="D59" s="2701"/>
      <c r="E59" s="7" t="s">
        <v>8195</v>
      </c>
      <c r="F59" s="5"/>
      <c r="G59" s="5"/>
      <c r="H59" s="5"/>
      <c r="I59" s="5"/>
      <c r="J59" s="5"/>
      <c r="K59" s="5"/>
      <c r="L59" s="817"/>
      <c r="M59" s="817"/>
      <c r="N59" s="817"/>
      <c r="O59" s="817"/>
      <c r="P59" s="1899">
        <v>43930</v>
      </c>
      <c r="Q59" s="1899"/>
      <c r="R59" s="7" t="s">
        <v>8294</v>
      </c>
      <c r="S59" s="2829"/>
      <c r="T59" s="836">
        <v>0.39583333333333331</v>
      </c>
      <c r="U59" s="836">
        <v>0.51041666666666663</v>
      </c>
      <c r="V59" s="836">
        <v>0.51041666666666663</v>
      </c>
      <c r="W59" s="1956">
        <f>99*2</f>
        <v>198</v>
      </c>
      <c r="X59" s="817" t="s">
        <v>8295</v>
      </c>
      <c r="Y59" s="2772"/>
      <c r="Z59" s="817"/>
      <c r="AA59" s="817"/>
      <c r="AB59" s="817" t="s">
        <v>17</v>
      </c>
      <c r="AC59" s="817" t="s">
        <v>7451</v>
      </c>
      <c r="AD59" s="2697" t="s">
        <v>1710</v>
      </c>
      <c r="AG59" s="2711"/>
    </row>
    <row r="60" spans="1:34" ht="29" hidden="1" x14ac:dyDescent="0.35">
      <c r="A60" s="1899">
        <v>43925</v>
      </c>
      <c r="B60" s="2759"/>
      <c r="C60" s="7" t="s">
        <v>20</v>
      </c>
      <c r="D60" s="2699"/>
      <c r="E60" s="7" t="s">
        <v>8054</v>
      </c>
      <c r="F60" s="1850"/>
      <c r="G60" s="1850"/>
      <c r="H60" s="1850"/>
      <c r="I60" s="1850"/>
      <c r="J60" s="1850"/>
      <c r="K60" s="1850"/>
      <c r="L60" s="1850"/>
      <c r="M60" s="1850"/>
      <c r="N60" s="1850"/>
      <c r="O60" s="1850"/>
      <c r="P60" s="1899">
        <v>43930</v>
      </c>
      <c r="Q60" s="1899"/>
      <c r="R60" s="881" t="s">
        <v>15</v>
      </c>
      <c r="S60" s="881"/>
      <c r="T60" s="836" t="s">
        <v>15</v>
      </c>
      <c r="U60" s="881" t="s">
        <v>15</v>
      </c>
      <c r="V60" s="881" t="s">
        <v>15</v>
      </c>
      <c r="W60" s="881" t="s">
        <v>15</v>
      </c>
      <c r="X60" s="881" t="s">
        <v>15</v>
      </c>
      <c r="Y60" s="2717"/>
      <c r="Z60" s="881"/>
      <c r="AA60" s="881"/>
      <c r="AB60" s="881" t="s">
        <v>15</v>
      </c>
      <c r="AC60" s="7" t="s">
        <v>20</v>
      </c>
      <c r="AD60" s="2698"/>
      <c r="AG60" s="2711"/>
    </row>
    <row r="61" spans="1:34" ht="72.5" hidden="1" x14ac:dyDescent="0.35">
      <c r="A61" s="1899">
        <v>43928</v>
      </c>
      <c r="B61" s="2759"/>
      <c r="C61" s="1412" t="s">
        <v>7401</v>
      </c>
      <c r="D61" s="2701"/>
      <c r="E61" s="1412" t="s">
        <v>8529</v>
      </c>
      <c r="F61" s="2715"/>
      <c r="G61" s="2716"/>
      <c r="H61" s="2716"/>
      <c r="I61" s="2716"/>
      <c r="J61" s="2716"/>
      <c r="K61" s="2716"/>
      <c r="L61" s="817"/>
      <c r="M61" s="817"/>
      <c r="N61" s="817"/>
      <c r="O61" s="817"/>
      <c r="P61" s="1899">
        <v>43930</v>
      </c>
      <c r="Q61" s="1899"/>
      <c r="R61" s="1958" t="s">
        <v>7402</v>
      </c>
      <c r="S61" s="2770"/>
      <c r="T61" s="836">
        <v>0.39583333333333331</v>
      </c>
      <c r="U61" s="2694">
        <v>0.44791666666666669</v>
      </c>
      <c r="V61" s="2672">
        <v>0.44791666666666669</v>
      </c>
      <c r="W61" s="2660">
        <v>180</v>
      </c>
      <c r="X61" s="2829" t="s">
        <v>257</v>
      </c>
      <c r="Y61" s="2800"/>
      <c r="Z61" s="2673"/>
      <c r="AA61" s="2673"/>
      <c r="AB61" s="2829" t="s">
        <v>974</v>
      </c>
      <c r="AC61" s="817" t="s">
        <v>330</v>
      </c>
      <c r="AD61" s="2697" t="s">
        <v>1710</v>
      </c>
      <c r="AG61" s="2711"/>
    </row>
    <row r="62" spans="1:34" ht="29" hidden="1" x14ac:dyDescent="0.35">
      <c r="A62" s="1899">
        <v>43927</v>
      </c>
      <c r="B62" s="2759"/>
      <c r="C62" s="7" t="s">
        <v>8171</v>
      </c>
      <c r="D62" s="2701"/>
      <c r="E62" s="7" t="s">
        <v>7935</v>
      </c>
      <c r="F62" s="5">
        <v>1</v>
      </c>
      <c r="G62" s="5">
        <v>1</v>
      </c>
      <c r="H62" s="5"/>
      <c r="I62" s="5"/>
      <c r="J62" s="5"/>
      <c r="K62" s="5"/>
      <c r="L62" s="817"/>
      <c r="M62" s="817"/>
      <c r="N62" s="817"/>
      <c r="O62" s="817"/>
      <c r="P62" s="1899">
        <v>43930</v>
      </c>
      <c r="Q62" s="1899"/>
      <c r="R62" s="881" t="s">
        <v>8274</v>
      </c>
      <c r="S62" s="2770"/>
      <c r="T62" s="836">
        <v>0.39583333333333331</v>
      </c>
      <c r="U62" s="836">
        <v>0.49652777777777773</v>
      </c>
      <c r="V62" s="836">
        <v>0.49652777777777773</v>
      </c>
      <c r="W62" s="1956">
        <v>100</v>
      </c>
      <c r="X62" s="817" t="s">
        <v>257</v>
      </c>
      <c r="Y62" s="2772"/>
      <c r="Z62" s="817"/>
      <c r="AA62" s="817"/>
      <c r="AB62" s="817" t="s">
        <v>17</v>
      </c>
      <c r="AC62" s="817" t="s">
        <v>7451</v>
      </c>
      <c r="AD62" s="2697" t="s">
        <v>1710</v>
      </c>
      <c r="AG62" s="2711"/>
    </row>
    <row r="63" spans="1:34" ht="29" hidden="1" x14ac:dyDescent="0.35">
      <c r="A63" s="1899">
        <v>43927</v>
      </c>
      <c r="B63" s="2759"/>
      <c r="C63" s="7" t="s">
        <v>8159</v>
      </c>
      <c r="D63" s="2701"/>
      <c r="E63" s="7" t="s">
        <v>8160</v>
      </c>
      <c r="F63" s="5"/>
      <c r="G63" s="5"/>
      <c r="H63" s="5"/>
      <c r="I63" s="5"/>
      <c r="J63" s="5"/>
      <c r="K63" s="5"/>
      <c r="L63" s="817"/>
      <c r="M63" s="817"/>
      <c r="N63" s="817"/>
      <c r="O63" s="817"/>
      <c r="P63" s="1899">
        <v>43930</v>
      </c>
      <c r="Q63" s="1899"/>
      <c r="R63" s="881" t="s">
        <v>8266</v>
      </c>
      <c r="S63" s="2829"/>
      <c r="T63" s="836">
        <v>0.39583333333333331</v>
      </c>
      <c r="U63" s="836">
        <v>0.40972222222222227</v>
      </c>
      <c r="V63" s="836">
        <v>0.40972222222222227</v>
      </c>
      <c r="W63" s="1956">
        <f>180+99</f>
        <v>279</v>
      </c>
      <c r="X63" s="817" t="s">
        <v>257</v>
      </c>
      <c r="Y63" s="2772"/>
      <c r="Z63" s="817"/>
      <c r="AA63" s="817"/>
      <c r="AB63" s="817" t="s">
        <v>17</v>
      </c>
      <c r="AC63" s="817" t="s">
        <v>2084</v>
      </c>
      <c r="AD63" s="2697" t="s">
        <v>1710</v>
      </c>
      <c r="AG63" s="2711"/>
    </row>
    <row r="64" spans="1:34" ht="43.5" hidden="1" x14ac:dyDescent="0.35">
      <c r="A64" s="1899">
        <v>43928</v>
      </c>
      <c r="B64" s="2759"/>
      <c r="C64" s="7" t="s">
        <v>4054</v>
      </c>
      <c r="D64" s="2701"/>
      <c r="E64" s="7" t="s">
        <v>8526</v>
      </c>
      <c r="F64" s="2715">
        <v>2</v>
      </c>
      <c r="G64" s="2716">
        <v>2</v>
      </c>
      <c r="H64" s="2716"/>
      <c r="I64" s="2716"/>
      <c r="J64" s="2716"/>
      <c r="K64" s="2716"/>
      <c r="L64" s="817"/>
      <c r="M64" s="817"/>
      <c r="N64" s="817"/>
      <c r="O64" s="817"/>
      <c r="P64" s="1899">
        <v>43930</v>
      </c>
      <c r="Q64" s="1899"/>
      <c r="R64" s="881" t="s">
        <v>8527</v>
      </c>
      <c r="S64" s="2770"/>
      <c r="T64" s="836">
        <v>0.39583333333333331</v>
      </c>
      <c r="U64" s="836">
        <v>0.54166666666666663</v>
      </c>
      <c r="V64" s="2683">
        <v>0.54166666666666663</v>
      </c>
      <c r="W64" s="2723">
        <v>200</v>
      </c>
      <c r="X64" s="881" t="s">
        <v>257</v>
      </c>
      <c r="Y64" s="2800"/>
      <c r="Z64" s="2673"/>
      <c r="AA64" s="2673"/>
      <c r="AB64" s="2829" t="s">
        <v>974</v>
      </c>
      <c r="AC64" s="817" t="s">
        <v>7451</v>
      </c>
      <c r="AD64" s="2697" t="s">
        <v>1710</v>
      </c>
      <c r="AG64" s="2711"/>
      <c r="AH64" s="1" t="s">
        <v>9704</v>
      </c>
    </row>
    <row r="65" spans="1:35" ht="174" hidden="1" x14ac:dyDescent="0.35">
      <c r="A65" s="1899">
        <v>43929</v>
      </c>
      <c r="B65" s="2759"/>
      <c r="C65" s="7" t="s">
        <v>8747</v>
      </c>
      <c r="D65" s="2701"/>
      <c r="E65" s="7" t="s">
        <v>8745</v>
      </c>
      <c r="F65" s="2679"/>
      <c r="G65" s="5"/>
      <c r="H65" s="5"/>
      <c r="I65" s="5"/>
      <c r="J65" s="5"/>
      <c r="K65" s="5"/>
      <c r="L65" s="817"/>
      <c r="M65" s="817"/>
      <c r="N65" s="817"/>
      <c r="O65" s="817"/>
      <c r="P65" s="1899">
        <v>43930</v>
      </c>
      <c r="Q65" s="1899"/>
      <c r="R65" s="881" t="s">
        <v>49</v>
      </c>
      <c r="S65" s="2770"/>
      <c r="T65" s="836">
        <v>0.58333333333333337</v>
      </c>
      <c r="U65" s="836" t="s">
        <v>49</v>
      </c>
      <c r="V65" s="836" t="s">
        <v>49</v>
      </c>
      <c r="W65" s="1809">
        <f>80*3</f>
        <v>240</v>
      </c>
      <c r="X65" s="817" t="s">
        <v>8772</v>
      </c>
      <c r="Y65" s="2772"/>
      <c r="Z65" s="817"/>
      <c r="AA65" s="817"/>
      <c r="AB65" s="817" t="s">
        <v>216</v>
      </c>
      <c r="AC65" s="817" t="s">
        <v>6849</v>
      </c>
      <c r="AD65" s="2697" t="s">
        <v>1710</v>
      </c>
      <c r="AG65" s="2711"/>
    </row>
    <row r="66" spans="1:35" ht="174" hidden="1" x14ac:dyDescent="0.35">
      <c r="A66" s="1899">
        <v>43929</v>
      </c>
      <c r="B66" s="2759"/>
      <c r="C66" s="7" t="s">
        <v>8748</v>
      </c>
      <c r="D66" s="2701"/>
      <c r="E66" s="7" t="s">
        <v>8745</v>
      </c>
      <c r="F66" s="2679"/>
      <c r="G66" s="5"/>
      <c r="H66" s="5"/>
      <c r="I66" s="5"/>
      <c r="J66" s="5"/>
      <c r="K66" s="5"/>
      <c r="L66" s="817"/>
      <c r="M66" s="817"/>
      <c r="N66" s="817"/>
      <c r="O66" s="817"/>
      <c r="P66" s="1899">
        <v>43930</v>
      </c>
      <c r="Q66" s="1899"/>
      <c r="R66" s="881" t="s">
        <v>49</v>
      </c>
      <c r="S66" s="6" t="s">
        <v>15</v>
      </c>
      <c r="T66" s="836">
        <v>0.58333333333333337</v>
      </c>
      <c r="U66" s="836" t="s">
        <v>49</v>
      </c>
      <c r="V66" s="836" t="s">
        <v>49</v>
      </c>
      <c r="W66" s="1809">
        <v>0</v>
      </c>
      <c r="X66" s="817" t="s">
        <v>8746</v>
      </c>
      <c r="Y66" s="2772"/>
      <c r="Z66" s="817"/>
      <c r="AA66" s="817"/>
      <c r="AB66" s="817" t="s">
        <v>216</v>
      </c>
      <c r="AC66" s="817" t="s">
        <v>6849</v>
      </c>
      <c r="AD66" s="2697" t="s">
        <v>1710</v>
      </c>
      <c r="AG66" s="2711"/>
    </row>
    <row r="67" spans="1:35" ht="188.5" hidden="1" x14ac:dyDescent="0.35">
      <c r="A67" s="1899">
        <v>43929</v>
      </c>
      <c r="B67" s="2759"/>
      <c r="C67" s="7" t="s">
        <v>8749</v>
      </c>
      <c r="D67" s="2701"/>
      <c r="E67" s="7" t="s">
        <v>8745</v>
      </c>
      <c r="F67" s="2679"/>
      <c r="G67" s="5"/>
      <c r="H67" s="5"/>
      <c r="I67" s="5"/>
      <c r="J67" s="5"/>
      <c r="K67" s="5"/>
      <c r="L67" s="817"/>
      <c r="M67" s="817"/>
      <c r="N67" s="817"/>
      <c r="O67" s="817"/>
      <c r="P67" s="1899">
        <v>43930</v>
      </c>
      <c r="Q67" s="1899"/>
      <c r="R67" s="881" t="s">
        <v>49</v>
      </c>
      <c r="S67" s="6" t="s">
        <v>15</v>
      </c>
      <c r="T67" s="836">
        <v>0.58333333333333337</v>
      </c>
      <c r="U67" s="836" t="s">
        <v>49</v>
      </c>
      <c r="V67" s="836" t="s">
        <v>49</v>
      </c>
      <c r="W67" s="1809">
        <v>0</v>
      </c>
      <c r="X67" s="817" t="s">
        <v>8746</v>
      </c>
      <c r="Y67" s="2772"/>
      <c r="Z67" s="817"/>
      <c r="AA67" s="817"/>
      <c r="AB67" s="817" t="s">
        <v>216</v>
      </c>
      <c r="AC67" s="817" t="s">
        <v>6849</v>
      </c>
      <c r="AD67" s="2697" t="s">
        <v>1710</v>
      </c>
      <c r="AG67" s="2711"/>
    </row>
    <row r="68" spans="1:35" ht="43.5" hidden="1" x14ac:dyDescent="0.35">
      <c r="A68" s="1899">
        <v>43898</v>
      </c>
      <c r="B68" s="2759"/>
      <c r="C68" s="7" t="s">
        <v>7800</v>
      </c>
      <c r="D68" s="2696"/>
      <c r="E68" s="7" t="s">
        <v>8713</v>
      </c>
      <c r="F68" s="2685"/>
      <c r="G68" s="2685"/>
      <c r="H68" s="2685"/>
      <c r="I68" s="2685"/>
      <c r="J68" s="2685"/>
      <c r="K68" s="2685"/>
      <c r="L68" s="7"/>
      <c r="M68" s="7"/>
      <c r="N68" s="7"/>
      <c r="O68" s="7"/>
      <c r="P68" s="1899">
        <v>43931</v>
      </c>
      <c r="Q68" s="1899"/>
      <c r="R68" s="881" t="s">
        <v>7574</v>
      </c>
      <c r="S68" s="881"/>
      <c r="T68" s="836">
        <v>0.41666666666666669</v>
      </c>
      <c r="U68" s="836">
        <v>0.42708333333333331</v>
      </c>
      <c r="V68" s="836">
        <v>0.42708333333333331</v>
      </c>
      <c r="W68" s="1630">
        <f>1.2*90</f>
        <v>108</v>
      </c>
      <c r="X68" s="7" t="s">
        <v>8297</v>
      </c>
      <c r="Y68" s="2772"/>
      <c r="Z68" s="817"/>
      <c r="AA68" s="817"/>
      <c r="AB68" s="817" t="s">
        <v>17</v>
      </c>
      <c r="AC68" s="817" t="s">
        <v>2084</v>
      </c>
      <c r="AD68" s="2697" t="s">
        <v>1387</v>
      </c>
      <c r="AG68" s="2711"/>
    </row>
    <row r="69" spans="1:35" ht="29" hidden="1" x14ac:dyDescent="0.35">
      <c r="A69" s="2828">
        <v>43927</v>
      </c>
      <c r="B69" s="2760"/>
      <c r="C69" s="817" t="s">
        <v>8200</v>
      </c>
      <c r="D69" s="2699"/>
      <c r="E69" s="817" t="s">
        <v>7935</v>
      </c>
      <c r="F69" s="5">
        <v>1</v>
      </c>
      <c r="G69" s="5">
        <v>1</v>
      </c>
      <c r="H69" s="5"/>
      <c r="I69" s="5"/>
      <c r="J69" s="5"/>
      <c r="K69" s="5"/>
      <c r="L69" s="817"/>
      <c r="M69" s="817"/>
      <c r="N69" s="817"/>
      <c r="O69" s="817"/>
      <c r="P69" s="2828">
        <v>43931</v>
      </c>
      <c r="Q69" s="2828"/>
      <c r="R69" s="2829" t="s">
        <v>8301</v>
      </c>
      <c r="S69" s="2770"/>
      <c r="T69" s="2694">
        <v>0.41666666666666669</v>
      </c>
      <c r="U69" s="2694">
        <v>0.44444444444444442</v>
      </c>
      <c r="V69" s="2694">
        <v>0.44444444444444442</v>
      </c>
      <c r="W69" s="1956">
        <v>100</v>
      </c>
      <c r="X69" s="817" t="s">
        <v>257</v>
      </c>
      <c r="Y69" s="2772"/>
      <c r="Z69" s="817"/>
      <c r="AA69" s="817"/>
      <c r="AB69" s="817" t="s">
        <v>17</v>
      </c>
      <c r="AC69" s="817" t="s">
        <v>7451</v>
      </c>
      <c r="AD69" s="2698"/>
      <c r="AG69" s="2711"/>
    </row>
    <row r="70" spans="1:35" ht="116" hidden="1" x14ac:dyDescent="0.35">
      <c r="A70" s="2828">
        <v>43927</v>
      </c>
      <c r="B70" s="2760"/>
      <c r="C70" s="817" t="s">
        <v>8216</v>
      </c>
      <c r="D70" s="2699"/>
      <c r="E70" s="817" t="s">
        <v>8217</v>
      </c>
      <c r="F70" s="5"/>
      <c r="G70" s="5"/>
      <c r="H70" s="5"/>
      <c r="I70" s="5"/>
      <c r="J70" s="5"/>
      <c r="K70" s="5"/>
      <c r="L70" s="817"/>
      <c r="M70" s="817"/>
      <c r="N70" s="817"/>
      <c r="O70" s="817"/>
      <c r="P70" s="2828">
        <v>43931</v>
      </c>
      <c r="Q70" s="2828"/>
      <c r="R70" s="2829" t="s">
        <v>8316</v>
      </c>
      <c r="S70" s="2770"/>
      <c r="T70" s="2694">
        <v>0.41666666666666669</v>
      </c>
      <c r="U70" s="2694">
        <v>0.55555555555555558</v>
      </c>
      <c r="V70" s="2694">
        <v>0.55555555555555558</v>
      </c>
      <c r="W70" s="1956">
        <v>100</v>
      </c>
      <c r="X70" s="817" t="s">
        <v>10497</v>
      </c>
      <c r="Y70" s="2772"/>
      <c r="Z70" s="817"/>
      <c r="AA70" s="817"/>
      <c r="AB70" s="817" t="s">
        <v>17</v>
      </c>
      <c r="AC70" s="817" t="s">
        <v>6041</v>
      </c>
      <c r="AD70" s="2698"/>
      <c r="AG70" s="2711"/>
      <c r="AH70" s="1">
        <v>757692119</v>
      </c>
      <c r="AI70" s="1" t="s">
        <v>9705</v>
      </c>
    </row>
    <row r="71" spans="1:35" ht="87" hidden="1" x14ac:dyDescent="0.35">
      <c r="A71" s="2828">
        <v>43929</v>
      </c>
      <c r="B71" s="2760"/>
      <c r="C71" s="817" t="s">
        <v>6504</v>
      </c>
      <c r="D71" s="2695"/>
      <c r="E71" s="817" t="s">
        <v>8656</v>
      </c>
      <c r="F71" s="2692"/>
      <c r="G71" s="2692"/>
      <c r="H71" s="2692"/>
      <c r="I71" s="2692"/>
      <c r="J71" s="2692"/>
      <c r="K71" s="2692"/>
      <c r="L71" s="817"/>
      <c r="M71" s="817"/>
      <c r="N71" s="817"/>
      <c r="O71" s="817"/>
      <c r="P71" s="2828">
        <v>43931</v>
      </c>
      <c r="Q71" s="2828"/>
      <c r="R71" s="2829" t="s">
        <v>8652</v>
      </c>
      <c r="S71" s="2770"/>
      <c r="T71" s="2694">
        <v>0.41666666666666669</v>
      </c>
      <c r="U71" s="2694">
        <v>0.61805555555555558</v>
      </c>
      <c r="V71" s="2694">
        <v>0.61805555555555558</v>
      </c>
      <c r="W71" s="2681">
        <f>10*150/1000*120</f>
        <v>180</v>
      </c>
      <c r="X71" s="817" t="s">
        <v>8653</v>
      </c>
      <c r="Y71" s="2772"/>
      <c r="Z71" s="817"/>
      <c r="AA71" s="817"/>
      <c r="AB71" s="817" t="s">
        <v>17</v>
      </c>
      <c r="AC71" s="817" t="s">
        <v>6450</v>
      </c>
      <c r="AD71" s="2813"/>
      <c r="AG71" s="2711"/>
    </row>
    <row r="72" spans="1:35" ht="29" hidden="1" x14ac:dyDescent="0.35">
      <c r="A72" s="2486">
        <v>43930</v>
      </c>
      <c r="B72" s="2718"/>
      <c r="C72" s="5" t="s">
        <v>8875</v>
      </c>
      <c r="D72" s="2700"/>
      <c r="E72" s="7" t="s">
        <v>8876</v>
      </c>
      <c r="F72" s="2679"/>
      <c r="G72" s="5"/>
      <c r="H72" s="5"/>
      <c r="I72" s="5"/>
      <c r="J72" s="5"/>
      <c r="K72" s="5"/>
      <c r="L72" s="817"/>
      <c r="M72" s="817"/>
      <c r="N72" s="817"/>
      <c r="O72" s="817"/>
      <c r="P72" s="2486">
        <v>43931</v>
      </c>
      <c r="Q72" s="2486"/>
      <c r="R72" s="824" t="s">
        <v>5502</v>
      </c>
      <c r="S72" s="2770"/>
      <c r="T72" s="6">
        <v>0.75</v>
      </c>
      <c r="U72" s="2694">
        <v>0.75</v>
      </c>
      <c r="V72" s="2694">
        <v>0.75</v>
      </c>
      <c r="W72" s="1956">
        <f>1.5*80+70</f>
        <v>190</v>
      </c>
      <c r="X72" s="2694" t="s">
        <v>257</v>
      </c>
      <c r="Y72" s="2772"/>
      <c r="Z72" s="817"/>
      <c r="AA72" s="817"/>
      <c r="AB72" s="817" t="s">
        <v>17</v>
      </c>
      <c r="AC72" s="817" t="s">
        <v>5367</v>
      </c>
      <c r="AD72" s="2814"/>
      <c r="AG72" s="2711"/>
    </row>
    <row r="73" spans="1:35" ht="29" hidden="1" x14ac:dyDescent="0.35">
      <c r="A73" s="1899">
        <v>43930</v>
      </c>
      <c r="B73" s="2759"/>
      <c r="C73" s="7" t="s">
        <v>20</v>
      </c>
      <c r="D73" s="2701"/>
      <c r="E73" s="7" t="s">
        <v>8885</v>
      </c>
      <c r="F73" s="7"/>
      <c r="G73" s="7"/>
      <c r="H73" s="7"/>
      <c r="I73" s="7"/>
      <c r="J73" s="7"/>
      <c r="K73" s="7"/>
      <c r="L73" s="817"/>
      <c r="M73" s="817"/>
      <c r="N73" s="817"/>
      <c r="O73" s="817"/>
      <c r="P73" s="1899">
        <v>43931</v>
      </c>
      <c r="Q73" s="1899"/>
      <c r="R73" s="881" t="s">
        <v>20</v>
      </c>
      <c r="S73" s="2829"/>
      <c r="T73" s="881" t="s">
        <v>8986</v>
      </c>
      <c r="U73" s="881" t="s">
        <v>20</v>
      </c>
      <c r="V73" s="881" t="s">
        <v>20</v>
      </c>
      <c r="W73" s="1809">
        <v>0</v>
      </c>
      <c r="X73" s="881" t="s">
        <v>20</v>
      </c>
      <c r="Y73" s="2717"/>
      <c r="Z73" s="881"/>
      <c r="AA73" s="881"/>
      <c r="AB73" s="881" t="s">
        <v>17</v>
      </c>
      <c r="AC73" s="881" t="s">
        <v>20</v>
      </c>
      <c r="AD73" s="2815" t="s">
        <v>20</v>
      </c>
      <c r="AG73" s="2711"/>
    </row>
    <row r="74" spans="1:35" ht="58" hidden="1" x14ac:dyDescent="0.35">
      <c r="A74" s="2828">
        <v>43917</v>
      </c>
      <c r="B74" s="2760"/>
      <c r="C74" s="817" t="s">
        <v>20</v>
      </c>
      <c r="D74" s="2699"/>
      <c r="E74" s="817" t="s">
        <v>7481</v>
      </c>
      <c r="F74" s="817"/>
      <c r="G74" s="817"/>
      <c r="H74" s="817"/>
      <c r="I74" s="817"/>
      <c r="J74" s="817"/>
      <c r="K74" s="817"/>
      <c r="L74" s="817"/>
      <c r="M74" s="817"/>
      <c r="N74" s="817"/>
      <c r="O74" s="817"/>
      <c r="P74" s="2828">
        <v>43931</v>
      </c>
      <c r="Q74" s="2828"/>
      <c r="R74" s="2829" t="s">
        <v>20</v>
      </c>
      <c r="S74" s="2829"/>
      <c r="T74" s="836" t="s">
        <v>8986</v>
      </c>
      <c r="U74" s="836" t="s">
        <v>15</v>
      </c>
      <c r="V74" s="836" t="s">
        <v>15</v>
      </c>
      <c r="W74" s="1809">
        <v>0</v>
      </c>
      <c r="X74" s="836" t="s">
        <v>15</v>
      </c>
      <c r="Y74" s="2717"/>
      <c r="Z74" s="836"/>
      <c r="AA74" s="836"/>
      <c r="AB74" s="7" t="s">
        <v>17</v>
      </c>
      <c r="AC74" s="7" t="s">
        <v>20</v>
      </c>
      <c r="AD74" s="2699"/>
      <c r="AG74" s="2711"/>
    </row>
    <row r="75" spans="1:35" hidden="1" x14ac:dyDescent="0.35">
      <c r="A75" s="2486">
        <v>43923</v>
      </c>
      <c r="B75" s="2718"/>
      <c r="C75" s="5" t="s">
        <v>20</v>
      </c>
      <c r="D75" s="2699"/>
      <c r="E75" s="5" t="s">
        <v>7815</v>
      </c>
      <c r="F75" s="5"/>
      <c r="G75" s="5"/>
      <c r="H75" s="5"/>
      <c r="I75" s="5"/>
      <c r="J75" s="5"/>
      <c r="K75" s="5"/>
      <c r="L75" s="5"/>
      <c r="M75" s="5"/>
      <c r="N75" s="5"/>
      <c r="O75" s="5"/>
      <c r="P75" s="2486">
        <v>43931</v>
      </c>
      <c r="Q75" s="2486"/>
      <c r="R75" s="2829" t="s">
        <v>20</v>
      </c>
      <c r="S75" s="824"/>
      <c r="T75" s="881" t="s">
        <v>8986</v>
      </c>
      <c r="U75" s="824" t="s">
        <v>15</v>
      </c>
      <c r="V75" s="824" t="s">
        <v>15</v>
      </c>
      <c r="W75" s="824" t="s">
        <v>15</v>
      </c>
      <c r="X75" s="824" t="s">
        <v>15</v>
      </c>
      <c r="Y75" s="2679"/>
      <c r="Z75" s="824"/>
      <c r="AA75" s="824"/>
      <c r="AB75" s="824" t="s">
        <v>15</v>
      </c>
      <c r="AC75" s="824" t="s">
        <v>20</v>
      </c>
      <c r="AD75" s="2699"/>
      <c r="AG75" s="2711"/>
    </row>
    <row r="76" spans="1:35" ht="29" hidden="1" x14ac:dyDescent="0.35">
      <c r="A76" s="2486">
        <v>43923</v>
      </c>
      <c r="B76" s="2718"/>
      <c r="C76" s="5" t="s">
        <v>7797</v>
      </c>
      <c r="D76" s="2699"/>
      <c r="E76" s="5" t="s">
        <v>7798</v>
      </c>
      <c r="F76" s="5">
        <v>1</v>
      </c>
      <c r="G76" s="5">
        <v>1</v>
      </c>
      <c r="H76" s="5"/>
      <c r="I76" s="5"/>
      <c r="J76" s="5"/>
      <c r="K76" s="5"/>
      <c r="L76" s="5"/>
      <c r="M76" s="5"/>
      <c r="N76" s="5"/>
      <c r="O76" s="5"/>
      <c r="P76" s="2486">
        <v>43931</v>
      </c>
      <c r="Q76" s="2486"/>
      <c r="R76" s="824" t="s">
        <v>7795</v>
      </c>
      <c r="S76" s="824"/>
      <c r="T76" s="6">
        <v>0.41666666666666669</v>
      </c>
      <c r="U76" s="2694">
        <v>0.625</v>
      </c>
      <c r="V76" s="2694">
        <v>0.625</v>
      </c>
      <c r="W76" s="1956">
        <v>100</v>
      </c>
      <c r="X76" s="2694" t="s">
        <v>257</v>
      </c>
      <c r="Y76" s="2772"/>
      <c r="Z76" s="817"/>
      <c r="AA76" s="817"/>
      <c r="AB76" s="817" t="s">
        <v>17</v>
      </c>
      <c r="AC76" s="817" t="s">
        <v>7451</v>
      </c>
      <c r="AD76" s="2699"/>
      <c r="AG76" s="2711"/>
    </row>
    <row r="77" spans="1:35" ht="29" hidden="1" x14ac:dyDescent="0.35">
      <c r="A77" s="2486">
        <v>43930</v>
      </c>
      <c r="B77" s="2718"/>
      <c r="C77" s="5" t="s">
        <v>8804</v>
      </c>
      <c r="D77" s="2700"/>
      <c r="E77" s="7" t="s">
        <v>8622</v>
      </c>
      <c r="F77" s="2686">
        <v>1</v>
      </c>
      <c r="G77" s="2682">
        <v>1</v>
      </c>
      <c r="H77" s="2682"/>
      <c r="I77" s="2682"/>
      <c r="J77" s="2682"/>
      <c r="K77" s="2682"/>
      <c r="L77" s="817"/>
      <c r="M77" s="817"/>
      <c r="N77" s="817"/>
      <c r="O77" s="817"/>
      <c r="P77" s="2486">
        <v>43931</v>
      </c>
      <c r="Q77" s="2486"/>
      <c r="R77" s="824" t="s">
        <v>8805</v>
      </c>
      <c r="S77" s="2770"/>
      <c r="T77" s="6">
        <v>0.41666666666666669</v>
      </c>
      <c r="U77" s="2694">
        <v>0.53125</v>
      </c>
      <c r="V77" s="2694">
        <v>0.53125</v>
      </c>
      <c r="W77" s="1956">
        <v>100</v>
      </c>
      <c r="X77" s="836" t="s">
        <v>257</v>
      </c>
      <c r="Y77" s="2772"/>
      <c r="Z77" s="817"/>
      <c r="AA77" s="817"/>
      <c r="AB77" s="7" t="s">
        <v>17</v>
      </c>
      <c r="AC77" s="817" t="s">
        <v>7451</v>
      </c>
      <c r="AD77" s="2700"/>
      <c r="AG77" s="2711"/>
    </row>
    <row r="78" spans="1:35" ht="58" hidden="1" x14ac:dyDescent="0.35">
      <c r="A78" s="2769">
        <v>43930</v>
      </c>
      <c r="B78" s="2760"/>
      <c r="C78" s="817" t="s">
        <v>663</v>
      </c>
      <c r="D78" s="2695"/>
      <c r="E78" s="817" t="s">
        <v>8908</v>
      </c>
      <c r="F78" s="2682"/>
      <c r="G78" s="2682"/>
      <c r="H78" s="2682"/>
      <c r="I78" s="2682"/>
      <c r="J78" s="2682"/>
      <c r="K78" s="2682"/>
      <c r="L78" s="817"/>
      <c r="M78" s="817"/>
      <c r="N78" s="817"/>
      <c r="O78" s="817"/>
      <c r="P78" s="2769">
        <v>43931</v>
      </c>
      <c r="Q78" s="2769"/>
      <c r="R78" s="2770" t="s">
        <v>8909</v>
      </c>
      <c r="S78" s="2770"/>
      <c r="T78" s="2694">
        <v>0.41666666666666669</v>
      </c>
      <c r="U78" s="2694">
        <v>0.60069444444444442</v>
      </c>
      <c r="V78" s="2694">
        <v>0.60069444444444442</v>
      </c>
      <c r="W78" s="2681">
        <f>1.2*90</f>
        <v>108</v>
      </c>
      <c r="X78" s="817" t="s">
        <v>8910</v>
      </c>
      <c r="Y78" s="2772"/>
      <c r="Z78" s="817"/>
      <c r="AA78" s="817"/>
      <c r="AB78" s="817" t="s">
        <v>17</v>
      </c>
      <c r="AC78" s="817" t="s">
        <v>2084</v>
      </c>
      <c r="AD78" s="2695"/>
      <c r="AG78" s="2711"/>
    </row>
    <row r="79" spans="1:35" ht="174" hidden="1" x14ac:dyDescent="0.35">
      <c r="A79" s="2486">
        <v>43924</v>
      </c>
      <c r="B79" s="2718"/>
      <c r="C79" s="7" t="s">
        <v>6886</v>
      </c>
      <c r="D79" s="2699"/>
      <c r="E79" s="817" t="s">
        <v>7915</v>
      </c>
      <c r="F79" s="5"/>
      <c r="G79" s="5"/>
      <c r="H79" s="5"/>
      <c r="I79" s="5"/>
      <c r="J79" s="5"/>
      <c r="K79" s="5"/>
      <c r="L79" s="5"/>
      <c r="M79" s="5"/>
      <c r="N79" s="5"/>
      <c r="O79" s="5"/>
      <c r="P79" s="2486">
        <v>43931</v>
      </c>
      <c r="Q79" s="2486"/>
      <c r="R79" s="824" t="s">
        <v>7916</v>
      </c>
      <c r="S79" s="824"/>
      <c r="T79" s="6">
        <v>0.41666666666666669</v>
      </c>
      <c r="U79" s="2694">
        <v>0.51388888888888895</v>
      </c>
      <c r="V79" s="2694">
        <v>0.51388888888888895</v>
      </c>
      <c r="W79" s="1956">
        <v>80</v>
      </c>
      <c r="X79" s="817" t="s">
        <v>257</v>
      </c>
      <c r="Y79" s="2772"/>
      <c r="Z79" s="817"/>
      <c r="AA79" s="817"/>
      <c r="AB79" s="817" t="s">
        <v>17</v>
      </c>
      <c r="AC79" s="817" t="s">
        <v>6450</v>
      </c>
      <c r="AD79" s="2699"/>
      <c r="AG79" s="2711"/>
    </row>
    <row r="80" spans="1:35" ht="43.5" hidden="1" x14ac:dyDescent="0.35">
      <c r="A80" s="1899">
        <v>43928</v>
      </c>
      <c r="B80" s="2759"/>
      <c r="C80" s="7" t="s">
        <v>4820</v>
      </c>
      <c r="D80" s="2701"/>
      <c r="E80" s="7" t="s">
        <v>8371</v>
      </c>
      <c r="F80" s="2679"/>
      <c r="G80" s="2661"/>
      <c r="H80" s="2661"/>
      <c r="I80" s="2661"/>
      <c r="J80" s="2661"/>
      <c r="K80" s="2661"/>
      <c r="L80" s="817"/>
      <c r="M80" s="817"/>
      <c r="N80" s="817"/>
      <c r="O80" s="817"/>
      <c r="P80" s="1899">
        <v>43931</v>
      </c>
      <c r="Q80" s="1899"/>
      <c r="R80" s="881" t="s">
        <v>8372</v>
      </c>
      <c r="S80" s="2770"/>
      <c r="T80" s="836">
        <v>0.41666666666666669</v>
      </c>
      <c r="U80" s="2672">
        <v>0.58333333333333337</v>
      </c>
      <c r="V80" s="2672">
        <v>0.58333333333333337</v>
      </c>
      <c r="W80" s="2660">
        <v>105</v>
      </c>
      <c r="X80" s="2694" t="s">
        <v>8401</v>
      </c>
      <c r="Y80" s="2772"/>
      <c r="Z80" s="817"/>
      <c r="AA80" s="817"/>
      <c r="AB80" s="817" t="s">
        <v>17</v>
      </c>
      <c r="AC80" s="817" t="s">
        <v>2084</v>
      </c>
      <c r="AD80" s="2696" t="s">
        <v>1710</v>
      </c>
      <c r="AG80" s="2711"/>
    </row>
    <row r="81" spans="1:33" ht="43.5" hidden="1" x14ac:dyDescent="0.35">
      <c r="A81" s="2486">
        <v>43928</v>
      </c>
      <c r="B81" s="2718"/>
      <c r="C81" s="7" t="s">
        <v>8505</v>
      </c>
      <c r="D81" s="2701"/>
      <c r="E81" s="7" t="s">
        <v>8415</v>
      </c>
      <c r="F81" s="2679">
        <v>2</v>
      </c>
      <c r="G81" s="5">
        <v>2</v>
      </c>
      <c r="H81" s="5"/>
      <c r="I81" s="5"/>
      <c r="J81" s="5"/>
      <c r="K81" s="5"/>
      <c r="L81" s="817"/>
      <c r="M81" s="817"/>
      <c r="N81" s="817"/>
      <c r="O81" s="817"/>
      <c r="P81" s="2486">
        <v>43931</v>
      </c>
      <c r="Q81" s="2486"/>
      <c r="R81" s="824" t="s">
        <v>8506</v>
      </c>
      <c r="S81" s="2770"/>
      <c r="T81" s="6">
        <v>0.41666666666666669</v>
      </c>
      <c r="U81" s="2694">
        <v>0.48958333333333331</v>
      </c>
      <c r="V81" s="2694">
        <v>0.48958333333333331</v>
      </c>
      <c r="W81" s="1956">
        <v>200</v>
      </c>
      <c r="X81" s="836" t="s">
        <v>257</v>
      </c>
      <c r="Y81" s="2772"/>
      <c r="Z81" s="817"/>
      <c r="AA81" s="817"/>
      <c r="AB81" s="7" t="s">
        <v>17</v>
      </c>
      <c r="AC81" s="817" t="s">
        <v>7451</v>
      </c>
      <c r="AD81" s="2696" t="s">
        <v>1710</v>
      </c>
      <c r="AG81" s="2711"/>
    </row>
    <row r="82" spans="1:33" ht="43.5" hidden="1" x14ac:dyDescent="0.35">
      <c r="A82" s="2486">
        <v>43930</v>
      </c>
      <c r="B82" s="2718"/>
      <c r="C82" s="5" t="s">
        <v>8788</v>
      </c>
      <c r="D82" s="2700"/>
      <c r="E82" s="817" t="s">
        <v>8107</v>
      </c>
      <c r="F82" s="2686">
        <v>1</v>
      </c>
      <c r="G82" s="2682"/>
      <c r="H82" s="2682">
        <v>1</v>
      </c>
      <c r="I82" s="2682"/>
      <c r="J82" s="2682"/>
      <c r="K82" s="2682"/>
      <c r="L82" s="817"/>
      <c r="M82" s="817"/>
      <c r="N82" s="817"/>
      <c r="O82" s="817"/>
      <c r="P82" s="2486">
        <v>43931</v>
      </c>
      <c r="Q82" s="2486"/>
      <c r="R82" s="824" t="s">
        <v>8786</v>
      </c>
      <c r="S82" s="2829"/>
      <c r="T82" s="6">
        <v>0.41666666666666669</v>
      </c>
      <c r="U82" s="2694">
        <v>0.56944444444444442</v>
      </c>
      <c r="V82" s="2694">
        <v>0.56944444444444442</v>
      </c>
      <c r="W82" s="1956">
        <v>100</v>
      </c>
      <c r="X82" s="836" t="s">
        <v>257</v>
      </c>
      <c r="Y82" s="2772"/>
      <c r="Z82" s="817"/>
      <c r="AA82" s="817"/>
      <c r="AB82" s="7" t="s">
        <v>17</v>
      </c>
      <c r="AC82" s="817" t="s">
        <v>7451</v>
      </c>
      <c r="AD82" s="2814"/>
      <c r="AG82" s="2711"/>
    </row>
    <row r="83" spans="1:33" s="1592" customFormat="1" ht="72.5" hidden="1" x14ac:dyDescent="0.35">
      <c r="A83" s="2828">
        <v>43929</v>
      </c>
      <c r="B83" s="2760"/>
      <c r="C83" s="817" t="s">
        <v>8676</v>
      </c>
      <c r="D83" s="2700"/>
      <c r="E83" s="817" t="s">
        <v>8678</v>
      </c>
      <c r="F83" s="5">
        <v>1</v>
      </c>
      <c r="G83" s="5">
        <v>1</v>
      </c>
      <c r="H83" s="5"/>
      <c r="I83" s="5"/>
      <c r="J83" s="5"/>
      <c r="K83" s="5"/>
      <c r="L83" s="817"/>
      <c r="M83" s="817"/>
      <c r="N83" s="817"/>
      <c r="O83" s="817"/>
      <c r="P83" s="2828">
        <v>43931</v>
      </c>
      <c r="Q83" s="2828"/>
      <c r="R83" s="2829" t="s">
        <v>8677</v>
      </c>
      <c r="S83" s="2829"/>
      <c r="T83" s="2694">
        <v>0.41666666666666669</v>
      </c>
      <c r="U83" s="2694">
        <v>0.64583333333333337</v>
      </c>
      <c r="V83" s="2694">
        <v>0.64583333333333337</v>
      </c>
      <c r="W83" s="1956">
        <v>300</v>
      </c>
      <c r="X83" s="836" t="s">
        <v>8625</v>
      </c>
      <c r="Y83" s="2772"/>
      <c r="Z83" s="817"/>
      <c r="AA83" s="817"/>
      <c r="AB83" s="7" t="s">
        <v>17</v>
      </c>
      <c r="AC83" s="817" t="s">
        <v>7451</v>
      </c>
      <c r="AD83" s="2814"/>
      <c r="AG83" s="2662"/>
    </row>
    <row r="84" spans="1:33" ht="43.5" hidden="1" x14ac:dyDescent="0.35">
      <c r="A84" s="2486">
        <v>43930</v>
      </c>
      <c r="B84" s="2718"/>
      <c r="C84" s="5" t="s">
        <v>8871</v>
      </c>
      <c r="D84" s="2700"/>
      <c r="E84" s="7" t="s">
        <v>8872</v>
      </c>
      <c r="F84" s="2679"/>
      <c r="G84" s="5"/>
      <c r="H84" s="5"/>
      <c r="I84" s="5"/>
      <c r="J84" s="5"/>
      <c r="K84" s="5"/>
      <c r="L84" s="817"/>
      <c r="M84" s="817"/>
      <c r="N84" s="817"/>
      <c r="O84" s="817"/>
      <c r="P84" s="2486">
        <v>43931</v>
      </c>
      <c r="Q84" s="2486"/>
      <c r="R84" s="824" t="s">
        <v>8869</v>
      </c>
      <c r="S84" s="2770"/>
      <c r="T84" s="6">
        <v>0.41666666666666669</v>
      </c>
      <c r="U84" s="2694">
        <v>0.45833333333333331</v>
      </c>
      <c r="V84" s="2694">
        <v>0.45833333333333331</v>
      </c>
      <c r="W84" s="1956">
        <v>75</v>
      </c>
      <c r="X84" s="2694" t="s">
        <v>8870</v>
      </c>
      <c r="Y84" s="2772"/>
      <c r="Z84" s="817"/>
      <c r="AA84" s="817"/>
      <c r="AB84" s="817" t="s">
        <v>17</v>
      </c>
      <c r="AC84" s="817" t="s">
        <v>2084</v>
      </c>
      <c r="AD84" s="2814"/>
      <c r="AG84" s="2711"/>
    </row>
    <row r="85" spans="1:33" ht="116" hidden="1" x14ac:dyDescent="0.35">
      <c r="A85" s="1899">
        <v>43930</v>
      </c>
      <c r="B85" s="2759"/>
      <c r="C85" s="7" t="s">
        <v>8987</v>
      </c>
      <c r="D85" s="2701"/>
      <c r="E85" s="7" t="s">
        <v>8916</v>
      </c>
      <c r="F85" s="2717">
        <v>1</v>
      </c>
      <c r="G85" s="7">
        <v>1</v>
      </c>
      <c r="H85" s="7">
        <v>1</v>
      </c>
      <c r="I85" s="7">
        <v>1</v>
      </c>
      <c r="J85" s="7"/>
      <c r="K85" s="7"/>
      <c r="L85" s="7"/>
      <c r="M85" s="7"/>
      <c r="N85" s="7"/>
      <c r="O85" s="7"/>
      <c r="P85" s="1899">
        <v>43931</v>
      </c>
      <c r="Q85" s="1899"/>
      <c r="R85" s="881" t="s">
        <v>7801</v>
      </c>
      <c r="S85" s="881"/>
      <c r="T85" s="2694">
        <v>0.45833333333333331</v>
      </c>
      <c r="U85" s="2694">
        <v>0.45833333333333331</v>
      </c>
      <c r="V85" s="2694">
        <v>0.45833333333333331</v>
      </c>
      <c r="W85" s="1100">
        <v>0</v>
      </c>
      <c r="X85" s="7" t="s">
        <v>5716</v>
      </c>
      <c r="Y85" s="2772"/>
      <c r="Z85" s="817"/>
      <c r="AA85" s="817"/>
      <c r="AB85" s="7" t="s">
        <v>22</v>
      </c>
      <c r="AC85" s="7" t="s">
        <v>6096</v>
      </c>
      <c r="AD85" s="2815"/>
      <c r="AG85" s="2711"/>
    </row>
    <row r="86" spans="1:33" ht="174" hidden="1" x14ac:dyDescent="0.35">
      <c r="A86" s="2146">
        <v>43924</v>
      </c>
      <c r="B86" s="2777"/>
      <c r="C86" s="1733" t="s">
        <v>7950</v>
      </c>
      <c r="D86" s="2699"/>
      <c r="E86" s="1850" t="s">
        <v>7953</v>
      </c>
      <c r="F86" s="5"/>
      <c r="G86" s="5"/>
      <c r="H86" s="5"/>
      <c r="I86" s="5"/>
      <c r="J86" s="5"/>
      <c r="K86" s="5"/>
      <c r="L86" s="5"/>
      <c r="M86" s="5"/>
      <c r="N86" s="5"/>
      <c r="O86" s="5"/>
      <c r="P86" s="2146">
        <v>43932</v>
      </c>
      <c r="Q86" s="2146" t="s">
        <v>9454</v>
      </c>
      <c r="R86" s="2150" t="s">
        <v>7952</v>
      </c>
      <c r="S86" s="2150"/>
      <c r="T86" s="6">
        <v>0.41666666666666669</v>
      </c>
      <c r="U86" s="2694">
        <v>0.69791666666666663</v>
      </c>
      <c r="V86" s="2694">
        <v>0.69791666666666663</v>
      </c>
      <c r="W86" s="1956">
        <v>450</v>
      </c>
      <c r="X86" s="817" t="s">
        <v>10359</v>
      </c>
      <c r="Y86" s="2772"/>
      <c r="Z86" s="817"/>
      <c r="AA86" s="817"/>
      <c r="AB86" s="817" t="s">
        <v>17</v>
      </c>
      <c r="AC86" s="817" t="s">
        <v>2084</v>
      </c>
      <c r="AD86" s="2698"/>
      <c r="AG86" s="2711"/>
    </row>
    <row r="87" spans="1:33" ht="87" hidden="1" x14ac:dyDescent="0.35">
      <c r="A87" s="1899">
        <v>43931</v>
      </c>
      <c r="B87" s="2759"/>
      <c r="C87" s="7" t="s">
        <v>9393</v>
      </c>
      <c r="D87" s="2696"/>
      <c r="E87" s="7" t="s">
        <v>9394</v>
      </c>
      <c r="F87" s="7">
        <v>1</v>
      </c>
      <c r="G87" s="7"/>
      <c r="H87" s="7"/>
      <c r="I87" s="7"/>
      <c r="J87" s="7"/>
      <c r="K87" s="7"/>
      <c r="L87" s="817"/>
      <c r="M87" s="817"/>
      <c r="N87" s="817"/>
      <c r="O87" s="817"/>
      <c r="P87" s="1899">
        <v>43932</v>
      </c>
      <c r="Q87" s="1899" t="s">
        <v>9460</v>
      </c>
      <c r="R87" s="881" t="s">
        <v>9395</v>
      </c>
      <c r="S87" s="2770"/>
      <c r="T87" s="836">
        <v>0.60416666666666663</v>
      </c>
      <c r="U87" s="2694">
        <v>0.70833333333333337</v>
      </c>
      <c r="V87" s="2694">
        <v>0.70833333333333337</v>
      </c>
      <c r="W87" s="1809">
        <v>0</v>
      </c>
      <c r="X87" s="817" t="s">
        <v>9377</v>
      </c>
      <c r="Y87" s="2772"/>
      <c r="Z87" s="817"/>
      <c r="AA87" s="817"/>
      <c r="AB87" s="817" t="s">
        <v>17</v>
      </c>
      <c r="AC87" s="817" t="s">
        <v>6053</v>
      </c>
      <c r="AD87" s="2697"/>
      <c r="AG87" s="2711"/>
    </row>
    <row r="88" spans="1:33" ht="29" hidden="1" x14ac:dyDescent="0.35">
      <c r="A88" s="2828">
        <v>43927</v>
      </c>
      <c r="B88" s="2760"/>
      <c r="C88" s="817" t="s">
        <v>8249</v>
      </c>
      <c r="D88" s="2699"/>
      <c r="E88" s="817" t="s">
        <v>8136</v>
      </c>
      <c r="F88" s="5">
        <v>2</v>
      </c>
      <c r="G88" s="5">
        <v>2</v>
      </c>
      <c r="H88" s="5"/>
      <c r="I88" s="5"/>
      <c r="J88" s="5"/>
      <c r="K88" s="5"/>
      <c r="L88" s="817"/>
      <c r="M88" s="817"/>
      <c r="N88" s="817"/>
      <c r="O88" s="817"/>
      <c r="P88" s="2828">
        <v>43932</v>
      </c>
      <c r="Q88" s="2828" t="s">
        <v>9455</v>
      </c>
      <c r="R88" s="2829" t="s">
        <v>8340</v>
      </c>
      <c r="S88" s="2770"/>
      <c r="T88" s="836">
        <v>0.60416666666666663</v>
      </c>
      <c r="U88" s="2694">
        <v>0.64930555555555558</v>
      </c>
      <c r="V88" s="2694">
        <v>0.64930555555555558</v>
      </c>
      <c r="W88" s="1956">
        <v>200</v>
      </c>
      <c r="X88" s="817" t="s">
        <v>8268</v>
      </c>
      <c r="Y88" s="2772"/>
      <c r="Z88" s="817"/>
      <c r="AA88" s="817"/>
      <c r="AB88" s="817" t="s">
        <v>17</v>
      </c>
      <c r="AC88" s="817" t="s">
        <v>7451</v>
      </c>
      <c r="AD88" s="2698"/>
      <c r="AG88" s="2711"/>
    </row>
    <row r="89" spans="1:33" ht="72.5" hidden="1" x14ac:dyDescent="0.35">
      <c r="A89" s="2828">
        <v>43931</v>
      </c>
      <c r="B89" s="2760"/>
      <c r="C89" s="817" t="s">
        <v>9183</v>
      </c>
      <c r="D89" s="2700" t="s">
        <v>9182</v>
      </c>
      <c r="E89" s="7" t="s">
        <v>9184</v>
      </c>
      <c r="F89" s="2682"/>
      <c r="G89" s="2682"/>
      <c r="H89" s="2682"/>
      <c r="I89" s="2682"/>
      <c r="J89" s="2682"/>
      <c r="K89" s="2682"/>
      <c r="L89" s="817"/>
      <c r="M89" s="817"/>
      <c r="N89" s="817"/>
      <c r="O89" s="817"/>
      <c r="P89" s="2828">
        <v>43932</v>
      </c>
      <c r="Q89" s="2828" t="s">
        <v>9448</v>
      </c>
      <c r="R89" s="2829" t="s">
        <v>9185</v>
      </c>
      <c r="S89" s="2770"/>
      <c r="T89" s="6">
        <v>0.41666666666666669</v>
      </c>
      <c r="U89" s="2694">
        <v>0.66666666666666663</v>
      </c>
      <c r="V89" s="2694">
        <v>0.66666666666666663</v>
      </c>
      <c r="W89" s="2681">
        <v>80</v>
      </c>
      <c r="X89" s="817" t="s">
        <v>9178</v>
      </c>
      <c r="Y89" s="2772"/>
      <c r="Z89" s="817"/>
      <c r="AA89" s="817"/>
      <c r="AB89" s="817" t="s">
        <v>17</v>
      </c>
      <c r="AC89" s="817" t="s">
        <v>6041</v>
      </c>
      <c r="AD89" s="2814" t="s">
        <v>9182</v>
      </c>
      <c r="AG89" s="2711"/>
    </row>
    <row r="90" spans="1:33" ht="72.5" hidden="1" x14ac:dyDescent="0.35">
      <c r="A90" s="2486">
        <v>43929</v>
      </c>
      <c r="B90" s="2718"/>
      <c r="C90" s="5" t="s">
        <v>8706</v>
      </c>
      <c r="D90" s="2695"/>
      <c r="E90" s="5" t="s">
        <v>8707</v>
      </c>
      <c r="F90" s="2686">
        <v>1</v>
      </c>
      <c r="G90" s="2682">
        <v>1</v>
      </c>
      <c r="H90" s="2682"/>
      <c r="I90" s="2682"/>
      <c r="J90" s="2682"/>
      <c r="K90" s="2682"/>
      <c r="L90" s="817"/>
      <c r="M90" s="817"/>
      <c r="N90" s="817"/>
      <c r="O90" s="817"/>
      <c r="P90" s="2486">
        <v>43932</v>
      </c>
      <c r="Q90" s="2486" t="s">
        <v>9458</v>
      </c>
      <c r="R90" s="824" t="s">
        <v>8709</v>
      </c>
      <c r="S90" s="2770"/>
      <c r="T90" s="836">
        <v>0.60416666666666663</v>
      </c>
      <c r="U90" s="6">
        <v>0.74305555555555547</v>
      </c>
      <c r="V90" s="6">
        <v>0.74305555555555547</v>
      </c>
      <c r="W90" s="2681">
        <v>300</v>
      </c>
      <c r="X90" s="5" t="s">
        <v>8708</v>
      </c>
      <c r="Y90" s="2679"/>
      <c r="Z90" s="5"/>
      <c r="AA90" s="5"/>
      <c r="AB90" s="5" t="s">
        <v>17</v>
      </c>
      <c r="AC90" s="5" t="s">
        <v>7451</v>
      </c>
      <c r="AD90" s="2813"/>
      <c r="AG90" s="2711"/>
    </row>
    <row r="91" spans="1:33" ht="58" hidden="1" x14ac:dyDescent="0.35">
      <c r="A91" s="2828">
        <v>43931</v>
      </c>
      <c r="B91" s="2760"/>
      <c r="C91" s="817" t="s">
        <v>9175</v>
      </c>
      <c r="D91" s="2700" t="s">
        <v>9174</v>
      </c>
      <c r="E91" s="7" t="s">
        <v>9177</v>
      </c>
      <c r="F91" s="2682"/>
      <c r="G91" s="2682"/>
      <c r="H91" s="2682"/>
      <c r="I91" s="2682"/>
      <c r="J91" s="2682"/>
      <c r="K91" s="2682"/>
      <c r="L91" s="817"/>
      <c r="M91" s="817"/>
      <c r="N91" s="817"/>
      <c r="O91" s="817"/>
      <c r="P91" s="2828">
        <v>43932</v>
      </c>
      <c r="Q91" s="2828" t="s">
        <v>9449</v>
      </c>
      <c r="R91" s="2829" t="s">
        <v>9176</v>
      </c>
      <c r="S91" s="2770"/>
      <c r="T91" s="6">
        <v>0.41666666666666669</v>
      </c>
      <c r="U91" s="2694">
        <v>0.63888888888888895</v>
      </c>
      <c r="V91" s="2694">
        <v>0.63888888888888895</v>
      </c>
      <c r="W91" s="2681">
        <v>80</v>
      </c>
      <c r="X91" s="817" t="s">
        <v>9178</v>
      </c>
      <c r="Y91" s="2772"/>
      <c r="Z91" s="817"/>
      <c r="AA91" s="817"/>
      <c r="AB91" s="817" t="s">
        <v>17</v>
      </c>
      <c r="AC91" s="817" t="s">
        <v>2084</v>
      </c>
      <c r="AD91" s="2814" t="s">
        <v>9174</v>
      </c>
      <c r="AG91" s="2711"/>
    </row>
    <row r="92" spans="1:33" ht="72.5" hidden="1" x14ac:dyDescent="0.35">
      <c r="A92" s="2486">
        <v>43925</v>
      </c>
      <c r="B92" s="2718"/>
      <c r="C92" s="7" t="s">
        <v>8044</v>
      </c>
      <c r="D92" s="2701"/>
      <c r="E92" s="817" t="s">
        <v>8046</v>
      </c>
      <c r="F92" s="5"/>
      <c r="G92" s="5"/>
      <c r="H92" s="5"/>
      <c r="I92" s="5"/>
      <c r="J92" s="5"/>
      <c r="K92" s="5"/>
      <c r="L92" s="5"/>
      <c r="M92" s="5"/>
      <c r="N92" s="5"/>
      <c r="O92" s="5"/>
      <c r="P92" s="2486">
        <v>43932</v>
      </c>
      <c r="Q92" s="2486" t="s">
        <v>9440</v>
      </c>
      <c r="R92" s="824" t="s">
        <v>8045</v>
      </c>
      <c r="S92" s="824"/>
      <c r="T92" s="6">
        <v>0.41666666666666669</v>
      </c>
      <c r="U92" s="2694">
        <v>0.45833333333333331</v>
      </c>
      <c r="V92" s="2694">
        <v>0.45833333333333331</v>
      </c>
      <c r="W92" s="1956">
        <v>160</v>
      </c>
      <c r="X92" s="817" t="s">
        <v>257</v>
      </c>
      <c r="Y92" s="2772"/>
      <c r="Z92" s="817"/>
      <c r="AA92" s="817"/>
      <c r="AB92" s="817" t="s">
        <v>17</v>
      </c>
      <c r="AC92" s="817" t="s">
        <v>2084</v>
      </c>
      <c r="AD92" s="2697" t="s">
        <v>8773</v>
      </c>
      <c r="AG92" s="2711"/>
    </row>
    <row r="93" spans="1:33" ht="87" hidden="1" x14ac:dyDescent="0.35">
      <c r="A93" s="1808">
        <v>43930</v>
      </c>
      <c r="B93" s="2779"/>
      <c r="C93" s="10" t="s">
        <v>8883</v>
      </c>
      <c r="D93" s="2696"/>
      <c r="E93" s="10" t="s">
        <v>8891</v>
      </c>
      <c r="F93" s="7"/>
      <c r="G93" s="7"/>
      <c r="H93" s="7"/>
      <c r="I93" s="7"/>
      <c r="J93" s="7"/>
      <c r="K93" s="7"/>
      <c r="L93" s="817"/>
      <c r="M93" s="817"/>
      <c r="N93" s="817"/>
      <c r="O93" s="817"/>
      <c r="P93" s="1808">
        <v>43932</v>
      </c>
      <c r="Q93" s="1808" t="s">
        <v>9442</v>
      </c>
      <c r="R93" s="823" t="s">
        <v>8884</v>
      </c>
      <c r="S93" s="2829"/>
      <c r="T93" s="6">
        <v>0.41666666666666669</v>
      </c>
      <c r="U93" s="2694">
        <v>0.4201388888888889</v>
      </c>
      <c r="V93" s="2694">
        <v>0.4201388888888889</v>
      </c>
      <c r="W93" s="1956">
        <f>2*100+15</f>
        <v>215</v>
      </c>
      <c r="X93" s="817" t="s">
        <v>8892</v>
      </c>
      <c r="Y93" s="2772"/>
      <c r="Z93" s="817"/>
      <c r="AA93" s="817"/>
      <c r="AB93" s="817" t="s">
        <v>17</v>
      </c>
      <c r="AC93" s="817" t="s">
        <v>2084</v>
      </c>
      <c r="AD93" s="2697"/>
      <c r="AG93" s="2711"/>
    </row>
    <row r="94" spans="1:33" ht="43.5" hidden="1" x14ac:dyDescent="0.35">
      <c r="A94" s="2828">
        <v>43927</v>
      </c>
      <c r="B94" s="2760"/>
      <c r="C94" s="817" t="s">
        <v>8202</v>
      </c>
      <c r="D94" s="2699"/>
      <c r="E94" s="817" t="s">
        <v>8073</v>
      </c>
      <c r="F94" s="5">
        <v>1</v>
      </c>
      <c r="G94" s="5">
        <v>1</v>
      </c>
      <c r="H94" s="5"/>
      <c r="I94" s="5"/>
      <c r="J94" s="5"/>
      <c r="K94" s="5"/>
      <c r="L94" s="817"/>
      <c r="M94" s="817"/>
      <c r="N94" s="817"/>
      <c r="O94" s="817"/>
      <c r="P94" s="2828">
        <v>43932</v>
      </c>
      <c r="Q94" s="2828" t="s">
        <v>9452</v>
      </c>
      <c r="R94" s="2829" t="s">
        <v>8304</v>
      </c>
      <c r="S94" s="2770"/>
      <c r="T94" s="836">
        <v>0.60416666666666663</v>
      </c>
      <c r="U94" s="2694">
        <v>0.61458333333333337</v>
      </c>
      <c r="V94" s="2694">
        <v>0.61458333333333337</v>
      </c>
      <c r="W94" s="1956">
        <v>100</v>
      </c>
      <c r="X94" s="817" t="s">
        <v>257</v>
      </c>
      <c r="Y94" s="2772"/>
      <c r="Z94" s="2694"/>
      <c r="AA94" s="2694"/>
      <c r="AB94" s="817" t="s">
        <v>17</v>
      </c>
      <c r="AC94" s="817" t="s">
        <v>7451</v>
      </c>
      <c r="AD94" s="2698"/>
      <c r="AG94" s="2711"/>
    </row>
    <row r="95" spans="1:33" ht="101.5" hidden="1" x14ac:dyDescent="0.35">
      <c r="A95" s="1808">
        <v>43923</v>
      </c>
      <c r="B95" s="2779"/>
      <c r="C95" s="10" t="s">
        <v>7813</v>
      </c>
      <c r="D95" s="2699"/>
      <c r="E95" s="10" t="s">
        <v>7812</v>
      </c>
      <c r="F95" s="10"/>
      <c r="G95" s="10"/>
      <c r="H95" s="10"/>
      <c r="I95" s="10"/>
      <c r="J95" s="10"/>
      <c r="K95" s="10"/>
      <c r="L95" s="10"/>
      <c r="M95" s="10"/>
      <c r="N95" s="10"/>
      <c r="O95" s="10"/>
      <c r="P95" s="1808">
        <v>43932</v>
      </c>
      <c r="Q95" s="1808" t="s">
        <v>9443</v>
      </c>
      <c r="R95" s="823" t="s">
        <v>7814</v>
      </c>
      <c r="S95" s="823"/>
      <c r="T95" s="6">
        <v>0.41666666666666669</v>
      </c>
      <c r="U95" s="2694">
        <v>0.5</v>
      </c>
      <c r="V95" s="2694">
        <v>0.5</v>
      </c>
      <c r="W95" s="1956">
        <v>300</v>
      </c>
      <c r="X95" s="2694" t="s">
        <v>257</v>
      </c>
      <c r="Y95" s="2772"/>
      <c r="Z95" s="817"/>
      <c r="AA95" s="817"/>
      <c r="AB95" s="817" t="s">
        <v>17</v>
      </c>
      <c r="AC95" s="817" t="s">
        <v>2084</v>
      </c>
      <c r="AD95" s="2698"/>
      <c r="AG95" s="2711"/>
    </row>
    <row r="96" spans="1:33" ht="58" hidden="1" x14ac:dyDescent="0.35">
      <c r="A96" s="1999">
        <v>43927</v>
      </c>
      <c r="B96" s="2778"/>
      <c r="C96" s="1850" t="s">
        <v>8178</v>
      </c>
      <c r="D96" s="2701"/>
      <c r="E96" s="1850" t="s">
        <v>8179</v>
      </c>
      <c r="F96" s="5"/>
      <c r="G96" s="5"/>
      <c r="H96" s="5"/>
      <c r="I96" s="5"/>
      <c r="J96" s="5"/>
      <c r="K96" s="5"/>
      <c r="L96" s="817"/>
      <c r="M96" s="817"/>
      <c r="N96" s="817"/>
      <c r="O96" s="817"/>
      <c r="P96" s="1999">
        <v>43932</v>
      </c>
      <c r="Q96" s="1999" t="s">
        <v>9438</v>
      </c>
      <c r="R96" s="2000" t="s">
        <v>8279</v>
      </c>
      <c r="S96" s="2770"/>
      <c r="T96" s="6">
        <v>0.47916666666666669</v>
      </c>
      <c r="U96" s="2694">
        <v>0.5</v>
      </c>
      <c r="V96" s="2694">
        <v>0.5</v>
      </c>
      <c r="W96" s="1809">
        <f>3.2*80</f>
        <v>256</v>
      </c>
      <c r="X96" s="817" t="s">
        <v>8988</v>
      </c>
      <c r="Y96" s="2772"/>
      <c r="Z96" s="817"/>
      <c r="AA96" s="817"/>
      <c r="AB96" s="817" t="s">
        <v>17</v>
      </c>
      <c r="AC96" s="817" t="s">
        <v>2084</v>
      </c>
      <c r="AD96" s="2697" t="s">
        <v>8773</v>
      </c>
      <c r="AG96" s="2662"/>
    </row>
    <row r="97" spans="1:33" ht="58" hidden="1" x14ac:dyDescent="0.35">
      <c r="A97" s="2486">
        <v>43930</v>
      </c>
      <c r="B97" s="2718"/>
      <c r="C97" s="7" t="s">
        <v>6386</v>
      </c>
      <c r="D97" s="2696" t="s">
        <v>2254</v>
      </c>
      <c r="E97" s="817" t="s">
        <v>8915</v>
      </c>
      <c r="F97" s="2690">
        <v>1</v>
      </c>
      <c r="G97" s="2690"/>
      <c r="H97" s="2690"/>
      <c r="I97" s="2690"/>
      <c r="J97" s="2690"/>
      <c r="K97" s="2690"/>
      <c r="L97" s="2690"/>
      <c r="M97" s="2690"/>
      <c r="N97" s="2690"/>
      <c r="O97" s="2690"/>
      <c r="P97" s="2486">
        <v>43932</v>
      </c>
      <c r="Q97" s="2486" t="s">
        <v>9462</v>
      </c>
      <c r="R97" s="824" t="s">
        <v>8086</v>
      </c>
      <c r="S97" s="824"/>
      <c r="T97" s="6">
        <v>0.41666666666666669</v>
      </c>
      <c r="U97" s="2694">
        <v>0.52083333333333337</v>
      </c>
      <c r="V97" s="2694">
        <v>0.52083333333333337</v>
      </c>
      <c r="W97" s="2671">
        <v>210</v>
      </c>
      <c r="X97" s="1430" t="s">
        <v>8516</v>
      </c>
      <c r="Y97" s="2772"/>
      <c r="Z97" s="817"/>
      <c r="AA97" s="817"/>
      <c r="AB97" s="817" t="s">
        <v>974</v>
      </c>
      <c r="AC97" s="817" t="s">
        <v>6096</v>
      </c>
      <c r="AD97" s="2697" t="s">
        <v>2254</v>
      </c>
      <c r="AG97" s="2711"/>
    </row>
    <row r="98" spans="1:33" ht="58" hidden="1" x14ac:dyDescent="0.35">
      <c r="A98" s="2486">
        <v>43930</v>
      </c>
      <c r="B98" s="2718"/>
      <c r="C98" s="5" t="s">
        <v>8812</v>
      </c>
      <c r="D98" s="2700"/>
      <c r="E98" s="7" t="s">
        <v>8813</v>
      </c>
      <c r="F98" s="2686"/>
      <c r="G98" s="2682"/>
      <c r="H98" s="2682"/>
      <c r="I98" s="2682"/>
      <c r="J98" s="2682"/>
      <c r="K98" s="2682"/>
      <c r="L98" s="817"/>
      <c r="M98" s="817"/>
      <c r="N98" s="817"/>
      <c r="O98" s="817"/>
      <c r="P98" s="2486">
        <v>43932</v>
      </c>
      <c r="Q98" s="2486" t="s">
        <v>9434</v>
      </c>
      <c r="R98" s="824" t="s">
        <v>8814</v>
      </c>
      <c r="S98" s="2770"/>
      <c r="T98" s="6">
        <v>0.41666666666666669</v>
      </c>
      <c r="U98" s="2693">
        <v>0.4826388888888889</v>
      </c>
      <c r="V98" s="2693">
        <v>0.4826388888888889</v>
      </c>
      <c r="W98" s="2681">
        <v>180</v>
      </c>
      <c r="X98" s="836" t="s">
        <v>8625</v>
      </c>
      <c r="Y98" s="2772"/>
      <c r="Z98" s="817"/>
      <c r="AA98" s="817"/>
      <c r="AB98" s="7" t="s">
        <v>17</v>
      </c>
      <c r="AC98" s="817" t="s">
        <v>6041</v>
      </c>
      <c r="AD98" s="2814"/>
      <c r="AG98" s="2711"/>
    </row>
    <row r="99" spans="1:33" ht="43.5" hidden="1" x14ac:dyDescent="0.35">
      <c r="A99" s="1899">
        <v>43931</v>
      </c>
      <c r="B99" s="2759"/>
      <c r="C99" s="7" t="s">
        <v>8952</v>
      </c>
      <c r="D99" s="2696"/>
      <c r="E99" s="7" t="s">
        <v>9014</v>
      </c>
      <c r="F99" s="7"/>
      <c r="G99" s="7"/>
      <c r="H99" s="7"/>
      <c r="I99" s="7"/>
      <c r="J99" s="7"/>
      <c r="K99" s="7"/>
      <c r="L99" s="817"/>
      <c r="M99" s="817"/>
      <c r="N99" s="817"/>
      <c r="O99" s="817"/>
      <c r="P99" s="1899">
        <v>43932</v>
      </c>
      <c r="Q99" s="1899" t="s">
        <v>9459</v>
      </c>
      <c r="R99" s="881" t="s">
        <v>9013</v>
      </c>
      <c r="S99" s="2829"/>
      <c r="T99" s="6">
        <v>0.41666666666666669</v>
      </c>
      <c r="U99" s="2694">
        <v>0.57291666666666663</v>
      </c>
      <c r="V99" s="2694">
        <v>0.57291666666666663</v>
      </c>
      <c r="W99" s="1630">
        <f>1.2*80+75</f>
        <v>171</v>
      </c>
      <c r="X99" s="836" t="s">
        <v>257</v>
      </c>
      <c r="Y99" s="2772"/>
      <c r="Z99" s="817"/>
      <c r="AA99" s="817"/>
      <c r="AB99" s="7" t="s">
        <v>17</v>
      </c>
      <c r="AC99" s="817" t="s">
        <v>2084</v>
      </c>
      <c r="AD99" s="2696"/>
      <c r="AG99" s="2711"/>
    </row>
    <row r="100" spans="1:33" ht="87" hidden="1" x14ac:dyDescent="0.35">
      <c r="A100" s="2828">
        <v>43927</v>
      </c>
      <c r="B100" s="2760"/>
      <c r="C100" s="817" t="s">
        <v>8232</v>
      </c>
      <c r="D100" s="2699"/>
      <c r="E100" s="817" t="s">
        <v>8233</v>
      </c>
      <c r="F100" s="5"/>
      <c r="G100" s="5"/>
      <c r="H100" s="5"/>
      <c r="I100" s="5"/>
      <c r="J100" s="5"/>
      <c r="K100" s="5"/>
      <c r="L100" s="817"/>
      <c r="M100" s="817"/>
      <c r="N100" s="817"/>
      <c r="O100" s="817"/>
      <c r="P100" s="2828">
        <v>43932</v>
      </c>
      <c r="Q100" s="2828" t="s">
        <v>9436</v>
      </c>
      <c r="R100" s="2829" t="s">
        <v>8327</v>
      </c>
      <c r="S100" s="2770"/>
      <c r="T100" s="6">
        <v>0.41666666666666669</v>
      </c>
      <c r="U100" s="2694">
        <v>0.4375</v>
      </c>
      <c r="V100" s="2694">
        <v>0.4375</v>
      </c>
      <c r="W100" s="1956">
        <v>150</v>
      </c>
      <c r="X100" s="817" t="s">
        <v>257</v>
      </c>
      <c r="Y100" s="2772"/>
      <c r="Z100" s="817"/>
      <c r="AA100" s="817"/>
      <c r="AB100" s="817" t="s">
        <v>17</v>
      </c>
      <c r="AC100" s="817" t="s">
        <v>6041</v>
      </c>
      <c r="AD100" s="2699"/>
      <c r="AG100" s="2711"/>
    </row>
    <row r="101" spans="1:33" ht="58" hidden="1" x14ac:dyDescent="0.35">
      <c r="A101" s="1899">
        <v>43918</v>
      </c>
      <c r="B101" s="2759"/>
      <c r="C101" s="7" t="s">
        <v>7501</v>
      </c>
      <c r="D101" s="2699"/>
      <c r="E101" s="7" t="s">
        <v>7502</v>
      </c>
      <c r="F101" s="7"/>
      <c r="G101" s="7"/>
      <c r="H101" s="7"/>
      <c r="I101" s="7"/>
      <c r="J101" s="7"/>
      <c r="K101" s="7"/>
      <c r="L101" s="7"/>
      <c r="M101" s="7"/>
      <c r="N101" s="7"/>
      <c r="O101" s="7"/>
      <c r="P101" s="1899">
        <v>43932</v>
      </c>
      <c r="Q101" s="1899" t="s">
        <v>9444</v>
      </c>
      <c r="R101" s="881" t="s">
        <v>7503</v>
      </c>
      <c r="S101" s="881"/>
      <c r="T101" s="6">
        <v>0.41666666666666669</v>
      </c>
      <c r="U101" s="836">
        <v>0.75694444444444453</v>
      </c>
      <c r="V101" s="836">
        <v>0.75694444444444453</v>
      </c>
      <c r="W101" s="1630">
        <v>120</v>
      </c>
      <c r="X101" s="836" t="s">
        <v>257</v>
      </c>
      <c r="Y101" s="2772"/>
      <c r="Z101" s="817"/>
      <c r="AA101" s="817"/>
      <c r="AB101" s="7" t="s">
        <v>17</v>
      </c>
      <c r="AC101" s="7" t="s">
        <v>6041</v>
      </c>
      <c r="AD101" s="2699"/>
      <c r="AG101" s="2711"/>
    </row>
    <row r="102" spans="1:33" ht="29" hidden="1" x14ac:dyDescent="0.35">
      <c r="A102" s="2828">
        <v>43928</v>
      </c>
      <c r="B102" s="2760"/>
      <c r="C102" s="817" t="s">
        <v>8521</v>
      </c>
      <c r="D102" s="2696"/>
      <c r="E102" s="817" t="s">
        <v>8177</v>
      </c>
      <c r="F102" s="2679">
        <v>2</v>
      </c>
      <c r="G102" s="5">
        <v>2</v>
      </c>
      <c r="H102" s="5"/>
      <c r="I102" s="5"/>
      <c r="J102" s="5"/>
      <c r="K102" s="5"/>
      <c r="L102" s="817"/>
      <c r="M102" s="817"/>
      <c r="N102" s="817"/>
      <c r="O102" s="817"/>
      <c r="P102" s="2828">
        <v>43932</v>
      </c>
      <c r="Q102" s="2828" t="s">
        <v>9461</v>
      </c>
      <c r="R102" s="2829" t="s">
        <v>8522</v>
      </c>
      <c r="S102" s="2829"/>
      <c r="T102" s="836">
        <v>0.60416666666666663</v>
      </c>
      <c r="U102" s="2694">
        <v>0.77430555555555547</v>
      </c>
      <c r="V102" s="2694">
        <v>0.77430555555555547</v>
      </c>
      <c r="W102" s="1956">
        <v>200</v>
      </c>
      <c r="X102" s="817" t="s">
        <v>257</v>
      </c>
      <c r="Y102" s="2772"/>
      <c r="Z102" s="817"/>
      <c r="AA102" s="817"/>
      <c r="AB102" s="817" t="s">
        <v>22</v>
      </c>
      <c r="AC102" s="817" t="s">
        <v>7451</v>
      </c>
      <c r="AD102" s="2696"/>
      <c r="AG102" s="2711"/>
    </row>
    <row r="103" spans="1:33" ht="43.5" hidden="1" x14ac:dyDescent="0.35">
      <c r="A103" s="2828">
        <v>43931</v>
      </c>
      <c r="B103" s="2760"/>
      <c r="C103" s="817" t="s">
        <v>9105</v>
      </c>
      <c r="D103" s="2700" t="s">
        <v>9104</v>
      </c>
      <c r="E103" s="7" t="s">
        <v>9464</v>
      </c>
      <c r="F103" s="2682">
        <v>1</v>
      </c>
      <c r="G103" s="2682"/>
      <c r="H103" s="2682"/>
      <c r="I103" s="2682"/>
      <c r="J103" s="2682"/>
      <c r="K103" s="2682"/>
      <c r="L103" s="817"/>
      <c r="M103" s="817"/>
      <c r="N103" s="817"/>
      <c r="O103" s="817"/>
      <c r="P103" s="2828">
        <v>43932</v>
      </c>
      <c r="Q103" s="2828" t="s">
        <v>9450</v>
      </c>
      <c r="R103" s="2829" t="s">
        <v>9106</v>
      </c>
      <c r="S103" s="2770"/>
      <c r="T103" s="836">
        <v>0.60416666666666663</v>
      </c>
      <c r="U103" s="2694">
        <v>0.76041666666666663</v>
      </c>
      <c r="V103" s="2694">
        <v>0.76041666666666663</v>
      </c>
      <c r="W103" s="1956">
        <v>110</v>
      </c>
      <c r="X103" s="817" t="s">
        <v>8625</v>
      </c>
      <c r="Y103" s="2772"/>
      <c r="Z103" s="817"/>
      <c r="AA103" s="817"/>
      <c r="AB103" s="817" t="s">
        <v>17</v>
      </c>
      <c r="AC103" s="817" t="s">
        <v>6041</v>
      </c>
      <c r="AD103" s="2700" t="s">
        <v>9104</v>
      </c>
      <c r="AG103" s="2711"/>
    </row>
    <row r="104" spans="1:33" ht="43.5" hidden="1" x14ac:dyDescent="0.35">
      <c r="A104" s="2828">
        <v>43931</v>
      </c>
      <c r="B104" s="2760"/>
      <c r="C104" s="817" t="s">
        <v>9173</v>
      </c>
      <c r="D104" s="2702"/>
      <c r="E104" s="7" t="s">
        <v>9172</v>
      </c>
      <c r="F104" s="2682"/>
      <c r="G104" s="2682"/>
      <c r="H104" s="2682"/>
      <c r="I104" s="2682"/>
      <c r="J104" s="2682"/>
      <c r="K104" s="2682"/>
      <c r="L104" s="817"/>
      <c r="M104" s="817"/>
      <c r="N104" s="817"/>
      <c r="O104" s="817"/>
      <c r="P104" s="2828">
        <v>43932</v>
      </c>
      <c r="Q104" s="2828"/>
      <c r="R104" s="2829" t="s">
        <v>5494</v>
      </c>
      <c r="S104" s="2829"/>
      <c r="T104" s="2694">
        <v>0.58333333333333337</v>
      </c>
      <c r="U104" s="2693">
        <v>0.58333333333333337</v>
      </c>
      <c r="V104" s="2693">
        <v>0.58333333333333337</v>
      </c>
      <c r="W104" s="2681">
        <f>1.6*80</f>
        <v>128</v>
      </c>
      <c r="X104" s="817" t="s">
        <v>257</v>
      </c>
      <c r="Y104" s="2772"/>
      <c r="Z104" s="817"/>
      <c r="AA104" s="817"/>
      <c r="AB104" s="817" t="s">
        <v>17</v>
      </c>
      <c r="AC104" s="817" t="s">
        <v>2084</v>
      </c>
      <c r="AD104" s="2702"/>
      <c r="AG104" s="2711"/>
    </row>
    <row r="105" spans="1:33" ht="58" hidden="1" x14ac:dyDescent="0.35">
      <c r="A105" s="2828">
        <v>43931</v>
      </c>
      <c r="B105" s="2760"/>
      <c r="C105" s="817" t="s">
        <v>9233</v>
      </c>
      <c r="D105" s="2700" t="s">
        <v>9232</v>
      </c>
      <c r="E105" s="7" t="s">
        <v>9234</v>
      </c>
      <c r="F105" s="2682"/>
      <c r="G105" s="2682"/>
      <c r="H105" s="2682"/>
      <c r="I105" s="2682"/>
      <c r="J105" s="2682"/>
      <c r="K105" s="2682"/>
      <c r="L105" s="817"/>
      <c r="M105" s="817"/>
      <c r="N105" s="817"/>
      <c r="O105" s="817"/>
      <c r="P105" s="2828">
        <v>43932</v>
      </c>
      <c r="Q105" s="2828" t="s">
        <v>9446</v>
      </c>
      <c r="R105" s="2829" t="s">
        <v>9231</v>
      </c>
      <c r="S105" s="2770"/>
      <c r="T105" s="6">
        <v>0.41666666666666669</v>
      </c>
      <c r="U105" s="2694">
        <v>0.73611111111111116</v>
      </c>
      <c r="V105" s="2694">
        <v>0.73611111111111116</v>
      </c>
      <c r="W105" s="2681">
        <v>100</v>
      </c>
      <c r="X105" s="817" t="s">
        <v>2900</v>
      </c>
      <c r="Y105" s="2772"/>
      <c r="Z105" s="817"/>
      <c r="AA105" s="817"/>
      <c r="AB105" s="817" t="s">
        <v>17</v>
      </c>
      <c r="AC105" s="817" t="s">
        <v>7451</v>
      </c>
      <c r="AD105" s="2700" t="s">
        <v>9232</v>
      </c>
      <c r="AG105" s="2711"/>
    </row>
    <row r="106" spans="1:33" ht="58" hidden="1" x14ac:dyDescent="0.35">
      <c r="A106" s="2828">
        <v>43924</v>
      </c>
      <c r="B106" s="2760"/>
      <c r="C106" s="817" t="s">
        <v>7868</v>
      </c>
      <c r="D106" s="2699"/>
      <c r="E106" s="817" t="s">
        <v>7829</v>
      </c>
      <c r="F106" s="817">
        <v>1</v>
      </c>
      <c r="G106" s="817">
        <v>1</v>
      </c>
      <c r="H106" s="817"/>
      <c r="I106" s="817"/>
      <c r="J106" s="817"/>
      <c r="K106" s="817"/>
      <c r="L106" s="817"/>
      <c r="M106" s="817"/>
      <c r="N106" s="817"/>
      <c r="O106" s="817"/>
      <c r="P106" s="2828">
        <v>43932</v>
      </c>
      <c r="Q106" s="2828" t="s">
        <v>9453</v>
      </c>
      <c r="R106" s="2829" t="s">
        <v>7869</v>
      </c>
      <c r="S106" s="2770"/>
      <c r="T106" s="836">
        <v>0.60416666666666663</v>
      </c>
      <c r="U106" s="2694">
        <v>0.79166666666666663</v>
      </c>
      <c r="V106" s="2694">
        <v>0.79166666666666663</v>
      </c>
      <c r="W106" s="1956">
        <v>100</v>
      </c>
      <c r="X106" s="817" t="s">
        <v>7634</v>
      </c>
      <c r="Y106" s="2772"/>
      <c r="Z106" s="817"/>
      <c r="AA106" s="817"/>
      <c r="AB106" s="817" t="s">
        <v>17</v>
      </c>
      <c r="AC106" s="817" t="s">
        <v>7451</v>
      </c>
      <c r="AD106" s="2699"/>
      <c r="AG106" s="2711"/>
    </row>
    <row r="107" spans="1:33" ht="29" hidden="1" x14ac:dyDescent="0.35">
      <c r="A107" s="2486">
        <v>43930</v>
      </c>
      <c r="B107" s="2718"/>
      <c r="C107" s="5" t="s">
        <v>8880</v>
      </c>
      <c r="D107" s="2700"/>
      <c r="E107" s="7" t="s">
        <v>8881</v>
      </c>
      <c r="F107" s="2679"/>
      <c r="G107" s="5"/>
      <c r="H107" s="5"/>
      <c r="I107" s="5"/>
      <c r="J107" s="5"/>
      <c r="K107" s="5"/>
      <c r="L107" s="817"/>
      <c r="M107" s="817"/>
      <c r="N107" s="817"/>
      <c r="O107" s="817"/>
      <c r="P107" s="2486">
        <v>43932</v>
      </c>
      <c r="Q107" s="2486"/>
      <c r="R107" s="824" t="s">
        <v>5502</v>
      </c>
      <c r="S107" s="2770"/>
      <c r="T107" s="6">
        <v>0.5</v>
      </c>
      <c r="U107" s="2694">
        <v>0.5</v>
      </c>
      <c r="V107" s="2694">
        <v>0.5</v>
      </c>
      <c r="W107" s="1956">
        <f>1.2*80</f>
        <v>96</v>
      </c>
      <c r="X107" s="2694" t="s">
        <v>8882</v>
      </c>
      <c r="Y107" s="2772"/>
      <c r="Z107" s="817"/>
      <c r="AA107" s="817"/>
      <c r="AB107" s="817" t="s">
        <v>17</v>
      </c>
      <c r="AC107" s="817" t="s">
        <v>5367</v>
      </c>
      <c r="AD107" s="2700"/>
      <c r="AG107" s="2711"/>
    </row>
    <row r="108" spans="1:33" ht="29" hidden="1" x14ac:dyDescent="0.35">
      <c r="A108" s="2486">
        <v>43931</v>
      </c>
      <c r="B108" s="2718"/>
      <c r="C108" s="5" t="s">
        <v>9276</v>
      </c>
      <c r="D108" s="2695"/>
      <c r="E108" s="5" t="s">
        <v>8553</v>
      </c>
      <c r="F108" s="2682">
        <v>1</v>
      </c>
      <c r="G108" s="2682">
        <v>1</v>
      </c>
      <c r="H108" s="2682"/>
      <c r="I108" s="2682"/>
      <c r="J108" s="2682"/>
      <c r="K108" s="2682"/>
      <c r="L108" s="817"/>
      <c r="M108" s="817"/>
      <c r="N108" s="817"/>
      <c r="O108" s="817"/>
      <c r="P108" s="2486">
        <v>43932</v>
      </c>
      <c r="Q108" s="2486" t="s">
        <v>9445</v>
      </c>
      <c r="R108" s="2829" t="s">
        <v>9277</v>
      </c>
      <c r="S108" s="2829"/>
      <c r="T108" s="836">
        <v>0.60416666666666663</v>
      </c>
      <c r="U108" s="2694">
        <v>0.67013888888888884</v>
      </c>
      <c r="V108" s="2694">
        <v>0.67013888888888884</v>
      </c>
      <c r="W108" s="2681">
        <v>100</v>
      </c>
      <c r="X108" s="2518" t="s">
        <v>9278</v>
      </c>
      <c r="Y108" s="2679"/>
      <c r="Z108" s="824"/>
      <c r="AA108" s="824"/>
      <c r="AB108" s="2829" t="s">
        <v>974</v>
      </c>
      <c r="AC108" s="2829" t="s">
        <v>6096</v>
      </c>
      <c r="AD108" s="2695"/>
      <c r="AG108" s="2711"/>
    </row>
    <row r="109" spans="1:33" ht="43.5" hidden="1" x14ac:dyDescent="0.35">
      <c r="A109" s="1899">
        <v>43928</v>
      </c>
      <c r="B109" s="2759"/>
      <c r="C109" s="7" t="s">
        <v>8578</v>
      </c>
      <c r="D109" s="2696"/>
      <c r="E109" s="7" t="s">
        <v>8579</v>
      </c>
      <c r="F109" s="2717">
        <v>1</v>
      </c>
      <c r="G109" s="7">
        <v>1</v>
      </c>
      <c r="H109" s="7"/>
      <c r="I109" s="7"/>
      <c r="J109" s="7"/>
      <c r="K109" s="7"/>
      <c r="L109" s="7"/>
      <c r="M109" s="7"/>
      <c r="N109" s="7"/>
      <c r="O109" s="7"/>
      <c r="P109" s="1899">
        <v>43932</v>
      </c>
      <c r="Q109" s="1899" t="s">
        <v>9437</v>
      </c>
      <c r="R109" s="881" t="s">
        <v>8607</v>
      </c>
      <c r="S109" s="881"/>
      <c r="T109" s="836">
        <v>0.60416666666666663</v>
      </c>
      <c r="U109" s="836">
        <v>0.68402777777777779</v>
      </c>
      <c r="V109" s="836">
        <v>0.68402777777777779</v>
      </c>
      <c r="W109" s="1630">
        <v>200</v>
      </c>
      <c r="X109" s="5" t="s">
        <v>8592</v>
      </c>
      <c r="Y109" s="2679"/>
      <c r="Z109" s="5"/>
      <c r="AA109" s="5"/>
      <c r="AB109" s="5" t="s">
        <v>17</v>
      </c>
      <c r="AC109" s="5" t="s">
        <v>7451</v>
      </c>
      <c r="AD109" s="2696"/>
      <c r="AG109" s="2711"/>
    </row>
    <row r="110" spans="1:33" ht="43.5" hidden="1" x14ac:dyDescent="0.35">
      <c r="A110" s="2769">
        <v>43927</v>
      </c>
      <c r="B110" s="2760"/>
      <c r="C110" s="817" t="s">
        <v>7741</v>
      </c>
      <c r="D110" s="2699"/>
      <c r="E110" s="817" t="s">
        <v>8161</v>
      </c>
      <c r="F110" s="5">
        <v>2</v>
      </c>
      <c r="G110" s="5">
        <v>1</v>
      </c>
      <c r="H110" s="5"/>
      <c r="I110" s="5">
        <v>1</v>
      </c>
      <c r="J110" s="5"/>
      <c r="K110" s="5"/>
      <c r="L110" s="817"/>
      <c r="M110" s="817"/>
      <c r="N110" s="817"/>
      <c r="O110" s="817"/>
      <c r="P110" s="2769">
        <v>43932</v>
      </c>
      <c r="Q110" s="2769" t="s">
        <v>9451</v>
      </c>
      <c r="R110" s="2770" t="s">
        <v>8267</v>
      </c>
      <c r="S110" s="2770"/>
      <c r="T110" s="836">
        <v>0.60416666666666663</v>
      </c>
      <c r="U110" s="2694">
        <v>0.63194444444444442</v>
      </c>
      <c r="V110" s="2694">
        <v>0.63194444444444442</v>
      </c>
      <c r="W110" s="1956">
        <v>200</v>
      </c>
      <c r="X110" s="817" t="s">
        <v>8268</v>
      </c>
      <c r="Y110" s="2772"/>
      <c r="Z110" s="817"/>
      <c r="AA110" s="817"/>
      <c r="AB110" s="817" t="s">
        <v>17</v>
      </c>
      <c r="AC110" s="817" t="s">
        <v>7451</v>
      </c>
      <c r="AD110" s="2699"/>
      <c r="AG110" s="2711"/>
    </row>
    <row r="111" spans="1:33" ht="43.5" hidden="1" x14ac:dyDescent="0.35">
      <c r="A111" s="2486">
        <v>43925</v>
      </c>
      <c r="B111" s="2718"/>
      <c r="C111" s="7" t="s">
        <v>7983</v>
      </c>
      <c r="D111" s="2699"/>
      <c r="E111" s="817" t="s">
        <v>8155</v>
      </c>
      <c r="F111" s="5"/>
      <c r="G111" s="5"/>
      <c r="H111" s="5"/>
      <c r="I111" s="5"/>
      <c r="J111" s="5"/>
      <c r="K111" s="5"/>
      <c r="L111" s="5"/>
      <c r="M111" s="5"/>
      <c r="N111" s="5"/>
      <c r="O111" s="5"/>
      <c r="P111" s="2486">
        <v>43932</v>
      </c>
      <c r="Q111" s="2486" t="s">
        <v>9457</v>
      </c>
      <c r="R111" s="824" t="s">
        <v>7984</v>
      </c>
      <c r="S111" s="824"/>
      <c r="T111" s="6">
        <v>0.41666666666666669</v>
      </c>
      <c r="U111" s="2694">
        <v>0.71527777777777779</v>
      </c>
      <c r="V111" s="2694">
        <v>0.71527777777777779</v>
      </c>
      <c r="W111" s="2724">
        <v>120</v>
      </c>
      <c r="X111" s="817" t="s">
        <v>257</v>
      </c>
      <c r="Y111" s="2772"/>
      <c r="Z111" s="817"/>
      <c r="AA111" s="817"/>
      <c r="AB111" s="817" t="s">
        <v>17</v>
      </c>
      <c r="AC111" s="817" t="s">
        <v>6041</v>
      </c>
      <c r="AD111" s="2699"/>
      <c r="AG111" s="2711"/>
    </row>
    <row r="112" spans="1:33" ht="72.5" hidden="1" x14ac:dyDescent="0.35">
      <c r="A112" s="2769">
        <v>43927</v>
      </c>
      <c r="B112" s="2760"/>
      <c r="C112" s="817" t="s">
        <v>8225</v>
      </c>
      <c r="D112" s="2699"/>
      <c r="E112" s="817" t="s">
        <v>8226</v>
      </c>
      <c r="F112" s="5"/>
      <c r="G112" s="5"/>
      <c r="H112" s="5"/>
      <c r="I112" s="5"/>
      <c r="J112" s="5"/>
      <c r="K112" s="5"/>
      <c r="L112" s="817"/>
      <c r="M112" s="817"/>
      <c r="N112" s="817"/>
      <c r="O112" s="817"/>
      <c r="P112" s="2769">
        <v>43932</v>
      </c>
      <c r="Q112" s="2769" t="s">
        <v>9441</v>
      </c>
      <c r="R112" s="2770" t="s">
        <v>8322</v>
      </c>
      <c r="S112" s="2770"/>
      <c r="T112" s="6">
        <v>0.41666666666666669</v>
      </c>
      <c r="U112" s="2694">
        <v>0.59722222222222221</v>
      </c>
      <c r="V112" s="2694">
        <v>0.59722222222222221</v>
      </c>
      <c r="W112" s="1956">
        <v>135</v>
      </c>
      <c r="X112" s="817" t="s">
        <v>8268</v>
      </c>
      <c r="Y112" s="2772"/>
      <c r="Z112" s="817"/>
      <c r="AA112" s="817"/>
      <c r="AB112" s="817" t="s">
        <v>17</v>
      </c>
      <c r="AC112" s="817" t="s">
        <v>6041</v>
      </c>
      <c r="AD112" s="2699"/>
      <c r="AG112" s="2711"/>
    </row>
    <row r="113" spans="1:34" ht="101.5" hidden="1" x14ac:dyDescent="0.35">
      <c r="A113" s="2486">
        <v>43923</v>
      </c>
      <c r="B113" s="2718"/>
      <c r="C113" s="5" t="s">
        <v>7754</v>
      </c>
      <c r="D113" s="2699"/>
      <c r="E113" s="5" t="s">
        <v>7502</v>
      </c>
      <c r="F113" s="5"/>
      <c r="G113" s="5"/>
      <c r="H113" s="5"/>
      <c r="I113" s="5"/>
      <c r="J113" s="5"/>
      <c r="K113" s="5"/>
      <c r="L113" s="5"/>
      <c r="M113" s="5"/>
      <c r="N113" s="5"/>
      <c r="O113" s="5"/>
      <c r="P113" s="2486">
        <v>43932</v>
      </c>
      <c r="Q113" s="2486" t="s">
        <v>9439</v>
      </c>
      <c r="R113" s="824" t="s">
        <v>7756</v>
      </c>
      <c r="S113" s="824"/>
      <c r="T113" s="6">
        <v>0.41666666666666669</v>
      </c>
      <c r="U113" s="2694">
        <v>0.68055555555555547</v>
      </c>
      <c r="V113" s="2694">
        <v>0.68055555555555547</v>
      </c>
      <c r="W113" s="1956">
        <v>120</v>
      </c>
      <c r="X113" s="2694" t="s">
        <v>7682</v>
      </c>
      <c r="Y113" s="2772"/>
      <c r="Z113" s="817"/>
      <c r="AA113" s="817"/>
      <c r="AB113" s="817" t="s">
        <v>17</v>
      </c>
      <c r="AC113" s="817" t="s">
        <v>6041</v>
      </c>
      <c r="AD113" s="2699"/>
      <c r="AG113" s="2711"/>
      <c r="AH113" s="1" t="s">
        <v>9706</v>
      </c>
    </row>
    <row r="114" spans="1:34" ht="58" hidden="1" x14ac:dyDescent="0.35">
      <c r="A114" s="2828">
        <v>43931</v>
      </c>
      <c r="B114" s="2760"/>
      <c r="C114" s="817" t="s">
        <v>9199</v>
      </c>
      <c r="D114" s="2700" t="s">
        <v>9198</v>
      </c>
      <c r="E114" s="7" t="s">
        <v>9200</v>
      </c>
      <c r="F114" s="2682"/>
      <c r="G114" s="2682"/>
      <c r="H114" s="2682"/>
      <c r="I114" s="2682"/>
      <c r="J114" s="2682"/>
      <c r="K114" s="2682"/>
      <c r="L114" s="817"/>
      <c r="M114" s="817"/>
      <c r="N114" s="817"/>
      <c r="O114" s="817"/>
      <c r="P114" s="2828">
        <v>43932</v>
      </c>
      <c r="Q114" s="2828" t="s">
        <v>9447</v>
      </c>
      <c r="R114" s="2829" t="s">
        <v>9201</v>
      </c>
      <c r="S114" s="2770"/>
      <c r="T114" s="6">
        <v>0.41666666666666669</v>
      </c>
      <c r="U114" s="2694">
        <v>0.54166666666666663</v>
      </c>
      <c r="V114" s="2694">
        <v>0.54166666666666663</v>
      </c>
      <c r="W114" s="1956">
        <v>120</v>
      </c>
      <c r="X114" s="817" t="s">
        <v>8625</v>
      </c>
      <c r="Y114" s="2772"/>
      <c r="Z114" s="817"/>
      <c r="AA114" s="817"/>
      <c r="AB114" s="817" t="s">
        <v>17</v>
      </c>
      <c r="AC114" s="817" t="s">
        <v>6041</v>
      </c>
      <c r="AD114" s="2700" t="s">
        <v>9198</v>
      </c>
      <c r="AG114" s="2711"/>
    </row>
    <row r="115" spans="1:34" ht="116" hidden="1" x14ac:dyDescent="0.35">
      <c r="A115" s="2828">
        <v>43931</v>
      </c>
      <c r="B115" s="2760"/>
      <c r="C115" s="7" t="s">
        <v>7802</v>
      </c>
      <c r="D115" s="2696" t="s">
        <v>9283</v>
      </c>
      <c r="E115" s="817" t="s">
        <v>9274</v>
      </c>
      <c r="F115" s="2682"/>
      <c r="G115" s="2682"/>
      <c r="H115" s="2682"/>
      <c r="I115" s="2682"/>
      <c r="J115" s="2682"/>
      <c r="K115" s="2682"/>
      <c r="L115" s="817"/>
      <c r="M115" s="817"/>
      <c r="N115" s="817"/>
      <c r="O115" s="817"/>
      <c r="P115" s="2828">
        <v>43932</v>
      </c>
      <c r="Q115" s="2828" t="s">
        <v>9435</v>
      </c>
      <c r="R115" s="2770" t="s">
        <v>7967</v>
      </c>
      <c r="S115" s="2688"/>
      <c r="T115" s="6">
        <v>0.41666666666666669</v>
      </c>
      <c r="U115" s="2693">
        <v>0.61805555555555558</v>
      </c>
      <c r="V115" s="2693">
        <v>0.61805555555555558</v>
      </c>
      <c r="W115" s="2680">
        <v>0</v>
      </c>
      <c r="X115" s="817" t="s">
        <v>7966</v>
      </c>
      <c r="Y115" s="2772"/>
      <c r="Z115" s="817"/>
      <c r="AA115" s="817"/>
      <c r="AB115" s="817" t="s">
        <v>974</v>
      </c>
      <c r="AC115" s="817" t="s">
        <v>6096</v>
      </c>
      <c r="AD115" s="2696" t="s">
        <v>9283</v>
      </c>
      <c r="AG115" s="2662"/>
    </row>
    <row r="116" spans="1:34" ht="72.5" hidden="1" x14ac:dyDescent="0.35">
      <c r="A116" s="2486">
        <v>43928</v>
      </c>
      <c r="B116" s="2718"/>
      <c r="C116" s="5" t="s">
        <v>8547</v>
      </c>
      <c r="D116" s="2701"/>
      <c r="E116" s="5" t="s">
        <v>8550</v>
      </c>
      <c r="F116" s="2679"/>
      <c r="G116" s="5"/>
      <c r="H116" s="5"/>
      <c r="I116" s="5"/>
      <c r="J116" s="5"/>
      <c r="K116" s="5"/>
      <c r="L116" s="817"/>
      <c r="M116" s="817"/>
      <c r="N116" s="817"/>
      <c r="O116" s="817"/>
      <c r="P116" s="2486">
        <v>43933</v>
      </c>
      <c r="Q116" s="2486"/>
      <c r="R116" s="824" t="s">
        <v>8548</v>
      </c>
      <c r="S116" s="2829"/>
      <c r="T116" s="6">
        <v>0.4375</v>
      </c>
      <c r="U116" s="2694">
        <v>0.625</v>
      </c>
      <c r="V116" s="2694">
        <v>0.625</v>
      </c>
      <c r="W116" s="1956">
        <v>140</v>
      </c>
      <c r="X116" s="2694" t="s">
        <v>8549</v>
      </c>
      <c r="Y116" s="2772"/>
      <c r="Z116" s="817"/>
      <c r="AA116" s="817"/>
      <c r="AB116" s="817" t="s">
        <v>17</v>
      </c>
      <c r="AC116" s="817" t="s">
        <v>2084</v>
      </c>
      <c r="AD116" s="2696" t="s">
        <v>8773</v>
      </c>
      <c r="AG116" s="2662"/>
    </row>
    <row r="117" spans="1:34" ht="116" hidden="1" x14ac:dyDescent="0.35">
      <c r="A117" s="1999">
        <v>43917</v>
      </c>
      <c r="B117" s="2778"/>
      <c r="C117" s="1850" t="s">
        <v>7478</v>
      </c>
      <c r="D117" s="2699"/>
      <c r="E117" s="1850" t="s">
        <v>7480</v>
      </c>
      <c r="F117" s="1850"/>
      <c r="G117" s="1850"/>
      <c r="H117" s="1850"/>
      <c r="I117" s="1850"/>
      <c r="J117" s="1850"/>
      <c r="K117" s="1850"/>
      <c r="L117" s="1850"/>
      <c r="M117" s="1850"/>
      <c r="N117" s="1850"/>
      <c r="O117" s="1850"/>
      <c r="P117" s="1999">
        <v>43933</v>
      </c>
      <c r="Q117" s="1999"/>
      <c r="R117" s="2000" t="s">
        <v>7477</v>
      </c>
      <c r="S117" s="2000"/>
      <c r="T117" s="6">
        <v>0.4375</v>
      </c>
      <c r="U117" s="836">
        <v>0.56597222222222221</v>
      </c>
      <c r="V117" s="836">
        <v>0.56597222222222221</v>
      </c>
      <c r="W117" s="1956">
        <f>1.5*120</f>
        <v>180</v>
      </c>
      <c r="X117" s="7" t="s">
        <v>7479</v>
      </c>
      <c r="Y117" s="2772"/>
      <c r="Z117" s="817"/>
      <c r="AA117" s="817"/>
      <c r="AB117" s="7" t="s">
        <v>17</v>
      </c>
      <c r="AC117" s="7" t="s">
        <v>2084</v>
      </c>
      <c r="AD117" s="2699"/>
      <c r="AG117" s="2662"/>
    </row>
    <row r="118" spans="1:34" ht="87" hidden="1" x14ac:dyDescent="0.35">
      <c r="A118" s="2486">
        <v>43931</v>
      </c>
      <c r="B118" s="2718"/>
      <c r="C118" s="5" t="s">
        <v>9345</v>
      </c>
      <c r="D118" s="2700" t="s">
        <v>9344</v>
      </c>
      <c r="E118" s="5" t="s">
        <v>9348</v>
      </c>
      <c r="F118" s="5"/>
      <c r="G118" s="5"/>
      <c r="H118" s="5"/>
      <c r="I118" s="5"/>
      <c r="J118" s="5"/>
      <c r="K118" s="5"/>
      <c r="L118" s="817"/>
      <c r="M118" s="817"/>
      <c r="N118" s="817"/>
      <c r="O118" s="817"/>
      <c r="P118" s="2486">
        <v>43933</v>
      </c>
      <c r="Q118" s="2486"/>
      <c r="R118" s="2829" t="s">
        <v>9347</v>
      </c>
      <c r="S118" s="2829"/>
      <c r="T118" s="6">
        <v>0.4375</v>
      </c>
      <c r="U118" s="2694">
        <v>0.47916666666666669</v>
      </c>
      <c r="V118" s="2694">
        <v>0.47916666666666669</v>
      </c>
      <c r="W118" s="2681">
        <v>120</v>
      </c>
      <c r="X118" s="817" t="s">
        <v>2900</v>
      </c>
      <c r="Y118" s="2772"/>
      <c r="Z118" s="817"/>
      <c r="AA118" s="817"/>
      <c r="AB118" s="817" t="s">
        <v>17</v>
      </c>
      <c r="AC118" s="817" t="s">
        <v>7451</v>
      </c>
      <c r="AD118" s="2700" t="s">
        <v>9344</v>
      </c>
      <c r="AG118" s="2711"/>
    </row>
    <row r="119" spans="1:34" ht="29" hidden="1" x14ac:dyDescent="0.35">
      <c r="A119" s="1899">
        <v>43931</v>
      </c>
      <c r="B119" s="2759"/>
      <c r="C119" s="7" t="s">
        <v>9288</v>
      </c>
      <c r="D119" s="2695"/>
      <c r="E119" s="7" t="s">
        <v>9289</v>
      </c>
      <c r="F119" s="2685"/>
      <c r="G119" s="2685"/>
      <c r="H119" s="2685"/>
      <c r="I119" s="2685"/>
      <c r="J119" s="2685"/>
      <c r="K119" s="2685"/>
      <c r="L119" s="817"/>
      <c r="M119" s="817"/>
      <c r="N119" s="817"/>
      <c r="O119" s="817"/>
      <c r="P119" s="1899">
        <v>43933</v>
      </c>
      <c r="Q119" s="1899"/>
      <c r="R119" s="881" t="s">
        <v>9290</v>
      </c>
      <c r="S119" s="2721"/>
      <c r="T119" s="6">
        <v>0.4375</v>
      </c>
      <c r="U119" s="2694">
        <v>0.48958333333333331</v>
      </c>
      <c r="V119" s="2694">
        <v>0.48958333333333331</v>
      </c>
      <c r="W119" s="1630">
        <v>64</v>
      </c>
      <c r="X119" s="836" t="s">
        <v>7682</v>
      </c>
      <c r="Y119" s="2772"/>
      <c r="Z119" s="817"/>
      <c r="AA119" s="817"/>
      <c r="AB119" s="817" t="s">
        <v>17</v>
      </c>
      <c r="AC119" s="817" t="s">
        <v>6041</v>
      </c>
      <c r="AD119" s="2695"/>
      <c r="AG119" s="2711"/>
    </row>
    <row r="120" spans="1:34" ht="29" hidden="1" x14ac:dyDescent="0.35">
      <c r="A120" s="1899">
        <v>43931</v>
      </c>
      <c r="B120" s="2759"/>
      <c r="C120" s="7" t="s">
        <v>647</v>
      </c>
      <c r="D120" s="2696"/>
      <c r="E120" s="7" t="s">
        <v>9378</v>
      </c>
      <c r="F120" s="7"/>
      <c r="G120" s="7"/>
      <c r="H120" s="7"/>
      <c r="I120" s="7"/>
      <c r="J120" s="7"/>
      <c r="K120" s="7"/>
      <c r="L120" s="817"/>
      <c r="M120" s="817"/>
      <c r="N120" s="817"/>
      <c r="O120" s="817"/>
      <c r="P120" s="1899">
        <v>43933</v>
      </c>
      <c r="Q120" s="1899"/>
      <c r="R120" s="881" t="s">
        <v>115</v>
      </c>
      <c r="S120" s="2829"/>
      <c r="T120" s="836">
        <v>0.41666666666666669</v>
      </c>
      <c r="U120" s="2694">
        <v>0.41666666666666669</v>
      </c>
      <c r="V120" s="2694">
        <v>0.41666666666666669</v>
      </c>
      <c r="W120" s="1809">
        <v>0</v>
      </c>
      <c r="X120" s="817" t="s">
        <v>9379</v>
      </c>
      <c r="Y120" s="2772"/>
      <c r="Z120" s="817"/>
      <c r="AA120" s="817"/>
      <c r="AB120" s="817" t="s">
        <v>17</v>
      </c>
      <c r="AC120" s="817" t="s">
        <v>6053</v>
      </c>
      <c r="AD120" s="2696"/>
      <c r="AG120" s="2711"/>
    </row>
    <row r="121" spans="1:34" ht="43.5" hidden="1" x14ac:dyDescent="0.35">
      <c r="A121" s="2769">
        <v>43932</v>
      </c>
      <c r="B121" s="2760"/>
      <c r="C121" s="817" t="s">
        <v>9640</v>
      </c>
      <c r="D121" s="2700" t="s">
        <v>10232</v>
      </c>
      <c r="E121" s="817" t="s">
        <v>7048</v>
      </c>
      <c r="F121" s="2692"/>
      <c r="G121" s="2692"/>
      <c r="H121" s="2692"/>
      <c r="I121" s="2692"/>
      <c r="J121" s="2692"/>
      <c r="K121" s="2692"/>
      <c r="L121" s="817"/>
      <c r="M121" s="817"/>
      <c r="N121" s="817"/>
      <c r="O121" s="817"/>
      <c r="P121" s="2769">
        <v>43933</v>
      </c>
      <c r="Q121" s="2769"/>
      <c r="R121" s="2706" t="s">
        <v>10233</v>
      </c>
      <c r="S121" s="2721"/>
      <c r="T121" s="6">
        <v>0.4375</v>
      </c>
      <c r="U121" s="836">
        <v>0.4513888888888889</v>
      </c>
      <c r="V121" s="836">
        <v>0.4513888888888889</v>
      </c>
      <c r="W121" s="2681">
        <f>1.6*80</f>
        <v>128</v>
      </c>
      <c r="X121" s="817" t="s">
        <v>2900</v>
      </c>
      <c r="Y121" s="2772"/>
      <c r="Z121" s="817"/>
      <c r="AA121" s="817"/>
      <c r="AB121" s="817" t="s">
        <v>17</v>
      </c>
      <c r="AC121" s="817" t="s">
        <v>7451</v>
      </c>
      <c r="AD121" s="2695"/>
      <c r="AG121" s="2711"/>
    </row>
    <row r="122" spans="1:34" ht="116" hidden="1" x14ac:dyDescent="0.35">
      <c r="A122" s="2769">
        <v>43932</v>
      </c>
      <c r="B122" s="2760"/>
      <c r="C122" s="817" t="s">
        <v>9669</v>
      </c>
      <c r="D122" s="2700" t="s">
        <v>9666</v>
      </c>
      <c r="E122" s="817" t="s">
        <v>9674</v>
      </c>
      <c r="F122" s="5"/>
      <c r="G122" s="5"/>
      <c r="H122" s="5"/>
      <c r="I122" s="5"/>
      <c r="J122" s="5"/>
      <c r="K122" s="5"/>
      <c r="L122" s="817"/>
      <c r="M122" s="817"/>
      <c r="N122" s="817"/>
      <c r="O122" s="817"/>
      <c r="P122" s="2769">
        <v>43933</v>
      </c>
      <c r="Q122" s="2769"/>
      <c r="R122" s="2706" t="s">
        <v>9667</v>
      </c>
      <c r="S122" s="2770"/>
      <c r="T122" s="6">
        <v>0.4375</v>
      </c>
      <c r="U122" s="836">
        <v>0.54861111111111105</v>
      </c>
      <c r="V122" s="836">
        <v>0.54861111111111105</v>
      </c>
      <c r="W122" s="2681">
        <v>120</v>
      </c>
      <c r="X122" s="817" t="s">
        <v>9670</v>
      </c>
      <c r="Y122" s="2772"/>
      <c r="Z122" s="817"/>
      <c r="AA122" s="817"/>
      <c r="AB122" s="817" t="s">
        <v>17</v>
      </c>
      <c r="AC122" s="817" t="s">
        <v>7451</v>
      </c>
      <c r="AD122" s="2696"/>
      <c r="AG122" s="2711"/>
    </row>
    <row r="123" spans="1:34" ht="87" hidden="1" x14ac:dyDescent="0.35">
      <c r="A123" s="2486">
        <v>43931</v>
      </c>
      <c r="B123" s="2718"/>
      <c r="C123" s="5" t="s">
        <v>9040</v>
      </c>
      <c r="D123" s="2696"/>
      <c r="E123" s="5" t="s">
        <v>9038</v>
      </c>
      <c r="F123" s="2679"/>
      <c r="G123" s="5"/>
      <c r="H123" s="5"/>
      <c r="I123" s="5"/>
      <c r="J123" s="5"/>
      <c r="K123" s="5"/>
      <c r="L123" s="817"/>
      <c r="M123" s="817"/>
      <c r="N123" s="817"/>
      <c r="O123" s="817"/>
      <c r="P123" s="2486">
        <v>43933</v>
      </c>
      <c r="Q123" s="2486"/>
      <c r="R123" s="824" t="s">
        <v>9039</v>
      </c>
      <c r="S123" s="2770"/>
      <c r="T123" s="6">
        <v>0.4375</v>
      </c>
      <c r="U123" s="2694">
        <v>0.77083333333333337</v>
      </c>
      <c r="V123" s="2694">
        <v>0.77083333333333337</v>
      </c>
      <c r="W123" s="2121">
        <f>1.3*90</f>
        <v>117</v>
      </c>
      <c r="X123" s="2694" t="s">
        <v>8653</v>
      </c>
      <c r="Y123" s="2772"/>
      <c r="Z123" s="817"/>
      <c r="AA123" s="817"/>
      <c r="AB123" s="817" t="s">
        <v>17</v>
      </c>
      <c r="AC123" s="817" t="s">
        <v>2084</v>
      </c>
      <c r="AD123" s="2696"/>
      <c r="AG123" s="2711"/>
    </row>
    <row r="124" spans="1:34" ht="43.5" hidden="1" x14ac:dyDescent="0.35">
      <c r="A124" s="1899">
        <v>43930</v>
      </c>
      <c r="B124" s="2759"/>
      <c r="C124" s="5" t="s">
        <v>8947</v>
      </c>
      <c r="D124" s="2700"/>
      <c r="E124" s="7" t="s">
        <v>8948</v>
      </c>
      <c r="F124" s="2686"/>
      <c r="G124" s="2682"/>
      <c r="H124" s="2682"/>
      <c r="I124" s="2682"/>
      <c r="J124" s="2682"/>
      <c r="K124" s="2682"/>
      <c r="L124" s="817"/>
      <c r="M124" s="817"/>
      <c r="N124" s="817"/>
      <c r="O124" s="817"/>
      <c r="P124" s="2486">
        <v>43933</v>
      </c>
      <c r="Q124" s="2486"/>
      <c r="R124" s="824" t="s">
        <v>8949</v>
      </c>
      <c r="S124" s="2829"/>
      <c r="T124" s="6">
        <v>0.4375</v>
      </c>
      <c r="U124" s="2693">
        <v>0.68402777777777779</v>
      </c>
      <c r="V124" s="2693">
        <v>0.68402777777777779</v>
      </c>
      <c r="W124" s="2681">
        <v>120</v>
      </c>
      <c r="X124" s="2694" t="s">
        <v>257</v>
      </c>
      <c r="Y124" s="2772"/>
      <c r="Z124" s="817"/>
      <c r="AA124" s="817"/>
      <c r="AB124" s="817" t="s">
        <v>17</v>
      </c>
      <c r="AC124" s="817" t="s">
        <v>6041</v>
      </c>
      <c r="AD124" s="2700"/>
      <c r="AG124" s="2711"/>
    </row>
    <row r="125" spans="1:34" ht="72.5" hidden="1" x14ac:dyDescent="0.35">
      <c r="A125" s="2828">
        <v>43931</v>
      </c>
      <c r="B125" s="2760"/>
      <c r="C125" s="817" t="s">
        <v>9163</v>
      </c>
      <c r="D125" s="2700" t="s">
        <v>9162</v>
      </c>
      <c r="E125" s="7" t="s">
        <v>9164</v>
      </c>
      <c r="F125" s="2682"/>
      <c r="G125" s="2682"/>
      <c r="H125" s="2682"/>
      <c r="I125" s="2682"/>
      <c r="J125" s="2682"/>
      <c r="K125" s="2682"/>
      <c r="L125" s="817"/>
      <c r="M125" s="817"/>
      <c r="N125" s="817"/>
      <c r="O125" s="817"/>
      <c r="P125" s="2828">
        <v>43933</v>
      </c>
      <c r="Q125" s="2828"/>
      <c r="R125" s="2770" t="s">
        <v>9165</v>
      </c>
      <c r="S125" s="2721"/>
      <c r="T125" s="6">
        <v>0.4375</v>
      </c>
      <c r="U125" s="2694">
        <v>0.73125000000000007</v>
      </c>
      <c r="V125" s="2694">
        <v>0.73125000000000007</v>
      </c>
      <c r="W125" s="1956">
        <v>100</v>
      </c>
      <c r="X125" s="817" t="s">
        <v>8625</v>
      </c>
      <c r="Y125" s="2772"/>
      <c r="Z125" s="817"/>
      <c r="AA125" s="817"/>
      <c r="AB125" s="817" t="s">
        <v>17</v>
      </c>
      <c r="AC125" s="817" t="s">
        <v>6041</v>
      </c>
      <c r="AD125" s="2700" t="s">
        <v>9162</v>
      </c>
      <c r="AG125" s="2711"/>
    </row>
    <row r="126" spans="1:34" ht="58" hidden="1" x14ac:dyDescent="0.35">
      <c r="A126" s="2828">
        <v>43929</v>
      </c>
      <c r="B126" s="2760"/>
      <c r="C126" s="817" t="s">
        <v>8666</v>
      </c>
      <c r="D126" s="2700"/>
      <c r="E126" s="817" t="s">
        <v>8667</v>
      </c>
      <c r="F126" s="5"/>
      <c r="G126" s="5"/>
      <c r="H126" s="5"/>
      <c r="I126" s="5"/>
      <c r="J126" s="5"/>
      <c r="K126" s="5"/>
      <c r="L126" s="817"/>
      <c r="M126" s="817"/>
      <c r="N126" s="817"/>
      <c r="O126" s="817"/>
      <c r="P126" s="2828">
        <v>43933</v>
      </c>
      <c r="Q126" s="2828"/>
      <c r="R126" s="2829" t="s">
        <v>8668</v>
      </c>
      <c r="S126" s="2770"/>
      <c r="T126" s="6">
        <v>0.4375</v>
      </c>
      <c r="U126" s="2694">
        <v>0.51736111111111105</v>
      </c>
      <c r="V126" s="2694">
        <v>0.51736111111111105</v>
      </c>
      <c r="W126" s="1956">
        <v>120</v>
      </c>
      <c r="X126" s="817" t="s">
        <v>257</v>
      </c>
      <c r="Y126" s="2772"/>
      <c r="Z126" s="817"/>
      <c r="AA126" s="817"/>
      <c r="AB126" s="817" t="s">
        <v>17</v>
      </c>
      <c r="AC126" s="817" t="s">
        <v>6041</v>
      </c>
      <c r="AD126" s="2700"/>
      <c r="AG126" s="2711"/>
    </row>
    <row r="127" spans="1:34" ht="43.5" hidden="1" x14ac:dyDescent="0.35">
      <c r="A127" s="2828">
        <v>43931</v>
      </c>
      <c r="B127" s="2760"/>
      <c r="C127" s="817" t="s">
        <v>8450</v>
      </c>
      <c r="D127" s="2695"/>
      <c r="E127" s="817" t="s">
        <v>8989</v>
      </c>
      <c r="F127" s="2682"/>
      <c r="G127" s="2682"/>
      <c r="H127" s="2682"/>
      <c r="I127" s="2682"/>
      <c r="J127" s="2682"/>
      <c r="K127" s="2682"/>
      <c r="L127" s="817"/>
      <c r="M127" s="817"/>
      <c r="N127" s="817"/>
      <c r="O127" s="817"/>
      <c r="P127" s="2828">
        <v>43933</v>
      </c>
      <c r="Q127" s="2828"/>
      <c r="R127" s="2829" t="s">
        <v>8452</v>
      </c>
      <c r="S127" s="2721"/>
      <c r="T127" s="6">
        <v>0.4375</v>
      </c>
      <c r="U127" s="2694">
        <v>0.70833333333333337</v>
      </c>
      <c r="V127" s="2694">
        <v>0.70833333333333337</v>
      </c>
      <c r="W127" s="2681">
        <f>1.5*80</f>
        <v>120</v>
      </c>
      <c r="X127" s="817" t="s">
        <v>8653</v>
      </c>
      <c r="Y127" s="2772"/>
      <c r="Z127" s="817"/>
      <c r="AA127" s="817"/>
      <c r="AB127" s="817" t="s">
        <v>17</v>
      </c>
      <c r="AC127" s="817" t="s">
        <v>2084</v>
      </c>
      <c r="AD127" s="2695"/>
      <c r="AG127" s="2711"/>
    </row>
    <row r="128" spans="1:34" ht="43.5" hidden="1" x14ac:dyDescent="0.35">
      <c r="A128" s="2769">
        <v>43932</v>
      </c>
      <c r="B128" s="2760"/>
      <c r="C128" s="817" t="s">
        <v>10229</v>
      </c>
      <c r="D128" s="2700" t="s">
        <v>10230</v>
      </c>
      <c r="E128" s="2614" t="s">
        <v>7739</v>
      </c>
      <c r="F128" s="2692"/>
      <c r="G128" s="2692"/>
      <c r="H128" s="2692"/>
      <c r="I128" s="2692"/>
      <c r="J128" s="2692"/>
      <c r="K128" s="2692"/>
      <c r="L128" s="817"/>
      <c r="M128" s="817"/>
      <c r="N128" s="817"/>
      <c r="O128" s="817"/>
      <c r="P128" s="2769">
        <v>43933</v>
      </c>
      <c r="Q128" s="2769"/>
      <c r="R128" s="2829" t="s">
        <v>10231</v>
      </c>
      <c r="S128" s="2770"/>
      <c r="T128" s="6">
        <v>0.4375</v>
      </c>
      <c r="U128" s="836">
        <v>0.64583333333333337</v>
      </c>
      <c r="V128" s="836">
        <v>0.64583333333333337</v>
      </c>
      <c r="W128" s="1956">
        <v>120</v>
      </c>
      <c r="X128" s="817" t="s">
        <v>8625</v>
      </c>
      <c r="Y128" s="2772"/>
      <c r="Z128" s="817"/>
      <c r="AA128" s="817"/>
      <c r="AB128" s="817" t="s">
        <v>17</v>
      </c>
      <c r="AC128" s="817" t="s">
        <v>7451</v>
      </c>
      <c r="AD128" s="2695"/>
      <c r="AG128" s="2711"/>
    </row>
    <row r="129" spans="1:33" ht="58" hidden="1" x14ac:dyDescent="0.35">
      <c r="A129" s="2769">
        <v>43931</v>
      </c>
      <c r="B129" s="2760"/>
      <c r="C129" s="817" t="s">
        <v>9222</v>
      </c>
      <c r="D129" s="2700" t="s">
        <v>9221</v>
      </c>
      <c r="E129" s="7" t="s">
        <v>9223</v>
      </c>
      <c r="F129" s="2682"/>
      <c r="G129" s="2682"/>
      <c r="H129" s="2682"/>
      <c r="I129" s="2682"/>
      <c r="J129" s="2682"/>
      <c r="K129" s="2682"/>
      <c r="L129" s="817"/>
      <c r="M129" s="817"/>
      <c r="N129" s="817"/>
      <c r="O129" s="817"/>
      <c r="P129" s="2769">
        <v>43933</v>
      </c>
      <c r="Q129" s="2769"/>
      <c r="R129" s="2829" t="s">
        <v>9224</v>
      </c>
      <c r="S129" s="2721"/>
      <c r="T129" s="6">
        <v>0.4375</v>
      </c>
      <c r="U129" s="2694">
        <v>0.53125</v>
      </c>
      <c r="V129" s="2694">
        <v>0.53125</v>
      </c>
      <c r="W129" s="1956">
        <v>150</v>
      </c>
      <c r="X129" s="817" t="s">
        <v>8625</v>
      </c>
      <c r="Y129" s="2772"/>
      <c r="Z129" s="817"/>
      <c r="AA129" s="817"/>
      <c r="AB129" s="817" t="s">
        <v>17</v>
      </c>
      <c r="AC129" s="817" t="s">
        <v>7451</v>
      </c>
      <c r="AD129" s="2700" t="s">
        <v>9221</v>
      </c>
      <c r="AG129" s="2711"/>
    </row>
    <row r="130" spans="1:33" ht="116" hidden="1" x14ac:dyDescent="0.35">
      <c r="A130" s="2486">
        <v>43928</v>
      </c>
      <c r="B130" s="2718"/>
      <c r="C130" s="7" t="s">
        <v>8488</v>
      </c>
      <c r="D130" s="2699"/>
      <c r="E130" s="817" t="s">
        <v>8485</v>
      </c>
      <c r="F130" s="2678"/>
      <c r="G130" s="2669"/>
      <c r="H130" s="2669"/>
      <c r="I130" s="2669"/>
      <c r="J130" s="2669"/>
      <c r="K130" s="2669"/>
      <c r="L130" s="817"/>
      <c r="M130" s="817"/>
      <c r="N130" s="817"/>
      <c r="O130" s="817"/>
      <c r="P130" s="2486">
        <v>43933</v>
      </c>
      <c r="Q130" s="2486"/>
      <c r="R130" s="824" t="s">
        <v>8486</v>
      </c>
      <c r="S130" s="2770"/>
      <c r="T130" s="6">
        <v>0.4375</v>
      </c>
      <c r="U130" s="2672">
        <v>0.63541666666666663</v>
      </c>
      <c r="V130" s="2672">
        <v>0.63541666666666663</v>
      </c>
      <c r="W130" s="2658">
        <f>1.5*120</f>
        <v>180</v>
      </c>
      <c r="X130" s="817" t="s">
        <v>8487</v>
      </c>
      <c r="Y130" s="2772"/>
      <c r="Z130" s="817"/>
      <c r="AA130" s="817"/>
      <c r="AB130" s="817" t="s">
        <v>17</v>
      </c>
      <c r="AC130" s="817" t="s">
        <v>2084</v>
      </c>
      <c r="AD130" s="2699"/>
      <c r="AG130" s="2711"/>
    </row>
    <row r="131" spans="1:33" ht="58" hidden="1" x14ac:dyDescent="0.35">
      <c r="A131" s="2828">
        <v>43931</v>
      </c>
      <c r="B131" s="2760"/>
      <c r="C131" s="817" t="s">
        <v>9124</v>
      </c>
      <c r="D131" s="2700" t="s">
        <v>9123</v>
      </c>
      <c r="E131" s="7" t="s">
        <v>9126</v>
      </c>
      <c r="F131" s="2682"/>
      <c r="G131" s="2682"/>
      <c r="H131" s="2682"/>
      <c r="I131" s="2682"/>
      <c r="J131" s="2682"/>
      <c r="K131" s="2682"/>
      <c r="L131" s="817"/>
      <c r="M131" s="817"/>
      <c r="N131" s="817"/>
      <c r="O131" s="817"/>
      <c r="P131" s="2828">
        <v>43933</v>
      </c>
      <c r="Q131" s="2828"/>
      <c r="R131" s="2829" t="s">
        <v>9125</v>
      </c>
      <c r="S131" s="2770"/>
      <c r="T131" s="6">
        <v>0.4375</v>
      </c>
      <c r="U131" s="2694">
        <v>0.67361111111111116</v>
      </c>
      <c r="V131" s="2694">
        <v>0.67361111111111116</v>
      </c>
      <c r="W131" s="2681">
        <v>100</v>
      </c>
      <c r="X131" s="817" t="s">
        <v>257</v>
      </c>
      <c r="Y131" s="2772"/>
      <c r="Z131" s="817"/>
      <c r="AA131" s="817"/>
      <c r="AB131" s="817" t="s">
        <v>17</v>
      </c>
      <c r="AC131" s="817" t="s">
        <v>6041</v>
      </c>
      <c r="AD131" s="2700" t="s">
        <v>9123</v>
      </c>
      <c r="AG131" s="2711"/>
    </row>
    <row r="132" spans="1:33" ht="43.5" hidden="1" x14ac:dyDescent="0.35">
      <c r="A132" s="2486">
        <v>43930</v>
      </c>
      <c r="B132" s="2718"/>
      <c r="C132" s="5" t="s">
        <v>8829</v>
      </c>
      <c r="D132" s="2700"/>
      <c r="E132" s="7" t="s">
        <v>8830</v>
      </c>
      <c r="F132" s="2686"/>
      <c r="G132" s="2682">
        <v>1</v>
      </c>
      <c r="H132" s="2682"/>
      <c r="I132" s="2682"/>
      <c r="J132" s="2682">
        <v>1</v>
      </c>
      <c r="K132" s="2682"/>
      <c r="L132" s="817"/>
      <c r="M132" s="817"/>
      <c r="N132" s="817"/>
      <c r="O132" s="817"/>
      <c r="P132" s="2486">
        <v>43933</v>
      </c>
      <c r="Q132" s="2486"/>
      <c r="R132" s="824" t="s">
        <v>8831</v>
      </c>
      <c r="S132" s="2770"/>
      <c r="T132" s="6">
        <v>0.4375</v>
      </c>
      <c r="U132" s="2694">
        <v>0.75</v>
      </c>
      <c r="V132" s="2694">
        <v>0.75</v>
      </c>
      <c r="W132" s="1956">
        <v>100</v>
      </c>
      <c r="X132" s="836" t="s">
        <v>8625</v>
      </c>
      <c r="Y132" s="2772"/>
      <c r="Z132" s="817"/>
      <c r="AA132" s="817"/>
      <c r="AB132" s="7" t="s">
        <v>17</v>
      </c>
      <c r="AC132" s="817" t="s">
        <v>7451</v>
      </c>
      <c r="AD132" s="2700"/>
      <c r="AG132" s="2711"/>
    </row>
    <row r="133" spans="1:33" ht="43.5" hidden="1" x14ac:dyDescent="0.35">
      <c r="A133" s="2486">
        <v>43925</v>
      </c>
      <c r="B133" s="2718"/>
      <c r="C133" s="7" t="s">
        <v>8010</v>
      </c>
      <c r="D133" s="2699"/>
      <c r="E133" s="817" t="s">
        <v>7972</v>
      </c>
      <c r="F133" s="5">
        <v>1</v>
      </c>
      <c r="G133" s="5">
        <v>1</v>
      </c>
      <c r="H133" s="5"/>
      <c r="I133" s="5"/>
      <c r="J133" s="5"/>
      <c r="K133" s="5"/>
      <c r="L133" s="5"/>
      <c r="M133" s="5"/>
      <c r="N133" s="5"/>
      <c r="O133" s="5"/>
      <c r="P133" s="2486">
        <v>43933</v>
      </c>
      <c r="Q133" s="2486" t="s">
        <v>9456</v>
      </c>
      <c r="R133" s="824" t="s">
        <v>8011</v>
      </c>
      <c r="S133" s="824"/>
      <c r="T133" s="6">
        <v>0.4375</v>
      </c>
      <c r="U133" s="2694">
        <v>0.59722222222222221</v>
      </c>
      <c r="V133" s="2694">
        <v>0.59722222222222221</v>
      </c>
      <c r="W133" s="1956">
        <v>100</v>
      </c>
      <c r="X133" s="817" t="s">
        <v>7634</v>
      </c>
      <c r="Y133" s="2772"/>
      <c r="Z133" s="817"/>
      <c r="AA133" s="817"/>
      <c r="AB133" s="817" t="s">
        <v>17</v>
      </c>
      <c r="AC133" s="817" t="s">
        <v>7451</v>
      </c>
      <c r="AD133" s="2699"/>
      <c r="AG133" s="2711"/>
    </row>
    <row r="134" spans="1:33" ht="43.5" hidden="1" x14ac:dyDescent="0.35">
      <c r="A134" s="2769">
        <v>43932</v>
      </c>
      <c r="B134" s="2760"/>
      <c r="C134" s="817" t="s">
        <v>9695</v>
      </c>
      <c r="D134" s="2700" t="s">
        <v>9696</v>
      </c>
      <c r="E134" s="817" t="s">
        <v>9698</v>
      </c>
      <c r="F134" s="5"/>
      <c r="G134" s="5"/>
      <c r="H134" s="5"/>
      <c r="I134" s="5"/>
      <c r="J134" s="5"/>
      <c r="K134" s="5"/>
      <c r="L134" s="817"/>
      <c r="M134" s="817"/>
      <c r="N134" s="817"/>
      <c r="O134" s="817"/>
      <c r="P134" s="1899">
        <v>43933</v>
      </c>
      <c r="Q134" s="2769"/>
      <c r="R134" s="2706" t="s">
        <v>9697</v>
      </c>
      <c r="S134" s="2770"/>
      <c r="T134" s="6">
        <v>0.4375</v>
      </c>
      <c r="U134" s="836">
        <v>0.65972222222222221</v>
      </c>
      <c r="V134" s="836">
        <v>0.65972222222222221</v>
      </c>
      <c r="W134" s="1956">
        <v>179</v>
      </c>
      <c r="X134" s="817" t="s">
        <v>8625</v>
      </c>
      <c r="Y134" s="2772"/>
      <c r="Z134" s="817"/>
      <c r="AA134" s="817"/>
      <c r="AB134" s="817" t="s">
        <v>17</v>
      </c>
      <c r="AC134" s="817" t="s">
        <v>7451</v>
      </c>
      <c r="AD134" s="2696"/>
      <c r="AG134" s="2711"/>
    </row>
    <row r="135" spans="1:33" ht="87" hidden="1" x14ac:dyDescent="0.35">
      <c r="A135" s="1899">
        <v>43931</v>
      </c>
      <c r="B135" s="2759"/>
      <c r="C135" s="7" t="s">
        <v>9383</v>
      </c>
      <c r="D135" s="2696"/>
      <c r="E135" s="7" t="s">
        <v>9382</v>
      </c>
      <c r="F135" s="7"/>
      <c r="G135" s="7"/>
      <c r="H135" s="7"/>
      <c r="I135" s="7"/>
      <c r="J135" s="7"/>
      <c r="K135" s="7"/>
      <c r="L135" s="817"/>
      <c r="M135" s="817"/>
      <c r="N135" s="817"/>
      <c r="O135" s="817"/>
      <c r="P135" s="1899">
        <v>43933</v>
      </c>
      <c r="Q135" s="1899"/>
      <c r="R135" s="881" t="s">
        <v>1043</v>
      </c>
      <c r="S135" s="2721"/>
      <c r="T135" s="6">
        <v>0.4375</v>
      </c>
      <c r="U135" s="2694">
        <v>0.46527777777777773</v>
      </c>
      <c r="V135" s="2694">
        <v>0.46527777777777773</v>
      </c>
      <c r="W135" s="1809">
        <v>0</v>
      </c>
      <c r="X135" s="817" t="s">
        <v>9377</v>
      </c>
      <c r="Y135" s="2772"/>
      <c r="Z135" s="817"/>
      <c r="AA135" s="817"/>
      <c r="AB135" s="817" t="s">
        <v>17</v>
      </c>
      <c r="AC135" s="817" t="s">
        <v>6053</v>
      </c>
      <c r="AD135" s="2696"/>
      <c r="AG135" s="2711"/>
    </row>
    <row r="136" spans="1:33" ht="43.5" hidden="1" x14ac:dyDescent="0.35">
      <c r="A136" s="2769">
        <v>43931</v>
      </c>
      <c r="B136" s="2760"/>
      <c r="C136" s="817" t="s">
        <v>8998</v>
      </c>
      <c r="D136" s="2695"/>
      <c r="E136" s="7" t="s">
        <v>8553</v>
      </c>
      <c r="F136" s="2682">
        <v>1</v>
      </c>
      <c r="G136" s="2682">
        <v>1</v>
      </c>
      <c r="H136" s="2682"/>
      <c r="I136" s="2682"/>
      <c r="J136" s="2682"/>
      <c r="K136" s="2682"/>
      <c r="L136" s="817"/>
      <c r="M136" s="817"/>
      <c r="N136" s="817"/>
      <c r="O136" s="817"/>
      <c r="P136" s="2769">
        <v>43933</v>
      </c>
      <c r="Q136" s="2769"/>
      <c r="R136" s="2770" t="s">
        <v>9000</v>
      </c>
      <c r="S136" s="2721"/>
      <c r="T136" s="6">
        <v>0.4375</v>
      </c>
      <c r="U136" s="2694">
        <v>0.57291666666666663</v>
      </c>
      <c r="V136" s="2694">
        <v>0.57291666666666663</v>
      </c>
      <c r="W136" s="2681">
        <v>100</v>
      </c>
      <c r="X136" s="817" t="s">
        <v>8999</v>
      </c>
      <c r="Y136" s="2772"/>
      <c r="Z136" s="817"/>
      <c r="AA136" s="817"/>
      <c r="AB136" s="817" t="s">
        <v>17</v>
      </c>
      <c r="AC136" s="817" t="s">
        <v>7451</v>
      </c>
      <c r="AD136" s="2695"/>
      <c r="AG136" s="2711"/>
    </row>
    <row r="137" spans="1:33" ht="43.5" hidden="1" x14ac:dyDescent="0.35">
      <c r="A137" s="2486">
        <v>43930</v>
      </c>
      <c r="B137" s="2718"/>
      <c r="C137" s="5" t="s">
        <v>8788</v>
      </c>
      <c r="D137" s="2702"/>
      <c r="E137" s="7" t="s">
        <v>8787</v>
      </c>
      <c r="F137" s="2686"/>
      <c r="G137" s="2682"/>
      <c r="H137" s="2682"/>
      <c r="I137" s="2682"/>
      <c r="J137" s="2682"/>
      <c r="K137" s="2682"/>
      <c r="L137" s="817"/>
      <c r="M137" s="817"/>
      <c r="N137" s="817"/>
      <c r="O137" s="817"/>
      <c r="P137" s="2486">
        <v>43933</v>
      </c>
      <c r="Q137" s="2486"/>
      <c r="R137" s="824" t="s">
        <v>8786</v>
      </c>
      <c r="S137" s="2721"/>
      <c r="T137" s="6">
        <v>0.4375</v>
      </c>
      <c r="U137" s="2694">
        <v>0.58333333333333337</v>
      </c>
      <c r="V137" s="2694">
        <v>0.58333333333333337</v>
      </c>
      <c r="W137" s="1956">
        <v>90</v>
      </c>
      <c r="X137" s="836" t="s">
        <v>257</v>
      </c>
      <c r="Y137" s="2772"/>
      <c r="Z137" s="817"/>
      <c r="AA137" s="817"/>
      <c r="AB137" s="7" t="s">
        <v>17</v>
      </c>
      <c r="AC137" s="817" t="s">
        <v>8789</v>
      </c>
      <c r="AD137" s="2702"/>
      <c r="AG137" s="2711"/>
    </row>
    <row r="138" spans="1:33" ht="43.5" hidden="1" x14ac:dyDescent="0.35">
      <c r="A138" s="2769">
        <v>43932</v>
      </c>
      <c r="B138" s="2760"/>
      <c r="C138" s="817" t="s">
        <v>9637</v>
      </c>
      <c r="D138" s="2700" t="s">
        <v>9638</v>
      </c>
      <c r="E138" s="817" t="s">
        <v>9636</v>
      </c>
      <c r="F138" s="5"/>
      <c r="G138" s="5"/>
      <c r="H138" s="5"/>
      <c r="I138" s="5"/>
      <c r="J138" s="5"/>
      <c r="K138" s="5"/>
      <c r="L138" s="817"/>
      <c r="M138" s="817"/>
      <c r="N138" s="817"/>
      <c r="O138" s="817"/>
      <c r="P138" s="2769">
        <v>43933</v>
      </c>
      <c r="Q138" s="2769"/>
      <c r="R138" s="2706" t="s">
        <v>9639</v>
      </c>
      <c r="S138" s="2770"/>
      <c r="T138" s="6">
        <v>0.4375</v>
      </c>
      <c r="U138" s="836">
        <v>0.5</v>
      </c>
      <c r="V138" s="836">
        <v>0.5</v>
      </c>
      <c r="W138" s="2681">
        <v>67</v>
      </c>
      <c r="X138" s="817" t="s">
        <v>2900</v>
      </c>
      <c r="Y138" s="2772"/>
      <c r="Z138" s="817"/>
      <c r="AA138" s="817"/>
      <c r="AB138" s="817" t="s">
        <v>17</v>
      </c>
      <c r="AC138" s="817" t="s">
        <v>6053</v>
      </c>
      <c r="AD138" s="2696"/>
      <c r="AG138" s="2711"/>
    </row>
    <row r="139" spans="1:33" ht="87" hidden="1" x14ac:dyDescent="0.35">
      <c r="A139" s="1899">
        <v>43931</v>
      </c>
      <c r="B139" s="2759"/>
      <c r="C139" s="7" t="s">
        <v>10314</v>
      </c>
      <c r="D139" s="2700" t="s">
        <v>9726</v>
      </c>
      <c r="E139" s="7" t="s">
        <v>9054</v>
      </c>
      <c r="F139" s="2685"/>
      <c r="G139" s="2685"/>
      <c r="H139" s="2685"/>
      <c r="I139" s="2685"/>
      <c r="J139" s="2685"/>
      <c r="K139" s="2685"/>
      <c r="L139" s="817"/>
      <c r="M139" s="817"/>
      <c r="N139" s="817"/>
      <c r="O139" s="817"/>
      <c r="P139" s="1899">
        <v>43934</v>
      </c>
      <c r="Q139" s="1899"/>
      <c r="R139" s="881" t="s">
        <v>9051</v>
      </c>
      <c r="S139" s="2721"/>
      <c r="T139" s="6">
        <v>0.40972222222222227</v>
      </c>
      <c r="U139" s="2694">
        <v>0.55208333333333337</v>
      </c>
      <c r="V139" s="2694">
        <v>0.56597222222222221</v>
      </c>
      <c r="W139" s="2680">
        <v>440</v>
      </c>
      <c r="X139" s="817" t="s">
        <v>9052</v>
      </c>
      <c r="Y139" s="2717"/>
      <c r="Z139" s="7"/>
      <c r="AA139" s="7"/>
      <c r="AB139" s="7" t="s">
        <v>17</v>
      </c>
      <c r="AC139" s="7" t="s">
        <v>7451</v>
      </c>
      <c r="AD139" s="2695"/>
      <c r="AG139" s="2711"/>
    </row>
    <row r="140" spans="1:33" ht="145" hidden="1" x14ac:dyDescent="0.35">
      <c r="A140" s="2486">
        <v>43930</v>
      </c>
      <c r="B140" s="2718"/>
      <c r="C140" s="5" t="s">
        <v>8864</v>
      </c>
      <c r="D140" s="2700"/>
      <c r="E140" s="7" t="s">
        <v>8862</v>
      </c>
      <c r="F140" s="2679"/>
      <c r="G140" s="5"/>
      <c r="H140" s="5"/>
      <c r="I140" s="5"/>
      <c r="J140" s="5"/>
      <c r="K140" s="5"/>
      <c r="L140" s="817"/>
      <c r="M140" s="817"/>
      <c r="N140" s="817"/>
      <c r="O140" s="817"/>
      <c r="P140" s="2486">
        <v>43934</v>
      </c>
      <c r="Q140" s="2486"/>
      <c r="R140" s="824" t="s">
        <v>8863</v>
      </c>
      <c r="S140" s="2829"/>
      <c r="T140" s="6">
        <v>0.40972222222222227</v>
      </c>
      <c r="U140" s="2694">
        <v>0.59027777777777779</v>
      </c>
      <c r="V140" s="2694">
        <v>0.59027777777777779</v>
      </c>
      <c r="W140" s="1956">
        <v>120</v>
      </c>
      <c r="X140" s="836" t="s">
        <v>8625</v>
      </c>
      <c r="Y140" s="2772"/>
      <c r="Z140" s="817"/>
      <c r="AA140" s="817"/>
      <c r="AB140" s="7" t="s">
        <v>17</v>
      </c>
      <c r="AC140" s="817" t="s">
        <v>8499</v>
      </c>
      <c r="AD140" s="2700"/>
      <c r="AG140" s="2711"/>
    </row>
    <row r="141" spans="1:33" ht="43.5" hidden="1" x14ac:dyDescent="0.35">
      <c r="A141" s="1899">
        <v>43932</v>
      </c>
      <c r="B141" s="2759"/>
      <c r="C141" s="7" t="s">
        <v>9523</v>
      </c>
      <c r="D141" s="2707" t="s">
        <v>9524</v>
      </c>
      <c r="E141" s="7" t="s">
        <v>9525</v>
      </c>
      <c r="F141" s="5"/>
      <c r="G141" s="5"/>
      <c r="H141" s="5"/>
      <c r="I141" s="5"/>
      <c r="J141" s="5"/>
      <c r="K141" s="5"/>
      <c r="L141" s="817"/>
      <c r="M141" s="817"/>
      <c r="N141" s="817"/>
      <c r="O141" s="817"/>
      <c r="P141" s="1899">
        <v>43934</v>
      </c>
      <c r="Q141" s="2769"/>
      <c r="R141" s="881" t="s">
        <v>9526</v>
      </c>
      <c r="S141" s="2770"/>
      <c r="T141" s="6">
        <v>0.40972222222222227</v>
      </c>
      <c r="U141" s="836">
        <v>0.41666666666666669</v>
      </c>
      <c r="V141" s="836">
        <v>0.41666666666666669</v>
      </c>
      <c r="W141" s="1956">
        <v>120</v>
      </c>
      <c r="X141" s="817" t="s">
        <v>8625</v>
      </c>
      <c r="Y141" s="2772"/>
      <c r="Z141" s="817"/>
      <c r="AA141" s="817"/>
      <c r="AB141" s="817" t="s">
        <v>17</v>
      </c>
      <c r="AC141" s="817" t="s">
        <v>7451</v>
      </c>
      <c r="AD141" s="2696"/>
      <c r="AG141" s="2711"/>
    </row>
    <row r="142" spans="1:33" ht="43.5" hidden="1" x14ac:dyDescent="0.35">
      <c r="A142" s="2828">
        <v>43932</v>
      </c>
      <c r="B142" s="2760"/>
      <c r="C142" s="817" t="s">
        <v>9648</v>
      </c>
      <c r="D142" s="2700" t="s">
        <v>2249</v>
      </c>
      <c r="E142" s="817" t="s">
        <v>7925</v>
      </c>
      <c r="F142" s="5"/>
      <c r="G142" s="5"/>
      <c r="H142" s="5"/>
      <c r="I142" s="5"/>
      <c r="J142" s="5"/>
      <c r="K142" s="5"/>
      <c r="L142" s="817"/>
      <c r="M142" s="817"/>
      <c r="N142" s="817"/>
      <c r="O142" s="817"/>
      <c r="P142" s="2828">
        <v>43934</v>
      </c>
      <c r="Q142" s="2828"/>
      <c r="R142" s="2706" t="s">
        <v>7399</v>
      </c>
      <c r="S142" s="2770"/>
      <c r="T142" s="6">
        <v>0.40972222222222227</v>
      </c>
      <c r="U142" s="836">
        <v>0.5</v>
      </c>
      <c r="V142" s="836">
        <v>0.5</v>
      </c>
      <c r="W142" s="2680">
        <v>80</v>
      </c>
      <c r="X142" s="817" t="s">
        <v>2900</v>
      </c>
      <c r="Y142" s="2772"/>
      <c r="Z142" s="817"/>
      <c r="AA142" s="817"/>
      <c r="AB142" s="817" t="s">
        <v>17</v>
      </c>
      <c r="AC142" s="817" t="s">
        <v>7451</v>
      </c>
      <c r="AD142" s="2696"/>
      <c r="AG142" s="2711"/>
    </row>
    <row r="143" spans="1:33" ht="203" hidden="1" x14ac:dyDescent="0.35">
      <c r="A143" s="2769">
        <v>43934</v>
      </c>
      <c r="B143" s="2760"/>
      <c r="C143" s="817" t="s">
        <v>10340</v>
      </c>
      <c r="D143" s="2700" t="s">
        <v>10341</v>
      </c>
      <c r="E143" s="817" t="s">
        <v>10342</v>
      </c>
      <c r="F143" s="2692"/>
      <c r="G143" s="2692"/>
      <c r="H143" s="2692"/>
      <c r="I143" s="2692"/>
      <c r="J143" s="2692"/>
      <c r="K143" s="2692"/>
      <c r="L143" s="817"/>
      <c r="M143" s="817"/>
      <c r="N143" s="817"/>
      <c r="O143" s="817"/>
      <c r="P143" s="2769">
        <v>43934</v>
      </c>
      <c r="Q143" s="2769"/>
      <c r="R143" s="2770" t="s">
        <v>10343</v>
      </c>
      <c r="S143" s="2770"/>
      <c r="T143" s="6">
        <v>0.40972222222222227</v>
      </c>
      <c r="U143" s="2694">
        <v>0.4826388888888889</v>
      </c>
      <c r="V143" s="2694">
        <v>0.4826388888888889</v>
      </c>
      <c r="W143" s="2680">
        <v>0</v>
      </c>
      <c r="X143" s="817" t="s">
        <v>10344</v>
      </c>
      <c r="Y143" s="2772"/>
      <c r="Z143" s="817"/>
      <c r="AA143" s="817"/>
      <c r="AB143" s="817" t="s">
        <v>17</v>
      </c>
      <c r="AC143" s="817" t="s">
        <v>8060</v>
      </c>
      <c r="AD143" s="2695"/>
      <c r="AG143" s="2711"/>
    </row>
    <row r="144" spans="1:33" ht="43.5" hidden="1" x14ac:dyDescent="0.35">
      <c r="A144" s="1899">
        <v>43932</v>
      </c>
      <c r="B144" s="2759"/>
      <c r="C144" s="7" t="s">
        <v>9490</v>
      </c>
      <c r="D144" s="2707" t="s">
        <v>9491</v>
      </c>
      <c r="E144" s="7" t="s">
        <v>9494</v>
      </c>
      <c r="F144" s="2682"/>
      <c r="G144" s="2682"/>
      <c r="H144" s="2682"/>
      <c r="I144" s="2682"/>
      <c r="J144" s="2682"/>
      <c r="K144" s="2682"/>
      <c r="L144" s="817"/>
      <c r="M144" s="817"/>
      <c r="N144" s="817"/>
      <c r="O144" s="817"/>
      <c r="P144" s="1899">
        <v>43934</v>
      </c>
      <c r="Q144" s="2828"/>
      <c r="R144" s="881" t="s">
        <v>9495</v>
      </c>
      <c r="S144" s="2770"/>
      <c r="T144" s="6">
        <v>0.40972222222222227</v>
      </c>
      <c r="U144" s="836">
        <v>0.44444444444444442</v>
      </c>
      <c r="V144" s="836">
        <v>0.44444444444444442</v>
      </c>
      <c r="W144" s="1956">
        <v>120</v>
      </c>
      <c r="X144" s="817" t="s">
        <v>8625</v>
      </c>
      <c r="Y144" s="2772"/>
      <c r="Z144" s="817"/>
      <c r="AA144" s="817"/>
      <c r="AB144" s="817" t="s">
        <v>17</v>
      </c>
      <c r="AC144" s="817" t="s">
        <v>7451</v>
      </c>
      <c r="AD144" s="2695"/>
      <c r="AG144" s="2711"/>
    </row>
    <row r="145" spans="1:33" ht="29" hidden="1" x14ac:dyDescent="0.35">
      <c r="A145" s="2486">
        <v>43933</v>
      </c>
      <c r="B145" s="2718"/>
      <c r="C145" s="5" t="s">
        <v>10310</v>
      </c>
      <c r="D145" s="2700" t="s">
        <v>10311</v>
      </c>
      <c r="E145" s="7" t="s">
        <v>10312</v>
      </c>
      <c r="F145" s="2679"/>
      <c r="G145" s="5"/>
      <c r="H145" s="5">
        <v>1</v>
      </c>
      <c r="I145" s="5"/>
      <c r="J145" s="5"/>
      <c r="K145" s="5"/>
      <c r="L145" s="817"/>
      <c r="M145" s="817"/>
      <c r="N145" s="817"/>
      <c r="O145" s="817"/>
      <c r="P145" s="2486">
        <v>43934</v>
      </c>
      <c r="Q145" s="2769"/>
      <c r="R145" s="824" t="s">
        <v>10313</v>
      </c>
      <c r="S145" s="2770"/>
      <c r="T145" s="6">
        <v>0.40972222222222227</v>
      </c>
      <c r="U145" s="2694">
        <v>0.53125</v>
      </c>
      <c r="V145" s="2694">
        <v>0.53125</v>
      </c>
      <c r="W145" s="1809">
        <v>0</v>
      </c>
      <c r="X145" s="2694" t="s">
        <v>5171</v>
      </c>
      <c r="Y145" s="2772"/>
      <c r="Z145" s="817"/>
      <c r="AA145" s="817"/>
      <c r="AB145" s="817" t="s">
        <v>17</v>
      </c>
      <c r="AC145" s="817" t="s">
        <v>7451</v>
      </c>
      <c r="AD145" s="2700"/>
      <c r="AG145" s="2711"/>
    </row>
    <row r="146" spans="1:33" ht="43.5" hidden="1" x14ac:dyDescent="0.35">
      <c r="A146" s="2486">
        <v>43931</v>
      </c>
      <c r="B146" s="2718"/>
      <c r="C146" s="5" t="s">
        <v>7802</v>
      </c>
      <c r="D146" s="2700" t="s">
        <v>9283</v>
      </c>
      <c r="E146" s="5" t="s">
        <v>9275</v>
      </c>
      <c r="F146" s="2686"/>
      <c r="G146" s="2682"/>
      <c r="H146" s="2682"/>
      <c r="I146" s="2682"/>
      <c r="J146" s="2682"/>
      <c r="K146" s="2682"/>
      <c r="L146" s="817"/>
      <c r="M146" s="817"/>
      <c r="N146" s="817"/>
      <c r="O146" s="817"/>
      <c r="P146" s="2486">
        <v>43934</v>
      </c>
      <c r="Q146" s="2486"/>
      <c r="R146" s="824" t="s">
        <v>7801</v>
      </c>
      <c r="S146" s="2721"/>
      <c r="T146" s="6">
        <v>0.40972222222222227</v>
      </c>
      <c r="U146" s="2693">
        <v>0.46875</v>
      </c>
      <c r="V146" s="2693">
        <v>0.46875</v>
      </c>
      <c r="W146" s="2680">
        <v>396</v>
      </c>
      <c r="X146" s="2694" t="s">
        <v>10701</v>
      </c>
      <c r="Y146" s="2772"/>
      <c r="Z146" s="817"/>
      <c r="AA146" s="817"/>
      <c r="AB146" s="817" t="s">
        <v>22</v>
      </c>
      <c r="AC146" s="817" t="s">
        <v>6096</v>
      </c>
      <c r="AD146" s="2695"/>
      <c r="AG146" s="2711"/>
    </row>
    <row r="147" spans="1:33" ht="29" hidden="1" x14ac:dyDescent="0.35">
      <c r="A147" s="2828">
        <v>43932</v>
      </c>
      <c r="B147" s="2760"/>
      <c r="C147" s="817" t="s">
        <v>330</v>
      </c>
      <c r="D147" s="2700" t="s">
        <v>9650</v>
      </c>
      <c r="E147" s="817" t="s">
        <v>9651</v>
      </c>
      <c r="F147" s="5"/>
      <c r="G147" s="5"/>
      <c r="H147" s="5"/>
      <c r="I147" s="5"/>
      <c r="J147" s="5"/>
      <c r="K147" s="5"/>
      <c r="L147" s="817"/>
      <c r="M147" s="817"/>
      <c r="N147" s="817"/>
      <c r="O147" s="817"/>
      <c r="P147" s="2828">
        <v>43935</v>
      </c>
      <c r="Q147" s="2828"/>
      <c r="R147" s="2706" t="s">
        <v>9649</v>
      </c>
      <c r="S147" s="2721"/>
      <c r="T147" s="2694">
        <v>0.4513888888888889</v>
      </c>
      <c r="U147" s="836">
        <v>0.59375</v>
      </c>
      <c r="V147" s="836">
        <v>0.59375</v>
      </c>
      <c r="W147" s="2680">
        <f>1.5*90</f>
        <v>135</v>
      </c>
      <c r="X147" s="817" t="s">
        <v>2900</v>
      </c>
      <c r="Y147" s="2772"/>
      <c r="Z147" s="817"/>
      <c r="AA147" s="817"/>
      <c r="AB147" s="817" t="s">
        <v>17</v>
      </c>
      <c r="AC147" s="817" t="s">
        <v>7451</v>
      </c>
      <c r="AD147" s="2696"/>
      <c r="AG147" s="2711"/>
    </row>
    <row r="148" spans="1:33" ht="43.5" hidden="1" x14ac:dyDescent="0.35">
      <c r="A148" s="1899">
        <v>43933</v>
      </c>
      <c r="B148" s="2759"/>
      <c r="C148" s="7" t="s">
        <v>10257</v>
      </c>
      <c r="D148" s="2707" t="s">
        <v>10258</v>
      </c>
      <c r="E148" s="7" t="s">
        <v>9659</v>
      </c>
      <c r="F148" s="2692">
        <v>1</v>
      </c>
      <c r="G148" s="2692">
        <v>1</v>
      </c>
      <c r="H148" s="2692"/>
      <c r="I148" s="2692">
        <v>1</v>
      </c>
      <c r="J148" s="2692"/>
      <c r="K148" s="2692"/>
      <c r="L148" s="817"/>
      <c r="M148" s="817"/>
      <c r="N148" s="817"/>
      <c r="O148" s="817"/>
      <c r="P148" s="1899">
        <v>43935</v>
      </c>
      <c r="Q148" s="2769"/>
      <c r="R148" s="2708" t="s">
        <v>10570</v>
      </c>
      <c r="S148" s="2770"/>
      <c r="T148" s="2694">
        <v>0.4513888888888889</v>
      </c>
      <c r="U148" s="836">
        <v>0.53125</v>
      </c>
      <c r="V148" s="836">
        <v>0.53125</v>
      </c>
      <c r="W148" s="1956">
        <v>165</v>
      </c>
      <c r="X148" s="817" t="s">
        <v>8625</v>
      </c>
      <c r="Y148" s="2772"/>
      <c r="Z148" s="817"/>
      <c r="AA148" s="817"/>
      <c r="AB148" s="817" t="s">
        <v>17</v>
      </c>
      <c r="AC148" s="817" t="s">
        <v>7451</v>
      </c>
      <c r="AD148" s="2695"/>
      <c r="AG148" s="2711"/>
    </row>
    <row r="149" spans="1:33" ht="29" hidden="1" x14ac:dyDescent="0.35">
      <c r="A149" s="2769">
        <v>43934</v>
      </c>
      <c r="B149" s="2760"/>
      <c r="C149" s="817" t="s">
        <v>9640</v>
      </c>
      <c r="D149" s="2700" t="s">
        <v>10364</v>
      </c>
      <c r="E149" s="817" t="s">
        <v>10365</v>
      </c>
      <c r="F149" s="5"/>
      <c r="G149" s="5"/>
      <c r="H149" s="5"/>
      <c r="I149" s="5"/>
      <c r="J149" s="5"/>
      <c r="K149" s="5"/>
      <c r="L149" s="817"/>
      <c r="M149" s="817"/>
      <c r="N149" s="817"/>
      <c r="O149" s="817"/>
      <c r="P149" s="2769">
        <v>43935</v>
      </c>
      <c r="Q149" s="2769"/>
      <c r="R149" s="2829" t="s">
        <v>10363</v>
      </c>
      <c r="S149" s="2721"/>
      <c r="T149" s="2694">
        <v>0.4513888888888889</v>
      </c>
      <c r="U149" s="2694">
        <v>0.45833333333333331</v>
      </c>
      <c r="V149" s="2694">
        <v>0.45833333333333331</v>
      </c>
      <c r="W149" s="1809">
        <f>1.6*80</f>
        <v>128</v>
      </c>
      <c r="X149" s="817" t="s">
        <v>257</v>
      </c>
      <c r="Y149" s="2772"/>
      <c r="Z149" s="817"/>
      <c r="AA149" s="817"/>
      <c r="AB149" s="817" t="s">
        <v>17</v>
      </c>
      <c r="AC149" s="817" t="s">
        <v>7451</v>
      </c>
      <c r="AD149" s="2696"/>
      <c r="AG149" s="2711"/>
    </row>
    <row r="150" spans="1:33" ht="87" hidden="1" x14ac:dyDescent="0.35">
      <c r="A150" s="2769">
        <v>43934</v>
      </c>
      <c r="B150" s="2760"/>
      <c r="C150" s="5" t="s">
        <v>10543</v>
      </c>
      <c r="D150" s="2700" t="s">
        <v>10544</v>
      </c>
      <c r="E150" s="5" t="s">
        <v>10542</v>
      </c>
      <c r="F150" s="2679"/>
      <c r="G150" s="5"/>
      <c r="H150" s="5"/>
      <c r="I150" s="5"/>
      <c r="J150" s="5"/>
      <c r="K150" s="5"/>
      <c r="L150" s="817"/>
      <c r="M150" s="817"/>
      <c r="N150" s="817"/>
      <c r="O150" s="817"/>
      <c r="P150" s="2486">
        <v>43935</v>
      </c>
      <c r="Q150" s="2769"/>
      <c r="R150" s="2722" t="s">
        <v>10541</v>
      </c>
      <c r="S150" s="2721"/>
      <c r="T150" s="2694">
        <v>0.4513888888888889</v>
      </c>
      <c r="U150" s="2694">
        <v>0.47569444444444442</v>
      </c>
      <c r="V150" s="2694">
        <v>0.47569444444444442</v>
      </c>
      <c r="W150" s="1809">
        <v>105</v>
      </c>
      <c r="X150" s="817" t="s">
        <v>257</v>
      </c>
      <c r="Y150" s="2772"/>
      <c r="Z150" s="817"/>
      <c r="AA150" s="817"/>
      <c r="AB150" s="817" t="s">
        <v>17</v>
      </c>
      <c r="AC150" s="817" t="s">
        <v>7451</v>
      </c>
      <c r="AD150" s="2696"/>
      <c r="AG150" s="2711"/>
    </row>
    <row r="151" spans="1:33" ht="58" hidden="1" x14ac:dyDescent="0.35">
      <c r="A151" s="2828">
        <v>43929</v>
      </c>
      <c r="B151" s="2760"/>
      <c r="C151" s="817" t="s">
        <v>10573</v>
      </c>
      <c r="D151" s="2699" t="s">
        <v>10572</v>
      </c>
      <c r="E151" s="817" t="s">
        <v>7935</v>
      </c>
      <c r="F151" s="5">
        <v>1</v>
      </c>
      <c r="G151" s="5">
        <v>1</v>
      </c>
      <c r="H151" s="5"/>
      <c r="I151" s="5"/>
      <c r="J151" s="5"/>
      <c r="K151" s="5"/>
      <c r="L151" s="817"/>
      <c r="M151" s="817"/>
      <c r="N151" s="817"/>
      <c r="O151" s="817"/>
      <c r="P151" s="2828">
        <v>43935</v>
      </c>
      <c r="Q151" s="2769"/>
      <c r="R151" s="2829" t="s">
        <v>10568</v>
      </c>
      <c r="S151" s="2688" t="s">
        <v>8289</v>
      </c>
      <c r="T151" s="2694">
        <v>0.4513888888888889</v>
      </c>
      <c r="U151" s="2694">
        <v>0.61805555555555558</v>
      </c>
      <c r="V151" s="2694">
        <v>0.61805555555555558</v>
      </c>
      <c r="W151" s="1809">
        <v>100</v>
      </c>
      <c r="X151" s="817" t="s">
        <v>257</v>
      </c>
      <c r="Y151" s="2772"/>
      <c r="Z151" s="817"/>
      <c r="AA151" s="817"/>
      <c r="AB151" s="817" t="s">
        <v>17</v>
      </c>
      <c r="AC151" s="817" t="s">
        <v>7451</v>
      </c>
      <c r="AD151" s="2699"/>
      <c r="AG151" s="2711"/>
    </row>
    <row r="152" spans="1:33" ht="29" hidden="1" x14ac:dyDescent="0.35">
      <c r="A152" s="2828">
        <v>43934</v>
      </c>
      <c r="B152" s="2760"/>
      <c r="C152" s="5" t="s">
        <v>10564</v>
      </c>
      <c r="D152" s="2700" t="s">
        <v>15</v>
      </c>
      <c r="E152" s="2725" t="s">
        <v>10565</v>
      </c>
      <c r="F152" s="2679"/>
      <c r="G152" s="5"/>
      <c r="H152" s="5"/>
      <c r="I152" s="5"/>
      <c r="J152" s="5"/>
      <c r="K152" s="5"/>
      <c r="L152" s="817"/>
      <c r="M152" s="817"/>
      <c r="N152" s="817"/>
      <c r="O152" s="817"/>
      <c r="P152" s="2486">
        <v>43935</v>
      </c>
      <c r="Q152" s="2769"/>
      <c r="R152" s="2722" t="s">
        <v>10566</v>
      </c>
      <c r="S152" s="2721"/>
      <c r="T152" s="2694">
        <v>0.39583333333333331</v>
      </c>
      <c r="U152" s="2694">
        <v>0.41666666666666669</v>
      </c>
      <c r="V152" s="2694">
        <v>0.41666666666666669</v>
      </c>
      <c r="W152" s="1809">
        <v>0</v>
      </c>
      <c r="X152" s="817" t="s">
        <v>15</v>
      </c>
      <c r="Y152" s="2772"/>
      <c r="Z152" s="817"/>
      <c r="AA152" s="817"/>
      <c r="AB152" s="817" t="s">
        <v>17</v>
      </c>
      <c r="AC152" s="817" t="s">
        <v>6061</v>
      </c>
      <c r="AD152" s="2696"/>
      <c r="AG152" s="2711"/>
    </row>
    <row r="153" spans="1:33" ht="58" hidden="1" x14ac:dyDescent="0.35">
      <c r="A153" s="2486">
        <v>43930</v>
      </c>
      <c r="B153" s="2718"/>
      <c r="C153" s="5" t="s">
        <v>8848</v>
      </c>
      <c r="D153" s="2700"/>
      <c r="E153" s="7" t="s">
        <v>8847</v>
      </c>
      <c r="F153" s="2679"/>
      <c r="G153" s="5"/>
      <c r="H153" s="5"/>
      <c r="I153" s="5"/>
      <c r="J153" s="5"/>
      <c r="K153" s="5"/>
      <c r="L153" s="817"/>
      <c r="M153" s="817"/>
      <c r="N153" s="817"/>
      <c r="O153" s="817"/>
      <c r="P153" s="2486">
        <v>43935</v>
      </c>
      <c r="Q153" s="2486"/>
      <c r="R153" s="824" t="s">
        <v>10569</v>
      </c>
      <c r="S153" s="2688"/>
      <c r="T153" s="2694">
        <v>0.4513888888888889</v>
      </c>
      <c r="U153" s="2694">
        <v>0.51041666666666663</v>
      </c>
      <c r="V153" s="2694">
        <v>0.51041666666666663</v>
      </c>
      <c r="W153" s="1956">
        <v>100</v>
      </c>
      <c r="X153" s="836" t="s">
        <v>8625</v>
      </c>
      <c r="Y153" s="2772"/>
      <c r="Z153" s="817"/>
      <c r="AA153" s="817"/>
      <c r="AB153" s="7" t="s">
        <v>17</v>
      </c>
      <c r="AC153" s="817" t="s">
        <v>7451</v>
      </c>
      <c r="AD153" s="2700"/>
      <c r="AG153" s="2711"/>
    </row>
    <row r="154" spans="1:33" ht="29" hidden="1" x14ac:dyDescent="0.35">
      <c r="A154" s="2769">
        <v>43934</v>
      </c>
      <c r="B154" s="2760"/>
      <c r="C154" s="817" t="s">
        <v>7586</v>
      </c>
      <c r="D154" s="2700" t="s">
        <v>10351</v>
      </c>
      <c r="E154" s="7" t="s">
        <v>10352</v>
      </c>
      <c r="F154" s="2692"/>
      <c r="G154" s="2692"/>
      <c r="H154" s="2692"/>
      <c r="I154" s="2692"/>
      <c r="J154" s="2692"/>
      <c r="K154" s="2692"/>
      <c r="L154" s="817"/>
      <c r="M154" s="817"/>
      <c r="N154" s="817"/>
      <c r="O154" s="817"/>
      <c r="P154" s="2769">
        <v>43935</v>
      </c>
      <c r="Q154" s="2769"/>
      <c r="R154" s="2706" t="s">
        <v>10571</v>
      </c>
      <c r="S154" s="2721"/>
      <c r="T154" s="2694">
        <v>0.4513888888888889</v>
      </c>
      <c r="U154" s="2694">
        <v>0.54861111111111105</v>
      </c>
      <c r="V154" s="2694">
        <v>0.54861111111111105</v>
      </c>
      <c r="W154" s="2680">
        <f>1.6*80</f>
        <v>128</v>
      </c>
      <c r="X154" s="817" t="s">
        <v>2900</v>
      </c>
      <c r="Y154" s="2772"/>
      <c r="Z154" s="817"/>
      <c r="AA154" s="817"/>
      <c r="AB154" s="817" t="s">
        <v>17</v>
      </c>
      <c r="AC154" s="817" t="s">
        <v>2084</v>
      </c>
      <c r="AD154" s="2695"/>
      <c r="AG154" s="2711"/>
    </row>
    <row r="155" spans="1:33" ht="58" hidden="1" x14ac:dyDescent="0.35">
      <c r="A155" s="1899">
        <v>43934</v>
      </c>
      <c r="B155" s="2759"/>
      <c r="C155" s="7" t="s">
        <v>10500</v>
      </c>
      <c r="D155" s="2700" t="s">
        <v>10501</v>
      </c>
      <c r="E155" s="7" t="s">
        <v>10503</v>
      </c>
      <c r="F155" s="817"/>
      <c r="G155" s="817"/>
      <c r="H155" s="817"/>
      <c r="I155" s="817"/>
      <c r="J155" s="817"/>
      <c r="K155" s="817"/>
      <c r="L155" s="817"/>
      <c r="M155" s="817"/>
      <c r="N155" s="817"/>
      <c r="O155" s="817"/>
      <c r="P155" s="1899">
        <v>43935</v>
      </c>
      <c r="Q155" s="2769"/>
      <c r="R155" s="2708" t="s">
        <v>10502</v>
      </c>
      <c r="S155" s="2770"/>
      <c r="T155" s="2694">
        <v>0.4513888888888889</v>
      </c>
      <c r="U155" s="836">
        <v>0.56597222222222221</v>
      </c>
      <c r="V155" s="836">
        <v>0.56597222222222221</v>
      </c>
      <c r="W155" s="2680">
        <v>70</v>
      </c>
      <c r="X155" s="817" t="s">
        <v>2900</v>
      </c>
      <c r="Y155" s="2772"/>
      <c r="Z155" s="817"/>
      <c r="AA155" s="817"/>
      <c r="AB155" s="817" t="s">
        <v>17</v>
      </c>
      <c r="AC155" s="817" t="s">
        <v>7451</v>
      </c>
      <c r="AD155" s="2696"/>
      <c r="AG155" s="2711"/>
    </row>
    <row r="156" spans="1:33" ht="261" hidden="1" x14ac:dyDescent="0.35">
      <c r="A156" s="2730">
        <v>43927</v>
      </c>
      <c r="B156" s="2780"/>
      <c r="C156" s="2538" t="s">
        <v>10715</v>
      </c>
      <c r="D156" s="2731" t="s">
        <v>15</v>
      </c>
      <c r="E156" s="2538" t="s">
        <v>10563</v>
      </c>
      <c r="F156" s="5">
        <v>2</v>
      </c>
      <c r="G156" s="5">
        <v>2</v>
      </c>
      <c r="H156" s="5"/>
      <c r="I156" s="5"/>
      <c r="J156" s="5"/>
      <c r="K156" s="5"/>
      <c r="L156" s="817"/>
      <c r="M156" s="817"/>
      <c r="N156" s="817"/>
      <c r="O156" s="817" t="s">
        <v>8148</v>
      </c>
      <c r="P156" s="2730">
        <v>43936</v>
      </c>
      <c r="Q156" s="2657"/>
      <c r="R156" s="2732" t="s">
        <v>10567</v>
      </c>
      <c r="S156" s="2521"/>
      <c r="T156" s="2536">
        <v>0.39583333333333331</v>
      </c>
      <c r="U156" s="2536">
        <v>0.42986111111111108</v>
      </c>
      <c r="V156" s="2536">
        <v>0.42986111111111108</v>
      </c>
      <c r="W156" s="2734">
        <f>200+135</f>
        <v>335</v>
      </c>
      <c r="X156" s="2538" t="s">
        <v>8275</v>
      </c>
      <c r="Y156" s="2801"/>
      <c r="Z156" s="2538"/>
      <c r="AA156" s="2538"/>
      <c r="AB156" s="2538" t="s">
        <v>17</v>
      </c>
      <c r="AC156" s="2538" t="s">
        <v>7451</v>
      </c>
      <c r="AD156" s="2699"/>
      <c r="AG156" s="2711"/>
    </row>
    <row r="157" spans="1:33" ht="43.5" hidden="1" x14ac:dyDescent="0.35">
      <c r="A157" s="2769">
        <v>43930</v>
      </c>
      <c r="B157" s="2760"/>
      <c r="C157" s="817" t="s">
        <v>8939</v>
      </c>
      <c r="D157" s="2712" t="s">
        <v>9750</v>
      </c>
      <c r="E157" s="817" t="s">
        <v>8931</v>
      </c>
      <c r="F157" s="2682">
        <v>1</v>
      </c>
      <c r="G157" s="2682">
        <v>1</v>
      </c>
      <c r="H157" s="2682"/>
      <c r="I157" s="2682"/>
      <c r="J157" s="2682"/>
      <c r="K157" s="2682"/>
      <c r="L157" s="817"/>
      <c r="M157" s="817"/>
      <c r="N157" s="817"/>
      <c r="O157" s="817" t="s">
        <v>8148</v>
      </c>
      <c r="P157" s="2828">
        <v>43936</v>
      </c>
      <c r="Q157" s="2769"/>
      <c r="R157" s="2829" t="s">
        <v>8927</v>
      </c>
      <c r="S157" s="2770"/>
      <c r="T157" s="836">
        <v>0.39583333333333331</v>
      </c>
      <c r="U157" s="2694">
        <v>0.59861111111111109</v>
      </c>
      <c r="V157" s="2694">
        <v>0.59861111111111109</v>
      </c>
      <c r="W157" s="2680">
        <v>0</v>
      </c>
      <c r="X157" s="817" t="s">
        <v>8917</v>
      </c>
      <c r="Y157" s="2772"/>
      <c r="Z157" s="817"/>
      <c r="AA157" s="817"/>
      <c r="AB157" s="817" t="s">
        <v>974</v>
      </c>
      <c r="AC157" s="817" t="s">
        <v>7451</v>
      </c>
      <c r="AD157" s="2695"/>
      <c r="AG157" s="2711"/>
    </row>
    <row r="158" spans="1:33" ht="101.5" hidden="1" x14ac:dyDescent="0.35">
      <c r="A158" s="2769">
        <v>43926</v>
      </c>
      <c r="B158" s="2760"/>
      <c r="C158" s="2828" t="s">
        <v>8094</v>
      </c>
      <c r="D158" s="2712" t="s">
        <v>9746</v>
      </c>
      <c r="E158" s="817" t="s">
        <v>8140</v>
      </c>
      <c r="F158" s="5">
        <v>1</v>
      </c>
      <c r="G158" s="5">
        <v>1</v>
      </c>
      <c r="H158" s="5"/>
      <c r="I158" s="5"/>
      <c r="J158" s="5"/>
      <c r="K158" s="5"/>
      <c r="L158" s="5"/>
      <c r="M158" s="5"/>
      <c r="N158" s="5"/>
      <c r="O158" s="5" t="s">
        <v>8148</v>
      </c>
      <c r="P158" s="2769">
        <v>43936</v>
      </c>
      <c r="Q158" s="2769"/>
      <c r="R158" s="2770" t="s">
        <v>8099</v>
      </c>
      <c r="S158" s="2770" t="s">
        <v>8285</v>
      </c>
      <c r="T158" s="836">
        <v>0.39583333333333331</v>
      </c>
      <c r="U158" s="2694">
        <v>0.49236111111111108</v>
      </c>
      <c r="V158" s="2694">
        <v>0.49236111111111108</v>
      </c>
      <c r="W158" s="1956">
        <v>215</v>
      </c>
      <c r="X158" s="817" t="s">
        <v>7424</v>
      </c>
      <c r="Y158" s="2772"/>
      <c r="Z158" s="817"/>
      <c r="AA158" s="817"/>
      <c r="AB158" s="817" t="s">
        <v>17</v>
      </c>
      <c r="AC158" s="817" t="s">
        <v>7451</v>
      </c>
      <c r="AD158" s="2699"/>
      <c r="AG158" s="2711"/>
    </row>
    <row r="159" spans="1:33" ht="43.5" hidden="1" x14ac:dyDescent="0.35">
      <c r="A159" s="2769">
        <v>43930</v>
      </c>
      <c r="B159" s="2760"/>
      <c r="C159" s="817" t="s">
        <v>8933</v>
      </c>
      <c r="D159" s="2712" t="s">
        <v>9753</v>
      </c>
      <c r="E159" s="817" t="s">
        <v>8931</v>
      </c>
      <c r="F159" s="2682">
        <v>1</v>
      </c>
      <c r="G159" s="2682">
        <v>1</v>
      </c>
      <c r="H159" s="2682"/>
      <c r="I159" s="2682"/>
      <c r="J159" s="2682"/>
      <c r="K159" s="2682"/>
      <c r="L159" s="817"/>
      <c r="M159" s="817"/>
      <c r="N159" s="817"/>
      <c r="O159" s="817" t="s">
        <v>8148</v>
      </c>
      <c r="P159" s="2828">
        <v>43936</v>
      </c>
      <c r="Q159" s="2769"/>
      <c r="R159" s="2829" t="s">
        <v>8921</v>
      </c>
      <c r="S159" s="2770"/>
      <c r="T159" s="836">
        <v>0.39583333333333331</v>
      </c>
      <c r="U159" s="2694">
        <v>0.51597222222222217</v>
      </c>
      <c r="V159" s="2694">
        <v>0.51597222222222217</v>
      </c>
      <c r="W159" s="2680">
        <v>0</v>
      </c>
      <c r="X159" s="817" t="s">
        <v>8917</v>
      </c>
      <c r="Y159" s="2772"/>
      <c r="Z159" s="817"/>
      <c r="AA159" s="817"/>
      <c r="AB159" s="817" t="s">
        <v>974</v>
      </c>
      <c r="AC159" s="817" t="s">
        <v>7451</v>
      </c>
      <c r="AD159" s="2695"/>
      <c r="AG159" s="2711"/>
    </row>
    <row r="160" spans="1:33" ht="43.5" hidden="1" x14ac:dyDescent="0.35">
      <c r="A160" s="2828">
        <v>43930</v>
      </c>
      <c r="B160" s="2760"/>
      <c r="C160" s="817" t="s">
        <v>8918</v>
      </c>
      <c r="D160" s="2712" t="s">
        <v>9752</v>
      </c>
      <c r="E160" s="817" t="s">
        <v>8931</v>
      </c>
      <c r="F160" s="2682">
        <v>1</v>
      </c>
      <c r="G160" s="2682">
        <v>1</v>
      </c>
      <c r="H160" s="2682"/>
      <c r="I160" s="2682"/>
      <c r="J160" s="2682"/>
      <c r="K160" s="2682"/>
      <c r="L160" s="817"/>
      <c r="M160" s="817"/>
      <c r="N160" s="817"/>
      <c r="O160" s="817" t="s">
        <v>8148</v>
      </c>
      <c r="P160" s="2828">
        <v>43936</v>
      </c>
      <c r="Q160" s="2828"/>
      <c r="R160" s="2829" t="s">
        <v>8919</v>
      </c>
      <c r="S160" s="2770"/>
      <c r="T160" s="836">
        <v>0.39583333333333331</v>
      </c>
      <c r="U160" s="2694">
        <v>0.40902777777777777</v>
      </c>
      <c r="V160" s="2694">
        <v>0.40902777777777777</v>
      </c>
      <c r="W160" s="2680">
        <v>0</v>
      </c>
      <c r="X160" s="817" t="s">
        <v>8917</v>
      </c>
      <c r="Y160" s="2772"/>
      <c r="Z160" s="817"/>
      <c r="AA160" s="817"/>
      <c r="AB160" s="817" t="s">
        <v>974</v>
      </c>
      <c r="AC160" s="817" t="s">
        <v>7451</v>
      </c>
      <c r="AD160" s="2695"/>
      <c r="AG160" s="2711"/>
    </row>
    <row r="161" spans="1:33" ht="217.5" hidden="1" x14ac:dyDescent="0.35">
      <c r="A161" s="2535">
        <v>43928</v>
      </c>
      <c r="B161" s="2781"/>
      <c r="C161" s="1229" t="s">
        <v>10717</v>
      </c>
      <c r="D161" s="2748" t="s">
        <v>9707</v>
      </c>
      <c r="E161" s="1229" t="s">
        <v>10713</v>
      </c>
      <c r="F161" s="2679">
        <v>2</v>
      </c>
      <c r="G161" s="5">
        <v>2</v>
      </c>
      <c r="H161" s="5"/>
      <c r="I161" s="5"/>
      <c r="J161" s="5"/>
      <c r="K161" s="5"/>
      <c r="L161" s="817"/>
      <c r="M161" s="817"/>
      <c r="N161" s="817"/>
      <c r="O161" s="817"/>
      <c r="P161" s="2535">
        <v>43936</v>
      </c>
      <c r="Q161" s="2486"/>
      <c r="R161" s="2732" t="s">
        <v>10567</v>
      </c>
      <c r="S161" s="2688"/>
      <c r="T161" s="2536">
        <v>0.39583333333333331</v>
      </c>
      <c r="U161" s="2733">
        <v>0.44375000000000003</v>
      </c>
      <c r="V161" s="2733">
        <v>0.44375000000000003</v>
      </c>
      <c r="W161" s="2734">
        <v>200</v>
      </c>
      <c r="X161" s="2733" t="s">
        <v>8557</v>
      </c>
      <c r="Y161" s="2801"/>
      <c r="Z161" s="2733"/>
      <c r="AA161" s="2733"/>
      <c r="AB161" s="2538" t="s">
        <v>17</v>
      </c>
      <c r="AC161" s="2538" t="s">
        <v>7451</v>
      </c>
      <c r="AD161" s="2696" t="s">
        <v>8773</v>
      </c>
      <c r="AG161" s="2711"/>
    </row>
    <row r="162" spans="1:33" ht="159.5" hidden="1" x14ac:dyDescent="0.35">
      <c r="A162" s="2730">
        <v>43930</v>
      </c>
      <c r="B162" s="2780"/>
      <c r="C162" s="2538" t="s">
        <v>10716</v>
      </c>
      <c r="D162" s="2748" t="s">
        <v>9747</v>
      </c>
      <c r="E162" s="2538" t="s">
        <v>10714</v>
      </c>
      <c r="F162" s="2682">
        <v>1</v>
      </c>
      <c r="G162" s="2682">
        <v>1</v>
      </c>
      <c r="H162" s="2682">
        <v>1</v>
      </c>
      <c r="I162" s="2682">
        <v>1</v>
      </c>
      <c r="J162" s="2682"/>
      <c r="K162" s="2682"/>
      <c r="L162" s="817"/>
      <c r="M162" s="817"/>
      <c r="N162" s="817"/>
      <c r="O162" s="817"/>
      <c r="P162" s="2730">
        <v>43936</v>
      </c>
      <c r="Q162" s="2769"/>
      <c r="R162" s="2732" t="s">
        <v>10567</v>
      </c>
      <c r="S162" s="2721"/>
      <c r="T162" s="2536">
        <v>0.39583333333333331</v>
      </c>
      <c r="U162" s="2733">
        <v>0.4368055555555555</v>
      </c>
      <c r="V162" s="2733">
        <v>0.4368055555555555</v>
      </c>
      <c r="W162" s="2749">
        <v>0</v>
      </c>
      <c r="X162" s="2538" t="s">
        <v>8917</v>
      </c>
      <c r="Y162" s="2801"/>
      <c r="Z162" s="2538"/>
      <c r="AA162" s="2538"/>
      <c r="AB162" s="2538" t="s">
        <v>974</v>
      </c>
      <c r="AC162" s="2538" t="s">
        <v>7451</v>
      </c>
      <c r="AD162" s="2695"/>
      <c r="AG162" s="2711"/>
    </row>
    <row r="163" spans="1:33" ht="43.5" hidden="1" x14ac:dyDescent="0.35">
      <c r="A163" s="1899">
        <v>43930</v>
      </c>
      <c r="B163" s="2759"/>
      <c r="C163" s="5" t="s">
        <v>8945</v>
      </c>
      <c r="D163" s="2712" t="s">
        <v>9781</v>
      </c>
      <c r="E163" s="7" t="s">
        <v>8622</v>
      </c>
      <c r="F163" s="2686">
        <v>1</v>
      </c>
      <c r="G163" s="2682">
        <v>1</v>
      </c>
      <c r="H163" s="2682"/>
      <c r="I163" s="2682"/>
      <c r="J163" s="2682"/>
      <c r="K163" s="2682"/>
      <c r="L163" s="817"/>
      <c r="M163" s="817"/>
      <c r="N163" s="817"/>
      <c r="O163" s="817"/>
      <c r="P163" s="2486">
        <v>43936</v>
      </c>
      <c r="Q163" s="2486"/>
      <c r="R163" s="824" t="s">
        <v>8946</v>
      </c>
      <c r="S163" s="2829"/>
      <c r="T163" s="836">
        <v>0.39583333333333331</v>
      </c>
      <c r="U163" s="2694">
        <v>0.55486111111111114</v>
      </c>
      <c r="V163" s="2694">
        <v>0.55486111111111114</v>
      </c>
      <c r="W163" s="1956">
        <v>100</v>
      </c>
      <c r="X163" s="836" t="s">
        <v>8625</v>
      </c>
      <c r="Y163" s="2772"/>
      <c r="Z163" s="817"/>
      <c r="AA163" s="817"/>
      <c r="AB163" s="7" t="s">
        <v>17</v>
      </c>
      <c r="AC163" s="817" t="s">
        <v>7451</v>
      </c>
      <c r="AD163" s="2700"/>
      <c r="AG163" s="2711"/>
    </row>
    <row r="164" spans="1:33" ht="43.5" hidden="1" x14ac:dyDescent="0.35">
      <c r="A164" s="2769">
        <v>43929</v>
      </c>
      <c r="B164" s="2760"/>
      <c r="C164" s="817" t="s">
        <v>8621</v>
      </c>
      <c r="D164" s="2712" t="s">
        <v>9749</v>
      </c>
      <c r="E164" s="7" t="s">
        <v>8622</v>
      </c>
      <c r="F164" s="2682">
        <v>1</v>
      </c>
      <c r="G164" s="2682">
        <v>1</v>
      </c>
      <c r="H164" s="2682"/>
      <c r="I164" s="2682"/>
      <c r="J164" s="2682"/>
      <c r="K164" s="2682"/>
      <c r="L164" s="817"/>
      <c r="M164" s="817"/>
      <c r="N164" s="817"/>
      <c r="O164" s="817"/>
      <c r="P164" s="2769">
        <v>43936</v>
      </c>
      <c r="Q164" s="2769"/>
      <c r="R164" s="2770" t="s">
        <v>8710</v>
      </c>
      <c r="S164" s="2770"/>
      <c r="T164" s="836">
        <v>0.39583333333333331</v>
      </c>
      <c r="U164" s="2694">
        <v>0.57986111111111105</v>
      </c>
      <c r="V164" s="2694">
        <v>0.57986111111111105</v>
      </c>
      <c r="W164" s="1809">
        <v>100</v>
      </c>
      <c r="X164" s="836" t="s">
        <v>257</v>
      </c>
      <c r="Y164" s="2772"/>
      <c r="Z164" s="817"/>
      <c r="AA164" s="817"/>
      <c r="AB164" s="7" t="s">
        <v>17</v>
      </c>
      <c r="AC164" s="817" t="s">
        <v>7451</v>
      </c>
      <c r="AD164" s="2700"/>
      <c r="AG164" s="2711"/>
    </row>
    <row r="165" spans="1:33" ht="43.5" hidden="1" x14ac:dyDescent="0.35">
      <c r="A165" s="2486">
        <v>43931</v>
      </c>
      <c r="B165" s="2718"/>
      <c r="C165" s="5" t="s">
        <v>9334</v>
      </c>
      <c r="D165" s="2700" t="s">
        <v>9333</v>
      </c>
      <c r="E165" s="5" t="s">
        <v>8553</v>
      </c>
      <c r="F165" s="5">
        <v>1</v>
      </c>
      <c r="G165" s="5">
        <v>1</v>
      </c>
      <c r="H165" s="5"/>
      <c r="I165" s="5"/>
      <c r="J165" s="5"/>
      <c r="K165" s="5"/>
      <c r="L165" s="817"/>
      <c r="M165" s="817"/>
      <c r="N165" s="817"/>
      <c r="O165" s="817"/>
      <c r="P165" s="2486">
        <v>43936</v>
      </c>
      <c r="Q165" s="2486"/>
      <c r="R165" s="2770" t="s">
        <v>9335</v>
      </c>
      <c r="S165" s="2688"/>
      <c r="T165" s="836">
        <v>0.39583333333333331</v>
      </c>
      <c r="U165" s="2694">
        <v>0.42152777777777778</v>
      </c>
      <c r="V165" s="2694">
        <v>0.42152777777777778</v>
      </c>
      <c r="W165" s="2680">
        <v>100</v>
      </c>
      <c r="X165" s="817" t="s">
        <v>2900</v>
      </c>
      <c r="Y165" s="2772"/>
      <c r="Z165" s="817"/>
      <c r="AA165" s="817"/>
      <c r="AB165" s="817" t="s">
        <v>17</v>
      </c>
      <c r="AC165" s="817" t="s">
        <v>7451</v>
      </c>
      <c r="AD165" s="2700" t="s">
        <v>9333</v>
      </c>
      <c r="AG165" s="2711"/>
    </row>
    <row r="166" spans="1:33" ht="58" hidden="1" x14ac:dyDescent="0.35">
      <c r="A166" s="2486">
        <v>43928</v>
      </c>
      <c r="B166" s="2718"/>
      <c r="C166" s="7" t="s">
        <v>8504</v>
      </c>
      <c r="D166" s="2712" t="s">
        <v>9721</v>
      </c>
      <c r="E166" s="7" t="s">
        <v>8503</v>
      </c>
      <c r="F166" s="2679">
        <v>5</v>
      </c>
      <c r="G166" s="5">
        <v>5</v>
      </c>
      <c r="H166" s="5"/>
      <c r="I166" s="5"/>
      <c r="J166" s="5"/>
      <c r="K166" s="5"/>
      <c r="L166" s="817"/>
      <c r="M166" s="817"/>
      <c r="N166" s="817"/>
      <c r="O166" s="817"/>
      <c r="P166" s="2486">
        <v>43936</v>
      </c>
      <c r="Q166" s="2486"/>
      <c r="R166" s="824" t="s">
        <v>8502</v>
      </c>
      <c r="S166" s="2721" t="s">
        <v>8154</v>
      </c>
      <c r="T166" s="836">
        <v>0.39583333333333331</v>
      </c>
      <c r="U166" s="2694">
        <v>0.53749999999999998</v>
      </c>
      <c r="V166" s="2694">
        <v>0.53749999999999998</v>
      </c>
      <c r="W166" s="2660">
        <v>500</v>
      </c>
      <c r="X166" s="2694" t="s">
        <v>8381</v>
      </c>
      <c r="Y166" s="2772"/>
      <c r="Z166" s="817"/>
      <c r="AA166" s="817"/>
      <c r="AB166" s="7" t="s">
        <v>17</v>
      </c>
      <c r="AC166" s="817" t="s">
        <v>7451</v>
      </c>
      <c r="AD166" s="2699"/>
      <c r="AG166" s="2711"/>
    </row>
    <row r="167" spans="1:33" ht="43.5" hidden="1" x14ac:dyDescent="0.35">
      <c r="A167" s="2486">
        <v>43931</v>
      </c>
      <c r="B167" s="2718"/>
      <c r="C167" s="5" t="s">
        <v>9299</v>
      </c>
      <c r="D167" s="2700" t="s">
        <v>9298</v>
      </c>
      <c r="E167" s="5" t="s">
        <v>8553</v>
      </c>
      <c r="F167" s="2682">
        <v>1</v>
      </c>
      <c r="G167" s="2682">
        <v>1</v>
      </c>
      <c r="H167" s="2682"/>
      <c r="I167" s="2682"/>
      <c r="J167" s="2682"/>
      <c r="K167" s="2682"/>
      <c r="L167" s="817"/>
      <c r="M167" s="817"/>
      <c r="N167" s="817"/>
      <c r="O167" s="817"/>
      <c r="P167" s="2486">
        <v>43936</v>
      </c>
      <c r="Q167" s="2486"/>
      <c r="R167" s="2770" t="s">
        <v>9300</v>
      </c>
      <c r="S167" s="2688"/>
      <c r="T167" s="836">
        <v>0.39583333333333331</v>
      </c>
      <c r="U167" s="2694">
        <v>0.4548611111111111</v>
      </c>
      <c r="V167" s="2694">
        <v>0.4548611111111111</v>
      </c>
      <c r="W167" s="1956">
        <v>100</v>
      </c>
      <c r="X167" s="817" t="s">
        <v>8625</v>
      </c>
      <c r="Y167" s="2772"/>
      <c r="Z167" s="817"/>
      <c r="AA167" s="817"/>
      <c r="AB167" s="817" t="s">
        <v>17</v>
      </c>
      <c r="AC167" s="817" t="s">
        <v>7451</v>
      </c>
      <c r="AD167" s="2700" t="s">
        <v>9298</v>
      </c>
      <c r="AG167" s="2711"/>
    </row>
    <row r="168" spans="1:33" ht="72.5" hidden="1" x14ac:dyDescent="0.35">
      <c r="A168" s="1899">
        <v>43931</v>
      </c>
      <c r="B168" s="2759"/>
      <c r="C168" s="7" t="s">
        <v>9068</v>
      </c>
      <c r="D168" s="2712" t="s">
        <v>9739</v>
      </c>
      <c r="E168" s="7" t="s">
        <v>9070</v>
      </c>
      <c r="F168" s="7">
        <v>1</v>
      </c>
      <c r="G168" s="7">
        <v>1</v>
      </c>
      <c r="H168" s="7"/>
      <c r="I168" s="7"/>
      <c r="J168" s="7"/>
      <c r="K168" s="7"/>
      <c r="L168" s="817"/>
      <c r="M168" s="817"/>
      <c r="N168" s="817"/>
      <c r="O168" s="817"/>
      <c r="P168" s="1899">
        <v>43936</v>
      </c>
      <c r="Q168" s="1899"/>
      <c r="R168" s="881" t="s">
        <v>9075</v>
      </c>
      <c r="S168" s="2688"/>
      <c r="T168" s="836">
        <v>0.39583333333333331</v>
      </c>
      <c r="U168" s="2694">
        <v>0.52430555555555558</v>
      </c>
      <c r="V168" s="2694">
        <v>0.52430555555555558</v>
      </c>
      <c r="W168" s="1809">
        <v>0</v>
      </c>
      <c r="X168" s="817" t="s">
        <v>9087</v>
      </c>
      <c r="Y168" s="2717"/>
      <c r="Z168" s="7"/>
      <c r="AA168" s="7"/>
      <c r="AB168" s="7" t="s">
        <v>17</v>
      </c>
      <c r="AC168" s="7" t="s">
        <v>7451</v>
      </c>
      <c r="AD168" s="2696"/>
      <c r="AG168" s="2711"/>
    </row>
    <row r="169" spans="1:33" ht="43.5" hidden="1" x14ac:dyDescent="0.35">
      <c r="A169" s="2486">
        <v>43929</v>
      </c>
      <c r="B169" s="2718"/>
      <c r="C169" s="5" t="s">
        <v>8721</v>
      </c>
      <c r="D169" s="2712" t="s">
        <v>9748</v>
      </c>
      <c r="E169" s="7" t="s">
        <v>8723</v>
      </c>
      <c r="F169" s="2686">
        <v>1</v>
      </c>
      <c r="G169" s="2682"/>
      <c r="H169" s="2682">
        <v>1</v>
      </c>
      <c r="I169" s="2682"/>
      <c r="J169" s="2682"/>
      <c r="K169" s="2682"/>
      <c r="L169" s="817"/>
      <c r="M169" s="817"/>
      <c r="N169" s="817"/>
      <c r="O169" s="817"/>
      <c r="P169" s="2486">
        <v>43936</v>
      </c>
      <c r="Q169" s="2486"/>
      <c r="R169" s="824" t="s">
        <v>8722</v>
      </c>
      <c r="S169" s="2688"/>
      <c r="T169" s="836">
        <v>0.39583333333333331</v>
      </c>
      <c r="U169" s="2694">
        <v>0.40833333333333338</v>
      </c>
      <c r="V169" s="2694">
        <v>0.40833333333333338</v>
      </c>
      <c r="W169" s="1956">
        <v>100</v>
      </c>
      <c r="X169" s="836" t="s">
        <v>8625</v>
      </c>
      <c r="Y169" s="2772"/>
      <c r="Z169" s="817"/>
      <c r="AA169" s="817"/>
      <c r="AB169" s="7" t="s">
        <v>17</v>
      </c>
      <c r="AC169" s="817" t="s">
        <v>7451</v>
      </c>
      <c r="AD169" s="2700"/>
      <c r="AG169" s="2711"/>
    </row>
    <row r="170" spans="1:33" ht="72.5" hidden="1" x14ac:dyDescent="0.35">
      <c r="A170" s="1899">
        <v>43931</v>
      </c>
      <c r="B170" s="2759"/>
      <c r="C170" s="7" t="s">
        <v>9057</v>
      </c>
      <c r="D170" s="2712" t="s">
        <v>9729</v>
      </c>
      <c r="E170" s="7" t="s">
        <v>9070</v>
      </c>
      <c r="F170" s="7">
        <v>1</v>
      </c>
      <c r="G170" s="7">
        <v>1</v>
      </c>
      <c r="H170" s="7"/>
      <c r="I170" s="7"/>
      <c r="J170" s="7"/>
      <c r="K170" s="7"/>
      <c r="L170" s="817"/>
      <c r="M170" s="817"/>
      <c r="N170" s="817"/>
      <c r="O170" s="817"/>
      <c r="P170" s="1899">
        <v>43936</v>
      </c>
      <c r="Q170" s="1899"/>
      <c r="R170" s="881" t="s">
        <v>9079</v>
      </c>
      <c r="S170" s="2688"/>
      <c r="T170" s="836">
        <v>0.39583333333333331</v>
      </c>
      <c r="U170" s="2694">
        <v>0.56944444444444442</v>
      </c>
      <c r="V170" s="2694">
        <v>0.56944444444444442</v>
      </c>
      <c r="W170" s="1809">
        <v>0</v>
      </c>
      <c r="X170" s="817" t="s">
        <v>9087</v>
      </c>
      <c r="Y170" s="2717"/>
      <c r="Z170" s="7"/>
      <c r="AA170" s="7"/>
      <c r="AB170" s="7" t="s">
        <v>17</v>
      </c>
      <c r="AC170" s="7" t="s">
        <v>7451</v>
      </c>
      <c r="AD170" s="2696"/>
      <c r="AG170" s="2711"/>
    </row>
    <row r="171" spans="1:33" ht="72.5" hidden="1" x14ac:dyDescent="0.35">
      <c r="A171" s="1899">
        <v>43931</v>
      </c>
      <c r="B171" s="2759"/>
      <c r="C171" s="7" t="s">
        <v>9061</v>
      </c>
      <c r="D171" s="2712" t="s">
        <v>9733</v>
      </c>
      <c r="E171" s="7" t="s">
        <v>9070</v>
      </c>
      <c r="F171" s="7">
        <v>1</v>
      </c>
      <c r="G171" s="7">
        <v>1</v>
      </c>
      <c r="H171" s="7"/>
      <c r="I171" s="7"/>
      <c r="J171" s="7"/>
      <c r="K171" s="7"/>
      <c r="L171" s="817"/>
      <c r="M171" s="817"/>
      <c r="N171" s="817"/>
      <c r="O171" s="817"/>
      <c r="P171" s="1899">
        <v>43936</v>
      </c>
      <c r="Q171" s="1899"/>
      <c r="R171" s="881" t="s">
        <v>9083</v>
      </c>
      <c r="S171" s="2770"/>
      <c r="T171" s="836">
        <v>0.39583333333333331</v>
      </c>
      <c r="U171" s="2694">
        <v>0.58680555555555558</v>
      </c>
      <c r="V171" s="2694">
        <v>0.58680555555555558</v>
      </c>
      <c r="W171" s="1809">
        <v>0</v>
      </c>
      <c r="X171" s="817" t="s">
        <v>9087</v>
      </c>
      <c r="Y171" s="2717"/>
      <c r="Z171" s="7"/>
      <c r="AA171" s="7"/>
      <c r="AB171" s="7" t="s">
        <v>17</v>
      </c>
      <c r="AC171" s="7" t="s">
        <v>7451</v>
      </c>
      <c r="AD171" s="2696"/>
      <c r="AG171" s="2711"/>
    </row>
    <row r="172" spans="1:33" ht="43.5" hidden="1" x14ac:dyDescent="0.35">
      <c r="A172" s="2828">
        <v>43931</v>
      </c>
      <c r="B172" s="2760"/>
      <c r="C172" s="817" t="s">
        <v>9152</v>
      </c>
      <c r="D172" s="2700" t="s">
        <v>9151</v>
      </c>
      <c r="E172" s="7" t="s">
        <v>8553</v>
      </c>
      <c r="F172" s="2682">
        <v>1</v>
      </c>
      <c r="G172" s="2682">
        <v>1</v>
      </c>
      <c r="H172" s="2682"/>
      <c r="I172" s="2682"/>
      <c r="J172" s="2682"/>
      <c r="K172" s="2682"/>
      <c r="L172" s="817"/>
      <c r="M172" s="817"/>
      <c r="N172" s="817"/>
      <c r="O172" s="817"/>
      <c r="P172" s="2828">
        <v>43936</v>
      </c>
      <c r="Q172" s="2828"/>
      <c r="R172" s="2770" t="s">
        <v>9153</v>
      </c>
      <c r="S172" s="2688"/>
      <c r="T172" s="836">
        <v>0.39583333333333331</v>
      </c>
      <c r="U172" s="2694">
        <v>0.65833333333333333</v>
      </c>
      <c r="V172" s="2694">
        <v>0.65833333333333333</v>
      </c>
      <c r="W172" s="2680">
        <v>100</v>
      </c>
      <c r="X172" s="817" t="s">
        <v>2900</v>
      </c>
      <c r="Y172" s="2772"/>
      <c r="Z172" s="817"/>
      <c r="AA172" s="817"/>
      <c r="AB172" s="817" t="s">
        <v>17</v>
      </c>
      <c r="AC172" s="817" t="s">
        <v>7451</v>
      </c>
      <c r="AD172" s="2700" t="s">
        <v>9151</v>
      </c>
      <c r="AG172" s="2711"/>
    </row>
    <row r="173" spans="1:33" ht="29" hidden="1" x14ac:dyDescent="0.35">
      <c r="A173" s="2828">
        <v>43931</v>
      </c>
      <c r="B173" s="2760"/>
      <c r="C173" s="817" t="s">
        <v>9155</v>
      </c>
      <c r="D173" s="2700" t="s">
        <v>9154</v>
      </c>
      <c r="E173" s="7" t="s">
        <v>8073</v>
      </c>
      <c r="F173" s="2682">
        <v>1</v>
      </c>
      <c r="G173" s="2682"/>
      <c r="H173" s="2682"/>
      <c r="I173" s="2682">
        <v>1</v>
      </c>
      <c r="J173" s="2682"/>
      <c r="K173" s="2682"/>
      <c r="L173" s="817"/>
      <c r="M173" s="817"/>
      <c r="N173" s="817"/>
      <c r="O173" s="817"/>
      <c r="P173" s="2828">
        <v>43936</v>
      </c>
      <c r="Q173" s="2828"/>
      <c r="R173" s="2829" t="s">
        <v>9156</v>
      </c>
      <c r="S173" s="2688"/>
      <c r="T173" s="836">
        <v>0.39583333333333331</v>
      </c>
      <c r="U173" s="2694">
        <v>0.55972222222222223</v>
      </c>
      <c r="V173" s="2694">
        <v>0.55972222222222223</v>
      </c>
      <c r="W173" s="2680">
        <v>100</v>
      </c>
      <c r="X173" s="817" t="s">
        <v>2900</v>
      </c>
      <c r="Y173" s="2772"/>
      <c r="Z173" s="817"/>
      <c r="AA173" s="817"/>
      <c r="AB173" s="817" t="s">
        <v>17</v>
      </c>
      <c r="AC173" s="817" t="s">
        <v>7451</v>
      </c>
      <c r="AD173" s="2700" t="s">
        <v>9154</v>
      </c>
      <c r="AG173" s="2711"/>
    </row>
    <row r="174" spans="1:33" ht="72.5" hidden="1" x14ac:dyDescent="0.35">
      <c r="A174" s="1899">
        <v>43931</v>
      </c>
      <c r="B174" s="2759"/>
      <c r="C174" s="7" t="s">
        <v>9058</v>
      </c>
      <c r="D174" s="2712" t="s">
        <v>9730</v>
      </c>
      <c r="E174" s="7" t="s">
        <v>9070</v>
      </c>
      <c r="F174" s="7">
        <v>1</v>
      </c>
      <c r="G174" s="7">
        <v>1</v>
      </c>
      <c r="H174" s="7"/>
      <c r="I174" s="7"/>
      <c r="J174" s="7"/>
      <c r="K174" s="7"/>
      <c r="L174" s="817"/>
      <c r="M174" s="817"/>
      <c r="N174" s="817"/>
      <c r="O174" s="817"/>
      <c r="P174" s="1899">
        <v>43936</v>
      </c>
      <c r="Q174" s="1899"/>
      <c r="R174" s="881" t="s">
        <v>9080</v>
      </c>
      <c r="S174" s="2721"/>
      <c r="T174" s="836">
        <v>0.39583333333333331</v>
      </c>
      <c r="U174" s="2694">
        <v>0.46736111111111112</v>
      </c>
      <c r="V174" s="2694">
        <v>0.46736111111111112</v>
      </c>
      <c r="W174" s="1809">
        <v>0</v>
      </c>
      <c r="X174" s="817" t="s">
        <v>9087</v>
      </c>
      <c r="Y174" s="2717"/>
      <c r="Z174" s="7"/>
      <c r="AA174" s="7"/>
      <c r="AB174" s="7" t="s">
        <v>17</v>
      </c>
      <c r="AC174" s="7" t="s">
        <v>7451</v>
      </c>
      <c r="AD174" s="2696"/>
      <c r="AG174" s="2711"/>
    </row>
    <row r="175" spans="1:33" ht="58" hidden="1" x14ac:dyDescent="0.35">
      <c r="A175" s="1899">
        <v>43922</v>
      </c>
      <c r="B175" s="2759"/>
      <c r="C175" s="7" t="s">
        <v>7685</v>
      </c>
      <c r="D175" s="2712" t="s">
        <v>9754</v>
      </c>
      <c r="E175" s="7" t="s">
        <v>7680</v>
      </c>
      <c r="F175" s="7">
        <v>1</v>
      </c>
      <c r="G175" s="7">
        <v>1</v>
      </c>
      <c r="H175" s="7"/>
      <c r="I175" s="7"/>
      <c r="J175" s="7"/>
      <c r="K175" s="7"/>
      <c r="L175" s="7"/>
      <c r="M175" s="7"/>
      <c r="N175" s="7"/>
      <c r="O175" s="7"/>
      <c r="P175" s="1899">
        <v>43936</v>
      </c>
      <c r="Q175" s="1899"/>
      <c r="R175" s="881" t="s">
        <v>7686</v>
      </c>
      <c r="S175" s="2721" t="s">
        <v>8303</v>
      </c>
      <c r="T175" s="836">
        <v>0.39583333333333331</v>
      </c>
      <c r="U175" s="836">
        <v>0.68541666666666667</v>
      </c>
      <c r="V175" s="836">
        <v>0.68541666666666667</v>
      </c>
      <c r="W175" s="1630">
        <v>100</v>
      </c>
      <c r="X175" s="836" t="s">
        <v>7682</v>
      </c>
      <c r="Y175" s="2717"/>
      <c r="Z175" s="7"/>
      <c r="AA175" s="7"/>
      <c r="AB175" s="7" t="s">
        <v>17</v>
      </c>
      <c r="AC175" s="7" t="s">
        <v>7451</v>
      </c>
      <c r="AD175" s="2699"/>
      <c r="AG175" s="2711"/>
    </row>
    <row r="176" spans="1:33" ht="58" hidden="1" x14ac:dyDescent="0.35">
      <c r="A176" s="2486">
        <v>43934</v>
      </c>
      <c r="B176" s="2718"/>
      <c r="C176" s="5" t="s">
        <v>10334</v>
      </c>
      <c r="D176" s="2700" t="s">
        <v>15</v>
      </c>
      <c r="E176" s="7" t="s">
        <v>10335</v>
      </c>
      <c r="F176" s="2686">
        <v>1</v>
      </c>
      <c r="G176" s="2682"/>
      <c r="H176" s="2682"/>
      <c r="I176" s="2682"/>
      <c r="J176" s="2682"/>
      <c r="K176" s="2682"/>
      <c r="L176" s="817"/>
      <c r="M176" s="817"/>
      <c r="N176" s="817"/>
      <c r="O176" s="817"/>
      <c r="P176" s="2486">
        <v>43936</v>
      </c>
      <c r="Q176" s="2828"/>
      <c r="R176" s="824" t="s">
        <v>10336</v>
      </c>
      <c r="S176" s="2721"/>
      <c r="T176" s="836">
        <v>0.39583333333333331</v>
      </c>
      <c r="U176" s="836">
        <v>0.44236111111111115</v>
      </c>
      <c r="V176" s="836">
        <v>0.44236111111111115</v>
      </c>
      <c r="W176" s="1956">
        <v>65</v>
      </c>
      <c r="X176" s="817" t="s">
        <v>8625</v>
      </c>
      <c r="Y176" s="2772"/>
      <c r="Z176" s="817"/>
      <c r="AA176" s="817"/>
      <c r="AB176" s="817" t="s">
        <v>17</v>
      </c>
      <c r="AC176" s="817" t="s">
        <v>7451</v>
      </c>
      <c r="AD176" s="2695"/>
      <c r="AG176" s="2711"/>
    </row>
    <row r="177" spans="1:33" ht="72.5" hidden="1" x14ac:dyDescent="0.35">
      <c r="A177" s="1899">
        <v>43931</v>
      </c>
      <c r="B177" s="2759"/>
      <c r="C177" s="7" t="s">
        <v>9059</v>
      </c>
      <c r="D177" s="2712" t="s">
        <v>9731</v>
      </c>
      <c r="E177" s="7" t="s">
        <v>9070</v>
      </c>
      <c r="F177" s="7">
        <v>1</v>
      </c>
      <c r="G177" s="7">
        <v>1</v>
      </c>
      <c r="H177" s="7"/>
      <c r="I177" s="7"/>
      <c r="J177" s="7"/>
      <c r="K177" s="7"/>
      <c r="L177" s="817"/>
      <c r="M177" s="817"/>
      <c r="N177" s="817"/>
      <c r="O177" s="817"/>
      <c r="P177" s="1899">
        <v>43936</v>
      </c>
      <c r="Q177" s="1899"/>
      <c r="R177" s="881" t="s">
        <v>9081</v>
      </c>
      <c r="S177" s="2721"/>
      <c r="T177" s="836">
        <v>0.39583333333333331</v>
      </c>
      <c r="U177" s="2694">
        <v>0.50416666666666665</v>
      </c>
      <c r="V177" s="2694">
        <v>0.50416666666666665</v>
      </c>
      <c r="W177" s="1809">
        <v>0</v>
      </c>
      <c r="X177" s="817" t="s">
        <v>9087</v>
      </c>
      <c r="Y177" s="2717"/>
      <c r="Z177" s="7"/>
      <c r="AA177" s="7"/>
      <c r="AB177" s="7" t="s">
        <v>17</v>
      </c>
      <c r="AC177" s="7" t="s">
        <v>7451</v>
      </c>
      <c r="AD177" s="2696"/>
      <c r="AG177" s="2711"/>
    </row>
    <row r="178" spans="1:33" ht="29" hidden="1" x14ac:dyDescent="0.35">
      <c r="A178" s="2828">
        <v>43926</v>
      </c>
      <c r="B178" s="2760"/>
      <c r="C178" s="2828" t="s">
        <v>8111</v>
      </c>
      <c r="D178" s="2712" t="s">
        <v>9751</v>
      </c>
      <c r="E178" s="817" t="s">
        <v>7935</v>
      </c>
      <c r="F178" s="817">
        <v>1</v>
      </c>
      <c r="G178" s="817">
        <v>1</v>
      </c>
      <c r="H178" s="817"/>
      <c r="I178" s="817"/>
      <c r="J178" s="817"/>
      <c r="K178" s="817"/>
      <c r="L178" s="817"/>
      <c r="M178" s="817"/>
      <c r="N178" s="817"/>
      <c r="O178" s="817"/>
      <c r="P178" s="2828">
        <v>43936</v>
      </c>
      <c r="Q178" s="2828"/>
      <c r="R178" s="2829" t="s">
        <v>8112</v>
      </c>
      <c r="S178" s="2721" t="s">
        <v>8285</v>
      </c>
      <c r="T178" s="836">
        <v>0.39583333333333331</v>
      </c>
      <c r="U178" s="2694">
        <v>0.48055555555555557</v>
      </c>
      <c r="V178" s="2694">
        <v>0.48055555555555557</v>
      </c>
      <c r="W178" s="1809">
        <v>100</v>
      </c>
      <c r="X178" s="2694" t="s">
        <v>257</v>
      </c>
      <c r="Y178" s="2772"/>
      <c r="Z178" s="817"/>
      <c r="AA178" s="817"/>
      <c r="AB178" s="817" t="s">
        <v>17</v>
      </c>
      <c r="AC178" s="817" t="s">
        <v>7451</v>
      </c>
      <c r="AD178" s="2699"/>
      <c r="AG178" s="2711"/>
    </row>
    <row r="179" spans="1:33" ht="72.5" hidden="1" x14ac:dyDescent="0.35">
      <c r="A179" s="1899">
        <v>43931</v>
      </c>
      <c r="B179" s="2759"/>
      <c r="C179" s="7" t="s">
        <v>9055</v>
      </c>
      <c r="D179" s="2712" t="s">
        <v>9727</v>
      </c>
      <c r="E179" s="7" t="s">
        <v>9070</v>
      </c>
      <c r="F179" s="7">
        <v>1</v>
      </c>
      <c r="G179" s="7">
        <v>1</v>
      </c>
      <c r="H179" s="7"/>
      <c r="I179" s="7"/>
      <c r="J179" s="7"/>
      <c r="K179" s="7"/>
      <c r="L179" s="817"/>
      <c r="M179" s="817"/>
      <c r="N179" s="817"/>
      <c r="O179" s="817"/>
      <c r="P179" s="1899">
        <v>43936</v>
      </c>
      <c r="Q179" s="1899"/>
      <c r="R179" s="881" t="s">
        <v>9077</v>
      </c>
      <c r="S179" s="2721"/>
      <c r="T179" s="836">
        <v>0.39583333333333331</v>
      </c>
      <c r="U179" s="2694">
        <v>0.6479166666666667</v>
      </c>
      <c r="V179" s="2694">
        <v>0.6479166666666667</v>
      </c>
      <c r="W179" s="1809">
        <v>1200</v>
      </c>
      <c r="X179" s="817" t="s">
        <v>9086</v>
      </c>
      <c r="Y179" s="2717"/>
      <c r="Z179" s="7"/>
      <c r="AA179" s="7"/>
      <c r="AB179" s="7" t="s">
        <v>17</v>
      </c>
      <c r="AC179" s="7" t="s">
        <v>7451</v>
      </c>
      <c r="AD179" s="2696"/>
      <c r="AG179" s="2711"/>
    </row>
    <row r="180" spans="1:33" ht="72.5" hidden="1" x14ac:dyDescent="0.35">
      <c r="A180" s="1899">
        <v>43931</v>
      </c>
      <c r="B180" s="2759"/>
      <c r="C180" s="7" t="s">
        <v>9064</v>
      </c>
      <c r="D180" s="2712" t="s">
        <v>9735</v>
      </c>
      <c r="E180" s="7" t="s">
        <v>9070</v>
      </c>
      <c r="F180" s="7">
        <v>1</v>
      </c>
      <c r="G180" s="7">
        <v>1</v>
      </c>
      <c r="H180" s="7"/>
      <c r="I180" s="7"/>
      <c r="J180" s="7"/>
      <c r="K180" s="7"/>
      <c r="L180" s="817"/>
      <c r="M180" s="817"/>
      <c r="N180" s="817"/>
      <c r="O180" s="817"/>
      <c r="P180" s="1899">
        <v>43936</v>
      </c>
      <c r="Q180" s="1899"/>
      <c r="R180" s="881" t="s">
        <v>9071</v>
      </c>
      <c r="S180" s="2721"/>
      <c r="T180" s="836">
        <v>0.39583333333333331</v>
      </c>
      <c r="U180" s="2694">
        <v>0.71111111111111114</v>
      </c>
      <c r="V180" s="2694">
        <v>0.71111111111111114</v>
      </c>
      <c r="W180" s="1809">
        <v>0</v>
      </c>
      <c r="X180" s="817" t="s">
        <v>9087</v>
      </c>
      <c r="Y180" s="2717"/>
      <c r="Z180" s="7"/>
      <c r="AA180" s="7"/>
      <c r="AB180" s="7" t="s">
        <v>17</v>
      </c>
      <c r="AC180" s="7" t="s">
        <v>7451</v>
      </c>
      <c r="AD180" s="2696"/>
      <c r="AG180" s="2711"/>
    </row>
    <row r="181" spans="1:33" ht="43.5" hidden="1" x14ac:dyDescent="0.35">
      <c r="A181" s="2828">
        <v>43926</v>
      </c>
      <c r="B181" s="2760"/>
      <c r="C181" s="2828" t="s">
        <v>8113</v>
      </c>
      <c r="D181" s="2712" t="s">
        <v>9743</v>
      </c>
      <c r="E181" s="817" t="s">
        <v>8107</v>
      </c>
      <c r="F181" s="817">
        <v>1</v>
      </c>
      <c r="G181" s="817"/>
      <c r="H181" s="817">
        <v>1</v>
      </c>
      <c r="I181" s="817"/>
      <c r="J181" s="817"/>
      <c r="K181" s="817"/>
      <c r="L181" s="817"/>
      <c r="M181" s="817"/>
      <c r="N181" s="817"/>
      <c r="O181" s="817"/>
      <c r="P181" s="2828">
        <v>43936</v>
      </c>
      <c r="Q181" s="2828"/>
      <c r="R181" s="2829" t="s">
        <v>8114</v>
      </c>
      <c r="S181" s="2721" t="s">
        <v>8289</v>
      </c>
      <c r="T181" s="836">
        <v>0.39583333333333331</v>
      </c>
      <c r="U181" s="2694">
        <v>0.43055555555555558</v>
      </c>
      <c r="V181" s="2694">
        <v>0.43055555555555558</v>
      </c>
      <c r="W181" s="1809">
        <v>100</v>
      </c>
      <c r="X181" s="2694" t="s">
        <v>257</v>
      </c>
      <c r="Y181" s="2772"/>
      <c r="Z181" s="817"/>
      <c r="AA181" s="817"/>
      <c r="AB181" s="817" t="s">
        <v>17</v>
      </c>
      <c r="AC181" s="817" t="s">
        <v>7451</v>
      </c>
      <c r="AD181" s="2699"/>
      <c r="AG181" s="2711"/>
    </row>
    <row r="182" spans="1:33" ht="29" hidden="1" x14ac:dyDescent="0.35">
      <c r="A182" s="1899">
        <v>43930</v>
      </c>
      <c r="B182" s="2759"/>
      <c r="C182" s="5" t="s">
        <v>8961</v>
      </c>
      <c r="D182" s="2712" t="s">
        <v>9742</v>
      </c>
      <c r="E182" s="7" t="s">
        <v>8962</v>
      </c>
      <c r="F182" s="2679"/>
      <c r="G182" s="5">
        <v>1</v>
      </c>
      <c r="H182" s="5"/>
      <c r="I182" s="5">
        <v>1</v>
      </c>
      <c r="J182" s="5"/>
      <c r="K182" s="5"/>
      <c r="L182" s="817"/>
      <c r="M182" s="817"/>
      <c r="N182" s="817"/>
      <c r="O182" s="817"/>
      <c r="P182" s="2486">
        <v>43936</v>
      </c>
      <c r="Q182" s="2486"/>
      <c r="R182" s="824" t="s">
        <v>8963</v>
      </c>
      <c r="S182" s="2737"/>
      <c r="T182" s="836">
        <v>0.39583333333333331</v>
      </c>
      <c r="U182" s="2694">
        <v>0.54999999999999993</v>
      </c>
      <c r="V182" s="2694">
        <v>0.54999999999999993</v>
      </c>
      <c r="W182" s="1956">
        <v>130</v>
      </c>
      <c r="X182" s="836" t="s">
        <v>8625</v>
      </c>
      <c r="Y182" s="2772"/>
      <c r="Z182" s="817"/>
      <c r="AA182" s="817"/>
      <c r="AB182" s="7" t="s">
        <v>17</v>
      </c>
      <c r="AC182" s="817" t="s">
        <v>7451</v>
      </c>
      <c r="AD182" s="2700"/>
      <c r="AG182" s="2711"/>
    </row>
    <row r="183" spans="1:33" ht="29" hidden="1" x14ac:dyDescent="0.35">
      <c r="A183" s="1899">
        <v>43930</v>
      </c>
      <c r="B183" s="2759"/>
      <c r="C183" s="7" t="s">
        <v>8978</v>
      </c>
      <c r="D183" s="2712" t="s">
        <v>9741</v>
      </c>
      <c r="E183" s="7" t="s">
        <v>8622</v>
      </c>
      <c r="F183" s="5">
        <v>1</v>
      </c>
      <c r="G183" s="5">
        <v>1</v>
      </c>
      <c r="H183" s="5"/>
      <c r="I183" s="5"/>
      <c r="J183" s="5"/>
      <c r="K183" s="5"/>
      <c r="L183" s="817"/>
      <c r="M183" s="817"/>
      <c r="N183" s="817"/>
      <c r="O183" s="817"/>
      <c r="P183" s="1899">
        <v>43936</v>
      </c>
      <c r="Q183" s="1899"/>
      <c r="R183" s="881" t="s">
        <v>8979</v>
      </c>
      <c r="S183" s="2721"/>
      <c r="T183" s="836">
        <v>0.39583333333333331</v>
      </c>
      <c r="U183" s="2694">
        <v>0.48194444444444445</v>
      </c>
      <c r="V183" s="2694">
        <v>0.48194444444444445</v>
      </c>
      <c r="W183" s="1809">
        <v>100</v>
      </c>
      <c r="X183" s="836" t="s">
        <v>8297</v>
      </c>
      <c r="Y183" s="2772"/>
      <c r="Z183" s="817"/>
      <c r="AA183" s="817"/>
      <c r="AB183" s="7" t="s">
        <v>17</v>
      </c>
      <c r="AC183" s="817" t="s">
        <v>7451</v>
      </c>
      <c r="AD183" s="2700"/>
      <c r="AG183" s="2711"/>
    </row>
    <row r="184" spans="1:33" ht="43.5" hidden="1" x14ac:dyDescent="0.35">
      <c r="A184" s="1899">
        <v>43928</v>
      </c>
      <c r="B184" s="2759"/>
      <c r="C184" s="7" t="s">
        <v>8391</v>
      </c>
      <c r="D184" s="2712" t="s">
        <v>9745</v>
      </c>
      <c r="E184" s="7" t="s">
        <v>8392</v>
      </c>
      <c r="F184" s="2684">
        <v>2</v>
      </c>
      <c r="G184" s="2661">
        <v>1</v>
      </c>
      <c r="H184" s="2661"/>
      <c r="I184" s="2661"/>
      <c r="J184" s="2661"/>
      <c r="K184" s="2661"/>
      <c r="L184" s="817"/>
      <c r="M184" s="817"/>
      <c r="N184" s="817"/>
      <c r="O184" s="817"/>
      <c r="P184" s="1899">
        <v>43936</v>
      </c>
      <c r="Q184" s="1899"/>
      <c r="R184" s="881" t="s">
        <v>8393</v>
      </c>
      <c r="S184" s="2737" t="s">
        <v>8285</v>
      </c>
      <c r="T184" s="836">
        <v>0.39583333333333331</v>
      </c>
      <c r="U184" s="2694">
        <v>0.67499999999999993</v>
      </c>
      <c r="V184" s="2694">
        <v>0.67499999999999993</v>
      </c>
      <c r="W184" s="2660">
        <v>195</v>
      </c>
      <c r="X184" s="2694" t="s">
        <v>8381</v>
      </c>
      <c r="Y184" s="2772"/>
      <c r="Z184" s="817"/>
      <c r="AA184" s="817"/>
      <c r="AB184" s="817" t="s">
        <v>17</v>
      </c>
      <c r="AC184" s="817" t="s">
        <v>7451</v>
      </c>
      <c r="AD184" s="2699"/>
      <c r="AG184" s="2711"/>
    </row>
    <row r="185" spans="1:33" ht="72.5" hidden="1" x14ac:dyDescent="0.35">
      <c r="A185" s="1899">
        <v>43931</v>
      </c>
      <c r="B185" s="2759"/>
      <c r="C185" s="7" t="s">
        <v>9067</v>
      </c>
      <c r="D185" s="2712" t="s">
        <v>9738</v>
      </c>
      <c r="E185" s="7" t="s">
        <v>9070</v>
      </c>
      <c r="F185" s="7">
        <v>1</v>
      </c>
      <c r="G185" s="7">
        <v>1</v>
      </c>
      <c r="H185" s="7"/>
      <c r="I185" s="7"/>
      <c r="J185" s="7"/>
      <c r="K185" s="7"/>
      <c r="L185" s="817"/>
      <c r="M185" s="817"/>
      <c r="N185" s="817"/>
      <c r="O185" s="817"/>
      <c r="P185" s="1899">
        <v>43936</v>
      </c>
      <c r="Q185" s="1899"/>
      <c r="R185" s="881" t="s">
        <v>9074</v>
      </c>
      <c r="S185" s="2737"/>
      <c r="T185" s="836">
        <v>0.39583333333333331</v>
      </c>
      <c r="U185" s="2694">
        <v>0.49722222222222223</v>
      </c>
      <c r="V185" s="2694">
        <v>0.49722222222222223</v>
      </c>
      <c r="W185" s="1809">
        <v>0</v>
      </c>
      <c r="X185" s="817" t="s">
        <v>9087</v>
      </c>
      <c r="Y185" s="2717"/>
      <c r="Z185" s="7"/>
      <c r="AA185" s="7"/>
      <c r="AB185" s="7" t="s">
        <v>17</v>
      </c>
      <c r="AC185" s="7" t="s">
        <v>7451</v>
      </c>
      <c r="AD185" s="2696"/>
      <c r="AG185" s="2711"/>
    </row>
    <row r="186" spans="1:33" ht="72.5" hidden="1" x14ac:dyDescent="0.35">
      <c r="A186" s="1899">
        <v>43931</v>
      </c>
      <c r="B186" s="2759"/>
      <c r="C186" s="7" t="s">
        <v>9065</v>
      </c>
      <c r="D186" s="2712" t="s">
        <v>9736</v>
      </c>
      <c r="E186" s="7" t="s">
        <v>9070</v>
      </c>
      <c r="F186" s="7">
        <v>1</v>
      </c>
      <c r="G186" s="7">
        <v>1</v>
      </c>
      <c r="H186" s="7"/>
      <c r="I186" s="7"/>
      <c r="J186" s="7"/>
      <c r="K186" s="7"/>
      <c r="L186" s="817"/>
      <c r="M186" s="817"/>
      <c r="N186" s="817"/>
      <c r="O186" s="817"/>
      <c r="P186" s="1899">
        <v>43936</v>
      </c>
      <c r="Q186" s="1899"/>
      <c r="R186" s="881" t="s">
        <v>9072</v>
      </c>
      <c r="S186" s="2721"/>
      <c r="T186" s="836">
        <v>0.39583333333333331</v>
      </c>
      <c r="U186" s="2694">
        <v>0.61736111111111114</v>
      </c>
      <c r="V186" s="2694">
        <v>0.61736111111111114</v>
      </c>
      <c r="W186" s="1809">
        <v>0</v>
      </c>
      <c r="X186" s="817" t="s">
        <v>9087</v>
      </c>
      <c r="Y186" s="2717"/>
      <c r="Z186" s="7"/>
      <c r="AA186" s="7"/>
      <c r="AB186" s="7" t="s">
        <v>17</v>
      </c>
      <c r="AC186" s="7" t="s">
        <v>7451</v>
      </c>
      <c r="AD186" s="2696"/>
      <c r="AG186" s="2711"/>
    </row>
    <row r="187" spans="1:33" ht="72.5" hidden="1" x14ac:dyDescent="0.35">
      <c r="A187" s="1899">
        <v>43931</v>
      </c>
      <c r="B187" s="2759"/>
      <c r="C187" s="7" t="s">
        <v>9060</v>
      </c>
      <c r="D187" s="2712" t="s">
        <v>9732</v>
      </c>
      <c r="E187" s="7" t="s">
        <v>9070</v>
      </c>
      <c r="F187" s="7">
        <v>1</v>
      </c>
      <c r="G187" s="7">
        <v>1</v>
      </c>
      <c r="H187" s="7"/>
      <c r="I187" s="7"/>
      <c r="J187" s="7"/>
      <c r="K187" s="7"/>
      <c r="L187" s="817"/>
      <c r="M187" s="817"/>
      <c r="N187" s="817"/>
      <c r="O187" s="817"/>
      <c r="P187" s="1899">
        <v>43936</v>
      </c>
      <c r="Q187" s="1899"/>
      <c r="R187" s="881" t="s">
        <v>9082</v>
      </c>
      <c r="S187" s="2770"/>
      <c r="T187" s="836">
        <v>0.39583333333333331</v>
      </c>
      <c r="U187" s="2694">
        <v>0.54097222222222219</v>
      </c>
      <c r="V187" s="2694">
        <v>0.54097222222222219</v>
      </c>
      <c r="W187" s="1809">
        <v>0</v>
      </c>
      <c r="X187" s="817" t="s">
        <v>9087</v>
      </c>
      <c r="Y187" s="2717"/>
      <c r="Z187" s="7"/>
      <c r="AA187" s="7"/>
      <c r="AB187" s="7" t="s">
        <v>17</v>
      </c>
      <c r="AC187" s="7" t="s">
        <v>7451</v>
      </c>
      <c r="AD187" s="2696"/>
      <c r="AG187" s="2711"/>
    </row>
    <row r="188" spans="1:33" ht="101.5" hidden="1" x14ac:dyDescent="0.35">
      <c r="A188" s="2486">
        <v>43924</v>
      </c>
      <c r="B188" s="2718"/>
      <c r="C188" s="7" t="s">
        <v>7930</v>
      </c>
      <c r="D188" s="2712" t="s">
        <v>9744</v>
      </c>
      <c r="E188" s="817" t="s">
        <v>8055</v>
      </c>
      <c r="F188" s="5">
        <v>1</v>
      </c>
      <c r="G188" s="5">
        <v>1</v>
      </c>
      <c r="H188" s="5"/>
      <c r="I188" s="5"/>
      <c r="J188" s="5"/>
      <c r="K188" s="5"/>
      <c r="L188" s="5"/>
      <c r="M188" s="5"/>
      <c r="N188" s="5"/>
      <c r="O188" s="5"/>
      <c r="P188" s="2486">
        <v>43936</v>
      </c>
      <c r="Q188" s="2486"/>
      <c r="R188" s="824" t="s">
        <v>7931</v>
      </c>
      <c r="S188" s="824" t="s">
        <v>8272</v>
      </c>
      <c r="T188" s="836">
        <v>0.39583333333333331</v>
      </c>
      <c r="U188" s="2694">
        <v>0.3979166666666667</v>
      </c>
      <c r="V188" s="2694">
        <v>0.3979166666666667</v>
      </c>
      <c r="W188" s="1809">
        <v>100</v>
      </c>
      <c r="X188" s="817" t="s">
        <v>257</v>
      </c>
      <c r="Y188" s="2772"/>
      <c r="Z188" s="817"/>
      <c r="AA188" s="817"/>
      <c r="AB188" s="817" t="s">
        <v>17</v>
      </c>
      <c r="AC188" s="817" t="s">
        <v>7451</v>
      </c>
      <c r="AD188" s="2699"/>
      <c r="AG188" s="2711"/>
    </row>
    <row r="189" spans="1:33" ht="72.5" hidden="1" x14ac:dyDescent="0.35">
      <c r="A189" s="1899">
        <v>43931</v>
      </c>
      <c r="B189" s="2759"/>
      <c r="C189" s="7" t="s">
        <v>9056</v>
      </c>
      <c r="D189" s="2712" t="s">
        <v>9728</v>
      </c>
      <c r="E189" s="7" t="s">
        <v>9070</v>
      </c>
      <c r="F189" s="7">
        <v>1</v>
      </c>
      <c r="G189" s="7">
        <v>1</v>
      </c>
      <c r="H189" s="7"/>
      <c r="I189" s="7"/>
      <c r="J189" s="7"/>
      <c r="K189" s="7"/>
      <c r="L189" s="817"/>
      <c r="M189" s="817"/>
      <c r="N189" s="817"/>
      <c r="O189" s="817"/>
      <c r="P189" s="1899">
        <v>43936</v>
      </c>
      <c r="Q189" s="1899"/>
      <c r="R189" s="881" t="s">
        <v>9078</v>
      </c>
      <c r="S189" s="2721"/>
      <c r="T189" s="836">
        <v>0.39583333333333331</v>
      </c>
      <c r="U189" s="2694">
        <v>0.45833333333333331</v>
      </c>
      <c r="V189" s="2694">
        <v>0.45833333333333331</v>
      </c>
      <c r="W189" s="1809">
        <v>0</v>
      </c>
      <c r="X189" s="817" t="s">
        <v>9087</v>
      </c>
      <c r="Y189" s="2717"/>
      <c r="Z189" s="7"/>
      <c r="AA189" s="7"/>
      <c r="AB189" s="7" t="s">
        <v>17</v>
      </c>
      <c r="AC189" s="7" t="s">
        <v>7451</v>
      </c>
      <c r="AD189" s="2696"/>
      <c r="AG189" s="2711"/>
    </row>
    <row r="190" spans="1:33" ht="72.5" hidden="1" x14ac:dyDescent="0.35">
      <c r="A190" s="1899">
        <v>43931</v>
      </c>
      <c r="B190" s="2759"/>
      <c r="C190" s="7" t="s">
        <v>9066</v>
      </c>
      <c r="D190" s="2712" t="s">
        <v>9737</v>
      </c>
      <c r="E190" s="7" t="s">
        <v>9070</v>
      </c>
      <c r="F190" s="7">
        <v>1</v>
      </c>
      <c r="G190" s="7">
        <v>1</v>
      </c>
      <c r="H190" s="7"/>
      <c r="I190" s="7"/>
      <c r="J190" s="7"/>
      <c r="K190" s="7"/>
      <c r="L190" s="817"/>
      <c r="M190" s="817"/>
      <c r="N190" s="817"/>
      <c r="O190" s="817"/>
      <c r="P190" s="1899">
        <v>43936</v>
      </c>
      <c r="Q190" s="1899"/>
      <c r="R190" s="881" t="s">
        <v>9073</v>
      </c>
      <c r="S190" s="2747"/>
      <c r="T190" s="836">
        <v>0.39583333333333331</v>
      </c>
      <c r="U190" s="2694">
        <v>0.41944444444444445</v>
      </c>
      <c r="V190" s="2694">
        <v>0.41944444444444445</v>
      </c>
      <c r="W190" s="1809">
        <v>0</v>
      </c>
      <c r="X190" s="817" t="s">
        <v>9087</v>
      </c>
      <c r="Y190" s="2772"/>
      <c r="Z190" s="817"/>
      <c r="AA190" s="817"/>
      <c r="AB190" s="7" t="s">
        <v>17</v>
      </c>
      <c r="AC190" s="7" t="s">
        <v>7451</v>
      </c>
      <c r="AD190" s="2696"/>
      <c r="AG190" s="2711"/>
    </row>
    <row r="191" spans="1:33" ht="72.5" hidden="1" x14ac:dyDescent="0.35">
      <c r="A191" s="1899">
        <v>43931</v>
      </c>
      <c r="B191" s="2759"/>
      <c r="C191" s="7" t="s">
        <v>9069</v>
      </c>
      <c r="D191" s="2712" t="s">
        <v>9740</v>
      </c>
      <c r="E191" s="7" t="s">
        <v>9070</v>
      </c>
      <c r="F191" s="7">
        <v>1</v>
      </c>
      <c r="G191" s="7">
        <v>1</v>
      </c>
      <c r="H191" s="7"/>
      <c r="I191" s="7"/>
      <c r="J191" s="7"/>
      <c r="K191" s="7"/>
      <c r="L191" s="817"/>
      <c r="M191" s="817"/>
      <c r="N191" s="817"/>
      <c r="O191" s="817"/>
      <c r="P191" s="1899">
        <v>43936</v>
      </c>
      <c r="Q191" s="1899"/>
      <c r="R191" s="881" t="s">
        <v>9076</v>
      </c>
      <c r="S191" s="2747"/>
      <c r="T191" s="836">
        <v>0.39583333333333331</v>
      </c>
      <c r="U191" s="2694">
        <v>0.7368055555555556</v>
      </c>
      <c r="V191" s="2694">
        <v>0.7368055555555556</v>
      </c>
      <c r="W191" s="1809">
        <v>0</v>
      </c>
      <c r="X191" s="817" t="s">
        <v>9087</v>
      </c>
      <c r="Y191" s="2717"/>
      <c r="Z191" s="7"/>
      <c r="AA191" s="7"/>
      <c r="AB191" s="7" t="s">
        <v>17</v>
      </c>
      <c r="AC191" s="7" t="s">
        <v>7451</v>
      </c>
      <c r="AD191" s="2696"/>
      <c r="AG191" s="2711"/>
    </row>
    <row r="192" spans="1:33" ht="72.5" hidden="1" x14ac:dyDescent="0.35">
      <c r="A192" s="1899">
        <v>43931</v>
      </c>
      <c r="B192" s="2759"/>
      <c r="C192" s="7" t="s">
        <v>9062</v>
      </c>
      <c r="D192" s="2712" t="s">
        <v>9734</v>
      </c>
      <c r="E192" s="7" t="s">
        <v>9070</v>
      </c>
      <c r="F192" s="7">
        <v>1</v>
      </c>
      <c r="G192" s="7">
        <v>1</v>
      </c>
      <c r="H192" s="7"/>
      <c r="I192" s="7"/>
      <c r="J192" s="7"/>
      <c r="K192" s="7"/>
      <c r="L192" s="817"/>
      <c r="M192" s="817"/>
      <c r="N192" s="817"/>
      <c r="O192" s="817"/>
      <c r="P192" s="1899">
        <v>43936</v>
      </c>
      <c r="Q192" s="1899"/>
      <c r="R192" s="881" t="s">
        <v>9084</v>
      </c>
      <c r="S192" s="2688"/>
      <c r="T192" s="836">
        <v>0.39583333333333331</v>
      </c>
      <c r="U192" s="2694">
        <v>0.59652777777777777</v>
      </c>
      <c r="V192" s="2694">
        <v>0.59652777777777777</v>
      </c>
      <c r="W192" s="1809">
        <v>0</v>
      </c>
      <c r="X192" s="817" t="s">
        <v>9087</v>
      </c>
      <c r="Y192" s="2717"/>
      <c r="Z192" s="7"/>
      <c r="AA192" s="7"/>
      <c r="AB192" s="7" t="s">
        <v>17</v>
      </c>
      <c r="AC192" s="7" t="s">
        <v>7451</v>
      </c>
      <c r="AD192" s="2696"/>
      <c r="AG192" s="2711"/>
    </row>
    <row r="193" spans="1:33" ht="43.5" hidden="1" x14ac:dyDescent="0.35">
      <c r="A193" s="1899">
        <v>43934</v>
      </c>
      <c r="B193" s="2759"/>
      <c r="C193" s="7" t="s">
        <v>1728</v>
      </c>
      <c r="D193" s="2700" t="s">
        <v>10718</v>
      </c>
      <c r="E193" s="7" t="s">
        <v>10574</v>
      </c>
      <c r="F193" s="5">
        <v>3</v>
      </c>
      <c r="G193" s="5">
        <v>2</v>
      </c>
      <c r="H193" s="5"/>
      <c r="I193" s="5">
        <v>1</v>
      </c>
      <c r="J193" s="5"/>
      <c r="K193" s="5"/>
      <c r="L193" s="817"/>
      <c r="M193" s="817"/>
      <c r="N193" s="817"/>
      <c r="O193" s="817"/>
      <c r="P193" s="1899">
        <v>43936</v>
      </c>
      <c r="Q193" s="2828"/>
      <c r="R193" s="2708" t="s">
        <v>10498</v>
      </c>
      <c r="S193" s="2688"/>
      <c r="T193" s="836">
        <v>0.39583333333333331</v>
      </c>
      <c r="U193" s="836">
        <v>0.51250000000000007</v>
      </c>
      <c r="V193" s="836">
        <v>0.51250000000000007</v>
      </c>
      <c r="W193" s="1100">
        <v>300</v>
      </c>
      <c r="X193" s="7" t="s">
        <v>3173</v>
      </c>
      <c r="Y193" s="2717"/>
      <c r="Z193" s="7"/>
      <c r="AA193" s="7"/>
      <c r="AB193" s="7" t="s">
        <v>17</v>
      </c>
      <c r="AC193" s="7" t="s">
        <v>7451</v>
      </c>
      <c r="AD193" s="2696"/>
      <c r="AG193" s="2711"/>
    </row>
    <row r="194" spans="1:33" ht="29" hidden="1" x14ac:dyDescent="0.35">
      <c r="A194" s="2828">
        <v>43932</v>
      </c>
      <c r="B194" s="2760"/>
      <c r="C194" s="817" t="s">
        <v>9699</v>
      </c>
      <c r="D194" s="2700" t="s">
        <v>9700</v>
      </c>
      <c r="E194" s="7" t="s">
        <v>8553</v>
      </c>
      <c r="F194" s="5">
        <v>1</v>
      </c>
      <c r="G194" s="5">
        <v>1</v>
      </c>
      <c r="H194" s="5"/>
      <c r="I194" s="5"/>
      <c r="J194" s="5"/>
      <c r="K194" s="5"/>
      <c r="L194" s="817"/>
      <c r="M194" s="817"/>
      <c r="N194" s="817"/>
      <c r="O194" s="817"/>
      <c r="P194" s="2828">
        <v>43936</v>
      </c>
      <c r="Q194" s="2828"/>
      <c r="R194" s="2706" t="s">
        <v>9701</v>
      </c>
      <c r="S194" s="2721"/>
      <c r="T194" s="836">
        <v>0.39583333333333331</v>
      </c>
      <c r="U194" s="836">
        <v>0.47152777777777777</v>
      </c>
      <c r="V194" s="836">
        <v>0.47152777777777777</v>
      </c>
      <c r="W194" s="2680">
        <v>100</v>
      </c>
      <c r="X194" s="817" t="s">
        <v>2900</v>
      </c>
      <c r="Y194" s="2772"/>
      <c r="Z194" s="817"/>
      <c r="AA194" s="817"/>
      <c r="AB194" s="817" t="s">
        <v>17</v>
      </c>
      <c r="AC194" s="817" t="s">
        <v>7451</v>
      </c>
      <c r="AD194" s="2696"/>
      <c r="AG194" s="2711"/>
    </row>
    <row r="195" spans="1:33" ht="72.5" hidden="1" x14ac:dyDescent="0.35">
      <c r="A195" s="1899">
        <v>43931</v>
      </c>
      <c r="B195" s="2759"/>
      <c r="C195" s="7" t="s">
        <v>9063</v>
      </c>
      <c r="D195" s="2712" t="s">
        <v>9206</v>
      </c>
      <c r="E195" s="7" t="s">
        <v>9070</v>
      </c>
      <c r="F195" s="7">
        <v>1</v>
      </c>
      <c r="G195" s="7">
        <v>1</v>
      </c>
      <c r="H195" s="7"/>
      <c r="I195" s="7"/>
      <c r="J195" s="7"/>
      <c r="K195" s="7"/>
      <c r="L195" s="817"/>
      <c r="M195" s="817"/>
      <c r="N195" s="817"/>
      <c r="O195" s="817"/>
      <c r="P195" s="1899">
        <v>43936</v>
      </c>
      <c r="Q195" s="1899"/>
      <c r="R195" s="881" t="s">
        <v>9085</v>
      </c>
      <c r="S195" s="2829"/>
      <c r="T195" s="836">
        <v>0.39583333333333331</v>
      </c>
      <c r="U195" s="2694">
        <v>0.61736111111111114</v>
      </c>
      <c r="V195" s="2694">
        <v>0.61736111111111114</v>
      </c>
      <c r="W195" s="1809">
        <v>0</v>
      </c>
      <c r="X195" s="817" t="s">
        <v>9087</v>
      </c>
      <c r="Y195" s="2717"/>
      <c r="Z195" s="7"/>
      <c r="AA195" s="7"/>
      <c r="AB195" s="7" t="s">
        <v>17</v>
      </c>
      <c r="AC195" s="7" t="s">
        <v>7451</v>
      </c>
      <c r="AD195" s="2696"/>
      <c r="AG195" s="2711"/>
    </row>
    <row r="196" spans="1:33" ht="72.5" hidden="1" x14ac:dyDescent="0.35">
      <c r="A196" s="1899">
        <v>43936</v>
      </c>
      <c r="B196" s="2759"/>
      <c r="C196" s="817" t="s">
        <v>8262</v>
      </c>
      <c r="D196" s="2712" t="s">
        <v>9868</v>
      </c>
      <c r="E196" s="817" t="s">
        <v>10750</v>
      </c>
      <c r="F196" s="2741"/>
      <c r="G196" s="2741">
        <v>1</v>
      </c>
      <c r="H196" s="2741"/>
      <c r="I196" s="2741"/>
      <c r="J196" s="2741"/>
      <c r="K196" s="2741"/>
      <c r="L196" s="817"/>
      <c r="M196" s="817"/>
      <c r="N196" s="817"/>
      <c r="O196" s="817" t="s">
        <v>8148</v>
      </c>
      <c r="P196" s="1899">
        <v>43937</v>
      </c>
      <c r="Q196" s="2828"/>
      <c r="R196" s="2829" t="s">
        <v>8351</v>
      </c>
      <c r="S196" s="2747"/>
      <c r="T196" s="836">
        <v>0.35416666666666669</v>
      </c>
      <c r="U196" s="2694">
        <v>0.37638888888888888</v>
      </c>
      <c r="V196" s="2694">
        <v>0.37638888888888888</v>
      </c>
      <c r="W196" s="1956">
        <f>85+85*2</f>
        <v>255</v>
      </c>
      <c r="X196" s="817" t="s">
        <v>10740</v>
      </c>
      <c r="Y196" s="2772"/>
      <c r="Z196" s="817"/>
      <c r="AA196" s="817"/>
      <c r="AB196" s="817" t="s">
        <v>17</v>
      </c>
      <c r="AC196" s="817" t="s">
        <v>2262</v>
      </c>
      <c r="AD196" s="2745"/>
      <c r="AG196" s="2711"/>
    </row>
    <row r="197" spans="1:33" ht="43.5" hidden="1" x14ac:dyDescent="0.35">
      <c r="A197" s="2828">
        <v>43927</v>
      </c>
      <c r="B197" s="2760"/>
      <c r="C197" s="817" t="s">
        <v>8182</v>
      </c>
      <c r="D197" s="2712" t="s">
        <v>9772</v>
      </c>
      <c r="E197" s="817" t="s">
        <v>8183</v>
      </c>
      <c r="F197" s="5">
        <v>1</v>
      </c>
      <c r="G197" s="5">
        <v>1</v>
      </c>
      <c r="H197" s="5"/>
      <c r="I197" s="5"/>
      <c r="J197" s="5"/>
      <c r="K197" s="5"/>
      <c r="L197" s="817"/>
      <c r="M197" s="817"/>
      <c r="N197" s="817"/>
      <c r="O197" s="817" t="s">
        <v>8148</v>
      </c>
      <c r="P197" s="2828">
        <v>43937</v>
      </c>
      <c r="Q197" s="2828"/>
      <c r="R197" s="2829" t="s">
        <v>8283</v>
      </c>
      <c r="S197" s="2688" t="s">
        <v>8509</v>
      </c>
      <c r="T197" s="836">
        <v>0.35416666666666669</v>
      </c>
      <c r="U197" s="2694">
        <v>0.46458333333333335</v>
      </c>
      <c r="V197" s="2694">
        <v>0.46458333333333335</v>
      </c>
      <c r="W197" s="1809">
        <v>160</v>
      </c>
      <c r="X197" s="817" t="s">
        <v>2900</v>
      </c>
      <c r="Y197" s="2772"/>
      <c r="Z197" s="817"/>
      <c r="AA197" s="817"/>
      <c r="AB197" s="817" t="s">
        <v>17</v>
      </c>
      <c r="AC197" s="817" t="s">
        <v>7451</v>
      </c>
      <c r="AD197" s="2699"/>
      <c r="AG197" s="2711"/>
    </row>
    <row r="198" spans="1:33" ht="72.5" hidden="1" x14ac:dyDescent="0.35">
      <c r="A198" s="2828">
        <v>43927</v>
      </c>
      <c r="B198" s="2760">
        <v>5</v>
      </c>
      <c r="C198" s="817" t="s">
        <v>8184</v>
      </c>
      <c r="D198" s="2712" t="s">
        <v>9773</v>
      </c>
      <c r="E198" s="817" t="s">
        <v>8185</v>
      </c>
      <c r="F198" s="5"/>
      <c r="G198" s="5"/>
      <c r="H198" s="5"/>
      <c r="I198" s="5">
        <v>1</v>
      </c>
      <c r="J198" s="5"/>
      <c r="K198" s="5"/>
      <c r="L198" s="817"/>
      <c r="M198" s="817"/>
      <c r="N198" s="817"/>
      <c r="O198" s="817" t="s">
        <v>8148</v>
      </c>
      <c r="P198" s="2828">
        <v>43937</v>
      </c>
      <c r="Q198" s="2828"/>
      <c r="R198" s="2829" t="s">
        <v>8284</v>
      </c>
      <c r="S198" s="2688" t="s">
        <v>8285</v>
      </c>
      <c r="T198" s="836">
        <v>0.35416666666666669</v>
      </c>
      <c r="U198" s="2694">
        <v>0.41041666666666665</v>
      </c>
      <c r="V198" s="2694">
        <v>0.41041666666666665</v>
      </c>
      <c r="W198" s="1956">
        <v>300</v>
      </c>
      <c r="X198" s="817" t="s">
        <v>10755</v>
      </c>
      <c r="Y198" s="2772"/>
      <c r="Z198" s="817"/>
      <c r="AA198" s="817"/>
      <c r="AB198" s="817" t="s">
        <v>17</v>
      </c>
      <c r="AC198" s="817" t="s">
        <v>7451</v>
      </c>
      <c r="AD198" s="2699"/>
      <c r="AG198" s="2711"/>
    </row>
    <row r="199" spans="1:33" ht="43.5" hidden="1" x14ac:dyDescent="0.35">
      <c r="A199" s="1899">
        <v>43931</v>
      </c>
      <c r="B199" s="2759">
        <v>4</v>
      </c>
      <c r="C199" s="7" t="s">
        <v>9365</v>
      </c>
      <c r="D199" s="2712" t="s">
        <v>9776</v>
      </c>
      <c r="E199" s="7" t="s">
        <v>9367</v>
      </c>
      <c r="F199" s="7">
        <v>1</v>
      </c>
      <c r="G199" s="7">
        <v>2</v>
      </c>
      <c r="H199" s="7"/>
      <c r="I199" s="7"/>
      <c r="J199" s="7"/>
      <c r="K199" s="7"/>
      <c r="L199" s="817"/>
      <c r="M199" s="817"/>
      <c r="N199" s="817"/>
      <c r="O199" s="817" t="s">
        <v>8148</v>
      </c>
      <c r="P199" s="1899">
        <v>43937</v>
      </c>
      <c r="Q199" s="1899"/>
      <c r="R199" s="881" t="s">
        <v>9366</v>
      </c>
      <c r="S199" s="2688"/>
      <c r="T199" s="836">
        <v>0.35416666666666669</v>
      </c>
      <c r="U199" s="2694">
        <v>0.40069444444444446</v>
      </c>
      <c r="V199" s="2694">
        <v>0.40069444444444446</v>
      </c>
      <c r="W199" s="1809">
        <v>225</v>
      </c>
      <c r="X199" s="817" t="s">
        <v>8297</v>
      </c>
      <c r="Y199" s="2772"/>
      <c r="Z199" s="817"/>
      <c r="AA199" s="817"/>
      <c r="AB199" s="817" t="s">
        <v>17</v>
      </c>
      <c r="AC199" s="817" t="s">
        <v>7451</v>
      </c>
      <c r="AD199" s="2696"/>
      <c r="AG199" s="2711"/>
    </row>
    <row r="200" spans="1:33" ht="72.5" hidden="1" x14ac:dyDescent="0.35">
      <c r="A200" s="2486">
        <v>43936</v>
      </c>
      <c r="B200" s="2718"/>
      <c r="C200" s="5" t="s">
        <v>6386</v>
      </c>
      <c r="D200" s="2700" t="s">
        <v>10703</v>
      </c>
      <c r="E200" s="5" t="s">
        <v>10704</v>
      </c>
      <c r="F200" s="2740">
        <v>1</v>
      </c>
      <c r="G200" s="2741">
        <v>1</v>
      </c>
      <c r="H200" s="2741"/>
      <c r="I200" s="2741"/>
      <c r="J200" s="2741"/>
      <c r="K200" s="2741"/>
      <c r="L200" s="817"/>
      <c r="M200" s="817"/>
      <c r="N200" s="817"/>
      <c r="O200" s="817" t="s">
        <v>8148</v>
      </c>
      <c r="P200" s="2486">
        <v>43937</v>
      </c>
      <c r="Q200" s="2769"/>
      <c r="R200" s="824" t="s">
        <v>10705</v>
      </c>
      <c r="S200" s="2737"/>
      <c r="T200" s="836">
        <v>0.35416666666666669</v>
      </c>
      <c r="U200" s="2694">
        <v>0.59791666666666665</v>
      </c>
      <c r="V200" s="2694">
        <v>0.59791666666666665</v>
      </c>
      <c r="W200" s="2738">
        <v>300</v>
      </c>
      <c r="X200" s="817" t="s">
        <v>257</v>
      </c>
      <c r="Y200" s="2772"/>
      <c r="Z200" s="817"/>
      <c r="AA200" s="817"/>
      <c r="AB200" s="817" t="s">
        <v>974</v>
      </c>
      <c r="AC200" s="817" t="s">
        <v>7451</v>
      </c>
      <c r="AD200" s="2739"/>
      <c r="AG200" s="2711"/>
    </row>
    <row r="201" spans="1:33" ht="72.5" hidden="1" x14ac:dyDescent="0.35">
      <c r="A201" s="2769">
        <v>43931</v>
      </c>
      <c r="B201" s="2760">
        <v>14</v>
      </c>
      <c r="C201" s="817" t="s">
        <v>9207</v>
      </c>
      <c r="D201" s="2700" t="s">
        <v>9206</v>
      </c>
      <c r="E201" s="7" t="s">
        <v>9210</v>
      </c>
      <c r="F201" s="2682">
        <v>1</v>
      </c>
      <c r="G201" s="2682">
        <v>1</v>
      </c>
      <c r="H201" s="2682"/>
      <c r="I201" s="2682"/>
      <c r="J201" s="2682"/>
      <c r="K201" s="2682"/>
      <c r="L201" s="817"/>
      <c r="M201" s="817"/>
      <c r="N201" s="817"/>
      <c r="O201" s="817" t="s">
        <v>8148</v>
      </c>
      <c r="P201" s="2769">
        <v>43937</v>
      </c>
      <c r="Q201" s="2769"/>
      <c r="R201" s="2829" t="s">
        <v>9211</v>
      </c>
      <c r="S201" s="2737"/>
      <c r="T201" s="836">
        <v>0.35416666666666669</v>
      </c>
      <c r="U201" s="2694">
        <v>0.5444444444444444</v>
      </c>
      <c r="V201" s="2694">
        <v>0.5444444444444444</v>
      </c>
      <c r="W201" s="1956">
        <v>300</v>
      </c>
      <c r="X201" s="817" t="s">
        <v>8625</v>
      </c>
      <c r="Y201" s="2772"/>
      <c r="Z201" s="817"/>
      <c r="AA201" s="817"/>
      <c r="AB201" s="817" t="s">
        <v>17</v>
      </c>
      <c r="AC201" s="817" t="s">
        <v>7451</v>
      </c>
      <c r="AD201" s="2700" t="s">
        <v>9206</v>
      </c>
      <c r="AG201" s="2711"/>
    </row>
    <row r="202" spans="1:33" ht="101.5" hidden="1" x14ac:dyDescent="0.35">
      <c r="A202" s="2828">
        <v>43924</v>
      </c>
      <c r="B202" s="2760"/>
      <c r="C202" s="817" t="s">
        <v>7826</v>
      </c>
      <c r="D202" s="2712" t="s">
        <v>9775</v>
      </c>
      <c r="E202" s="817" t="s">
        <v>7827</v>
      </c>
      <c r="F202" s="817">
        <v>1</v>
      </c>
      <c r="G202" s="817"/>
      <c r="H202" s="817"/>
      <c r="I202" s="817"/>
      <c r="J202" s="817"/>
      <c r="K202" s="817"/>
      <c r="L202" s="817"/>
      <c r="M202" s="817"/>
      <c r="N202" s="817"/>
      <c r="O202" s="817" t="s">
        <v>8148</v>
      </c>
      <c r="P202" s="2828">
        <v>43937</v>
      </c>
      <c r="Q202" s="2828"/>
      <c r="R202" s="2829" t="s">
        <v>7828</v>
      </c>
      <c r="S202" s="2688" t="s">
        <v>8289</v>
      </c>
      <c r="T202" s="836">
        <v>0.35416666666666669</v>
      </c>
      <c r="U202" s="2694">
        <v>0.40138888888888885</v>
      </c>
      <c r="V202" s="2694">
        <v>0.40138888888888885</v>
      </c>
      <c r="W202" s="1809">
        <v>150</v>
      </c>
      <c r="X202" s="817" t="s">
        <v>7675</v>
      </c>
      <c r="Y202" s="2772"/>
      <c r="Z202" s="817"/>
      <c r="AA202" s="817"/>
      <c r="AB202" s="817" t="s">
        <v>17</v>
      </c>
      <c r="AC202" s="817" t="s">
        <v>7451</v>
      </c>
      <c r="AD202" s="2699"/>
      <c r="AG202" s="2711"/>
    </row>
    <row r="203" spans="1:33" ht="116" hidden="1" x14ac:dyDescent="0.35">
      <c r="A203" s="2486">
        <v>43929</v>
      </c>
      <c r="B203" s="2718">
        <v>10</v>
      </c>
      <c r="C203" s="5" t="s">
        <v>8693</v>
      </c>
      <c r="D203" s="2712" t="s">
        <v>10138</v>
      </c>
      <c r="E203" s="817" t="s">
        <v>8694</v>
      </c>
      <c r="F203" s="2686"/>
      <c r="G203" s="2682"/>
      <c r="H203" s="2682"/>
      <c r="I203" s="2682"/>
      <c r="J203" s="2682">
        <v>1</v>
      </c>
      <c r="K203" s="2682"/>
      <c r="L203" s="817"/>
      <c r="M203" s="817"/>
      <c r="N203" s="817"/>
      <c r="O203" s="817" t="s">
        <v>8148</v>
      </c>
      <c r="P203" s="2486">
        <v>43937</v>
      </c>
      <c r="Q203" s="2486"/>
      <c r="R203" s="824" t="s">
        <v>8692</v>
      </c>
      <c r="S203" s="2770"/>
      <c r="T203" s="836">
        <v>0.35416666666666669</v>
      </c>
      <c r="U203" s="2694">
        <v>0.46666666666666662</v>
      </c>
      <c r="V203" s="2694">
        <v>0.46666666666666662</v>
      </c>
      <c r="W203" s="1956">
        <v>300</v>
      </c>
      <c r="X203" s="836" t="s">
        <v>8695</v>
      </c>
      <c r="Y203" s="2772"/>
      <c r="Z203" s="817"/>
      <c r="AA203" s="817"/>
      <c r="AB203" s="7" t="s">
        <v>17</v>
      </c>
      <c r="AC203" s="817" t="s">
        <v>7451</v>
      </c>
      <c r="AD203" s="2696" t="s">
        <v>1710</v>
      </c>
      <c r="AG203" s="2711"/>
    </row>
    <row r="204" spans="1:33" ht="58" hidden="1" x14ac:dyDescent="0.35">
      <c r="A204" s="1899">
        <v>43932</v>
      </c>
      <c r="B204" s="2759"/>
      <c r="C204" s="817" t="s">
        <v>9628</v>
      </c>
      <c r="D204" s="2700" t="s">
        <v>9629</v>
      </c>
      <c r="E204" s="2614" t="s">
        <v>9630</v>
      </c>
      <c r="F204" s="5"/>
      <c r="G204" s="5"/>
      <c r="H204" s="5"/>
      <c r="I204" s="5"/>
      <c r="J204" s="5"/>
      <c r="K204" s="5"/>
      <c r="L204" s="817"/>
      <c r="M204" s="817"/>
      <c r="N204" s="817"/>
      <c r="O204" s="817" t="s">
        <v>8148</v>
      </c>
      <c r="P204" s="2769">
        <v>43937</v>
      </c>
      <c r="Q204" s="2769"/>
      <c r="R204" s="2706" t="s">
        <v>9631</v>
      </c>
      <c r="S204" s="2688"/>
      <c r="T204" s="836">
        <v>0.35416666666666669</v>
      </c>
      <c r="U204" s="836">
        <v>0.63055555555555554</v>
      </c>
      <c r="V204" s="836">
        <v>0.63055555555555554</v>
      </c>
      <c r="W204" s="1956">
        <v>120</v>
      </c>
      <c r="X204" s="817" t="s">
        <v>8625</v>
      </c>
      <c r="Y204" s="2772"/>
      <c r="Z204" s="817"/>
      <c r="AA204" s="817"/>
      <c r="AB204" s="817" t="s">
        <v>17</v>
      </c>
      <c r="AC204" s="817" t="s">
        <v>7451</v>
      </c>
      <c r="AD204" s="2696"/>
      <c r="AG204" s="2662"/>
    </row>
    <row r="205" spans="1:33" ht="87" hidden="1" x14ac:dyDescent="0.35">
      <c r="A205" s="2486">
        <v>43924</v>
      </c>
      <c r="B205" s="2718"/>
      <c r="C205" s="5" t="s">
        <v>7882</v>
      </c>
      <c r="D205" s="2712" t="s">
        <v>9774</v>
      </c>
      <c r="E205" s="5" t="s">
        <v>7883</v>
      </c>
      <c r="F205" s="5">
        <v>1</v>
      </c>
      <c r="G205" s="5">
        <v>1</v>
      </c>
      <c r="H205" s="5"/>
      <c r="I205" s="5"/>
      <c r="J205" s="5"/>
      <c r="K205" s="5"/>
      <c r="L205" s="5"/>
      <c r="M205" s="5"/>
      <c r="N205" s="5"/>
      <c r="O205" s="5" t="s">
        <v>8148</v>
      </c>
      <c r="P205" s="2486">
        <v>43937</v>
      </c>
      <c r="Q205" s="2486"/>
      <c r="R205" s="824" t="s">
        <v>7884</v>
      </c>
      <c r="S205" s="2688" t="s">
        <v>8154</v>
      </c>
      <c r="T205" s="836">
        <v>0.35416666666666669</v>
      </c>
      <c r="U205" s="2694">
        <v>0.42569444444444443</v>
      </c>
      <c r="V205" s="2694">
        <v>0.42569444444444443</v>
      </c>
      <c r="W205" s="1956">
        <v>300</v>
      </c>
      <c r="X205" s="817" t="s">
        <v>7634</v>
      </c>
      <c r="Y205" s="2772"/>
      <c r="Z205" s="817"/>
      <c r="AA205" s="817"/>
      <c r="AB205" s="817" t="s">
        <v>17</v>
      </c>
      <c r="AC205" s="817" t="s">
        <v>7451</v>
      </c>
      <c r="AD205" s="2699"/>
      <c r="AG205" s="2711"/>
    </row>
    <row r="206" spans="1:33" ht="130.5" hidden="1" x14ac:dyDescent="0.35">
      <c r="A206" s="1899">
        <v>43935</v>
      </c>
      <c r="B206" s="2759">
        <v>17</v>
      </c>
      <c r="C206" s="7" t="s">
        <v>10686</v>
      </c>
      <c r="D206" s="2700" t="s">
        <v>9123</v>
      </c>
      <c r="E206" s="7" t="s">
        <v>10687</v>
      </c>
      <c r="F206" s="2735">
        <v>1</v>
      </c>
      <c r="G206" s="2735">
        <v>1</v>
      </c>
      <c r="H206" s="2735"/>
      <c r="I206" s="2735"/>
      <c r="J206" s="2735"/>
      <c r="K206" s="2735"/>
      <c r="L206" s="817"/>
      <c r="M206" s="817"/>
      <c r="N206" s="817"/>
      <c r="O206" s="817" t="s">
        <v>8148</v>
      </c>
      <c r="P206" s="1899">
        <v>43937</v>
      </c>
      <c r="Q206" s="2828"/>
      <c r="R206" s="881" t="s">
        <v>10685</v>
      </c>
      <c r="S206" s="2721"/>
      <c r="T206" s="836">
        <v>0.35416666666666669</v>
      </c>
      <c r="U206" s="2694">
        <v>0.54999999999999993</v>
      </c>
      <c r="V206" s="2694">
        <v>0.54999999999999993</v>
      </c>
      <c r="W206" s="2742">
        <v>300</v>
      </c>
      <c r="X206" s="817" t="s">
        <v>10689</v>
      </c>
      <c r="Y206" s="2772"/>
      <c r="Z206" s="817"/>
      <c r="AA206" s="817"/>
      <c r="AB206" s="817" t="s">
        <v>17</v>
      </c>
      <c r="AC206" s="817" t="s">
        <v>7451</v>
      </c>
      <c r="AD206" s="2739"/>
      <c r="AG206" s="2662"/>
    </row>
    <row r="207" spans="1:33" ht="87" hidden="1" x14ac:dyDescent="0.35">
      <c r="A207" s="2828">
        <v>43920</v>
      </c>
      <c r="B207" s="2760">
        <v>3</v>
      </c>
      <c r="C207" s="817" t="s">
        <v>7557</v>
      </c>
      <c r="D207" s="2712" t="s">
        <v>9969</v>
      </c>
      <c r="E207" s="817" t="s">
        <v>10669</v>
      </c>
      <c r="F207" s="817">
        <v>1</v>
      </c>
      <c r="G207" s="817">
        <v>1</v>
      </c>
      <c r="H207" s="817"/>
      <c r="I207" s="817"/>
      <c r="J207" s="817"/>
      <c r="K207" s="817"/>
      <c r="L207" s="817"/>
      <c r="M207" s="817"/>
      <c r="N207" s="817"/>
      <c r="O207" s="817" t="s">
        <v>8148</v>
      </c>
      <c r="P207" s="2828">
        <v>43937</v>
      </c>
      <c r="Q207" s="2769"/>
      <c r="R207" s="2829" t="s">
        <v>7559</v>
      </c>
      <c r="S207" s="2688"/>
      <c r="T207" s="836">
        <v>0.35416666666666669</v>
      </c>
      <c r="U207" s="2694">
        <v>0.38819444444444445</v>
      </c>
      <c r="V207" s="2694">
        <v>0.38819444444444445</v>
      </c>
      <c r="W207" s="1809">
        <v>120</v>
      </c>
      <c r="X207" s="817" t="s">
        <v>257</v>
      </c>
      <c r="Y207" s="2772"/>
      <c r="Z207" s="817"/>
      <c r="AA207" s="817"/>
      <c r="AB207" s="817" t="s">
        <v>17</v>
      </c>
      <c r="AC207" s="817" t="s">
        <v>7451</v>
      </c>
      <c r="AD207" s="2699"/>
      <c r="AG207" s="2711"/>
    </row>
    <row r="208" spans="1:33" ht="72.5" hidden="1" x14ac:dyDescent="0.35">
      <c r="A208" s="1899">
        <v>43934</v>
      </c>
      <c r="B208" s="2759"/>
      <c r="C208" s="7" t="s">
        <v>3282</v>
      </c>
      <c r="D208" s="2700" t="s">
        <v>10471</v>
      </c>
      <c r="E208" s="7" t="s">
        <v>10473</v>
      </c>
      <c r="F208" s="7">
        <v>1</v>
      </c>
      <c r="G208" s="7">
        <v>1</v>
      </c>
      <c r="H208" s="7"/>
      <c r="I208" s="7"/>
      <c r="J208" s="7"/>
      <c r="K208" s="7"/>
      <c r="L208" s="817"/>
      <c r="M208" s="817"/>
      <c r="N208" s="817"/>
      <c r="O208" s="817" t="s">
        <v>8148</v>
      </c>
      <c r="P208" s="1899">
        <v>43937</v>
      </c>
      <c r="Q208" s="2769"/>
      <c r="R208" s="2708" t="s">
        <v>10472</v>
      </c>
      <c r="S208" s="2688"/>
      <c r="T208" s="836">
        <v>0.35416666666666669</v>
      </c>
      <c r="U208" s="836">
        <v>0.41250000000000003</v>
      </c>
      <c r="V208" s="836">
        <v>0.41250000000000003</v>
      </c>
      <c r="W208" s="1100">
        <v>0</v>
      </c>
      <c r="X208" s="7" t="s">
        <v>10474</v>
      </c>
      <c r="Y208" s="2717"/>
      <c r="Z208" s="7"/>
      <c r="AA208" s="7"/>
      <c r="AB208" s="7" t="s">
        <v>17</v>
      </c>
      <c r="AC208" s="7" t="s">
        <v>7451</v>
      </c>
      <c r="AD208" s="2696"/>
      <c r="AG208" s="2711"/>
    </row>
    <row r="209" spans="1:33" ht="72.5" hidden="1" x14ac:dyDescent="0.35">
      <c r="A209" s="1899">
        <v>43932</v>
      </c>
      <c r="B209" s="2759">
        <v>15</v>
      </c>
      <c r="C209" s="817" t="s">
        <v>9579</v>
      </c>
      <c r="D209" s="2700" t="s">
        <v>9580</v>
      </c>
      <c r="E209" s="7" t="s">
        <v>9581</v>
      </c>
      <c r="F209" s="5">
        <v>1</v>
      </c>
      <c r="G209" s="5">
        <v>1</v>
      </c>
      <c r="H209" s="5"/>
      <c r="I209" s="5"/>
      <c r="J209" s="5"/>
      <c r="K209" s="5"/>
      <c r="L209" s="817"/>
      <c r="M209" s="817"/>
      <c r="N209" s="817"/>
      <c r="O209" s="817" t="s">
        <v>8148</v>
      </c>
      <c r="P209" s="2769">
        <v>43937</v>
      </c>
      <c r="Q209" s="2769"/>
      <c r="R209" s="2706" t="s">
        <v>10753</v>
      </c>
      <c r="S209" s="2770"/>
      <c r="T209" s="836">
        <v>0.35416666666666669</v>
      </c>
      <c r="U209" s="836">
        <v>0.52777777777777779</v>
      </c>
      <c r="V209" s="836">
        <v>0.52777777777777779</v>
      </c>
      <c r="W209" s="1956">
        <v>300</v>
      </c>
      <c r="X209" s="817" t="s">
        <v>8625</v>
      </c>
      <c r="Y209" s="2772"/>
      <c r="Z209" s="817"/>
      <c r="AA209" s="817"/>
      <c r="AB209" s="817" t="s">
        <v>17</v>
      </c>
      <c r="AC209" s="817" t="s">
        <v>7451</v>
      </c>
      <c r="AD209" s="2696"/>
      <c r="AG209" s="2711"/>
    </row>
    <row r="210" spans="1:33" ht="72.5" hidden="1" x14ac:dyDescent="0.35">
      <c r="A210" s="2486">
        <v>43935</v>
      </c>
      <c r="B210" s="2718">
        <v>2</v>
      </c>
      <c r="C210" s="5" t="s">
        <v>6930</v>
      </c>
      <c r="D210" s="2700" t="s">
        <v>10249</v>
      </c>
      <c r="E210" s="7" t="s">
        <v>10693</v>
      </c>
      <c r="F210" s="2686">
        <v>1</v>
      </c>
      <c r="G210" s="2682">
        <v>3</v>
      </c>
      <c r="H210" s="2682"/>
      <c r="I210" s="2682"/>
      <c r="J210" s="2682"/>
      <c r="K210" s="2682"/>
      <c r="L210" s="817"/>
      <c r="M210" s="817"/>
      <c r="N210" s="817"/>
      <c r="O210" s="817" t="s">
        <v>8148</v>
      </c>
      <c r="P210" s="2486">
        <v>43937</v>
      </c>
      <c r="Q210" s="2828"/>
      <c r="R210" s="824" t="s">
        <v>10250</v>
      </c>
      <c r="S210" s="2770"/>
      <c r="T210" s="836">
        <v>0.35416666666666669</v>
      </c>
      <c r="U210" s="2694">
        <v>0.37847222222222227</v>
      </c>
      <c r="V210" s="2694">
        <v>0.37847222222222227</v>
      </c>
      <c r="W210" s="2680">
        <v>300</v>
      </c>
      <c r="X210" s="836" t="s">
        <v>257</v>
      </c>
      <c r="Y210" s="2772"/>
      <c r="Z210" s="817"/>
      <c r="AA210" s="817"/>
      <c r="AB210" s="817" t="s">
        <v>22</v>
      </c>
      <c r="AC210" s="817" t="s">
        <v>7451</v>
      </c>
      <c r="AD210" s="2695"/>
      <c r="AG210" s="2711"/>
    </row>
    <row r="211" spans="1:33" ht="101.5" hidden="1" x14ac:dyDescent="0.35">
      <c r="A211" s="2486">
        <v>43934</v>
      </c>
      <c r="B211" s="2718">
        <v>18</v>
      </c>
      <c r="C211" s="5" t="s">
        <v>10315</v>
      </c>
      <c r="D211" s="2700" t="s">
        <v>10316</v>
      </c>
      <c r="E211" s="7" t="s">
        <v>10317</v>
      </c>
      <c r="F211" s="2686"/>
      <c r="G211" s="2682"/>
      <c r="H211" s="2682"/>
      <c r="I211" s="2682"/>
      <c r="J211" s="2682"/>
      <c r="K211" s="2682"/>
      <c r="L211" s="817"/>
      <c r="M211" s="817"/>
      <c r="N211" s="817"/>
      <c r="O211" s="817" t="s">
        <v>8148</v>
      </c>
      <c r="P211" s="2486">
        <v>43937</v>
      </c>
      <c r="Q211" s="2769"/>
      <c r="R211" s="2722" t="s">
        <v>10318</v>
      </c>
      <c r="S211" s="2770"/>
      <c r="T211" s="836">
        <v>0.35416666666666669</v>
      </c>
      <c r="U211" s="836">
        <v>0.56041666666666667</v>
      </c>
      <c r="V211" s="836">
        <v>0.56041666666666667</v>
      </c>
      <c r="W211" s="2680">
        <v>223</v>
      </c>
      <c r="X211" s="817" t="s">
        <v>2900</v>
      </c>
      <c r="Y211" s="2772"/>
      <c r="Z211" s="817"/>
      <c r="AA211" s="817"/>
      <c r="AB211" s="817" t="s">
        <v>17</v>
      </c>
      <c r="AC211" s="817" t="s">
        <v>7451</v>
      </c>
      <c r="AD211" s="2695"/>
      <c r="AG211" s="2711"/>
    </row>
    <row r="212" spans="1:33" ht="43.5" hidden="1" x14ac:dyDescent="0.35">
      <c r="A212" s="2828">
        <v>43934</v>
      </c>
      <c r="B212" s="2760"/>
      <c r="C212" s="5" t="s">
        <v>10549</v>
      </c>
      <c r="D212" s="2700" t="s">
        <v>10550</v>
      </c>
      <c r="E212" s="5" t="s">
        <v>10552</v>
      </c>
      <c r="F212" s="2679"/>
      <c r="G212" s="5">
        <v>3</v>
      </c>
      <c r="H212" s="5"/>
      <c r="I212" s="5"/>
      <c r="J212" s="5"/>
      <c r="K212" s="5"/>
      <c r="L212" s="817"/>
      <c r="M212" s="817"/>
      <c r="N212" s="817"/>
      <c r="O212" s="817"/>
      <c r="P212" s="2486">
        <v>43937</v>
      </c>
      <c r="Q212" s="2828"/>
      <c r="R212" s="824" t="s">
        <v>10551</v>
      </c>
      <c r="S212" s="2770"/>
      <c r="T212" s="836">
        <v>0.35416666666666669</v>
      </c>
      <c r="U212" s="836">
        <v>0.43402777777777773</v>
      </c>
      <c r="V212" s="836">
        <v>0.43402777777777773</v>
      </c>
      <c r="W212" s="1956">
        <v>165</v>
      </c>
      <c r="X212" s="817" t="s">
        <v>8625</v>
      </c>
      <c r="Y212" s="2717"/>
      <c r="Z212" s="7"/>
      <c r="AA212" s="7"/>
      <c r="AB212" s="7" t="s">
        <v>17</v>
      </c>
      <c r="AC212" s="7" t="s">
        <v>7451</v>
      </c>
      <c r="AD212" s="2696"/>
      <c r="AG212" s="2711"/>
    </row>
    <row r="213" spans="1:33" ht="43.5" hidden="1" x14ac:dyDescent="0.35">
      <c r="A213" s="2486">
        <v>43934</v>
      </c>
      <c r="B213" s="2718"/>
      <c r="C213" s="5" t="s">
        <v>10328</v>
      </c>
      <c r="D213" s="2700" t="s">
        <v>10327</v>
      </c>
      <c r="E213" s="7" t="s">
        <v>8073</v>
      </c>
      <c r="F213" s="2686">
        <v>1</v>
      </c>
      <c r="G213" s="2682"/>
      <c r="H213" s="2682"/>
      <c r="I213" s="2682">
        <v>1</v>
      </c>
      <c r="J213" s="2682"/>
      <c r="K213" s="2682"/>
      <c r="L213" s="817"/>
      <c r="M213" s="817"/>
      <c r="N213" s="817"/>
      <c r="O213" s="817"/>
      <c r="P213" s="2486">
        <v>43937</v>
      </c>
      <c r="Q213" s="2769"/>
      <c r="R213" s="2722" t="s">
        <v>10329</v>
      </c>
      <c r="S213" s="2770"/>
      <c r="T213" s="836">
        <v>0.35416666666666669</v>
      </c>
      <c r="U213" s="836">
        <v>0.51250000000000007</v>
      </c>
      <c r="V213" s="836">
        <v>0.51250000000000007</v>
      </c>
      <c r="W213" s="1956">
        <v>100</v>
      </c>
      <c r="X213" s="817" t="s">
        <v>8625</v>
      </c>
      <c r="Y213" s="2772"/>
      <c r="Z213" s="817"/>
      <c r="AA213" s="817"/>
      <c r="AB213" s="817" t="s">
        <v>17</v>
      </c>
      <c r="AC213" s="817" t="s">
        <v>7451</v>
      </c>
      <c r="AD213" s="2695"/>
      <c r="AG213" s="2711"/>
    </row>
    <row r="214" spans="1:33" ht="29" hidden="1" x14ac:dyDescent="0.35">
      <c r="A214" s="1899">
        <v>43934</v>
      </c>
      <c r="B214" s="2759"/>
      <c r="C214" s="7" t="s">
        <v>10450</v>
      </c>
      <c r="D214" s="2707" t="s">
        <v>10451</v>
      </c>
      <c r="E214" s="7" t="s">
        <v>8553</v>
      </c>
      <c r="F214" s="7">
        <v>1</v>
      </c>
      <c r="G214" s="7">
        <v>1</v>
      </c>
      <c r="H214" s="7"/>
      <c r="I214" s="7"/>
      <c r="J214" s="7"/>
      <c r="K214" s="7"/>
      <c r="L214" s="817"/>
      <c r="M214" s="817"/>
      <c r="N214" s="817"/>
      <c r="O214" s="817"/>
      <c r="P214" s="1899">
        <v>43937</v>
      </c>
      <c r="Q214" s="2769"/>
      <c r="R214" s="2708" t="s">
        <v>10452</v>
      </c>
      <c r="S214" s="2747"/>
      <c r="T214" s="836">
        <v>0.35416666666666669</v>
      </c>
      <c r="U214" s="836">
        <v>0.64930555555555558</v>
      </c>
      <c r="V214" s="836">
        <v>0.64930555555555558</v>
      </c>
      <c r="W214" s="1956">
        <v>100</v>
      </c>
      <c r="X214" s="817" t="s">
        <v>8625</v>
      </c>
      <c r="Y214" s="2717"/>
      <c r="Z214" s="7"/>
      <c r="AA214" s="7"/>
      <c r="AB214" s="7" t="s">
        <v>17</v>
      </c>
      <c r="AC214" s="7" t="s">
        <v>7451</v>
      </c>
      <c r="AD214" s="2696"/>
      <c r="AG214" s="2711"/>
    </row>
    <row r="215" spans="1:33" ht="29" hidden="1" x14ac:dyDescent="0.35">
      <c r="A215" s="2828">
        <v>43931</v>
      </c>
      <c r="B215" s="2760"/>
      <c r="C215" s="817" t="s">
        <v>9118</v>
      </c>
      <c r="D215" s="2700" t="s">
        <v>9117</v>
      </c>
      <c r="E215" s="7" t="s">
        <v>9007</v>
      </c>
      <c r="F215" s="2682">
        <v>1</v>
      </c>
      <c r="G215" s="2682">
        <v>1</v>
      </c>
      <c r="H215" s="2682"/>
      <c r="I215" s="2682"/>
      <c r="J215" s="2682"/>
      <c r="K215" s="2682"/>
      <c r="L215" s="817"/>
      <c r="M215" s="817"/>
      <c r="N215" s="817"/>
      <c r="O215" s="817"/>
      <c r="P215" s="2828">
        <v>43937</v>
      </c>
      <c r="Q215" s="2769"/>
      <c r="R215" s="2829" t="s">
        <v>9119</v>
      </c>
      <c r="S215" s="2688"/>
      <c r="T215" s="836">
        <v>0.35416666666666669</v>
      </c>
      <c r="U215" s="2694">
        <v>0.49513888888888885</v>
      </c>
      <c r="V215" s="2694">
        <v>0.49513888888888885</v>
      </c>
      <c r="W215" s="2680">
        <v>150</v>
      </c>
      <c r="X215" s="817" t="s">
        <v>2900</v>
      </c>
      <c r="Y215" s="2772"/>
      <c r="Z215" s="817"/>
      <c r="AA215" s="817"/>
      <c r="AB215" s="817" t="s">
        <v>17</v>
      </c>
      <c r="AC215" s="817" t="s">
        <v>7451</v>
      </c>
      <c r="AD215" s="2700" t="s">
        <v>9117</v>
      </c>
      <c r="AG215" s="2711"/>
    </row>
    <row r="216" spans="1:33" ht="72.5" hidden="1" x14ac:dyDescent="0.35">
      <c r="A216" s="1899">
        <v>43933</v>
      </c>
      <c r="B216" s="2759"/>
      <c r="C216" s="7" t="s">
        <v>10252</v>
      </c>
      <c r="D216" s="2707" t="s">
        <v>10253</v>
      </c>
      <c r="E216" s="7" t="s">
        <v>8553</v>
      </c>
      <c r="F216" s="2692">
        <v>1</v>
      </c>
      <c r="G216" s="2692">
        <v>1</v>
      </c>
      <c r="H216" s="2692"/>
      <c r="I216" s="2692"/>
      <c r="J216" s="2692"/>
      <c r="K216" s="2692"/>
      <c r="L216" s="817"/>
      <c r="M216" s="817"/>
      <c r="N216" s="817"/>
      <c r="O216" s="817"/>
      <c r="P216" s="1899">
        <v>43937</v>
      </c>
      <c r="Q216" s="2769"/>
      <c r="R216" s="2708" t="s">
        <v>10251</v>
      </c>
      <c r="S216" s="2688"/>
      <c r="T216" s="836">
        <v>0.35416666666666669</v>
      </c>
      <c r="U216" s="836">
        <v>0.61249999999999993</v>
      </c>
      <c r="V216" s="836">
        <v>0.61249999999999993</v>
      </c>
      <c r="W216" s="1956">
        <v>100</v>
      </c>
      <c r="X216" s="817" t="s">
        <v>8625</v>
      </c>
      <c r="Y216" s="2772"/>
      <c r="Z216" s="817"/>
      <c r="AA216" s="817"/>
      <c r="AB216" s="817" t="s">
        <v>17</v>
      </c>
      <c r="AC216" s="817" t="s">
        <v>7451</v>
      </c>
      <c r="AD216" s="2695"/>
      <c r="AG216" s="2711"/>
    </row>
    <row r="217" spans="1:33" ht="72.5" hidden="1" x14ac:dyDescent="0.35">
      <c r="A217" s="1899">
        <v>43916</v>
      </c>
      <c r="B217" s="2759"/>
      <c r="C217" s="7" t="s">
        <v>7513</v>
      </c>
      <c r="D217" s="2712" t="s">
        <v>10137</v>
      </c>
      <c r="E217" s="7" t="s">
        <v>7453</v>
      </c>
      <c r="F217" s="7">
        <v>1</v>
      </c>
      <c r="G217" s="7">
        <v>1</v>
      </c>
      <c r="H217" s="7"/>
      <c r="I217" s="7"/>
      <c r="J217" s="7"/>
      <c r="K217" s="7"/>
      <c r="L217" s="7"/>
      <c r="M217" s="7"/>
      <c r="N217" s="7"/>
      <c r="O217" s="7"/>
      <c r="P217" s="1899">
        <v>43937</v>
      </c>
      <c r="Q217" s="1899"/>
      <c r="R217" s="881" t="s">
        <v>7452</v>
      </c>
      <c r="S217" s="2737" t="s">
        <v>8154</v>
      </c>
      <c r="T217" s="836">
        <v>0.35416666666666669</v>
      </c>
      <c r="U217" s="836">
        <v>0.45555555555555555</v>
      </c>
      <c r="V217" s="836">
        <v>0.45555555555555555</v>
      </c>
      <c r="W217" s="1100">
        <v>100</v>
      </c>
      <c r="X217" s="7" t="s">
        <v>10309</v>
      </c>
      <c r="Y217" s="2717"/>
      <c r="Z217" s="7"/>
      <c r="AA217" s="7"/>
      <c r="AB217" s="7" t="s">
        <v>17</v>
      </c>
      <c r="AC217" s="7" t="s">
        <v>7451</v>
      </c>
      <c r="AD217" s="2699"/>
      <c r="AG217" s="2711"/>
    </row>
    <row r="218" spans="1:33" ht="87" hidden="1" x14ac:dyDescent="0.35">
      <c r="A218" s="2828">
        <v>43932</v>
      </c>
      <c r="B218" s="2760"/>
      <c r="C218" s="817" t="s">
        <v>9687</v>
      </c>
      <c r="D218" s="2700" t="s">
        <v>9688</v>
      </c>
      <c r="E218" s="7" t="s">
        <v>8177</v>
      </c>
      <c r="F218" s="5">
        <v>2</v>
      </c>
      <c r="G218" s="5">
        <v>2</v>
      </c>
      <c r="H218" s="5"/>
      <c r="I218" s="5"/>
      <c r="J218" s="5"/>
      <c r="K218" s="5"/>
      <c r="L218" s="817"/>
      <c r="M218" s="817"/>
      <c r="N218" s="817"/>
      <c r="O218" s="817"/>
      <c r="P218" s="2828">
        <v>43937</v>
      </c>
      <c r="Q218" s="2769"/>
      <c r="R218" s="2829" t="s">
        <v>9689</v>
      </c>
      <c r="S218" s="2688"/>
      <c r="T218" s="836">
        <v>0.35416666666666669</v>
      </c>
      <c r="U218" s="836">
        <v>0.41250000000000003</v>
      </c>
      <c r="V218" s="836">
        <v>0.41250000000000003</v>
      </c>
      <c r="W218" s="2681">
        <v>800</v>
      </c>
      <c r="X218" s="817" t="s">
        <v>9680</v>
      </c>
      <c r="Y218" s="2772"/>
      <c r="Z218" s="817"/>
      <c r="AA218" s="817"/>
      <c r="AB218" s="817" t="s">
        <v>17</v>
      </c>
      <c r="AC218" s="817" t="s">
        <v>7451</v>
      </c>
      <c r="AD218" s="2696"/>
      <c r="AG218" s="2711"/>
    </row>
    <row r="219" spans="1:33" ht="43.5" hidden="1" x14ac:dyDescent="0.35">
      <c r="A219" s="2769">
        <v>43929</v>
      </c>
      <c r="B219" s="2760">
        <v>11</v>
      </c>
      <c r="C219" s="817" t="s">
        <v>8673</v>
      </c>
      <c r="D219" s="2712" t="s">
        <v>9764</v>
      </c>
      <c r="E219" s="817" t="s">
        <v>8675</v>
      </c>
      <c r="F219" s="5">
        <v>1</v>
      </c>
      <c r="G219" s="5">
        <v>2</v>
      </c>
      <c r="H219" s="5">
        <v>1</v>
      </c>
      <c r="I219" s="5"/>
      <c r="J219" s="5"/>
      <c r="K219" s="5"/>
      <c r="L219" s="817"/>
      <c r="M219" s="817"/>
      <c r="N219" s="817"/>
      <c r="O219" s="817"/>
      <c r="P219" s="2828">
        <v>43937</v>
      </c>
      <c r="Q219" s="2769"/>
      <c r="R219" s="2829" t="s">
        <v>8674</v>
      </c>
      <c r="S219" s="2770"/>
      <c r="T219" s="836">
        <v>0.35416666666666669</v>
      </c>
      <c r="U219" s="2694">
        <v>0.48888888888888887</v>
      </c>
      <c r="V219" s="2694">
        <v>0.48888888888888887</v>
      </c>
      <c r="W219" s="1956">
        <v>230</v>
      </c>
      <c r="X219" s="836" t="s">
        <v>8625</v>
      </c>
      <c r="Y219" s="2772"/>
      <c r="Z219" s="817"/>
      <c r="AA219" s="817"/>
      <c r="AB219" s="7" t="s">
        <v>17</v>
      </c>
      <c r="AC219" s="817" t="s">
        <v>7451</v>
      </c>
      <c r="AD219" s="2700"/>
      <c r="AG219" s="2711"/>
    </row>
    <row r="220" spans="1:33" ht="43.5" hidden="1" x14ac:dyDescent="0.35">
      <c r="A220" s="2828">
        <v>43932</v>
      </c>
      <c r="B220" s="2760"/>
      <c r="C220" s="817" t="s">
        <v>9681</v>
      </c>
      <c r="D220" s="2696" t="s">
        <v>9682</v>
      </c>
      <c r="E220" s="7" t="s">
        <v>8857</v>
      </c>
      <c r="F220" s="5">
        <v>3</v>
      </c>
      <c r="G220" s="5">
        <v>3</v>
      </c>
      <c r="H220" s="5"/>
      <c r="I220" s="5"/>
      <c r="J220" s="5"/>
      <c r="K220" s="5"/>
      <c r="L220" s="817"/>
      <c r="M220" s="817"/>
      <c r="N220" s="817"/>
      <c r="O220" s="817"/>
      <c r="P220" s="2828">
        <v>43937</v>
      </c>
      <c r="Q220" s="2769"/>
      <c r="R220" s="2706" t="s">
        <v>10721</v>
      </c>
      <c r="S220" s="2747"/>
      <c r="T220" s="836">
        <v>0.35416666666666669</v>
      </c>
      <c r="U220" s="836">
        <v>0.38125000000000003</v>
      </c>
      <c r="V220" s="836">
        <v>0.38125000000000003</v>
      </c>
      <c r="W220" s="2681">
        <v>0</v>
      </c>
      <c r="X220" s="817" t="s">
        <v>9680</v>
      </c>
      <c r="Y220" s="2772"/>
      <c r="Z220" s="817"/>
      <c r="AA220" s="817"/>
      <c r="AB220" s="817" t="s">
        <v>17</v>
      </c>
      <c r="AC220" s="817" t="s">
        <v>7451</v>
      </c>
      <c r="AD220" s="2696"/>
      <c r="AG220" s="2711"/>
    </row>
    <row r="221" spans="1:33" ht="58" hidden="1" x14ac:dyDescent="0.35">
      <c r="A221" s="1899">
        <v>43922</v>
      </c>
      <c r="B221" s="2759"/>
      <c r="C221" s="7" t="s">
        <v>7679</v>
      </c>
      <c r="D221" s="2712" t="s">
        <v>9757</v>
      </c>
      <c r="E221" s="7" t="s">
        <v>7680</v>
      </c>
      <c r="F221" s="7">
        <v>1</v>
      </c>
      <c r="G221" s="7">
        <v>1</v>
      </c>
      <c r="H221" s="7"/>
      <c r="I221" s="7"/>
      <c r="J221" s="7"/>
      <c r="K221" s="7"/>
      <c r="L221" s="7"/>
      <c r="M221" s="7"/>
      <c r="N221" s="7"/>
      <c r="O221" s="7"/>
      <c r="P221" s="1899">
        <v>43937</v>
      </c>
      <c r="Q221" s="1899"/>
      <c r="R221" s="881" t="s">
        <v>7681</v>
      </c>
      <c r="S221" s="2747" t="s">
        <v>8154</v>
      </c>
      <c r="T221" s="836">
        <v>0.35416666666666669</v>
      </c>
      <c r="U221" s="836">
        <v>0.50416666666666665</v>
      </c>
      <c r="V221" s="836">
        <v>0.50416666666666665</v>
      </c>
      <c r="W221" s="1630">
        <v>100</v>
      </c>
      <c r="X221" s="836" t="s">
        <v>7682</v>
      </c>
      <c r="Y221" s="2717"/>
      <c r="Z221" s="7"/>
      <c r="AA221" s="7"/>
      <c r="AB221" s="7" t="s">
        <v>17</v>
      </c>
      <c r="AC221" s="7" t="s">
        <v>7451</v>
      </c>
      <c r="AD221" s="2699"/>
      <c r="AG221" s="2711"/>
    </row>
    <row r="222" spans="1:33" ht="87" hidden="1" x14ac:dyDescent="0.35">
      <c r="A222" s="1899">
        <v>43925</v>
      </c>
      <c r="B222" s="2759"/>
      <c r="C222" s="7" t="s">
        <v>8038</v>
      </c>
      <c r="D222" s="2712" t="s">
        <v>9756</v>
      </c>
      <c r="E222" s="7" t="s">
        <v>8553</v>
      </c>
      <c r="F222" s="7">
        <v>1</v>
      </c>
      <c r="G222" s="7">
        <v>4</v>
      </c>
      <c r="H222" s="7"/>
      <c r="I222" s="7"/>
      <c r="J222" s="7"/>
      <c r="K222" s="7"/>
      <c r="L222" s="7"/>
      <c r="M222" s="7"/>
      <c r="N222" s="7"/>
      <c r="O222" s="7"/>
      <c r="P222" s="1899">
        <v>43937</v>
      </c>
      <c r="Q222" s="1899"/>
      <c r="R222" s="881" t="s">
        <v>8351</v>
      </c>
      <c r="S222" s="881"/>
      <c r="T222" s="836">
        <v>0.35416666666666669</v>
      </c>
      <c r="U222" s="836">
        <v>0.38472222222222219</v>
      </c>
      <c r="V222" s="836">
        <v>0.38472222222222219</v>
      </c>
      <c r="W222" s="1630">
        <v>316</v>
      </c>
      <c r="X222" s="7" t="s">
        <v>9012</v>
      </c>
      <c r="Y222" s="2717"/>
      <c r="Z222" s="7"/>
      <c r="AA222" s="7"/>
      <c r="AB222" s="7" t="s">
        <v>17</v>
      </c>
      <c r="AC222" s="7" t="s">
        <v>2262</v>
      </c>
      <c r="AD222" s="2699"/>
      <c r="AG222" s="2711"/>
    </row>
    <row r="223" spans="1:33" ht="43.5" hidden="1" x14ac:dyDescent="0.35">
      <c r="A223" s="2828">
        <v>43931</v>
      </c>
      <c r="B223" s="2760"/>
      <c r="C223" s="817" t="s">
        <v>9107</v>
      </c>
      <c r="D223" s="2700" t="s">
        <v>9109</v>
      </c>
      <c r="E223" s="7" t="s">
        <v>8553</v>
      </c>
      <c r="F223" s="2682">
        <v>1</v>
      </c>
      <c r="G223" s="2682">
        <v>1</v>
      </c>
      <c r="H223" s="2682"/>
      <c r="I223" s="2682"/>
      <c r="J223" s="2682"/>
      <c r="K223" s="2682"/>
      <c r="L223" s="817"/>
      <c r="M223" s="817"/>
      <c r="N223" s="817"/>
      <c r="O223" s="817"/>
      <c r="P223" s="2828">
        <v>43937</v>
      </c>
      <c r="Q223" s="2769"/>
      <c r="R223" s="2829" t="s">
        <v>9108</v>
      </c>
      <c r="S223" s="2721"/>
      <c r="T223" s="836">
        <v>0.35416666666666669</v>
      </c>
      <c r="U223" s="2694">
        <v>0.5229166666666667</v>
      </c>
      <c r="V223" s="2694">
        <v>0.5229166666666667</v>
      </c>
      <c r="W223" s="1956">
        <v>100</v>
      </c>
      <c r="X223" s="817" t="s">
        <v>8625</v>
      </c>
      <c r="Y223" s="2772"/>
      <c r="Z223" s="817"/>
      <c r="AA223" s="817"/>
      <c r="AB223" s="817" t="s">
        <v>17</v>
      </c>
      <c r="AC223" s="817" t="s">
        <v>7451</v>
      </c>
      <c r="AD223" s="2700" t="s">
        <v>9109</v>
      </c>
      <c r="AG223" s="2711"/>
    </row>
    <row r="224" spans="1:33" ht="43.5" hidden="1" x14ac:dyDescent="0.35">
      <c r="A224" s="1899">
        <v>43932</v>
      </c>
      <c r="B224" s="2759">
        <v>12</v>
      </c>
      <c r="C224" s="7" t="s">
        <v>10242</v>
      </c>
      <c r="D224" s="2700" t="s">
        <v>10243</v>
      </c>
      <c r="E224" s="7" t="s">
        <v>8553</v>
      </c>
      <c r="F224" s="2682">
        <v>1</v>
      </c>
      <c r="G224" s="2682">
        <v>1</v>
      </c>
      <c r="H224" s="2682"/>
      <c r="I224" s="2682"/>
      <c r="J224" s="2682"/>
      <c r="K224" s="2682"/>
      <c r="L224" s="817"/>
      <c r="M224" s="817"/>
      <c r="N224" s="817"/>
      <c r="O224" s="817"/>
      <c r="P224" s="1899">
        <v>43937</v>
      </c>
      <c r="Q224" s="2828"/>
      <c r="R224" s="881" t="s">
        <v>10241</v>
      </c>
      <c r="S224" s="2721"/>
      <c r="T224" s="836">
        <v>0.35416666666666669</v>
      </c>
      <c r="U224" s="836">
        <v>0.50208333333333333</v>
      </c>
      <c r="V224" s="836">
        <v>0.50208333333333333</v>
      </c>
      <c r="W224" s="2680">
        <v>100</v>
      </c>
      <c r="X224" s="817" t="s">
        <v>2900</v>
      </c>
      <c r="Y224" s="2772"/>
      <c r="Z224" s="817"/>
      <c r="AA224" s="817"/>
      <c r="AB224" s="817" t="s">
        <v>17</v>
      </c>
      <c r="AC224" s="817" t="s">
        <v>7451</v>
      </c>
      <c r="AD224" s="2695"/>
      <c r="AG224" s="2711"/>
    </row>
    <row r="225" spans="1:33" ht="43.5" hidden="1" x14ac:dyDescent="0.35">
      <c r="A225" s="2486">
        <v>43934</v>
      </c>
      <c r="B225" s="2718">
        <v>8</v>
      </c>
      <c r="C225" s="5" t="s">
        <v>9640</v>
      </c>
      <c r="D225" s="2700" t="s">
        <v>10376</v>
      </c>
      <c r="E225" s="7" t="s">
        <v>8553</v>
      </c>
      <c r="F225" s="5">
        <v>1</v>
      </c>
      <c r="G225" s="5">
        <v>1</v>
      </c>
      <c r="H225" s="5"/>
      <c r="I225" s="5"/>
      <c r="J225" s="5"/>
      <c r="K225" s="5"/>
      <c r="L225" s="817"/>
      <c r="M225" s="817"/>
      <c r="N225" s="817"/>
      <c r="O225" s="817"/>
      <c r="P225" s="2486">
        <v>43937</v>
      </c>
      <c r="Q225" s="2769"/>
      <c r="R225" s="2722" t="s">
        <v>10377</v>
      </c>
      <c r="S225" s="2721"/>
      <c r="T225" s="836">
        <v>0.35416666666666669</v>
      </c>
      <c r="U225" s="2694">
        <v>0.45277777777777778</v>
      </c>
      <c r="V225" s="2694">
        <v>0.45277777777777778</v>
      </c>
      <c r="W225" s="2680">
        <v>100</v>
      </c>
      <c r="X225" s="817" t="s">
        <v>257</v>
      </c>
      <c r="Y225" s="2717"/>
      <c r="Z225" s="7"/>
      <c r="AA225" s="7"/>
      <c r="AB225" s="7" t="s">
        <v>17</v>
      </c>
      <c r="AC225" s="7" t="s">
        <v>7451</v>
      </c>
      <c r="AD225" s="2696"/>
      <c r="AG225" s="2711"/>
    </row>
    <row r="226" spans="1:33" ht="29" hidden="1" x14ac:dyDescent="0.35">
      <c r="A226" s="1899">
        <v>43934</v>
      </c>
      <c r="B226" s="2759">
        <v>3</v>
      </c>
      <c r="C226" s="7" t="s">
        <v>9640</v>
      </c>
      <c r="D226" s="2700" t="s">
        <v>10508</v>
      </c>
      <c r="E226" s="7" t="s">
        <v>10509</v>
      </c>
      <c r="F226" s="7"/>
      <c r="G226" s="7"/>
      <c r="H226" s="7"/>
      <c r="I226" s="7"/>
      <c r="J226" s="7">
        <v>2</v>
      </c>
      <c r="K226" s="7"/>
      <c r="L226" s="817"/>
      <c r="M226" s="817"/>
      <c r="N226" s="817"/>
      <c r="O226" s="817"/>
      <c r="P226" s="1899">
        <v>43937</v>
      </c>
      <c r="Q226" s="2769"/>
      <c r="R226" s="881" t="s">
        <v>10510</v>
      </c>
      <c r="S226" s="2747"/>
      <c r="T226" s="836">
        <v>0.35416666666666669</v>
      </c>
      <c r="U226" s="2694">
        <v>0.3833333333333333</v>
      </c>
      <c r="V226" s="2694">
        <v>0.3833333333333333</v>
      </c>
      <c r="W226" s="1809">
        <v>100</v>
      </c>
      <c r="X226" s="836" t="s">
        <v>257</v>
      </c>
      <c r="Y226" s="2772"/>
      <c r="Z226" s="817"/>
      <c r="AA226" s="817"/>
      <c r="AB226" s="7" t="s">
        <v>17</v>
      </c>
      <c r="AC226" s="817" t="s">
        <v>7451</v>
      </c>
      <c r="AD226" s="2696"/>
      <c r="AG226" s="2662"/>
    </row>
    <row r="227" spans="1:33" ht="29" hidden="1" x14ac:dyDescent="0.35">
      <c r="A227" s="2769">
        <v>43932</v>
      </c>
      <c r="B227" s="2760"/>
      <c r="C227" s="817" t="s">
        <v>9640</v>
      </c>
      <c r="D227" s="2700" t="s">
        <v>9675</v>
      </c>
      <c r="E227" s="7" t="s">
        <v>9007</v>
      </c>
      <c r="F227" s="5">
        <v>1</v>
      </c>
      <c r="G227" s="5">
        <v>2</v>
      </c>
      <c r="H227" s="5"/>
      <c r="I227" s="5"/>
      <c r="J227" s="5"/>
      <c r="K227" s="5"/>
      <c r="L227" s="817"/>
      <c r="M227" s="817"/>
      <c r="N227" s="817"/>
      <c r="O227" s="817"/>
      <c r="P227" s="2769">
        <v>43937</v>
      </c>
      <c r="Q227" s="2769"/>
      <c r="R227" s="2706" t="s">
        <v>9676</v>
      </c>
      <c r="S227" s="2721"/>
      <c r="T227" s="836">
        <v>0.35416666666666669</v>
      </c>
      <c r="U227" s="836">
        <v>0.40138888888888885</v>
      </c>
      <c r="V227" s="836">
        <v>0.40138888888888885</v>
      </c>
      <c r="W227" s="2680">
        <v>150</v>
      </c>
      <c r="X227" s="817" t="s">
        <v>2900</v>
      </c>
      <c r="Y227" s="2772"/>
      <c r="Z227" s="817"/>
      <c r="AA227" s="817"/>
      <c r="AB227" s="817" t="s">
        <v>17</v>
      </c>
      <c r="AC227" s="817" t="s">
        <v>7451</v>
      </c>
      <c r="AD227" s="2696"/>
      <c r="AG227" s="2711"/>
    </row>
    <row r="228" spans="1:33" ht="29" hidden="1" x14ac:dyDescent="0.35">
      <c r="A228" s="1899">
        <v>43931</v>
      </c>
      <c r="B228" s="2759">
        <v>10</v>
      </c>
      <c r="C228" s="7" t="s">
        <v>9019</v>
      </c>
      <c r="D228" s="2712" t="s">
        <v>10163</v>
      </c>
      <c r="E228" s="7" t="s">
        <v>8553</v>
      </c>
      <c r="F228" s="7">
        <v>1</v>
      </c>
      <c r="G228" s="7">
        <v>1</v>
      </c>
      <c r="H228" s="7"/>
      <c r="I228" s="7"/>
      <c r="J228" s="7"/>
      <c r="K228" s="7"/>
      <c r="L228" s="817"/>
      <c r="M228" s="817"/>
      <c r="N228" s="817"/>
      <c r="O228" s="817"/>
      <c r="P228" s="1899">
        <v>43937</v>
      </c>
      <c r="Q228" s="1899"/>
      <c r="R228" s="881" t="s">
        <v>9018</v>
      </c>
      <c r="S228" s="2688"/>
      <c r="T228" s="836">
        <v>0.35416666666666669</v>
      </c>
      <c r="U228" s="2694">
        <v>0.47847222222222219</v>
      </c>
      <c r="V228" s="2694">
        <v>0.47847222222222219</v>
      </c>
      <c r="W228" s="1809">
        <v>100</v>
      </c>
      <c r="X228" s="817" t="s">
        <v>257</v>
      </c>
      <c r="Y228" s="2772"/>
      <c r="Z228" s="817"/>
      <c r="AA228" s="817"/>
      <c r="AB228" s="817" t="s">
        <v>17</v>
      </c>
      <c r="AC228" s="817" t="s">
        <v>7451</v>
      </c>
      <c r="AD228" s="2696"/>
      <c r="AG228" s="2662"/>
    </row>
    <row r="229" spans="1:33" ht="29" hidden="1" x14ac:dyDescent="0.35">
      <c r="A229" s="2828">
        <v>43927</v>
      </c>
      <c r="B229" s="2760">
        <v>14</v>
      </c>
      <c r="C229" s="817" t="s">
        <v>8186</v>
      </c>
      <c r="D229" s="2712" t="s">
        <v>10165</v>
      </c>
      <c r="E229" s="817" t="s">
        <v>8073</v>
      </c>
      <c r="F229" s="5">
        <v>1</v>
      </c>
      <c r="G229" s="5">
        <v>1</v>
      </c>
      <c r="H229" s="5"/>
      <c r="I229" s="5"/>
      <c r="J229" s="5"/>
      <c r="K229" s="5"/>
      <c r="L229" s="817"/>
      <c r="M229" s="817"/>
      <c r="N229" s="817"/>
      <c r="O229" s="817"/>
      <c r="P229" s="2828">
        <v>43937</v>
      </c>
      <c r="Q229" s="2828"/>
      <c r="R229" s="2829" t="s">
        <v>8286</v>
      </c>
      <c r="S229" s="2829" t="s">
        <v>8265</v>
      </c>
      <c r="T229" s="836">
        <v>0.35416666666666669</v>
      </c>
      <c r="U229" s="2694">
        <v>0.5180555555555556</v>
      </c>
      <c r="V229" s="2694">
        <v>0.5180555555555556</v>
      </c>
      <c r="W229" s="1809">
        <v>100</v>
      </c>
      <c r="X229" s="817" t="s">
        <v>257</v>
      </c>
      <c r="Y229" s="2772"/>
      <c r="Z229" s="817"/>
      <c r="AA229" s="817"/>
      <c r="AB229" s="817" t="s">
        <v>17</v>
      </c>
      <c r="AC229" s="817" t="s">
        <v>7451</v>
      </c>
      <c r="AD229" s="2696" t="s">
        <v>8773</v>
      </c>
      <c r="AG229" s="2662"/>
    </row>
    <row r="230" spans="1:33" ht="43.5" hidden="1" x14ac:dyDescent="0.35">
      <c r="A230" s="2486">
        <v>43928</v>
      </c>
      <c r="B230" s="2718"/>
      <c r="C230" s="5" t="s">
        <v>8554</v>
      </c>
      <c r="D230" s="2712" t="s">
        <v>10166</v>
      </c>
      <c r="E230" s="5" t="s">
        <v>8555</v>
      </c>
      <c r="F230" s="2679">
        <v>3</v>
      </c>
      <c r="G230" s="5">
        <v>2</v>
      </c>
      <c r="H230" s="5"/>
      <c r="I230" s="5">
        <v>1</v>
      </c>
      <c r="J230" s="5"/>
      <c r="K230" s="5"/>
      <c r="L230" s="817"/>
      <c r="M230" s="817"/>
      <c r="N230" s="817"/>
      <c r="O230" s="817"/>
      <c r="P230" s="2486">
        <v>43937</v>
      </c>
      <c r="Q230" s="2486"/>
      <c r="R230" s="824" t="s">
        <v>8556</v>
      </c>
      <c r="S230" s="2747"/>
      <c r="T230" s="836">
        <v>0.35416666666666669</v>
      </c>
      <c r="U230" s="2694">
        <v>0.46736111111111112</v>
      </c>
      <c r="V230" s="2694">
        <v>0.46736111111111112</v>
      </c>
      <c r="W230" s="1809">
        <v>300</v>
      </c>
      <c r="X230" s="2694" t="s">
        <v>257</v>
      </c>
      <c r="Y230" s="2772"/>
      <c r="Z230" s="2694"/>
      <c r="AA230" s="2694"/>
      <c r="AB230" s="817" t="s">
        <v>17</v>
      </c>
      <c r="AC230" s="817" t="s">
        <v>7451</v>
      </c>
      <c r="AD230" s="2696" t="s">
        <v>8773</v>
      </c>
      <c r="AG230" s="2662"/>
    </row>
    <row r="231" spans="1:33" ht="29" hidden="1" x14ac:dyDescent="0.35">
      <c r="A231" s="2828">
        <v>43932</v>
      </c>
      <c r="B231" s="2760"/>
      <c r="C231" s="817" t="s">
        <v>9671</v>
      </c>
      <c r="D231" s="2700" t="s">
        <v>9672</v>
      </c>
      <c r="E231" s="7" t="s">
        <v>8553</v>
      </c>
      <c r="F231" s="5">
        <v>1</v>
      </c>
      <c r="G231" s="5">
        <v>1</v>
      </c>
      <c r="H231" s="5"/>
      <c r="I231" s="5"/>
      <c r="J231" s="5"/>
      <c r="K231" s="5"/>
      <c r="L231" s="817"/>
      <c r="M231" s="817"/>
      <c r="N231" s="817"/>
      <c r="O231" s="817"/>
      <c r="P231" s="2828">
        <v>43937</v>
      </c>
      <c r="Q231" s="2746"/>
      <c r="R231" s="2706" t="s">
        <v>9673</v>
      </c>
      <c r="S231" s="2747"/>
      <c r="T231" s="836">
        <v>0.35416666666666669</v>
      </c>
      <c r="U231" s="836">
        <v>0.53125</v>
      </c>
      <c r="V231" s="836">
        <v>0.53125</v>
      </c>
      <c r="W231" s="2680">
        <v>100</v>
      </c>
      <c r="X231" s="817" t="s">
        <v>2900</v>
      </c>
      <c r="Y231" s="2772"/>
      <c r="Z231" s="817"/>
      <c r="AA231" s="817"/>
      <c r="AB231" s="817" t="s">
        <v>17</v>
      </c>
      <c r="AC231" s="817" t="s">
        <v>7451</v>
      </c>
      <c r="AD231" s="2696"/>
      <c r="AG231" s="2662"/>
    </row>
    <row r="232" spans="1:33" ht="43.5" hidden="1" x14ac:dyDescent="0.35">
      <c r="A232" s="2828">
        <v>43935</v>
      </c>
      <c r="B232" s="2760">
        <v>16</v>
      </c>
      <c r="C232" s="2828" t="s">
        <v>10662</v>
      </c>
      <c r="D232" s="2700" t="s">
        <v>10663</v>
      </c>
      <c r="E232" s="817" t="s">
        <v>10661</v>
      </c>
      <c r="F232" s="2744">
        <v>1</v>
      </c>
      <c r="G232" s="2744">
        <v>1</v>
      </c>
      <c r="H232" s="2744"/>
      <c r="I232" s="2744"/>
      <c r="J232" s="2744"/>
      <c r="K232" s="2744"/>
      <c r="L232" s="817"/>
      <c r="M232" s="817"/>
      <c r="N232" s="817"/>
      <c r="O232" s="817"/>
      <c r="P232" s="2828">
        <v>43937</v>
      </c>
      <c r="Q232" s="2769"/>
      <c r="R232" s="2829" t="s">
        <v>10659</v>
      </c>
      <c r="S232" s="2688"/>
      <c r="T232" s="836">
        <v>0.35416666666666669</v>
      </c>
      <c r="U232" s="2694">
        <v>0.53888888888888886</v>
      </c>
      <c r="V232" s="2694">
        <v>0.53888888888888886</v>
      </c>
      <c r="W232" s="1809">
        <v>100</v>
      </c>
      <c r="X232" s="817" t="s">
        <v>257</v>
      </c>
      <c r="Y232" s="2772"/>
      <c r="Z232" s="817"/>
      <c r="AA232" s="817"/>
      <c r="AB232" s="817" t="s">
        <v>17</v>
      </c>
      <c r="AC232" s="817" t="s">
        <v>7451</v>
      </c>
      <c r="AD232" s="2739"/>
      <c r="AG232" s="2662"/>
    </row>
    <row r="233" spans="1:33" ht="29" hidden="1" x14ac:dyDescent="0.35">
      <c r="A233" s="2486">
        <v>43924</v>
      </c>
      <c r="B233" s="2718">
        <v>4</v>
      </c>
      <c r="C233" s="7" t="s">
        <v>7932</v>
      </c>
      <c r="D233" s="2712" t="s">
        <v>10139</v>
      </c>
      <c r="E233" s="817" t="s">
        <v>8489</v>
      </c>
      <c r="F233" s="5">
        <v>3</v>
      </c>
      <c r="G233" s="5">
        <v>3</v>
      </c>
      <c r="H233" s="5"/>
      <c r="I233" s="5"/>
      <c r="J233" s="5"/>
      <c r="K233" s="5"/>
      <c r="L233" s="5"/>
      <c r="M233" s="5"/>
      <c r="N233" s="5"/>
      <c r="O233" s="5"/>
      <c r="P233" s="2486">
        <v>43937</v>
      </c>
      <c r="Q233" s="2486"/>
      <c r="R233" s="824" t="s">
        <v>7933</v>
      </c>
      <c r="S233" s="2688" t="s">
        <v>8272</v>
      </c>
      <c r="T233" s="836">
        <v>0.35416666666666669</v>
      </c>
      <c r="U233" s="2694">
        <v>0.39444444444444443</v>
      </c>
      <c r="V233" s="2694">
        <v>0.39444444444444443</v>
      </c>
      <c r="W233" s="1809">
        <v>300</v>
      </c>
      <c r="X233" s="817" t="s">
        <v>257</v>
      </c>
      <c r="Y233" s="2772"/>
      <c r="Z233" s="817"/>
      <c r="AA233" s="817"/>
      <c r="AB233" s="817" t="s">
        <v>17</v>
      </c>
      <c r="AC233" s="817" t="s">
        <v>7451</v>
      </c>
      <c r="AD233" s="2699"/>
      <c r="AG233" s="2662"/>
    </row>
    <row r="234" spans="1:33" ht="29" hidden="1" x14ac:dyDescent="0.35">
      <c r="A234" s="2486">
        <v>43924</v>
      </c>
      <c r="B234" s="2718">
        <v>9</v>
      </c>
      <c r="C234" s="5" t="s">
        <v>7942</v>
      </c>
      <c r="D234" s="2712" t="s">
        <v>10167</v>
      </c>
      <c r="E234" s="5" t="s">
        <v>7943</v>
      </c>
      <c r="F234" s="5">
        <v>1</v>
      </c>
      <c r="G234" s="5">
        <v>1</v>
      </c>
      <c r="H234" s="5"/>
      <c r="I234" s="5"/>
      <c r="J234" s="5"/>
      <c r="K234" s="5"/>
      <c r="L234" s="5"/>
      <c r="M234" s="5"/>
      <c r="N234" s="5"/>
      <c r="O234" s="5"/>
      <c r="P234" s="2486">
        <v>43937</v>
      </c>
      <c r="Q234" s="2486"/>
      <c r="R234" s="824" t="s">
        <v>7944</v>
      </c>
      <c r="S234" s="2721" t="s">
        <v>8285</v>
      </c>
      <c r="T234" s="836">
        <v>0.35416666666666669</v>
      </c>
      <c r="U234" s="2694">
        <v>0.45694444444444443</v>
      </c>
      <c r="V234" s="2694">
        <v>0.45694444444444443</v>
      </c>
      <c r="W234" s="1809">
        <v>100</v>
      </c>
      <c r="X234" s="2694" t="s">
        <v>257</v>
      </c>
      <c r="Y234" s="2772"/>
      <c r="Z234" s="2694"/>
      <c r="AA234" s="2694"/>
      <c r="AB234" s="817" t="s">
        <v>17</v>
      </c>
      <c r="AC234" s="817" t="s">
        <v>7663</v>
      </c>
      <c r="AD234" s="2699"/>
      <c r="AG234" s="2711"/>
    </row>
    <row r="235" spans="1:33" ht="58" hidden="1" x14ac:dyDescent="0.35">
      <c r="A235" s="2486">
        <v>43928</v>
      </c>
      <c r="B235" s="2718"/>
      <c r="C235" s="7" t="s">
        <v>8404</v>
      </c>
      <c r="D235" s="2712" t="s">
        <v>9766</v>
      </c>
      <c r="E235" s="7" t="s">
        <v>8406</v>
      </c>
      <c r="F235" s="2679">
        <v>1</v>
      </c>
      <c r="G235" s="5">
        <v>2</v>
      </c>
      <c r="H235" s="5"/>
      <c r="I235" s="5"/>
      <c r="J235" s="5"/>
      <c r="K235" s="5"/>
      <c r="L235" s="817"/>
      <c r="M235" s="817"/>
      <c r="N235" s="817"/>
      <c r="O235" s="817"/>
      <c r="P235" s="2486">
        <v>43937</v>
      </c>
      <c r="Q235" s="2486"/>
      <c r="R235" s="824" t="s">
        <v>8405</v>
      </c>
      <c r="S235" s="2688" t="s">
        <v>8265</v>
      </c>
      <c r="T235" s="836">
        <v>0.35416666666666669</v>
      </c>
      <c r="U235" s="2694">
        <v>0.57777777777777783</v>
      </c>
      <c r="V235" s="2694">
        <v>0.57777777777777783</v>
      </c>
      <c r="W235" s="1809">
        <v>165</v>
      </c>
      <c r="X235" s="836" t="s">
        <v>257</v>
      </c>
      <c r="Y235" s="2772"/>
      <c r="Z235" s="817"/>
      <c r="AA235" s="817"/>
      <c r="AB235" s="7" t="s">
        <v>17</v>
      </c>
      <c r="AC235" s="817" t="s">
        <v>7451</v>
      </c>
      <c r="AD235" s="2699"/>
      <c r="AG235" s="2711"/>
    </row>
    <row r="236" spans="1:33" ht="29" hidden="1" x14ac:dyDescent="0.35">
      <c r="A236" s="2486">
        <v>43933</v>
      </c>
      <c r="B236" s="2718"/>
      <c r="C236" s="5" t="s">
        <v>10244</v>
      </c>
      <c r="D236" s="2700" t="s">
        <v>10245</v>
      </c>
      <c r="E236" s="7" t="s">
        <v>10246</v>
      </c>
      <c r="F236" s="2686">
        <v>15</v>
      </c>
      <c r="G236" s="2682">
        <v>15</v>
      </c>
      <c r="H236" s="2682"/>
      <c r="I236" s="2682"/>
      <c r="J236" s="2682"/>
      <c r="K236" s="2682"/>
      <c r="L236" s="817"/>
      <c r="M236" s="817"/>
      <c r="N236" s="817"/>
      <c r="O236" s="817"/>
      <c r="P236" s="2486">
        <v>43937</v>
      </c>
      <c r="Q236" s="2769"/>
      <c r="R236" s="824" t="s">
        <v>10247</v>
      </c>
      <c r="S236" s="2747"/>
      <c r="T236" s="836">
        <v>0.35416666666666669</v>
      </c>
      <c r="U236" s="2694">
        <v>0.4465277777777778</v>
      </c>
      <c r="V236" s="2694">
        <v>0.4465277777777778</v>
      </c>
      <c r="W236" s="2680">
        <v>1500</v>
      </c>
      <c r="X236" s="2694" t="s">
        <v>10248</v>
      </c>
      <c r="Y236" s="2772"/>
      <c r="Z236" s="817"/>
      <c r="AA236" s="817"/>
      <c r="AB236" s="817" t="s">
        <v>22</v>
      </c>
      <c r="AC236" s="817" t="s">
        <v>7451</v>
      </c>
      <c r="AD236" s="2695"/>
      <c r="AG236" s="2711"/>
    </row>
    <row r="237" spans="1:33" ht="43.5" hidden="1" x14ac:dyDescent="0.35">
      <c r="A237" s="1899">
        <v>43932</v>
      </c>
      <c r="B237" s="2759">
        <v>18</v>
      </c>
      <c r="C237" s="817" t="s">
        <v>9605</v>
      </c>
      <c r="D237" s="2700" t="s">
        <v>9606</v>
      </c>
      <c r="E237" s="7" t="s">
        <v>9635</v>
      </c>
      <c r="F237" s="5"/>
      <c r="G237" s="5">
        <v>2</v>
      </c>
      <c r="H237" s="5"/>
      <c r="I237" s="5"/>
      <c r="J237" s="5"/>
      <c r="K237" s="5"/>
      <c r="L237" s="817"/>
      <c r="M237" s="817"/>
      <c r="N237" s="817"/>
      <c r="O237" s="817"/>
      <c r="P237" s="2828">
        <v>43937</v>
      </c>
      <c r="Q237" s="2828"/>
      <c r="R237" s="2706" t="s">
        <v>9607</v>
      </c>
      <c r="S237" s="2770"/>
      <c r="T237" s="836">
        <v>0.35416666666666669</v>
      </c>
      <c r="U237" s="836">
        <v>0.59513888888888888</v>
      </c>
      <c r="V237" s="836">
        <v>0.59513888888888888</v>
      </c>
      <c r="W237" s="2680">
        <v>120</v>
      </c>
      <c r="X237" s="817" t="s">
        <v>8297</v>
      </c>
      <c r="Y237" s="2772"/>
      <c r="Z237" s="817"/>
      <c r="AA237" s="817"/>
      <c r="AB237" s="817" t="s">
        <v>17</v>
      </c>
      <c r="AC237" s="817" t="s">
        <v>7451</v>
      </c>
      <c r="AD237" s="2696"/>
      <c r="AG237" s="2662"/>
    </row>
    <row r="238" spans="1:33" ht="43.5" hidden="1" x14ac:dyDescent="0.35">
      <c r="A238" s="2769">
        <v>43936</v>
      </c>
      <c r="B238" s="2760"/>
      <c r="C238" s="817" t="s">
        <v>10727</v>
      </c>
      <c r="D238" s="2700" t="s">
        <v>10728</v>
      </c>
      <c r="E238" s="817" t="s">
        <v>10730</v>
      </c>
      <c r="F238" s="2741"/>
      <c r="G238" s="2741">
        <v>1</v>
      </c>
      <c r="H238" s="2741"/>
      <c r="I238" s="2741"/>
      <c r="J238" s="2741"/>
      <c r="K238" s="2741"/>
      <c r="L238" s="817"/>
      <c r="M238" s="817"/>
      <c r="N238" s="817"/>
      <c r="O238" s="817"/>
      <c r="P238" s="2769">
        <v>43937</v>
      </c>
      <c r="Q238" s="2769"/>
      <c r="R238" s="2706" t="s">
        <v>10729</v>
      </c>
      <c r="S238" s="2747"/>
      <c r="T238" s="836">
        <v>0.35416666666666669</v>
      </c>
      <c r="U238" s="2694">
        <v>0.36736111111111108</v>
      </c>
      <c r="V238" s="2694">
        <v>0.36736111111111108</v>
      </c>
      <c r="W238" s="1956">
        <v>137</v>
      </c>
      <c r="X238" s="817" t="s">
        <v>7634</v>
      </c>
      <c r="Y238" s="2772"/>
      <c r="Z238" s="817"/>
      <c r="AA238" s="817"/>
      <c r="AB238" s="817" t="s">
        <v>17</v>
      </c>
      <c r="AC238" s="817" t="s">
        <v>7451</v>
      </c>
      <c r="AD238" s="2739"/>
      <c r="AG238" s="2711"/>
    </row>
    <row r="239" spans="1:33" ht="43.5" hidden="1" x14ac:dyDescent="0.35">
      <c r="A239" s="2486">
        <v>43928</v>
      </c>
      <c r="B239" s="2718"/>
      <c r="C239" s="7" t="s">
        <v>8462</v>
      </c>
      <c r="D239" s="2712" t="s">
        <v>9888</v>
      </c>
      <c r="E239" s="7" t="s">
        <v>8149</v>
      </c>
      <c r="F239" s="2679">
        <v>1</v>
      </c>
      <c r="G239" s="5">
        <v>1</v>
      </c>
      <c r="H239" s="5"/>
      <c r="I239" s="5"/>
      <c r="J239" s="5"/>
      <c r="K239" s="5"/>
      <c r="L239" s="817"/>
      <c r="M239" s="817"/>
      <c r="N239" s="817"/>
      <c r="O239" s="817"/>
      <c r="P239" s="2486">
        <v>43937</v>
      </c>
      <c r="Q239" s="2486"/>
      <c r="R239" s="824" t="s">
        <v>8463</v>
      </c>
      <c r="S239" s="2688" t="s">
        <v>8289</v>
      </c>
      <c r="T239" s="836">
        <v>0.35416666666666669</v>
      </c>
      <c r="U239" s="2694">
        <v>0.56527777777777777</v>
      </c>
      <c r="V239" s="2694">
        <v>0.56527777777777777</v>
      </c>
      <c r="W239" s="1809">
        <v>100</v>
      </c>
      <c r="X239" s="836" t="s">
        <v>257</v>
      </c>
      <c r="Y239" s="2772"/>
      <c r="Z239" s="817"/>
      <c r="AA239" s="817"/>
      <c r="AB239" s="7" t="s">
        <v>17</v>
      </c>
      <c r="AC239" s="817" t="s">
        <v>7451</v>
      </c>
      <c r="AD239" s="2699" t="s">
        <v>1710</v>
      </c>
      <c r="AG239" s="2711"/>
    </row>
    <row r="240" spans="1:33" ht="72.5" hidden="1" x14ac:dyDescent="0.35">
      <c r="A240" s="1899">
        <v>43925</v>
      </c>
      <c r="B240" s="2759">
        <v>7</v>
      </c>
      <c r="C240" s="7" t="s">
        <v>7960</v>
      </c>
      <c r="D240" s="2712" t="s">
        <v>9765</v>
      </c>
      <c r="E240" s="7" t="s">
        <v>7962</v>
      </c>
      <c r="F240" s="7">
        <v>1</v>
      </c>
      <c r="G240" s="7">
        <v>1</v>
      </c>
      <c r="H240" s="7">
        <v>1</v>
      </c>
      <c r="I240" s="7"/>
      <c r="J240" s="7"/>
      <c r="K240" s="7"/>
      <c r="L240" s="7"/>
      <c r="M240" s="7"/>
      <c r="N240" s="7"/>
      <c r="O240" s="7"/>
      <c r="P240" s="1899">
        <v>43937</v>
      </c>
      <c r="Q240" s="1899"/>
      <c r="R240" s="881" t="s">
        <v>7961</v>
      </c>
      <c r="S240" s="2688" t="s">
        <v>8285</v>
      </c>
      <c r="T240" s="836">
        <v>0.35416666666666669</v>
      </c>
      <c r="U240" s="2694">
        <v>0.43472222222222223</v>
      </c>
      <c r="V240" s="2694">
        <v>0.43472222222222223</v>
      </c>
      <c r="W240" s="1956">
        <v>165</v>
      </c>
      <c r="X240" s="817" t="s">
        <v>7634</v>
      </c>
      <c r="Y240" s="2772"/>
      <c r="Z240" s="817"/>
      <c r="AA240" s="817"/>
      <c r="AB240" s="817" t="s">
        <v>17</v>
      </c>
      <c r="AC240" s="817" t="s">
        <v>7451</v>
      </c>
      <c r="AD240" s="2699"/>
      <c r="AG240" s="2711"/>
    </row>
    <row r="241" spans="1:33" ht="29" hidden="1" x14ac:dyDescent="0.35">
      <c r="A241" s="2828">
        <v>43931</v>
      </c>
      <c r="B241" s="2760">
        <v>20</v>
      </c>
      <c r="C241" s="817" t="s">
        <v>9135</v>
      </c>
      <c r="D241" s="2700" t="s">
        <v>9134</v>
      </c>
      <c r="E241" s="7" t="s">
        <v>8177</v>
      </c>
      <c r="F241" s="2682">
        <v>2</v>
      </c>
      <c r="G241" s="2682">
        <v>2</v>
      </c>
      <c r="H241" s="2682"/>
      <c r="I241" s="2682"/>
      <c r="J241" s="2682"/>
      <c r="K241" s="2682"/>
      <c r="L241" s="817"/>
      <c r="M241" s="817"/>
      <c r="N241" s="817"/>
      <c r="O241" s="817"/>
      <c r="P241" s="2828">
        <v>43937</v>
      </c>
      <c r="Q241" s="2828"/>
      <c r="R241" s="2829" t="s">
        <v>9136</v>
      </c>
      <c r="S241" s="2747"/>
      <c r="T241" s="836">
        <v>0.35416666666666669</v>
      </c>
      <c r="U241" s="2694">
        <v>0.61736111111111114</v>
      </c>
      <c r="V241" s="2694">
        <v>0.61736111111111114</v>
      </c>
      <c r="W241" s="2680">
        <v>200</v>
      </c>
      <c r="X241" s="817" t="s">
        <v>2900</v>
      </c>
      <c r="Y241" s="2772"/>
      <c r="Z241" s="817"/>
      <c r="AA241" s="817"/>
      <c r="AB241" s="817" t="s">
        <v>17</v>
      </c>
      <c r="AC241" s="817" t="s">
        <v>7451</v>
      </c>
      <c r="AD241" s="2700" t="s">
        <v>9134</v>
      </c>
      <c r="AG241" s="2662"/>
    </row>
    <row r="242" spans="1:33" ht="87" hidden="1" x14ac:dyDescent="0.35">
      <c r="A242" s="2486">
        <v>43930</v>
      </c>
      <c r="B242" s="2718">
        <v>1</v>
      </c>
      <c r="C242" s="5" t="s">
        <v>10133</v>
      </c>
      <c r="D242" s="2700" t="s">
        <v>10134</v>
      </c>
      <c r="E242" s="7" t="s">
        <v>8553</v>
      </c>
      <c r="F242" s="2679">
        <v>1</v>
      </c>
      <c r="G242" s="5">
        <v>1</v>
      </c>
      <c r="H242" s="5"/>
      <c r="I242" s="5"/>
      <c r="J242" s="5"/>
      <c r="K242" s="5"/>
      <c r="L242" s="817"/>
      <c r="M242" s="817"/>
      <c r="N242" s="817"/>
      <c r="O242" s="817"/>
      <c r="P242" s="2486">
        <v>43937</v>
      </c>
      <c r="Q242" s="2486"/>
      <c r="R242" s="824" t="s">
        <v>8851</v>
      </c>
      <c r="S242" s="2688"/>
      <c r="T242" s="836">
        <v>0.35416666666666669</v>
      </c>
      <c r="U242" s="2694">
        <v>0.35555555555555557</v>
      </c>
      <c r="V242" s="2694">
        <v>0.35555555555555557</v>
      </c>
      <c r="W242" s="1956">
        <v>100</v>
      </c>
      <c r="X242" s="836" t="s">
        <v>8625</v>
      </c>
      <c r="Y242" s="2772"/>
      <c r="Z242" s="817"/>
      <c r="AA242" s="817"/>
      <c r="AB242" s="7" t="s">
        <v>17</v>
      </c>
      <c r="AC242" s="817" t="s">
        <v>7451</v>
      </c>
      <c r="AD242" s="2700"/>
      <c r="AG242" s="2711"/>
    </row>
    <row r="243" spans="1:33" ht="43.5" hidden="1" x14ac:dyDescent="0.35">
      <c r="A243" s="2828">
        <v>43927</v>
      </c>
      <c r="B243" s="2760">
        <v>5</v>
      </c>
      <c r="C243" s="817" t="s">
        <v>8199</v>
      </c>
      <c r="D243" s="2712" t="s">
        <v>9761</v>
      </c>
      <c r="E243" s="817" t="s">
        <v>7935</v>
      </c>
      <c r="F243" s="5">
        <v>1</v>
      </c>
      <c r="G243" s="5">
        <v>1</v>
      </c>
      <c r="H243" s="5"/>
      <c r="I243" s="5"/>
      <c r="J243" s="5"/>
      <c r="K243" s="5"/>
      <c r="L243" s="817"/>
      <c r="M243" s="817"/>
      <c r="N243" s="817"/>
      <c r="O243" s="817"/>
      <c r="P243" s="2828">
        <v>43937</v>
      </c>
      <c r="Q243" s="2769"/>
      <c r="R243" s="2829" t="s">
        <v>8300</v>
      </c>
      <c r="S243" s="2688" t="s">
        <v>8154</v>
      </c>
      <c r="T243" s="836">
        <v>0.35416666666666669</v>
      </c>
      <c r="U243" s="2694">
        <v>0.41319444444444442</v>
      </c>
      <c r="V243" s="2694">
        <v>0.41319444444444442</v>
      </c>
      <c r="W243" s="1809">
        <v>100</v>
      </c>
      <c r="X243" s="817" t="s">
        <v>8297</v>
      </c>
      <c r="Y243" s="2772"/>
      <c r="Z243" s="2694"/>
      <c r="AA243" s="2694"/>
      <c r="AB243" s="817" t="s">
        <v>17</v>
      </c>
      <c r="AC243" s="817" t="s">
        <v>7451</v>
      </c>
      <c r="AD243" s="2699"/>
      <c r="AG243" s="2711"/>
    </row>
    <row r="244" spans="1:33" ht="43.5" hidden="1" x14ac:dyDescent="0.35">
      <c r="A244" s="2486">
        <v>43929</v>
      </c>
      <c r="B244" s="2718">
        <v>6</v>
      </c>
      <c r="C244" s="5" t="s">
        <v>8726</v>
      </c>
      <c r="D244" s="2712" t="s">
        <v>9759</v>
      </c>
      <c r="E244" s="7" t="s">
        <v>8622</v>
      </c>
      <c r="F244" s="2686">
        <v>1</v>
      </c>
      <c r="G244" s="2682">
        <v>1</v>
      </c>
      <c r="H244" s="2682"/>
      <c r="I244" s="2682"/>
      <c r="J244" s="2682"/>
      <c r="K244" s="2682"/>
      <c r="L244" s="817"/>
      <c r="M244" s="817"/>
      <c r="N244" s="817"/>
      <c r="O244" s="817"/>
      <c r="P244" s="2486">
        <v>43937</v>
      </c>
      <c r="Q244" s="2486"/>
      <c r="R244" s="824" t="s">
        <v>8727</v>
      </c>
      <c r="S244" s="2747"/>
      <c r="T244" s="836">
        <v>0.35416666666666669</v>
      </c>
      <c r="U244" s="2694">
        <v>0.4201388888888889</v>
      </c>
      <c r="V244" s="2694">
        <v>0.4201388888888889</v>
      </c>
      <c r="W244" s="1809">
        <v>100</v>
      </c>
      <c r="X244" s="836" t="s">
        <v>257</v>
      </c>
      <c r="Y244" s="2772"/>
      <c r="Z244" s="817"/>
      <c r="AA244" s="817"/>
      <c r="AB244" s="7" t="s">
        <v>17</v>
      </c>
      <c r="AC244" s="817" t="s">
        <v>7451</v>
      </c>
      <c r="AD244" s="2700"/>
      <c r="AG244" s="2711"/>
    </row>
    <row r="245" spans="1:33" ht="43.5" hidden="1" x14ac:dyDescent="0.35">
      <c r="A245" s="2486">
        <v>43934</v>
      </c>
      <c r="B245" s="2718">
        <v>13</v>
      </c>
      <c r="C245" s="5" t="s">
        <v>10331</v>
      </c>
      <c r="D245" s="2700" t="s">
        <v>10332</v>
      </c>
      <c r="E245" s="7" t="s">
        <v>8553</v>
      </c>
      <c r="F245" s="2686">
        <v>1</v>
      </c>
      <c r="G245" s="2682">
        <v>1</v>
      </c>
      <c r="H245" s="2682"/>
      <c r="I245" s="2682"/>
      <c r="J245" s="2682"/>
      <c r="K245" s="2682"/>
      <c r="L245" s="817"/>
      <c r="M245" s="817"/>
      <c r="N245" s="817"/>
      <c r="O245" s="817"/>
      <c r="P245" s="2486">
        <v>43937</v>
      </c>
      <c r="Q245" s="2769"/>
      <c r="R245" s="2722" t="s">
        <v>10333</v>
      </c>
      <c r="S245" s="2688"/>
      <c r="T245" s="836">
        <v>0.35416666666666669</v>
      </c>
      <c r="U245" s="836">
        <v>0.50902777777777775</v>
      </c>
      <c r="V245" s="836">
        <v>0.50902777777777775</v>
      </c>
      <c r="W245" s="1956">
        <v>100</v>
      </c>
      <c r="X245" s="817" t="s">
        <v>8625</v>
      </c>
      <c r="Y245" s="2772"/>
      <c r="Z245" s="817"/>
      <c r="AA245" s="817"/>
      <c r="AB245" s="817" t="s">
        <v>17</v>
      </c>
      <c r="AC245" s="817" t="s">
        <v>7451</v>
      </c>
      <c r="AD245" s="2695"/>
      <c r="AG245" s="2711"/>
    </row>
    <row r="246" spans="1:33" ht="72.5" hidden="1" x14ac:dyDescent="0.35">
      <c r="A246" s="2828">
        <v>43934</v>
      </c>
      <c r="B246" s="2760">
        <v>11</v>
      </c>
      <c r="C246" s="2828" t="s">
        <v>10489</v>
      </c>
      <c r="D246" s="2707" t="s">
        <v>10494</v>
      </c>
      <c r="E246" s="7" t="s">
        <v>10495</v>
      </c>
      <c r="F246" s="817"/>
      <c r="G246" s="817"/>
      <c r="H246" s="817"/>
      <c r="I246" s="817"/>
      <c r="J246" s="817">
        <v>2</v>
      </c>
      <c r="K246" s="817"/>
      <c r="L246" s="817"/>
      <c r="M246" s="817"/>
      <c r="N246" s="817"/>
      <c r="O246" s="817"/>
      <c r="P246" s="2828">
        <v>43937</v>
      </c>
      <c r="Q246" s="2828"/>
      <c r="R246" s="2829" t="s">
        <v>10490</v>
      </c>
      <c r="S246" s="2688"/>
      <c r="T246" s="836">
        <v>0.35416666666666669</v>
      </c>
      <c r="U246" s="2694">
        <v>0.4770833333333333</v>
      </c>
      <c r="V246" s="2694">
        <v>0.4770833333333333</v>
      </c>
      <c r="W246" s="1809">
        <v>100</v>
      </c>
      <c r="X246" s="2694" t="s">
        <v>2900</v>
      </c>
      <c r="Y246" s="2772"/>
      <c r="Z246" s="817"/>
      <c r="AA246" s="817"/>
      <c r="AB246" s="817" t="s">
        <v>17</v>
      </c>
      <c r="AC246" s="817" t="s">
        <v>7451</v>
      </c>
      <c r="AD246" s="2696"/>
      <c r="AG246" s="2711"/>
    </row>
    <row r="247" spans="1:33" ht="58" hidden="1" x14ac:dyDescent="0.35">
      <c r="A247" s="2486">
        <v>43924</v>
      </c>
      <c r="B247" s="2718"/>
      <c r="C247" s="5" t="s">
        <v>7899</v>
      </c>
      <c r="D247" s="2712" t="s">
        <v>9763</v>
      </c>
      <c r="E247" s="817" t="s">
        <v>7829</v>
      </c>
      <c r="F247" s="5">
        <v>1</v>
      </c>
      <c r="G247" s="5">
        <v>1</v>
      </c>
      <c r="H247" s="5"/>
      <c r="I247" s="5"/>
      <c r="J247" s="5"/>
      <c r="K247" s="5"/>
      <c r="L247" s="5"/>
      <c r="M247" s="5"/>
      <c r="N247" s="5"/>
      <c r="O247" s="5"/>
      <c r="P247" s="2486">
        <v>43937</v>
      </c>
      <c r="Q247" s="2486"/>
      <c r="R247" s="824" t="s">
        <v>7898</v>
      </c>
      <c r="S247" s="2688" t="s">
        <v>8289</v>
      </c>
      <c r="T247" s="836">
        <v>0.35416666666666669</v>
      </c>
      <c r="U247" s="2694">
        <v>0.55277777777777781</v>
      </c>
      <c r="V247" s="2694">
        <v>0.55277777777777781</v>
      </c>
      <c r="W247" s="1956">
        <v>100</v>
      </c>
      <c r="X247" s="817" t="s">
        <v>7634</v>
      </c>
      <c r="Y247" s="2772"/>
      <c r="Z247" s="817"/>
      <c r="AA247" s="817"/>
      <c r="AB247" s="817" t="s">
        <v>17</v>
      </c>
      <c r="AC247" s="817" t="s">
        <v>7451</v>
      </c>
      <c r="AD247" s="2699"/>
      <c r="AG247" s="2711"/>
    </row>
    <row r="248" spans="1:33" ht="43.5" hidden="1" x14ac:dyDescent="0.35">
      <c r="A248" s="2486">
        <v>43925</v>
      </c>
      <c r="B248" s="2718"/>
      <c r="C248" s="7" t="s">
        <v>7968</v>
      </c>
      <c r="D248" s="2712" t="s">
        <v>9771</v>
      </c>
      <c r="E248" s="817" t="s">
        <v>7969</v>
      </c>
      <c r="F248" s="2710">
        <v>2</v>
      </c>
      <c r="G248" s="2710">
        <v>2</v>
      </c>
      <c r="H248" s="2710"/>
      <c r="I248" s="2710"/>
      <c r="J248" s="2710"/>
      <c r="K248" s="2710"/>
      <c r="L248" s="2710"/>
      <c r="M248" s="2710"/>
      <c r="N248" s="2710"/>
      <c r="O248" s="2710"/>
      <c r="P248" s="2486">
        <v>43937</v>
      </c>
      <c r="Q248" s="2486"/>
      <c r="R248" s="824" t="s">
        <v>7970</v>
      </c>
      <c r="S248" s="2688" t="s">
        <v>8154</v>
      </c>
      <c r="T248" s="836">
        <v>0.35416666666666669</v>
      </c>
      <c r="U248" s="2694">
        <v>0.47916666666666669</v>
      </c>
      <c r="V248" s="2694">
        <v>0.47916666666666669</v>
      </c>
      <c r="W248" s="2648">
        <v>200</v>
      </c>
      <c r="X248" s="817" t="s">
        <v>257</v>
      </c>
      <c r="Y248" s="2772"/>
      <c r="Z248" s="817"/>
      <c r="AA248" s="817"/>
      <c r="AB248" s="817" t="s">
        <v>17</v>
      </c>
      <c r="AC248" s="817" t="s">
        <v>7451</v>
      </c>
      <c r="AD248" s="2699"/>
      <c r="AG248" s="2711"/>
    </row>
    <row r="249" spans="1:33" ht="43.5" hidden="1" x14ac:dyDescent="0.35">
      <c r="A249" s="1899">
        <v>43932</v>
      </c>
      <c r="B249" s="2759">
        <v>17</v>
      </c>
      <c r="C249" s="7" t="s">
        <v>9556</v>
      </c>
      <c r="D249" s="2707" t="s">
        <v>9557</v>
      </c>
      <c r="E249" s="7" t="s">
        <v>8553</v>
      </c>
      <c r="F249" s="5">
        <v>1</v>
      </c>
      <c r="G249" s="5">
        <v>1</v>
      </c>
      <c r="H249" s="5"/>
      <c r="I249" s="5"/>
      <c r="J249" s="5"/>
      <c r="K249" s="5"/>
      <c r="L249" s="817"/>
      <c r="M249" s="817"/>
      <c r="N249" s="817"/>
      <c r="O249" s="817"/>
      <c r="P249" s="1899">
        <v>43937</v>
      </c>
      <c r="Q249" s="2828"/>
      <c r="R249" s="2708" t="s">
        <v>9558</v>
      </c>
      <c r="S249" s="2688"/>
      <c r="T249" s="836">
        <v>0.35416666666666669</v>
      </c>
      <c r="U249" s="836">
        <v>0.58472222222222225</v>
      </c>
      <c r="V249" s="836">
        <v>0.58472222222222225</v>
      </c>
      <c r="W249" s="2680">
        <v>100</v>
      </c>
      <c r="X249" s="817" t="s">
        <v>2900</v>
      </c>
      <c r="Y249" s="2772"/>
      <c r="Z249" s="817"/>
      <c r="AA249" s="817"/>
      <c r="AB249" s="817" t="s">
        <v>17</v>
      </c>
      <c r="AC249" s="817" t="s">
        <v>7451</v>
      </c>
      <c r="AD249" s="2696"/>
      <c r="AG249" s="2711"/>
    </row>
    <row r="250" spans="1:33" ht="43.5" hidden="1" x14ac:dyDescent="0.35">
      <c r="A250" s="2769">
        <v>43929</v>
      </c>
      <c r="B250" s="2760">
        <v>9</v>
      </c>
      <c r="C250" s="817" t="s">
        <v>8636</v>
      </c>
      <c r="D250" s="2712" t="s">
        <v>9759</v>
      </c>
      <c r="E250" s="7" t="s">
        <v>8622</v>
      </c>
      <c r="F250" s="2682">
        <v>1</v>
      </c>
      <c r="G250" s="2682">
        <v>1</v>
      </c>
      <c r="H250" s="2682"/>
      <c r="I250" s="2682"/>
      <c r="J250" s="2682"/>
      <c r="K250" s="2682"/>
      <c r="L250" s="817"/>
      <c r="M250" s="817"/>
      <c r="N250" s="817"/>
      <c r="O250" s="817"/>
      <c r="P250" s="2769">
        <v>43937</v>
      </c>
      <c r="Q250" s="2769"/>
      <c r="R250" s="2770" t="s">
        <v>8637</v>
      </c>
      <c r="S250" s="2770"/>
      <c r="T250" s="836">
        <v>0.35416666666666669</v>
      </c>
      <c r="U250" s="2694">
        <v>0.46666666666666662</v>
      </c>
      <c r="V250" s="2694">
        <v>0.46666666666666662</v>
      </c>
      <c r="W250" s="1809">
        <v>100</v>
      </c>
      <c r="X250" s="836" t="s">
        <v>257</v>
      </c>
      <c r="Y250" s="2772"/>
      <c r="Z250" s="817"/>
      <c r="AA250" s="817"/>
      <c r="AB250" s="7" t="s">
        <v>17</v>
      </c>
      <c r="AC250" s="817" t="s">
        <v>7451</v>
      </c>
      <c r="AD250" s="2700"/>
      <c r="AG250" s="2711"/>
    </row>
    <row r="251" spans="1:33" ht="43.5" hidden="1" x14ac:dyDescent="0.35">
      <c r="A251" s="2486">
        <v>43934</v>
      </c>
      <c r="B251" s="2718">
        <v>2</v>
      </c>
      <c r="C251" s="5" t="s">
        <v>10322</v>
      </c>
      <c r="D251" s="2700" t="s">
        <v>10323</v>
      </c>
      <c r="E251" s="7" t="s">
        <v>8553</v>
      </c>
      <c r="F251" s="2686">
        <v>1</v>
      </c>
      <c r="G251" s="2682">
        <v>1</v>
      </c>
      <c r="H251" s="2682"/>
      <c r="I251" s="2682"/>
      <c r="J251" s="2682"/>
      <c r="K251" s="2682"/>
      <c r="L251" s="817"/>
      <c r="M251" s="817"/>
      <c r="N251" s="817"/>
      <c r="O251" s="817"/>
      <c r="P251" s="2486">
        <v>43937</v>
      </c>
      <c r="Q251" s="2828"/>
      <c r="R251" s="2722" t="s">
        <v>10324</v>
      </c>
      <c r="S251" s="2770"/>
      <c r="T251" s="836">
        <v>0.35416666666666669</v>
      </c>
      <c r="U251" s="836">
        <v>0.36805555555555558</v>
      </c>
      <c r="V251" s="836">
        <v>0.36805555555555558</v>
      </c>
      <c r="W251" s="1956">
        <v>100</v>
      </c>
      <c r="X251" s="817" t="s">
        <v>8625</v>
      </c>
      <c r="Y251" s="2772"/>
      <c r="Z251" s="817"/>
      <c r="AA251" s="817"/>
      <c r="AB251" s="817" t="s">
        <v>17</v>
      </c>
      <c r="AC251" s="817" t="s">
        <v>7451</v>
      </c>
      <c r="AD251" s="2695"/>
      <c r="AG251" s="2711"/>
    </row>
    <row r="252" spans="1:33" ht="29" hidden="1" x14ac:dyDescent="0.35">
      <c r="A252" s="2486">
        <v>43934</v>
      </c>
      <c r="B252" s="2718">
        <v>19</v>
      </c>
      <c r="C252" s="5" t="s">
        <v>10372</v>
      </c>
      <c r="D252" s="2700" t="s">
        <v>10373</v>
      </c>
      <c r="E252" s="5" t="s">
        <v>10374</v>
      </c>
      <c r="F252" s="5">
        <v>1</v>
      </c>
      <c r="G252" s="5">
        <v>1</v>
      </c>
      <c r="H252" s="5"/>
      <c r="I252" s="5"/>
      <c r="J252" s="5"/>
      <c r="K252" s="5"/>
      <c r="L252" s="817"/>
      <c r="M252" s="817"/>
      <c r="N252" s="817"/>
      <c r="O252" s="817"/>
      <c r="P252" s="2486">
        <v>43937</v>
      </c>
      <c r="Q252" s="2769"/>
      <c r="R252" s="2722" t="s">
        <v>10375</v>
      </c>
      <c r="S252" s="2688"/>
      <c r="T252" s="836">
        <v>0.35416666666666669</v>
      </c>
      <c r="U252" s="2694">
        <v>0.60486111111111118</v>
      </c>
      <c r="V252" s="2694">
        <v>0.60486111111111118</v>
      </c>
      <c r="W252" s="2680">
        <v>100</v>
      </c>
      <c r="X252" s="817" t="s">
        <v>257</v>
      </c>
      <c r="Y252" s="2717"/>
      <c r="Z252" s="7"/>
      <c r="AA252" s="7"/>
      <c r="AB252" s="7" t="s">
        <v>17</v>
      </c>
      <c r="AC252" s="7" t="s">
        <v>7451</v>
      </c>
      <c r="AD252" s="2696"/>
      <c r="AG252" s="2711"/>
    </row>
    <row r="253" spans="1:33" ht="29" hidden="1" x14ac:dyDescent="0.35">
      <c r="A253" s="2486">
        <v>43903</v>
      </c>
      <c r="B253" s="2718">
        <v>21</v>
      </c>
      <c r="C253" s="5" t="s">
        <v>10378</v>
      </c>
      <c r="D253" s="2700" t="s">
        <v>10380</v>
      </c>
      <c r="E253" s="5" t="s">
        <v>9007</v>
      </c>
      <c r="F253" s="5"/>
      <c r="G253" s="5"/>
      <c r="H253" s="5"/>
      <c r="I253" s="5"/>
      <c r="J253" s="5"/>
      <c r="K253" s="5"/>
      <c r="L253" s="817"/>
      <c r="M253" s="817"/>
      <c r="N253" s="817"/>
      <c r="O253" s="817"/>
      <c r="P253" s="2486">
        <v>43937</v>
      </c>
      <c r="Q253" s="2769"/>
      <c r="R253" s="824" t="s">
        <v>10379</v>
      </c>
      <c r="S253" s="2770"/>
      <c r="T253" s="836">
        <v>0.35416666666666669</v>
      </c>
      <c r="U253" s="2694">
        <v>0.62847222222222221</v>
      </c>
      <c r="V253" s="2694">
        <v>0.62847222222222221</v>
      </c>
      <c r="W253" s="1809">
        <v>165</v>
      </c>
      <c r="X253" s="817" t="s">
        <v>257</v>
      </c>
      <c r="Y253" s="2772"/>
      <c r="Z253" s="817"/>
      <c r="AA253" s="817"/>
      <c r="AB253" s="817" t="s">
        <v>17</v>
      </c>
      <c r="AC253" s="817" t="s">
        <v>7451</v>
      </c>
      <c r="AD253" s="2696"/>
      <c r="AG253" s="2711"/>
    </row>
    <row r="254" spans="1:33" ht="43.5" hidden="1" x14ac:dyDescent="0.35">
      <c r="A254" s="1899">
        <v>43934</v>
      </c>
      <c r="B254" s="2759">
        <v>13</v>
      </c>
      <c r="C254" s="7" t="s">
        <v>10418</v>
      </c>
      <c r="D254" s="2707" t="s">
        <v>10415</v>
      </c>
      <c r="E254" s="7" t="s">
        <v>8553</v>
      </c>
      <c r="F254" s="7">
        <v>1</v>
      </c>
      <c r="G254" s="7">
        <v>1</v>
      </c>
      <c r="H254" s="7"/>
      <c r="I254" s="7"/>
      <c r="J254" s="7"/>
      <c r="K254" s="7"/>
      <c r="L254" s="817"/>
      <c r="M254" s="817"/>
      <c r="N254" s="817"/>
      <c r="O254" s="817"/>
      <c r="P254" s="1899">
        <v>43937</v>
      </c>
      <c r="Q254" s="2828"/>
      <c r="R254" s="2708" t="s">
        <v>10419</v>
      </c>
      <c r="S254" s="2688"/>
      <c r="T254" s="836">
        <v>0.35416666666666669</v>
      </c>
      <c r="U254" s="836">
        <v>0.52083333333333337</v>
      </c>
      <c r="V254" s="836">
        <v>0.52083333333333337</v>
      </c>
      <c r="W254" s="1956">
        <v>100</v>
      </c>
      <c r="X254" s="817" t="s">
        <v>8625</v>
      </c>
      <c r="Y254" s="2772"/>
      <c r="Z254" s="817"/>
      <c r="AA254" s="817"/>
      <c r="AB254" s="817" t="s">
        <v>17</v>
      </c>
      <c r="AC254" s="817" t="s">
        <v>7451</v>
      </c>
      <c r="AD254" s="2696"/>
      <c r="AG254" s="2711"/>
    </row>
    <row r="255" spans="1:33" ht="29" hidden="1" x14ac:dyDescent="0.35">
      <c r="A255" s="1899">
        <v>43903</v>
      </c>
      <c r="B255" s="2759">
        <v>15</v>
      </c>
      <c r="C255" s="7" t="s">
        <v>10485</v>
      </c>
      <c r="D255" s="2700" t="s">
        <v>10487</v>
      </c>
      <c r="E255" s="7" t="s">
        <v>8406</v>
      </c>
      <c r="F255" s="7"/>
      <c r="G255" s="7"/>
      <c r="H255" s="7"/>
      <c r="I255" s="7"/>
      <c r="J255" s="7"/>
      <c r="K255" s="7"/>
      <c r="L255" s="817"/>
      <c r="M255" s="817"/>
      <c r="N255" s="817"/>
      <c r="O255" s="817"/>
      <c r="P255" s="1899">
        <v>43937</v>
      </c>
      <c r="Q255" s="2828"/>
      <c r="R255" s="881" t="s">
        <v>10486</v>
      </c>
      <c r="S255" s="2688"/>
      <c r="T255" s="836">
        <v>0.35416666666666669</v>
      </c>
      <c r="U255" s="2694">
        <v>0.55763888888888891</v>
      </c>
      <c r="V255" s="2694">
        <v>0.55763888888888891</v>
      </c>
      <c r="W255" s="1809">
        <v>100</v>
      </c>
      <c r="X255" s="817" t="s">
        <v>257</v>
      </c>
      <c r="Y255" s="2772"/>
      <c r="Z255" s="817"/>
      <c r="AA255" s="817"/>
      <c r="AB255" s="817" t="s">
        <v>17</v>
      </c>
      <c r="AC255" s="817" t="s">
        <v>7451</v>
      </c>
      <c r="AD255" s="2696"/>
      <c r="AG255" s="2711"/>
    </row>
    <row r="256" spans="1:33" ht="43.5" hidden="1" x14ac:dyDescent="0.35">
      <c r="A256" s="2486">
        <v>43925</v>
      </c>
      <c r="B256" s="2718"/>
      <c r="C256" s="7" t="s">
        <v>8027</v>
      </c>
      <c r="D256" s="2712" t="s">
        <v>9764</v>
      </c>
      <c r="E256" s="817" t="s">
        <v>7972</v>
      </c>
      <c r="F256" s="5">
        <v>1</v>
      </c>
      <c r="G256" s="5">
        <v>1</v>
      </c>
      <c r="H256" s="5"/>
      <c r="I256" s="5"/>
      <c r="J256" s="5"/>
      <c r="K256" s="5"/>
      <c r="L256" s="5"/>
      <c r="M256" s="5"/>
      <c r="N256" s="5"/>
      <c r="O256" s="5"/>
      <c r="P256" s="2486">
        <v>43937</v>
      </c>
      <c r="Q256" s="2486"/>
      <c r="R256" s="824" t="s">
        <v>8028</v>
      </c>
      <c r="S256" s="2688" t="s">
        <v>8508</v>
      </c>
      <c r="T256" s="836">
        <v>0.35416666666666669</v>
      </c>
      <c r="U256" s="2694">
        <v>0.44930555555555557</v>
      </c>
      <c r="V256" s="2694">
        <v>0.44930555555555557</v>
      </c>
      <c r="W256" s="1809">
        <v>100</v>
      </c>
      <c r="X256" s="817" t="s">
        <v>257</v>
      </c>
      <c r="Y256" s="2772"/>
      <c r="Z256" s="817"/>
      <c r="AA256" s="817"/>
      <c r="AB256" s="817" t="s">
        <v>17</v>
      </c>
      <c r="AC256" s="817" t="s">
        <v>7451</v>
      </c>
      <c r="AD256" s="2699"/>
      <c r="AG256" s="2711"/>
    </row>
    <row r="257" spans="1:33" ht="29" hidden="1" x14ac:dyDescent="0.35">
      <c r="A257" s="2769">
        <v>43933</v>
      </c>
      <c r="B257" s="2760">
        <v>16</v>
      </c>
      <c r="C257" s="817" t="s">
        <v>1421</v>
      </c>
      <c r="D257" s="2700" t="s">
        <v>1408</v>
      </c>
      <c r="E257" s="7" t="s">
        <v>8553</v>
      </c>
      <c r="F257" s="817">
        <v>1</v>
      </c>
      <c r="G257" s="817">
        <v>1</v>
      </c>
      <c r="H257" s="817"/>
      <c r="I257" s="817"/>
      <c r="J257" s="817"/>
      <c r="K257" s="817"/>
      <c r="L257" s="817"/>
      <c r="M257" s="817"/>
      <c r="N257" s="817"/>
      <c r="O257" s="817"/>
      <c r="P257" s="2769">
        <v>43937</v>
      </c>
      <c r="Q257" s="2769"/>
      <c r="R257" s="2706" t="s">
        <v>10300</v>
      </c>
      <c r="S257" s="2747"/>
      <c r="T257" s="836">
        <v>0.35416666666666669</v>
      </c>
      <c r="U257" s="836">
        <v>0.57291666666666663</v>
      </c>
      <c r="V257" s="836">
        <v>0.57291666666666663</v>
      </c>
      <c r="W257" s="2680">
        <v>100</v>
      </c>
      <c r="X257" s="817" t="s">
        <v>8297</v>
      </c>
      <c r="Y257" s="2772"/>
      <c r="Z257" s="817"/>
      <c r="AA257" s="817"/>
      <c r="AB257" s="817" t="s">
        <v>17</v>
      </c>
      <c r="AC257" s="817" t="s">
        <v>7451</v>
      </c>
      <c r="AD257" s="2696"/>
      <c r="AG257" s="2711"/>
    </row>
    <row r="258" spans="1:33" ht="29" hidden="1" x14ac:dyDescent="0.35">
      <c r="A258" s="2828">
        <v>43934</v>
      </c>
      <c r="B258" s="2760"/>
      <c r="C258" s="5" t="s">
        <v>10529</v>
      </c>
      <c r="D258" s="2700" t="s">
        <v>10530</v>
      </c>
      <c r="E258" s="7" t="s">
        <v>8553</v>
      </c>
      <c r="F258" s="2679">
        <v>1</v>
      </c>
      <c r="G258" s="5">
        <v>1</v>
      </c>
      <c r="H258" s="5"/>
      <c r="I258" s="5"/>
      <c r="J258" s="5"/>
      <c r="K258" s="5"/>
      <c r="L258" s="817"/>
      <c r="M258" s="817"/>
      <c r="N258" s="817"/>
      <c r="O258" s="817"/>
      <c r="P258" s="2486">
        <v>43937</v>
      </c>
      <c r="Q258" s="2746"/>
      <c r="R258" s="2722" t="s">
        <v>10531</v>
      </c>
      <c r="S258" s="2747"/>
      <c r="T258" s="836">
        <v>0.35416666666666669</v>
      </c>
      <c r="U258" s="836">
        <v>0.53125</v>
      </c>
      <c r="V258" s="836">
        <v>0.53125</v>
      </c>
      <c r="W258" s="1956">
        <v>100</v>
      </c>
      <c r="X258" s="817" t="s">
        <v>8625</v>
      </c>
      <c r="Y258" s="2717"/>
      <c r="Z258" s="7"/>
      <c r="AA258" s="7"/>
      <c r="AB258" s="7" t="s">
        <v>17</v>
      </c>
      <c r="AC258" s="7" t="s">
        <v>7451</v>
      </c>
      <c r="AD258" s="2696"/>
      <c r="AG258" s="2711"/>
    </row>
    <row r="259" spans="1:33" ht="58" hidden="1" x14ac:dyDescent="0.35">
      <c r="A259" s="2486">
        <v>43931</v>
      </c>
      <c r="B259" s="2718">
        <v>8</v>
      </c>
      <c r="C259" s="5" t="s">
        <v>9296</v>
      </c>
      <c r="D259" s="2700" t="s">
        <v>9295</v>
      </c>
      <c r="E259" s="5" t="s">
        <v>8553</v>
      </c>
      <c r="F259" s="2682">
        <v>1</v>
      </c>
      <c r="G259" s="2682">
        <v>1</v>
      </c>
      <c r="H259" s="2682"/>
      <c r="I259" s="2682"/>
      <c r="J259" s="2682"/>
      <c r="K259" s="2682"/>
      <c r="L259" s="817"/>
      <c r="M259" s="817"/>
      <c r="N259" s="817"/>
      <c r="O259" s="817"/>
      <c r="P259" s="2486">
        <v>43937</v>
      </c>
      <c r="Q259" s="2486"/>
      <c r="R259" s="2829" t="s">
        <v>9297</v>
      </c>
      <c r="S259" s="2688"/>
      <c r="T259" s="836">
        <v>0.35416666666666669</v>
      </c>
      <c r="U259" s="2694">
        <v>0.44375000000000003</v>
      </c>
      <c r="V259" s="2694">
        <v>0.44375000000000003</v>
      </c>
      <c r="W259" s="2680">
        <v>100</v>
      </c>
      <c r="X259" s="817" t="s">
        <v>2900</v>
      </c>
      <c r="Y259" s="2772"/>
      <c r="Z259" s="817"/>
      <c r="AA259" s="817"/>
      <c r="AB259" s="817" t="s">
        <v>17</v>
      </c>
      <c r="AC259" s="817" t="s">
        <v>7451</v>
      </c>
      <c r="AD259" s="2700" t="s">
        <v>9295</v>
      </c>
      <c r="AG259" s="2711"/>
    </row>
    <row r="260" spans="1:33" ht="43.5" hidden="1" x14ac:dyDescent="0.35">
      <c r="A260" s="2828">
        <v>43931</v>
      </c>
      <c r="B260" s="2760"/>
      <c r="C260" s="817" t="s">
        <v>9149</v>
      </c>
      <c r="D260" s="2700" t="s">
        <v>9148</v>
      </c>
      <c r="E260" s="7" t="s">
        <v>8553</v>
      </c>
      <c r="F260" s="2682">
        <v>1</v>
      </c>
      <c r="G260" s="2682">
        <v>1</v>
      </c>
      <c r="H260" s="2682"/>
      <c r="I260" s="2682"/>
      <c r="J260" s="2682"/>
      <c r="K260" s="2682"/>
      <c r="L260" s="817"/>
      <c r="M260" s="817"/>
      <c r="N260" s="817"/>
      <c r="O260" s="817"/>
      <c r="P260" s="2828">
        <v>43937</v>
      </c>
      <c r="Q260" s="2769"/>
      <c r="R260" s="2829" t="s">
        <v>9150</v>
      </c>
      <c r="S260" s="2747"/>
      <c r="T260" s="836">
        <v>0.35416666666666669</v>
      </c>
      <c r="U260" s="2694">
        <v>0.39166666666666666</v>
      </c>
      <c r="V260" s="2694">
        <v>0.39166666666666666</v>
      </c>
      <c r="W260" s="1956">
        <v>100</v>
      </c>
      <c r="X260" s="817" t="s">
        <v>8625</v>
      </c>
      <c r="Y260" s="2772"/>
      <c r="Z260" s="817"/>
      <c r="AA260" s="817"/>
      <c r="AB260" s="817" t="s">
        <v>17</v>
      </c>
      <c r="AC260" s="817" t="s">
        <v>7451</v>
      </c>
      <c r="AD260" s="2700" t="s">
        <v>9148</v>
      </c>
      <c r="AG260" s="2711"/>
    </row>
    <row r="261" spans="1:33" ht="43.5" hidden="1" x14ac:dyDescent="0.35">
      <c r="A261" s="2828">
        <v>43932</v>
      </c>
      <c r="B261" s="2760">
        <v>7</v>
      </c>
      <c r="C261" s="817" t="s">
        <v>10223</v>
      </c>
      <c r="D261" s="2700" t="s">
        <v>10224</v>
      </c>
      <c r="E261" s="7" t="s">
        <v>8177</v>
      </c>
      <c r="F261" s="2692">
        <v>2</v>
      </c>
      <c r="G261" s="2692">
        <v>2</v>
      </c>
      <c r="H261" s="2692"/>
      <c r="I261" s="2692"/>
      <c r="J261" s="2692"/>
      <c r="K261" s="2692"/>
      <c r="L261" s="817"/>
      <c r="M261" s="817"/>
      <c r="N261" s="817"/>
      <c r="O261" s="817"/>
      <c r="P261" s="2828">
        <v>43937</v>
      </c>
      <c r="Q261" s="2769"/>
      <c r="R261" s="2706" t="s">
        <v>10225</v>
      </c>
      <c r="S261" s="2747"/>
      <c r="T261" s="836">
        <v>0.35416666666666669</v>
      </c>
      <c r="U261" s="836">
        <v>0.4381944444444445</v>
      </c>
      <c r="V261" s="2694">
        <v>0.4381944444444445</v>
      </c>
      <c r="W261" s="2680">
        <v>200</v>
      </c>
      <c r="X261" s="817" t="s">
        <v>2900</v>
      </c>
      <c r="Y261" s="2772"/>
      <c r="Z261" s="817"/>
      <c r="AA261" s="817"/>
      <c r="AB261" s="817" t="s">
        <v>17</v>
      </c>
      <c r="AC261" s="817" t="s">
        <v>7451</v>
      </c>
      <c r="AD261" s="2695"/>
      <c r="AG261" s="2711"/>
    </row>
    <row r="262" spans="1:33" ht="43.5" hidden="1" x14ac:dyDescent="0.35">
      <c r="A262" s="1899">
        <v>43935</v>
      </c>
      <c r="B262" s="2759"/>
      <c r="C262" s="7" t="s">
        <v>10667</v>
      </c>
      <c r="D262" s="2700" t="s">
        <v>10668</v>
      </c>
      <c r="E262" s="7" t="s">
        <v>10671</v>
      </c>
      <c r="F262" s="2735">
        <v>2</v>
      </c>
      <c r="G262" s="2735">
        <v>5</v>
      </c>
      <c r="H262" s="2735"/>
      <c r="I262" s="2735"/>
      <c r="J262" s="2735">
        <v>1</v>
      </c>
      <c r="K262" s="2735"/>
      <c r="L262" s="817"/>
      <c r="M262" s="817"/>
      <c r="N262" s="817"/>
      <c r="O262" s="817"/>
      <c r="P262" s="1899">
        <v>43937</v>
      </c>
      <c r="Q262" s="2769"/>
      <c r="R262" s="881" t="s">
        <v>10670</v>
      </c>
      <c r="S262" s="2747"/>
      <c r="T262" s="836">
        <v>0.35416666666666669</v>
      </c>
      <c r="U262" s="2694">
        <v>0.43194444444444446</v>
      </c>
      <c r="V262" s="2694">
        <v>0.43194444444444446</v>
      </c>
      <c r="W262" s="2738">
        <v>400</v>
      </c>
      <c r="X262" s="817" t="s">
        <v>257</v>
      </c>
      <c r="Y262" s="2772"/>
      <c r="Z262" s="817"/>
      <c r="AA262" s="817"/>
      <c r="AB262" s="817" t="s">
        <v>17</v>
      </c>
      <c r="AC262" s="817" t="s">
        <v>2262</v>
      </c>
      <c r="AD262" s="2739"/>
      <c r="AG262" s="2711"/>
    </row>
    <row r="263" spans="1:33" ht="58" hidden="1" x14ac:dyDescent="0.35">
      <c r="A263" s="1899">
        <v>43934</v>
      </c>
      <c r="B263" s="2759">
        <v>19</v>
      </c>
      <c r="C263" s="7" t="s">
        <v>10361</v>
      </c>
      <c r="D263" s="2701" t="s">
        <v>10362</v>
      </c>
      <c r="E263" s="7" t="s">
        <v>8553</v>
      </c>
      <c r="F263" s="7">
        <v>1</v>
      </c>
      <c r="G263" s="7">
        <v>1</v>
      </c>
      <c r="H263" s="7"/>
      <c r="I263" s="7"/>
      <c r="J263" s="7"/>
      <c r="K263" s="7"/>
      <c r="L263" s="817"/>
      <c r="M263" s="817"/>
      <c r="N263" s="817"/>
      <c r="O263" s="817"/>
      <c r="P263" s="1899">
        <v>43937</v>
      </c>
      <c r="Q263" s="2828"/>
      <c r="R263" s="881" t="s">
        <v>10360</v>
      </c>
      <c r="S263" s="2737"/>
      <c r="T263" s="836">
        <v>0.35416666666666669</v>
      </c>
      <c r="U263" s="836">
        <v>0.56944444444444442</v>
      </c>
      <c r="V263" s="836">
        <v>0.56944444444444442</v>
      </c>
      <c r="W263" s="1100">
        <v>100</v>
      </c>
      <c r="X263" s="7" t="s">
        <v>10756</v>
      </c>
      <c r="Y263" s="2717"/>
      <c r="Z263" s="7"/>
      <c r="AA263" s="7"/>
      <c r="AB263" s="7" t="s">
        <v>17</v>
      </c>
      <c r="AC263" s="7" t="s">
        <v>7451</v>
      </c>
      <c r="AD263" s="2696"/>
      <c r="AG263" s="2711"/>
    </row>
    <row r="264" spans="1:33" ht="58" hidden="1" x14ac:dyDescent="0.35">
      <c r="A264" s="1899">
        <v>43922</v>
      </c>
      <c r="B264" s="2759">
        <v>20</v>
      </c>
      <c r="C264" s="7" t="s">
        <v>7727</v>
      </c>
      <c r="D264" s="2712" t="s">
        <v>9762</v>
      </c>
      <c r="E264" s="7" t="s">
        <v>7693</v>
      </c>
      <c r="F264" s="7">
        <v>1</v>
      </c>
      <c r="G264" s="7">
        <v>1</v>
      </c>
      <c r="H264" s="7"/>
      <c r="I264" s="7"/>
      <c r="J264" s="7"/>
      <c r="K264" s="7"/>
      <c r="L264" s="7"/>
      <c r="M264" s="7"/>
      <c r="N264" s="7"/>
      <c r="O264" s="7"/>
      <c r="P264" s="1899">
        <v>43937</v>
      </c>
      <c r="Q264" s="1899"/>
      <c r="R264" s="881" t="s">
        <v>7726</v>
      </c>
      <c r="S264" s="2747" t="s">
        <v>8265</v>
      </c>
      <c r="T264" s="836">
        <v>0.35416666666666669</v>
      </c>
      <c r="U264" s="2694">
        <v>0.58263888888888882</v>
      </c>
      <c r="V264" s="2694">
        <v>0.58263888888888882</v>
      </c>
      <c r="W264" s="1809">
        <v>100</v>
      </c>
      <c r="X264" s="2694" t="s">
        <v>257</v>
      </c>
      <c r="Y264" s="2772"/>
      <c r="Z264" s="817"/>
      <c r="AA264" s="817"/>
      <c r="AB264" s="7" t="s">
        <v>17</v>
      </c>
      <c r="AC264" s="7" t="s">
        <v>7451</v>
      </c>
      <c r="AD264" s="2699"/>
      <c r="AG264" s="2711"/>
    </row>
    <row r="265" spans="1:33" ht="87" hidden="1" x14ac:dyDescent="0.35">
      <c r="A265" s="1899">
        <v>43916</v>
      </c>
      <c r="B265" s="2759">
        <v>22</v>
      </c>
      <c r="C265" s="7" t="s">
        <v>7514</v>
      </c>
      <c r="D265" s="2712" t="s">
        <v>9760</v>
      </c>
      <c r="E265" s="7" t="s">
        <v>7455</v>
      </c>
      <c r="F265" s="7">
        <v>1</v>
      </c>
      <c r="G265" s="7">
        <v>1</v>
      </c>
      <c r="H265" s="7"/>
      <c r="I265" s="7"/>
      <c r="J265" s="7"/>
      <c r="K265" s="7"/>
      <c r="L265" s="7"/>
      <c r="M265" s="7"/>
      <c r="N265" s="7"/>
      <c r="O265" s="7"/>
      <c r="P265" s="1899">
        <v>43937</v>
      </c>
      <c r="Q265" s="1899"/>
      <c r="R265" s="881" t="s">
        <v>7454</v>
      </c>
      <c r="S265" s="2688" t="s">
        <v>8285</v>
      </c>
      <c r="T265" s="836">
        <v>0.35416666666666669</v>
      </c>
      <c r="U265" s="836">
        <v>0.6430555555555556</v>
      </c>
      <c r="V265" s="836">
        <v>0.6430555555555556</v>
      </c>
      <c r="W265" s="1100">
        <v>100</v>
      </c>
      <c r="X265" s="7" t="s">
        <v>10309</v>
      </c>
      <c r="Y265" s="2717"/>
      <c r="Z265" s="7"/>
      <c r="AA265" s="7"/>
      <c r="AB265" s="7" t="s">
        <v>17</v>
      </c>
      <c r="AC265" s="7" t="s">
        <v>7451</v>
      </c>
      <c r="AD265" s="2699"/>
      <c r="AG265" s="2711"/>
    </row>
    <row r="266" spans="1:33" ht="29" hidden="1" x14ac:dyDescent="0.35">
      <c r="A266" s="2828">
        <v>43929</v>
      </c>
      <c r="B266" s="2760"/>
      <c r="C266" s="817" t="s">
        <v>8626</v>
      </c>
      <c r="D266" s="2712" t="s">
        <v>9767</v>
      </c>
      <c r="E266" s="7" t="s">
        <v>8622</v>
      </c>
      <c r="F266" s="2682">
        <v>1</v>
      </c>
      <c r="G266" s="2682">
        <v>1</v>
      </c>
      <c r="H266" s="2682"/>
      <c r="I266" s="2682"/>
      <c r="J266" s="2682"/>
      <c r="K266" s="2682"/>
      <c r="L266" s="817"/>
      <c r="M266" s="817"/>
      <c r="N266" s="817"/>
      <c r="O266" s="817"/>
      <c r="P266" s="2828">
        <v>43937</v>
      </c>
      <c r="Q266" s="2828"/>
      <c r="R266" s="2770" t="s">
        <v>8627</v>
      </c>
      <c r="S266" s="2737"/>
      <c r="T266" s="836">
        <v>0.35416666666666669</v>
      </c>
      <c r="U266" s="2694">
        <v>0.47916666666666669</v>
      </c>
      <c r="V266" s="2694">
        <v>0.47916666666666669</v>
      </c>
      <c r="W266" s="1956">
        <v>100</v>
      </c>
      <c r="X266" s="836" t="s">
        <v>8625</v>
      </c>
      <c r="Y266" s="2772"/>
      <c r="Z266" s="817"/>
      <c r="AA266" s="817"/>
      <c r="AB266" s="7" t="s">
        <v>17</v>
      </c>
      <c r="AC266" s="817" t="s">
        <v>7451</v>
      </c>
      <c r="AD266" s="2700"/>
      <c r="AG266" s="2711"/>
    </row>
    <row r="267" spans="1:33" ht="58" hidden="1" x14ac:dyDescent="0.35">
      <c r="A267" s="2486">
        <v>43925</v>
      </c>
      <c r="B267" s="2718"/>
      <c r="C267" s="7" t="s">
        <v>7978</v>
      </c>
      <c r="D267" s="2712" t="s">
        <v>9768</v>
      </c>
      <c r="E267" s="817" t="s">
        <v>7979</v>
      </c>
      <c r="F267" s="2710">
        <v>3</v>
      </c>
      <c r="G267" s="2710">
        <v>3</v>
      </c>
      <c r="H267" s="2710"/>
      <c r="I267" s="2710"/>
      <c r="J267" s="2710">
        <v>2</v>
      </c>
      <c r="K267" s="2710"/>
      <c r="L267" s="2710"/>
      <c r="M267" s="2710"/>
      <c r="N267" s="2710"/>
      <c r="O267" s="2710"/>
      <c r="P267" s="2486">
        <v>43937</v>
      </c>
      <c r="Q267" s="2486"/>
      <c r="R267" s="824" t="s">
        <v>7980</v>
      </c>
      <c r="S267" s="2688" t="s">
        <v>8289</v>
      </c>
      <c r="T267" s="836">
        <v>0.35416666666666669</v>
      </c>
      <c r="U267" s="2694">
        <v>0.54166666666666663</v>
      </c>
      <c r="V267" s="2694">
        <v>0.54166666666666663</v>
      </c>
      <c r="W267" s="1956">
        <v>480</v>
      </c>
      <c r="X267" s="817" t="s">
        <v>7634</v>
      </c>
      <c r="Y267" s="2772"/>
      <c r="Z267" s="817"/>
      <c r="AA267" s="817"/>
      <c r="AB267" s="817" t="s">
        <v>17</v>
      </c>
      <c r="AC267" s="817" t="s">
        <v>7451</v>
      </c>
      <c r="AD267" s="2699"/>
      <c r="AG267" s="2711"/>
    </row>
    <row r="268" spans="1:33" ht="43.5" hidden="1" x14ac:dyDescent="0.35">
      <c r="A268" s="2769">
        <v>43927</v>
      </c>
      <c r="B268" s="2760">
        <v>6</v>
      </c>
      <c r="C268" s="817" t="s">
        <v>8171</v>
      </c>
      <c r="D268" s="2712" t="s">
        <v>10136</v>
      </c>
      <c r="E268" s="817" t="s">
        <v>10766</v>
      </c>
      <c r="F268" s="5">
        <v>4</v>
      </c>
      <c r="G268" s="5">
        <v>4</v>
      </c>
      <c r="H268" s="5"/>
      <c r="I268" s="5"/>
      <c r="J268" s="5"/>
      <c r="K268" s="5"/>
      <c r="L268" s="817"/>
      <c r="M268" s="817"/>
      <c r="N268" s="817"/>
      <c r="O268" s="817"/>
      <c r="P268" s="2769">
        <v>43937</v>
      </c>
      <c r="Q268" s="2769"/>
      <c r="R268" s="2829" t="s">
        <v>8274</v>
      </c>
      <c r="S268" s="2688" t="s">
        <v>8303</v>
      </c>
      <c r="T268" s="836">
        <v>0.35416666666666669</v>
      </c>
      <c r="U268" s="2694">
        <v>0.42708333333333331</v>
      </c>
      <c r="V268" s="2694">
        <v>0.42708333333333331</v>
      </c>
      <c r="W268" s="1809">
        <v>400</v>
      </c>
      <c r="X268" s="817" t="s">
        <v>257</v>
      </c>
      <c r="Y268" s="2772"/>
      <c r="Z268" s="817"/>
      <c r="AA268" s="817"/>
      <c r="AB268" s="817" t="s">
        <v>17</v>
      </c>
      <c r="AC268" s="817" t="s">
        <v>7451</v>
      </c>
      <c r="AD268" s="2696" t="s">
        <v>8773</v>
      </c>
      <c r="AG268" s="2711"/>
    </row>
    <row r="269" spans="1:33" ht="58" hidden="1" x14ac:dyDescent="0.35">
      <c r="A269" s="2486">
        <v>43930</v>
      </c>
      <c r="B269" s="2718">
        <v>21</v>
      </c>
      <c r="C269" s="5" t="s">
        <v>8843</v>
      </c>
      <c r="D269" s="2712" t="s">
        <v>9770</v>
      </c>
      <c r="E269" s="7" t="s">
        <v>8553</v>
      </c>
      <c r="F269" s="2679">
        <v>1</v>
      </c>
      <c r="G269" s="5">
        <v>1</v>
      </c>
      <c r="H269" s="5"/>
      <c r="I269" s="5"/>
      <c r="J269" s="5"/>
      <c r="K269" s="5"/>
      <c r="L269" s="817"/>
      <c r="M269" s="817"/>
      <c r="N269" s="817"/>
      <c r="O269" s="817"/>
      <c r="P269" s="2486">
        <v>43937</v>
      </c>
      <c r="Q269" s="2486"/>
      <c r="R269" s="824" t="s">
        <v>8844</v>
      </c>
      <c r="S269" s="2737"/>
      <c r="T269" s="836">
        <v>0.35416666666666669</v>
      </c>
      <c r="U269" s="2694">
        <v>0.59375</v>
      </c>
      <c r="V269" s="2694">
        <v>0.59375</v>
      </c>
      <c r="W269" s="1809">
        <v>100</v>
      </c>
      <c r="X269" s="836" t="s">
        <v>257</v>
      </c>
      <c r="Y269" s="2772"/>
      <c r="Z269" s="817"/>
      <c r="AA269" s="817"/>
      <c r="AB269" s="7" t="s">
        <v>17</v>
      </c>
      <c r="AC269" s="817" t="s">
        <v>7451</v>
      </c>
      <c r="AD269" s="2700"/>
      <c r="AG269" s="2711"/>
    </row>
    <row r="270" spans="1:33" ht="43.5" hidden="1" x14ac:dyDescent="0.35">
      <c r="A270" s="2828">
        <v>43926</v>
      </c>
      <c r="B270" s="2760">
        <v>12</v>
      </c>
      <c r="C270" s="2828" t="s">
        <v>8125</v>
      </c>
      <c r="D270" s="2712" t="s">
        <v>9769</v>
      </c>
      <c r="E270" s="817" t="s">
        <v>7935</v>
      </c>
      <c r="F270" s="817">
        <v>1</v>
      </c>
      <c r="G270" s="817">
        <v>1</v>
      </c>
      <c r="H270" s="817"/>
      <c r="I270" s="817"/>
      <c r="J270" s="817"/>
      <c r="K270" s="817"/>
      <c r="L270" s="817"/>
      <c r="M270" s="817"/>
      <c r="N270" s="817"/>
      <c r="O270" s="817"/>
      <c r="P270" s="2828">
        <v>43937</v>
      </c>
      <c r="Q270" s="2769"/>
      <c r="R270" s="817" t="s">
        <v>8126</v>
      </c>
      <c r="S270" s="2688" t="s">
        <v>8265</v>
      </c>
      <c r="T270" s="836">
        <v>0.35416666666666669</v>
      </c>
      <c r="U270" s="2694">
        <v>0.49861111111111112</v>
      </c>
      <c r="V270" s="2694">
        <v>0.49861111111111112</v>
      </c>
      <c r="W270" s="1809">
        <v>100</v>
      </c>
      <c r="X270" s="2694" t="s">
        <v>257</v>
      </c>
      <c r="Y270" s="2772"/>
      <c r="Z270" s="817"/>
      <c r="AA270" s="817"/>
      <c r="AB270" s="817" t="s">
        <v>17</v>
      </c>
      <c r="AC270" s="817" t="s">
        <v>7451</v>
      </c>
      <c r="AD270" s="2699"/>
      <c r="AG270" s="2662"/>
    </row>
    <row r="271" spans="1:33" ht="43.5" hidden="1" x14ac:dyDescent="0.35">
      <c r="A271" s="1899">
        <v>43933</v>
      </c>
      <c r="B271" s="2759"/>
      <c r="C271" s="7" t="s">
        <v>10271</v>
      </c>
      <c r="D271" s="2707" t="s">
        <v>10272</v>
      </c>
      <c r="E271" s="7" t="s">
        <v>8553</v>
      </c>
      <c r="F271" s="2692">
        <v>1</v>
      </c>
      <c r="G271" s="2692">
        <v>1</v>
      </c>
      <c r="H271" s="2692"/>
      <c r="I271" s="2692"/>
      <c r="J271" s="2692"/>
      <c r="K271" s="2692"/>
      <c r="L271" s="817"/>
      <c r="M271" s="817"/>
      <c r="N271" s="817"/>
      <c r="O271" s="817"/>
      <c r="P271" s="1899">
        <v>43937</v>
      </c>
      <c r="Q271" s="2828"/>
      <c r="R271" s="2708" t="s">
        <v>10273</v>
      </c>
      <c r="S271" s="2770"/>
      <c r="T271" s="836">
        <v>0.35416666666666669</v>
      </c>
      <c r="U271" s="836">
        <v>0.49374999999999997</v>
      </c>
      <c r="V271" s="836">
        <v>0.49374999999999997</v>
      </c>
      <c r="W271" s="1956">
        <v>100</v>
      </c>
      <c r="X271" s="817" t="s">
        <v>8625</v>
      </c>
      <c r="Y271" s="2772"/>
      <c r="Z271" s="817"/>
      <c r="AA271" s="817"/>
      <c r="AB271" s="817" t="s">
        <v>17</v>
      </c>
      <c r="AC271" s="817" t="s">
        <v>7451</v>
      </c>
      <c r="AD271" s="2695"/>
      <c r="AG271" s="2711"/>
    </row>
    <row r="272" spans="1:33" ht="87" hidden="1" x14ac:dyDescent="0.35">
      <c r="A272" s="1899">
        <v>43931</v>
      </c>
      <c r="B272" s="2759">
        <v>1</v>
      </c>
      <c r="C272" s="7" t="s">
        <v>7802</v>
      </c>
      <c r="D272" s="2712" t="s">
        <v>9758</v>
      </c>
      <c r="E272" s="7" t="s">
        <v>9287</v>
      </c>
      <c r="F272" s="7">
        <v>30</v>
      </c>
      <c r="G272" s="7">
        <v>27</v>
      </c>
      <c r="H272" s="7"/>
      <c r="I272" s="7">
        <v>3</v>
      </c>
      <c r="J272" s="7"/>
      <c r="K272" s="7"/>
      <c r="L272" s="7"/>
      <c r="M272" s="7"/>
      <c r="N272" s="7"/>
      <c r="O272" s="7"/>
      <c r="P272" s="1899">
        <v>43937</v>
      </c>
      <c r="Q272" s="1899"/>
      <c r="R272" s="881" t="s">
        <v>7801</v>
      </c>
      <c r="S272" s="881" t="s">
        <v>8303</v>
      </c>
      <c r="T272" s="836">
        <v>0.35416666666666669</v>
      </c>
      <c r="U272" s="2694">
        <v>0.36805555555555558</v>
      </c>
      <c r="V272" s="2694">
        <v>0.36805555555555558</v>
      </c>
      <c r="W272" s="1809">
        <v>3000</v>
      </c>
      <c r="X272" s="817" t="s">
        <v>10702</v>
      </c>
      <c r="Y272" s="2772"/>
      <c r="Z272" s="2694"/>
      <c r="AA272" s="2694"/>
      <c r="AB272" s="817" t="s">
        <v>974</v>
      </c>
      <c r="AC272" s="7" t="s">
        <v>7451</v>
      </c>
      <c r="AD272" s="2696" t="s">
        <v>9283</v>
      </c>
      <c r="AG272" s="2711"/>
    </row>
    <row r="273" spans="1:33" ht="130.5" hidden="1" x14ac:dyDescent="0.35">
      <c r="A273" s="2486">
        <v>43923</v>
      </c>
      <c r="B273" s="2718">
        <v>13</v>
      </c>
      <c r="C273" s="5" t="s">
        <v>7810</v>
      </c>
      <c r="D273" s="2712" t="s">
        <v>9966</v>
      </c>
      <c r="E273" s="5" t="s">
        <v>7820</v>
      </c>
      <c r="F273" s="5">
        <v>1</v>
      </c>
      <c r="G273" s="5">
        <v>1</v>
      </c>
      <c r="H273" s="5"/>
      <c r="I273" s="5"/>
      <c r="J273" s="5"/>
      <c r="K273" s="5"/>
      <c r="L273" s="5"/>
      <c r="M273" s="5"/>
      <c r="N273" s="5"/>
      <c r="O273" s="5" t="s">
        <v>8148</v>
      </c>
      <c r="P273" s="2486">
        <v>43938</v>
      </c>
      <c r="Q273" s="2486"/>
      <c r="R273" s="824" t="s">
        <v>7811</v>
      </c>
      <c r="S273" s="824" t="s">
        <v>8154</v>
      </c>
      <c r="T273" s="6" t="s">
        <v>15</v>
      </c>
      <c r="U273" s="2694">
        <v>0.47638888888888892</v>
      </c>
      <c r="V273" s="2694" t="s">
        <v>3213</v>
      </c>
      <c r="W273" s="1809">
        <v>300</v>
      </c>
      <c r="X273" s="2694" t="s">
        <v>257</v>
      </c>
      <c r="Y273" s="2772"/>
      <c r="Z273" s="2694"/>
      <c r="AA273" s="2694"/>
      <c r="AB273" s="817" t="s">
        <v>17</v>
      </c>
      <c r="AC273" s="817" t="s">
        <v>7451</v>
      </c>
      <c r="AD273" s="2699"/>
      <c r="AG273" s="2711"/>
    </row>
    <row r="274" spans="1:33" ht="72.5" hidden="1" x14ac:dyDescent="0.35">
      <c r="A274" s="2486">
        <v>43930</v>
      </c>
      <c r="B274" s="2718">
        <v>3</v>
      </c>
      <c r="C274" s="5" t="s">
        <v>8837</v>
      </c>
      <c r="D274" s="2712" t="s">
        <v>9782</v>
      </c>
      <c r="E274" s="5" t="s">
        <v>8839</v>
      </c>
      <c r="F274" s="2679">
        <v>1</v>
      </c>
      <c r="G274" s="5">
        <v>1</v>
      </c>
      <c r="H274" s="5"/>
      <c r="I274" s="5"/>
      <c r="J274" s="5"/>
      <c r="K274" s="5"/>
      <c r="L274" s="817"/>
      <c r="M274" s="817"/>
      <c r="N274" s="817"/>
      <c r="O274" s="817" t="s">
        <v>8148</v>
      </c>
      <c r="P274" s="2486">
        <v>43938</v>
      </c>
      <c r="Q274" s="2486"/>
      <c r="R274" s="824" t="s">
        <v>8838</v>
      </c>
      <c r="S274" s="2747"/>
      <c r="T274" s="6" t="s">
        <v>15</v>
      </c>
      <c r="U274" s="2694">
        <v>0.38541666666666669</v>
      </c>
      <c r="V274" s="2694" t="s">
        <v>972</v>
      </c>
      <c r="W274" s="1956">
        <v>300</v>
      </c>
      <c r="X274" s="836" t="s">
        <v>257</v>
      </c>
      <c r="Y274" s="2772"/>
      <c r="Z274" s="817"/>
      <c r="AA274" s="817"/>
      <c r="AB274" s="7" t="s">
        <v>17</v>
      </c>
      <c r="AC274" s="817" t="s">
        <v>7451</v>
      </c>
      <c r="AD274" s="2700"/>
      <c r="AG274" s="2711"/>
    </row>
    <row r="275" spans="1:33" ht="43.5" hidden="1" x14ac:dyDescent="0.35">
      <c r="A275" s="2769">
        <v>43930</v>
      </c>
      <c r="B275" s="2760">
        <v>24</v>
      </c>
      <c r="C275" s="817" t="s">
        <v>8936</v>
      </c>
      <c r="D275" s="2712" t="s">
        <v>9797</v>
      </c>
      <c r="E275" s="817" t="s">
        <v>8931</v>
      </c>
      <c r="F275" s="2682">
        <v>1</v>
      </c>
      <c r="G275" s="2682">
        <v>1</v>
      </c>
      <c r="H275" s="2682"/>
      <c r="I275" s="2682"/>
      <c r="J275" s="2682"/>
      <c r="K275" s="2682"/>
      <c r="L275" s="817"/>
      <c r="M275" s="817"/>
      <c r="N275" s="817"/>
      <c r="O275" s="817" t="s">
        <v>8148</v>
      </c>
      <c r="P275" s="2769">
        <v>43938</v>
      </c>
      <c r="Q275" s="2769"/>
      <c r="R275" s="2770" t="s">
        <v>8924</v>
      </c>
      <c r="S275" s="2747"/>
      <c r="T275" s="2694" t="s">
        <v>15</v>
      </c>
      <c r="U275" s="2694">
        <v>0.56666666666666665</v>
      </c>
      <c r="V275" s="2694" t="s">
        <v>972</v>
      </c>
      <c r="W275" s="2680">
        <v>0</v>
      </c>
      <c r="X275" s="817" t="s">
        <v>8917</v>
      </c>
      <c r="Y275" s="2772"/>
      <c r="Z275" s="817"/>
      <c r="AA275" s="817"/>
      <c r="AB275" s="817" t="s">
        <v>974</v>
      </c>
      <c r="AC275" s="817" t="s">
        <v>7451</v>
      </c>
      <c r="AD275" s="2695"/>
      <c r="AG275" s="2711"/>
    </row>
    <row r="276" spans="1:33" ht="72.5" hidden="1" x14ac:dyDescent="0.35">
      <c r="A276" s="1899">
        <v>43934</v>
      </c>
      <c r="B276" s="2759">
        <v>21</v>
      </c>
      <c r="C276" s="7" t="s">
        <v>10347</v>
      </c>
      <c r="D276" s="2700" t="s">
        <v>10348</v>
      </c>
      <c r="E276" s="7" t="s">
        <v>10349</v>
      </c>
      <c r="F276" s="2685">
        <v>2</v>
      </c>
      <c r="G276" s="2685"/>
      <c r="H276" s="2685"/>
      <c r="I276" s="2685"/>
      <c r="J276" s="2685">
        <v>1</v>
      </c>
      <c r="K276" s="2685"/>
      <c r="L276" s="817"/>
      <c r="M276" s="817"/>
      <c r="N276" s="817"/>
      <c r="O276" s="817" t="s">
        <v>8148</v>
      </c>
      <c r="P276" s="1899">
        <v>43938</v>
      </c>
      <c r="Q276" s="2828"/>
      <c r="R276" s="2708" t="s">
        <v>10350</v>
      </c>
      <c r="S276" s="2747"/>
      <c r="T276" s="2694" t="s">
        <v>15</v>
      </c>
      <c r="U276" s="836">
        <v>0.5625</v>
      </c>
      <c r="V276" s="836" t="s">
        <v>3213</v>
      </c>
      <c r="W276" s="2821">
        <f>150+30+24</f>
        <v>204</v>
      </c>
      <c r="X276" s="817" t="s">
        <v>10941</v>
      </c>
      <c r="Y276" s="2717"/>
      <c r="Z276" s="817"/>
      <c r="AA276" s="817"/>
      <c r="AB276" s="817" t="s">
        <v>17</v>
      </c>
      <c r="AC276" s="817" t="s">
        <v>7451</v>
      </c>
      <c r="AD276" s="2695"/>
      <c r="AG276" s="2711"/>
    </row>
    <row r="277" spans="1:33" ht="116" hidden="1" x14ac:dyDescent="0.35">
      <c r="A277" s="1899">
        <v>43931</v>
      </c>
      <c r="B277" s="2759">
        <v>15</v>
      </c>
      <c r="C277" s="7" t="s">
        <v>9384</v>
      </c>
      <c r="D277" s="2712" t="s">
        <v>10195</v>
      </c>
      <c r="E277" s="7" t="s">
        <v>9385</v>
      </c>
      <c r="F277" s="7">
        <v>2</v>
      </c>
      <c r="G277" s="7">
        <v>1</v>
      </c>
      <c r="H277" s="7">
        <v>1</v>
      </c>
      <c r="I277" s="7">
        <v>1</v>
      </c>
      <c r="J277" s="7"/>
      <c r="K277" s="7"/>
      <c r="L277" s="817"/>
      <c r="M277" s="817"/>
      <c r="N277" s="817"/>
      <c r="O277" s="817" t="s">
        <v>8148</v>
      </c>
      <c r="P277" s="1899">
        <v>43938</v>
      </c>
      <c r="Q277" s="1899"/>
      <c r="R277" s="881" t="s">
        <v>7821</v>
      </c>
      <c r="S277" s="2747"/>
      <c r="T277" s="836" t="s">
        <v>15</v>
      </c>
      <c r="U277" s="2694">
        <v>0.4861111111111111</v>
      </c>
      <c r="V277" s="2694" t="s">
        <v>972</v>
      </c>
      <c r="W277" s="2680">
        <v>0</v>
      </c>
      <c r="X277" s="817" t="s">
        <v>9377</v>
      </c>
      <c r="Y277" s="2717"/>
      <c r="Z277" s="7"/>
      <c r="AA277" s="7"/>
      <c r="AB277" s="7" t="s">
        <v>17</v>
      </c>
      <c r="AC277" s="7" t="s">
        <v>7451</v>
      </c>
      <c r="AD277" s="2696"/>
      <c r="AG277" s="2711"/>
    </row>
    <row r="278" spans="1:33" ht="72.5" hidden="1" x14ac:dyDescent="0.35">
      <c r="A278" s="2486">
        <v>43931</v>
      </c>
      <c r="B278" s="2718">
        <v>2</v>
      </c>
      <c r="C278" s="5" t="s">
        <v>9008</v>
      </c>
      <c r="D278" s="2712" t="s">
        <v>9755</v>
      </c>
      <c r="E278" s="7" t="s">
        <v>10234</v>
      </c>
      <c r="F278" s="2686">
        <v>1</v>
      </c>
      <c r="G278" s="2682"/>
      <c r="H278" s="2682">
        <v>1</v>
      </c>
      <c r="I278" s="2682"/>
      <c r="J278" s="2682"/>
      <c r="K278" s="2682"/>
      <c r="L278" s="817"/>
      <c r="M278" s="817"/>
      <c r="N278" s="817"/>
      <c r="O278" s="817" t="s">
        <v>8148</v>
      </c>
      <c r="P278" s="2486">
        <v>43938</v>
      </c>
      <c r="Q278" s="2486"/>
      <c r="R278" s="824" t="s">
        <v>8700</v>
      </c>
      <c r="S278" s="2747"/>
      <c r="T278" s="2694" t="s">
        <v>15</v>
      </c>
      <c r="U278" s="2694">
        <v>0.3833333333333333</v>
      </c>
      <c r="V278" s="2694" t="s">
        <v>972</v>
      </c>
      <c r="W278" s="1956">
        <v>300</v>
      </c>
      <c r="X278" s="836" t="s">
        <v>257</v>
      </c>
      <c r="Y278" s="2717"/>
      <c r="Z278" s="817"/>
      <c r="AA278" s="817"/>
      <c r="AB278" s="7" t="s">
        <v>17</v>
      </c>
      <c r="AC278" s="817" t="s">
        <v>7451</v>
      </c>
      <c r="AD278" s="2695"/>
      <c r="AG278" s="2711"/>
    </row>
    <row r="279" spans="1:33" ht="72.5" hidden="1" x14ac:dyDescent="0.35">
      <c r="A279" s="2486">
        <v>43929</v>
      </c>
      <c r="B279" s="2718">
        <v>4</v>
      </c>
      <c r="C279" s="5" t="s">
        <v>8728</v>
      </c>
      <c r="D279" s="2712" t="s">
        <v>9886</v>
      </c>
      <c r="E279" s="817" t="s">
        <v>10732</v>
      </c>
      <c r="F279" s="2679">
        <v>1</v>
      </c>
      <c r="G279" s="5"/>
      <c r="H279" s="5"/>
      <c r="I279" s="5">
        <v>1</v>
      </c>
      <c r="J279" s="5"/>
      <c r="K279" s="5"/>
      <c r="L279" s="817"/>
      <c r="M279" s="817"/>
      <c r="N279" s="817"/>
      <c r="O279" s="817" t="s">
        <v>8148</v>
      </c>
      <c r="P279" s="2486">
        <v>43938</v>
      </c>
      <c r="Q279" s="2486"/>
      <c r="R279" s="824" t="s">
        <v>8729</v>
      </c>
      <c r="S279" s="2829"/>
      <c r="T279" s="6" t="s">
        <v>15</v>
      </c>
      <c r="U279" s="2694">
        <v>0.3833333333333333</v>
      </c>
      <c r="V279" s="2694" t="s">
        <v>972</v>
      </c>
      <c r="W279" s="1809">
        <v>300</v>
      </c>
      <c r="X279" s="836" t="s">
        <v>257</v>
      </c>
      <c r="Y279" s="2772"/>
      <c r="Z279" s="817"/>
      <c r="AA279" s="817"/>
      <c r="AB279" s="7" t="s">
        <v>17</v>
      </c>
      <c r="AC279" s="817" t="s">
        <v>7451</v>
      </c>
      <c r="AD279" s="2700"/>
      <c r="AG279" s="2711"/>
    </row>
    <row r="280" spans="1:33" ht="72.5" hidden="1" x14ac:dyDescent="0.35">
      <c r="A280" s="2486">
        <v>43909</v>
      </c>
      <c r="B280" s="2718">
        <v>23</v>
      </c>
      <c r="C280" s="5" t="s">
        <v>7375</v>
      </c>
      <c r="D280" s="2712" t="s">
        <v>9719</v>
      </c>
      <c r="E280" s="5" t="s">
        <v>7374</v>
      </c>
      <c r="F280" s="5">
        <v>1</v>
      </c>
      <c r="G280" s="5">
        <v>1</v>
      </c>
      <c r="H280" s="5"/>
      <c r="I280" s="5"/>
      <c r="J280" s="5"/>
      <c r="K280" s="5"/>
      <c r="L280" s="5"/>
      <c r="M280" s="5"/>
      <c r="N280" s="5"/>
      <c r="O280" s="5" t="s">
        <v>8148</v>
      </c>
      <c r="P280" s="2486">
        <v>43938</v>
      </c>
      <c r="Q280" s="2486"/>
      <c r="R280" s="824" t="s">
        <v>7248</v>
      </c>
      <c r="S280" s="824"/>
      <c r="T280" s="6" t="s">
        <v>15</v>
      </c>
      <c r="U280" s="2694">
        <v>0.55277777777777781</v>
      </c>
      <c r="V280" s="2694" t="s">
        <v>3115</v>
      </c>
      <c r="W280" s="1956">
        <f>0.7*(65+75+75)</f>
        <v>150.5</v>
      </c>
      <c r="X280" s="2694" t="s">
        <v>10752</v>
      </c>
      <c r="Y280" s="2772"/>
      <c r="Z280" s="2694"/>
      <c r="AA280" s="2694"/>
      <c r="AB280" s="817" t="s">
        <v>17</v>
      </c>
      <c r="AC280" s="817" t="s">
        <v>6053</v>
      </c>
      <c r="AD280" s="2699"/>
      <c r="AG280" s="2711"/>
    </row>
    <row r="281" spans="1:33" ht="72.5" hidden="1" x14ac:dyDescent="0.35">
      <c r="A281" s="1899">
        <v>43932</v>
      </c>
      <c r="B281" s="2759">
        <v>3</v>
      </c>
      <c r="C281" s="7" t="s">
        <v>9481</v>
      </c>
      <c r="D281" s="2707" t="s">
        <v>9482</v>
      </c>
      <c r="E281" s="7" t="s">
        <v>9483</v>
      </c>
      <c r="F281" s="2682">
        <v>1</v>
      </c>
      <c r="G281" s="2682">
        <v>1</v>
      </c>
      <c r="H281" s="2682"/>
      <c r="I281" s="2682"/>
      <c r="J281" s="2682"/>
      <c r="K281" s="2682"/>
      <c r="L281" s="817"/>
      <c r="M281" s="817"/>
      <c r="N281" s="817"/>
      <c r="O281" s="817" t="s">
        <v>8148</v>
      </c>
      <c r="P281" s="1899">
        <v>43938</v>
      </c>
      <c r="Q281" s="2828"/>
      <c r="R281" s="881" t="s">
        <v>9484</v>
      </c>
      <c r="S281" s="2747"/>
      <c r="T281" s="836" t="s">
        <v>15</v>
      </c>
      <c r="U281" s="836">
        <v>0.37638888888888888</v>
      </c>
      <c r="V281" s="836" t="s">
        <v>972</v>
      </c>
      <c r="W281" s="2680">
        <v>100</v>
      </c>
      <c r="X281" s="817" t="s">
        <v>2900</v>
      </c>
      <c r="Y281" s="2772"/>
      <c r="Z281" s="817"/>
      <c r="AA281" s="817"/>
      <c r="AB281" s="817" t="s">
        <v>17</v>
      </c>
      <c r="AC281" s="817" t="s">
        <v>7451</v>
      </c>
      <c r="AD281" s="2695"/>
      <c r="AG281" s="2711"/>
    </row>
    <row r="282" spans="1:33" ht="43.5" hidden="1" x14ac:dyDescent="0.35">
      <c r="A282" s="1899">
        <v>43934</v>
      </c>
      <c r="B282" s="2759">
        <v>7</v>
      </c>
      <c r="C282" s="7" t="s">
        <v>10468</v>
      </c>
      <c r="D282" s="2700" t="s">
        <v>10469</v>
      </c>
      <c r="E282" s="7" t="s">
        <v>7860</v>
      </c>
      <c r="F282" s="7">
        <v>1</v>
      </c>
      <c r="G282" s="7"/>
      <c r="H282" s="7">
        <v>1</v>
      </c>
      <c r="I282" s="7"/>
      <c r="J282" s="7"/>
      <c r="K282" s="7"/>
      <c r="L282" s="817"/>
      <c r="M282" s="817"/>
      <c r="N282" s="817"/>
      <c r="O282" s="817" t="s">
        <v>8148</v>
      </c>
      <c r="P282" s="1899">
        <v>43938</v>
      </c>
      <c r="Q282" s="2769"/>
      <c r="R282" s="2708" t="s">
        <v>10470</v>
      </c>
      <c r="S282" s="2747"/>
      <c r="T282" s="836" t="s">
        <v>15</v>
      </c>
      <c r="U282" s="836">
        <v>0.41805555555555557</v>
      </c>
      <c r="V282" s="836" t="s">
        <v>972</v>
      </c>
      <c r="W282" s="1956">
        <v>199</v>
      </c>
      <c r="X282" s="817" t="s">
        <v>8625</v>
      </c>
      <c r="Y282" s="2772"/>
      <c r="Z282" s="7"/>
      <c r="AA282" s="7"/>
      <c r="AB282" s="7" t="s">
        <v>17</v>
      </c>
      <c r="AC282" s="7" t="s">
        <v>7451</v>
      </c>
      <c r="AD282" s="2696"/>
      <c r="AG282" s="2711"/>
    </row>
    <row r="283" spans="1:33" ht="58" hidden="1" x14ac:dyDescent="0.35">
      <c r="A283" s="2828">
        <v>43931</v>
      </c>
      <c r="B283" s="2760">
        <v>9</v>
      </c>
      <c r="C283" s="817" t="s">
        <v>9114</v>
      </c>
      <c r="D283" s="2712" t="s">
        <v>9113</v>
      </c>
      <c r="E283" s="7" t="s">
        <v>9116</v>
      </c>
      <c r="F283" s="2682">
        <v>1</v>
      </c>
      <c r="G283" s="2682"/>
      <c r="H283" s="2682">
        <v>1</v>
      </c>
      <c r="I283" s="2682"/>
      <c r="J283" s="2682"/>
      <c r="K283" s="2682"/>
      <c r="L283" s="817"/>
      <c r="M283" s="817"/>
      <c r="N283" s="817"/>
      <c r="O283" s="817" t="s">
        <v>8148</v>
      </c>
      <c r="P283" s="2828">
        <v>43938</v>
      </c>
      <c r="Q283" s="2746"/>
      <c r="R283" s="2829" t="s">
        <v>9115</v>
      </c>
      <c r="S283" s="2747"/>
      <c r="T283" s="2694" t="s">
        <v>15</v>
      </c>
      <c r="U283" s="2694">
        <v>0.4513888888888889</v>
      </c>
      <c r="V283" s="2694" t="s">
        <v>972</v>
      </c>
      <c r="W283" s="1956">
        <v>170</v>
      </c>
      <c r="X283" s="817" t="s">
        <v>8625</v>
      </c>
      <c r="Y283" s="2772"/>
      <c r="Z283" s="817"/>
      <c r="AA283" s="817"/>
      <c r="AB283" s="817" t="s">
        <v>17</v>
      </c>
      <c r="AC283" s="817" t="s">
        <v>7451</v>
      </c>
      <c r="AD283" s="2700" t="s">
        <v>9113</v>
      </c>
      <c r="AG283" s="2711"/>
    </row>
    <row r="284" spans="1:33" ht="87" hidden="1" x14ac:dyDescent="0.35">
      <c r="A284" s="2486">
        <v>43923</v>
      </c>
      <c r="B284" s="2718">
        <v>12</v>
      </c>
      <c r="C284" s="5" t="s">
        <v>7736</v>
      </c>
      <c r="D284" s="2712" t="s">
        <v>9967</v>
      </c>
      <c r="E284" s="5" t="s">
        <v>7748</v>
      </c>
      <c r="F284" s="5">
        <v>1</v>
      </c>
      <c r="G284" s="5"/>
      <c r="H284" s="5">
        <v>1</v>
      </c>
      <c r="I284" s="5"/>
      <c r="J284" s="5"/>
      <c r="K284" s="5"/>
      <c r="L284" s="5"/>
      <c r="M284" s="5"/>
      <c r="N284" s="5"/>
      <c r="O284" s="5" t="s">
        <v>8148</v>
      </c>
      <c r="P284" s="2486">
        <v>43938</v>
      </c>
      <c r="Q284" s="2486"/>
      <c r="R284" s="824" t="s">
        <v>7737</v>
      </c>
      <c r="S284" s="824"/>
      <c r="T284" s="2694" t="s">
        <v>15</v>
      </c>
      <c r="U284" s="2694">
        <v>0.47083333333333338</v>
      </c>
      <c r="V284" s="2694" t="s">
        <v>3213</v>
      </c>
      <c r="W284" s="1956">
        <v>300</v>
      </c>
      <c r="X284" s="2694" t="s">
        <v>7682</v>
      </c>
      <c r="Y284" s="2717"/>
      <c r="Z284" s="2694"/>
      <c r="AA284" s="2694"/>
      <c r="AB284" s="817" t="s">
        <v>17</v>
      </c>
      <c r="AC284" s="817" t="s">
        <v>7451</v>
      </c>
      <c r="AD284" s="2834"/>
      <c r="AG284" s="2711"/>
    </row>
    <row r="285" spans="1:33" ht="72.5" hidden="1" x14ac:dyDescent="0.35">
      <c r="A285" s="1899">
        <v>43932</v>
      </c>
      <c r="B285" s="2759">
        <v>11</v>
      </c>
      <c r="C285" s="817" t="s">
        <v>9614</v>
      </c>
      <c r="D285" s="2700" t="s">
        <v>9615</v>
      </c>
      <c r="E285" s="817" t="s">
        <v>9623</v>
      </c>
      <c r="F285" s="5">
        <v>1</v>
      </c>
      <c r="G285" s="5">
        <v>1</v>
      </c>
      <c r="H285" s="5"/>
      <c r="I285" s="5"/>
      <c r="J285" s="5"/>
      <c r="K285" s="5"/>
      <c r="L285" s="817"/>
      <c r="M285" s="817"/>
      <c r="N285" s="817"/>
      <c r="O285" s="817" t="s">
        <v>8148</v>
      </c>
      <c r="P285" s="2828">
        <v>43938</v>
      </c>
      <c r="Q285" s="2828"/>
      <c r="R285" s="2706" t="s">
        <v>9624</v>
      </c>
      <c r="S285" s="2747"/>
      <c r="T285" s="836" t="s">
        <v>15</v>
      </c>
      <c r="U285" s="836">
        <v>0.46111111111111108</v>
      </c>
      <c r="V285" s="836" t="s">
        <v>972</v>
      </c>
      <c r="W285" s="1956">
        <v>220</v>
      </c>
      <c r="X285" s="817" t="s">
        <v>8625</v>
      </c>
      <c r="Y285" s="2772"/>
      <c r="Z285" s="817"/>
      <c r="AA285" s="817"/>
      <c r="AB285" s="817" t="s">
        <v>17</v>
      </c>
      <c r="AC285" s="817" t="s">
        <v>7451</v>
      </c>
      <c r="AD285" s="2696"/>
      <c r="AG285" s="2711"/>
    </row>
    <row r="286" spans="1:33" ht="58" hidden="1" x14ac:dyDescent="0.35">
      <c r="A286" s="1899">
        <v>43932</v>
      </c>
      <c r="B286" s="2759">
        <v>17</v>
      </c>
      <c r="C286" s="7" t="s">
        <v>9488</v>
      </c>
      <c r="D286" s="2707" t="s">
        <v>9489</v>
      </c>
      <c r="E286" s="7" t="s">
        <v>9493</v>
      </c>
      <c r="F286" s="2682">
        <v>1</v>
      </c>
      <c r="G286" s="2682"/>
      <c r="H286" s="2682">
        <v>1</v>
      </c>
      <c r="I286" s="2682"/>
      <c r="J286" s="2682"/>
      <c r="K286" s="2682"/>
      <c r="L286" s="817"/>
      <c r="M286" s="817"/>
      <c r="N286" s="817"/>
      <c r="O286" s="817" t="s">
        <v>8148</v>
      </c>
      <c r="P286" s="1899">
        <v>43938</v>
      </c>
      <c r="Q286" s="2828"/>
      <c r="R286" s="881" t="s">
        <v>9492</v>
      </c>
      <c r="S286" s="2747"/>
      <c r="T286" s="836" t="s">
        <v>15</v>
      </c>
      <c r="U286" s="836">
        <v>0.5229166666666667</v>
      </c>
      <c r="V286" s="836" t="s">
        <v>972</v>
      </c>
      <c r="W286" s="1956">
        <v>145</v>
      </c>
      <c r="X286" s="817" t="s">
        <v>8625</v>
      </c>
      <c r="Y286" s="2772"/>
      <c r="Z286" s="817"/>
      <c r="AA286" s="817"/>
      <c r="AB286" s="817" t="s">
        <v>17</v>
      </c>
      <c r="AC286" s="817" t="s">
        <v>7451</v>
      </c>
      <c r="AD286" s="2695"/>
      <c r="AG286" s="2711"/>
    </row>
    <row r="287" spans="1:33" ht="72.5" hidden="1" x14ac:dyDescent="0.35">
      <c r="A287" s="2828">
        <v>43927</v>
      </c>
      <c r="B287" s="2760">
        <v>26</v>
      </c>
      <c r="C287" s="817" t="s">
        <v>8164</v>
      </c>
      <c r="D287" s="2712" t="s">
        <v>9933</v>
      </c>
      <c r="E287" s="817" t="s">
        <v>8165</v>
      </c>
      <c r="F287" s="5">
        <v>1</v>
      </c>
      <c r="G287" s="5">
        <v>1</v>
      </c>
      <c r="H287" s="5"/>
      <c r="I287" s="5"/>
      <c r="J287" s="5"/>
      <c r="K287" s="5"/>
      <c r="L287" s="817"/>
      <c r="M287" s="817"/>
      <c r="N287" s="817"/>
      <c r="O287" s="817" t="s">
        <v>8148</v>
      </c>
      <c r="P287" s="2828">
        <v>43938</v>
      </c>
      <c r="Q287" s="2828"/>
      <c r="R287" s="2829" t="s">
        <v>8269</v>
      </c>
      <c r="S287" s="2829"/>
      <c r="T287" s="2694">
        <v>0.35416666666666669</v>
      </c>
      <c r="U287" s="2694">
        <v>0.60902777777777783</v>
      </c>
      <c r="V287" s="2694" t="s">
        <v>972</v>
      </c>
      <c r="W287" s="1956">
        <v>300</v>
      </c>
      <c r="X287" s="817" t="s">
        <v>257</v>
      </c>
      <c r="Y287" s="2772"/>
      <c r="Z287" s="817"/>
      <c r="AA287" s="817"/>
      <c r="AB287" s="817" t="s">
        <v>17</v>
      </c>
      <c r="AC287" s="817" t="s">
        <v>7451</v>
      </c>
      <c r="AD287" s="2699"/>
      <c r="AG287" s="2711"/>
    </row>
    <row r="288" spans="1:33" ht="43.5" hidden="1" x14ac:dyDescent="0.35">
      <c r="A288" s="1899">
        <v>43935</v>
      </c>
      <c r="B288" s="2759">
        <v>1</v>
      </c>
      <c r="C288" s="7" t="s">
        <v>1718</v>
      </c>
      <c r="D288" s="2700" t="s">
        <v>10673</v>
      </c>
      <c r="E288" s="7" t="s">
        <v>10674</v>
      </c>
      <c r="F288" s="2735"/>
      <c r="G288" s="2735"/>
      <c r="H288" s="2735"/>
      <c r="I288" s="2735"/>
      <c r="J288" s="2735"/>
      <c r="K288" s="2735"/>
      <c r="L288" s="817"/>
      <c r="M288" s="817"/>
      <c r="N288" s="817"/>
      <c r="O288" s="817" t="s">
        <v>8148</v>
      </c>
      <c r="P288" s="1899">
        <v>43938</v>
      </c>
      <c r="Q288" s="2769"/>
      <c r="R288" s="881" t="s">
        <v>10675</v>
      </c>
      <c r="S288" s="2770"/>
      <c r="T288" s="2694" t="s">
        <v>15</v>
      </c>
      <c r="U288" s="2694">
        <v>0.37152777777777773</v>
      </c>
      <c r="V288" s="2694" t="s">
        <v>10672</v>
      </c>
      <c r="W288" s="2738">
        <v>0</v>
      </c>
      <c r="X288" s="817" t="s">
        <v>10806</v>
      </c>
      <c r="Y288" s="2717"/>
      <c r="Z288" s="817"/>
      <c r="AA288" s="817"/>
      <c r="AB288" s="817" t="s">
        <v>17</v>
      </c>
      <c r="AC288" s="817" t="s">
        <v>1718</v>
      </c>
      <c r="AD288" s="2739"/>
      <c r="AG288" s="2711"/>
    </row>
    <row r="289" spans="1:33" ht="87" hidden="1" x14ac:dyDescent="0.35">
      <c r="A289" s="2486">
        <v>43930</v>
      </c>
      <c r="B289" s="2718">
        <v>17</v>
      </c>
      <c r="C289" s="5" t="s">
        <v>8913</v>
      </c>
      <c r="D289" s="2712" t="s">
        <v>9830</v>
      </c>
      <c r="E289" s="5" t="s">
        <v>8911</v>
      </c>
      <c r="F289" s="2686"/>
      <c r="G289" s="2682">
        <v>1</v>
      </c>
      <c r="H289" s="2682"/>
      <c r="I289" s="2682"/>
      <c r="J289" s="2682"/>
      <c r="K289" s="2682">
        <v>1</v>
      </c>
      <c r="L289" s="817"/>
      <c r="M289" s="817"/>
      <c r="N289" s="817"/>
      <c r="O289" s="817" t="s">
        <v>8148</v>
      </c>
      <c r="P289" s="2486">
        <v>43938</v>
      </c>
      <c r="Q289" s="2486"/>
      <c r="R289" s="824" t="s">
        <v>8912</v>
      </c>
      <c r="S289" s="2747"/>
      <c r="T289" s="6" t="s">
        <v>15</v>
      </c>
      <c r="U289" s="2694">
        <v>0.50208333333333333</v>
      </c>
      <c r="V289" s="2694" t="s">
        <v>8914</v>
      </c>
      <c r="W289" s="1809">
        <v>315</v>
      </c>
      <c r="X289" s="836" t="s">
        <v>257</v>
      </c>
      <c r="Y289" s="2772"/>
      <c r="Z289" s="817"/>
      <c r="AA289" s="817"/>
      <c r="AB289" s="7" t="s">
        <v>17</v>
      </c>
      <c r="AC289" s="817" t="s">
        <v>7451</v>
      </c>
      <c r="AD289" s="2702"/>
      <c r="AG289" s="2711"/>
    </row>
    <row r="290" spans="1:33" ht="43.5" hidden="1" x14ac:dyDescent="0.35">
      <c r="A290" s="2769">
        <v>43926</v>
      </c>
      <c r="B290" s="2760">
        <v>9</v>
      </c>
      <c r="C290" s="817" t="s">
        <v>8119</v>
      </c>
      <c r="D290" s="2712" t="s">
        <v>9965</v>
      </c>
      <c r="E290" s="817" t="s">
        <v>8120</v>
      </c>
      <c r="F290" s="817">
        <v>1</v>
      </c>
      <c r="G290" s="817">
        <v>1</v>
      </c>
      <c r="H290" s="817"/>
      <c r="I290" s="817"/>
      <c r="J290" s="817"/>
      <c r="K290" s="817"/>
      <c r="L290" s="817"/>
      <c r="M290" s="817"/>
      <c r="N290" s="817"/>
      <c r="O290" s="817" t="s">
        <v>8148</v>
      </c>
      <c r="P290" s="2769">
        <v>43938</v>
      </c>
      <c r="Q290" s="2769"/>
      <c r="R290" s="2828" t="s">
        <v>8121</v>
      </c>
      <c r="S290" s="2828"/>
      <c r="T290" s="2828" t="s">
        <v>15</v>
      </c>
      <c r="U290" s="2694">
        <v>0.44722222222222219</v>
      </c>
      <c r="V290" s="2694" t="s">
        <v>972</v>
      </c>
      <c r="W290" s="1809">
        <v>180</v>
      </c>
      <c r="X290" s="817" t="s">
        <v>257</v>
      </c>
      <c r="Y290" s="2772"/>
      <c r="Z290" s="817"/>
      <c r="AA290" s="817"/>
      <c r="AB290" s="817" t="s">
        <v>17</v>
      </c>
      <c r="AC290" s="817" t="s">
        <v>7451</v>
      </c>
      <c r="AD290" s="2699"/>
      <c r="AG290" s="2711"/>
    </row>
    <row r="291" spans="1:33" ht="58" hidden="1" x14ac:dyDescent="0.35">
      <c r="A291" s="2828">
        <v>43926</v>
      </c>
      <c r="B291" s="2760">
        <v>15</v>
      </c>
      <c r="C291" s="2828" t="s">
        <v>8077</v>
      </c>
      <c r="D291" s="2712" t="s">
        <v>9793</v>
      </c>
      <c r="E291" s="817" t="s">
        <v>8078</v>
      </c>
      <c r="F291" s="817"/>
      <c r="G291" s="817"/>
      <c r="H291" s="817">
        <v>1</v>
      </c>
      <c r="I291" s="817">
        <v>1</v>
      </c>
      <c r="J291" s="817"/>
      <c r="K291" s="817"/>
      <c r="L291" s="817"/>
      <c r="M291" s="817"/>
      <c r="N291" s="817">
        <v>1</v>
      </c>
      <c r="O291" s="817" t="s">
        <v>8148</v>
      </c>
      <c r="P291" s="2828">
        <v>43938</v>
      </c>
      <c r="Q291" s="2828"/>
      <c r="R291" s="2829" t="s">
        <v>8079</v>
      </c>
      <c r="S291" s="2829"/>
      <c r="T291" s="2694" t="s">
        <v>15</v>
      </c>
      <c r="U291" s="2694">
        <v>0.50416666666666665</v>
      </c>
      <c r="V291" s="2694" t="s">
        <v>972</v>
      </c>
      <c r="W291" s="1809">
        <v>270</v>
      </c>
      <c r="X291" s="2694" t="s">
        <v>257</v>
      </c>
      <c r="Y291" s="2772"/>
      <c r="Z291" s="817"/>
      <c r="AA291" s="817"/>
      <c r="AB291" s="817" t="s">
        <v>17</v>
      </c>
      <c r="AC291" s="817" t="s">
        <v>7451</v>
      </c>
      <c r="AD291" s="2699"/>
      <c r="AG291" s="2711"/>
    </row>
    <row r="292" spans="1:33" ht="43.5" hidden="1" x14ac:dyDescent="0.35">
      <c r="A292" s="2828">
        <v>43926</v>
      </c>
      <c r="B292" s="2760">
        <v>31</v>
      </c>
      <c r="C292" s="2828" t="s">
        <v>8157</v>
      </c>
      <c r="D292" s="2712" t="s">
        <v>10194</v>
      </c>
      <c r="E292" s="817" t="s">
        <v>8156</v>
      </c>
      <c r="F292" s="817">
        <v>1</v>
      </c>
      <c r="G292" s="817">
        <v>1</v>
      </c>
      <c r="H292" s="817"/>
      <c r="I292" s="817"/>
      <c r="J292" s="817"/>
      <c r="K292" s="817"/>
      <c r="L292" s="817"/>
      <c r="M292" s="817"/>
      <c r="N292" s="817"/>
      <c r="O292" s="817" t="s">
        <v>8148</v>
      </c>
      <c r="P292" s="2769">
        <v>43938</v>
      </c>
      <c r="Q292" s="2769"/>
      <c r="R292" s="2829" t="s">
        <v>8124</v>
      </c>
      <c r="S292" s="2747"/>
      <c r="T292" s="2694" t="s">
        <v>15</v>
      </c>
      <c r="U292" s="2694">
        <v>0.64930555555555558</v>
      </c>
      <c r="V292" s="2694" t="s">
        <v>972</v>
      </c>
      <c r="W292" s="1809">
        <v>150</v>
      </c>
      <c r="X292" s="2694" t="s">
        <v>257</v>
      </c>
      <c r="Y292" s="2772"/>
      <c r="Z292" s="817"/>
      <c r="AA292" s="817"/>
      <c r="AB292" s="817" t="s">
        <v>17</v>
      </c>
      <c r="AC292" s="817" t="s">
        <v>7451</v>
      </c>
      <c r="AD292" s="2696" t="s">
        <v>8773</v>
      </c>
      <c r="AG292" s="2711"/>
    </row>
    <row r="293" spans="1:33" ht="72.5" hidden="1" x14ac:dyDescent="0.35">
      <c r="A293" s="1899">
        <v>43932</v>
      </c>
      <c r="B293" s="2759">
        <v>28</v>
      </c>
      <c r="C293" s="7" t="s">
        <v>9503</v>
      </c>
      <c r="D293" s="2707" t="s">
        <v>9502</v>
      </c>
      <c r="E293" s="7" t="s">
        <v>9483</v>
      </c>
      <c r="F293" s="5">
        <v>1</v>
      </c>
      <c r="G293" s="5">
        <v>1</v>
      </c>
      <c r="H293" s="5"/>
      <c r="I293" s="5"/>
      <c r="J293" s="5"/>
      <c r="K293" s="5"/>
      <c r="L293" s="817"/>
      <c r="M293" s="817"/>
      <c r="N293" s="817"/>
      <c r="O293" s="817" t="s">
        <v>8148</v>
      </c>
      <c r="P293" s="1899">
        <v>43938</v>
      </c>
      <c r="Q293" s="2769"/>
      <c r="R293" s="881" t="s">
        <v>9504</v>
      </c>
      <c r="S293" s="2747"/>
      <c r="T293" s="836" t="s">
        <v>15</v>
      </c>
      <c r="U293" s="836">
        <v>0.61319444444444449</v>
      </c>
      <c r="V293" s="836" t="s">
        <v>972</v>
      </c>
      <c r="W293" s="1956">
        <v>300</v>
      </c>
      <c r="X293" s="817" t="s">
        <v>8625</v>
      </c>
      <c r="Y293" s="2772"/>
      <c r="Z293" s="817"/>
      <c r="AA293" s="817"/>
      <c r="AB293" s="817" t="s">
        <v>17</v>
      </c>
      <c r="AC293" s="817" t="s">
        <v>7451</v>
      </c>
      <c r="AD293" s="2696"/>
      <c r="AG293" s="2711"/>
    </row>
    <row r="294" spans="1:33" ht="72.5" hidden="1" x14ac:dyDescent="0.35">
      <c r="A294" s="2486">
        <v>43930</v>
      </c>
      <c r="B294" s="2718">
        <v>16</v>
      </c>
      <c r="C294" s="5" t="s">
        <v>8854</v>
      </c>
      <c r="D294" s="2712" t="s">
        <v>9779</v>
      </c>
      <c r="E294" s="5" t="s">
        <v>8839</v>
      </c>
      <c r="F294" s="2679">
        <v>1</v>
      </c>
      <c r="G294" s="5">
        <v>1</v>
      </c>
      <c r="H294" s="5"/>
      <c r="I294" s="5"/>
      <c r="J294" s="5"/>
      <c r="K294" s="5"/>
      <c r="L294" s="817"/>
      <c r="M294" s="817"/>
      <c r="N294" s="817"/>
      <c r="O294" s="817" t="s">
        <v>8148</v>
      </c>
      <c r="P294" s="2486">
        <v>43938</v>
      </c>
      <c r="Q294" s="2486"/>
      <c r="R294" s="824" t="s">
        <v>8855</v>
      </c>
      <c r="S294" s="2770"/>
      <c r="T294" s="6" t="s">
        <v>15</v>
      </c>
      <c r="U294" s="2694">
        <v>0.5083333333333333</v>
      </c>
      <c r="V294" s="2694" t="s">
        <v>972</v>
      </c>
      <c r="W294" s="1809">
        <v>300</v>
      </c>
      <c r="X294" s="836" t="s">
        <v>257</v>
      </c>
      <c r="Y294" s="2772"/>
      <c r="Z294" s="817"/>
      <c r="AA294" s="817"/>
      <c r="AB294" s="7" t="s">
        <v>17</v>
      </c>
      <c r="AC294" s="817" t="s">
        <v>7451</v>
      </c>
      <c r="AD294" s="2700"/>
      <c r="AG294" s="2711"/>
    </row>
    <row r="295" spans="1:33" ht="87" hidden="1" x14ac:dyDescent="0.35">
      <c r="A295" s="2828">
        <v>43927</v>
      </c>
      <c r="B295" s="2760">
        <v>4</v>
      </c>
      <c r="C295" s="817" t="s">
        <v>8190</v>
      </c>
      <c r="D295" s="2712" t="s">
        <v>10190</v>
      </c>
      <c r="E295" s="817" t="s">
        <v>8191</v>
      </c>
      <c r="F295" s="5">
        <v>1</v>
      </c>
      <c r="G295" s="5"/>
      <c r="H295" s="5"/>
      <c r="I295" s="5"/>
      <c r="J295" s="5">
        <v>2</v>
      </c>
      <c r="K295" s="5"/>
      <c r="L295" s="817"/>
      <c r="M295" s="817"/>
      <c r="N295" s="817"/>
      <c r="O295" s="817" t="s">
        <v>8148</v>
      </c>
      <c r="P295" s="2828">
        <v>43938</v>
      </c>
      <c r="Q295" s="2769"/>
      <c r="R295" s="2829" t="s">
        <v>8290</v>
      </c>
      <c r="S295" s="2770" t="s">
        <v>8289</v>
      </c>
      <c r="T295" s="2694" t="s">
        <v>15</v>
      </c>
      <c r="U295" s="2694">
        <v>0.39513888888888887</v>
      </c>
      <c r="V295" s="2694" t="s">
        <v>972</v>
      </c>
      <c r="W295" s="1809">
        <v>365</v>
      </c>
      <c r="X295" s="817" t="s">
        <v>257</v>
      </c>
      <c r="Y295" s="2772"/>
      <c r="Z295" s="817"/>
      <c r="AA295" s="817"/>
      <c r="AB295" s="817" t="s">
        <v>17</v>
      </c>
      <c r="AC295" s="817" t="s">
        <v>7451</v>
      </c>
      <c r="AD295" s="2703" t="s">
        <v>8773</v>
      </c>
      <c r="AG295" s="2662"/>
    </row>
    <row r="296" spans="1:33" ht="58" hidden="1" x14ac:dyDescent="0.35">
      <c r="A296" s="2828">
        <v>43931</v>
      </c>
      <c r="B296" s="2760">
        <v>36</v>
      </c>
      <c r="C296" s="817" t="s">
        <v>8992</v>
      </c>
      <c r="D296" s="2712" t="s">
        <v>10170</v>
      </c>
      <c r="E296" s="817" t="s">
        <v>8991</v>
      </c>
      <c r="F296" s="2682">
        <v>1</v>
      </c>
      <c r="G296" s="2682">
        <v>1</v>
      </c>
      <c r="H296" s="2682"/>
      <c r="I296" s="2682">
        <v>1</v>
      </c>
      <c r="J296" s="2682"/>
      <c r="K296" s="2682"/>
      <c r="L296" s="817"/>
      <c r="M296" s="817"/>
      <c r="N296" s="817"/>
      <c r="O296" s="817" t="s">
        <v>8148</v>
      </c>
      <c r="P296" s="2828">
        <v>43938</v>
      </c>
      <c r="Q296" s="2828"/>
      <c r="R296" s="2829" t="s">
        <v>8990</v>
      </c>
      <c r="S296" s="2688"/>
      <c r="T296" s="6" t="s">
        <v>15</v>
      </c>
      <c r="U296" s="2694">
        <v>0.67638888888888893</v>
      </c>
      <c r="V296" s="2694" t="s">
        <v>972</v>
      </c>
      <c r="W296" s="1809">
        <v>220</v>
      </c>
      <c r="X296" s="836" t="s">
        <v>257</v>
      </c>
      <c r="Y296" s="2772"/>
      <c r="Z296" s="817"/>
      <c r="AA296" s="817"/>
      <c r="AB296" s="7" t="s">
        <v>17</v>
      </c>
      <c r="AC296" s="817" t="s">
        <v>7451</v>
      </c>
      <c r="AD296" s="2695"/>
      <c r="AG296" s="2662"/>
    </row>
    <row r="297" spans="1:33" ht="58" hidden="1" x14ac:dyDescent="0.35">
      <c r="A297" s="2769">
        <v>43931</v>
      </c>
      <c r="B297" s="2760">
        <v>21</v>
      </c>
      <c r="C297" s="817" t="s">
        <v>8994</v>
      </c>
      <c r="D297" s="2712" t="s">
        <v>10169</v>
      </c>
      <c r="E297" s="817" t="s">
        <v>8995</v>
      </c>
      <c r="F297" s="2682">
        <v>1</v>
      </c>
      <c r="G297" s="2682"/>
      <c r="H297" s="2682">
        <v>1</v>
      </c>
      <c r="I297" s="2682"/>
      <c r="J297" s="2682"/>
      <c r="K297" s="2682"/>
      <c r="L297" s="817"/>
      <c r="M297" s="817"/>
      <c r="N297" s="817"/>
      <c r="O297" s="817" t="s">
        <v>8148</v>
      </c>
      <c r="P297" s="2769">
        <v>43938</v>
      </c>
      <c r="Q297" s="2769"/>
      <c r="R297" s="2829" t="s">
        <v>8993</v>
      </c>
      <c r="S297" s="2829"/>
      <c r="T297" s="6" t="s">
        <v>15</v>
      </c>
      <c r="U297" s="2694">
        <v>0.55138888888888882</v>
      </c>
      <c r="V297" s="2694" t="s">
        <v>972</v>
      </c>
      <c r="W297" s="1956">
        <v>170</v>
      </c>
      <c r="X297" s="836" t="s">
        <v>257</v>
      </c>
      <c r="Y297" s="2772"/>
      <c r="Z297" s="817"/>
      <c r="AA297" s="817"/>
      <c r="AB297" s="7" t="s">
        <v>17</v>
      </c>
      <c r="AC297" s="817" t="s">
        <v>7451</v>
      </c>
      <c r="AD297" s="2695"/>
      <c r="AG297" s="2662"/>
    </row>
    <row r="298" spans="1:33" ht="116" hidden="1" x14ac:dyDescent="0.35">
      <c r="A298" s="2486">
        <v>43928</v>
      </c>
      <c r="B298" s="2718">
        <v>34</v>
      </c>
      <c r="C298" s="5" t="s">
        <v>7805</v>
      </c>
      <c r="D298" s="2712" t="s">
        <v>10192</v>
      </c>
      <c r="E298" s="5" t="s">
        <v>8546</v>
      </c>
      <c r="F298" s="2679">
        <v>1</v>
      </c>
      <c r="G298" s="5"/>
      <c r="H298" s="5"/>
      <c r="I298" s="5">
        <v>1</v>
      </c>
      <c r="J298" s="5"/>
      <c r="K298" s="5"/>
      <c r="L298" s="5"/>
      <c r="M298" s="5"/>
      <c r="N298" s="5"/>
      <c r="O298" s="5" t="s">
        <v>8148</v>
      </c>
      <c r="P298" s="2486">
        <v>43938</v>
      </c>
      <c r="Q298" s="2486"/>
      <c r="R298" s="824" t="s">
        <v>7806</v>
      </c>
      <c r="S298" s="824"/>
      <c r="T298" s="6" t="s">
        <v>15</v>
      </c>
      <c r="U298" s="2694">
        <v>0.65277777777777779</v>
      </c>
      <c r="V298" s="2694" t="s">
        <v>3213</v>
      </c>
      <c r="W298" s="1809">
        <v>175</v>
      </c>
      <c r="X298" s="2694" t="s">
        <v>257</v>
      </c>
      <c r="Y298" s="2772"/>
      <c r="Z298" s="2694"/>
      <c r="AA298" s="2694"/>
      <c r="AB298" s="817" t="s">
        <v>17</v>
      </c>
      <c r="AC298" s="817" t="s">
        <v>7451</v>
      </c>
      <c r="AD298" s="2696" t="s">
        <v>8773</v>
      </c>
      <c r="AG298" s="2662"/>
    </row>
    <row r="299" spans="1:33" ht="58" hidden="1" x14ac:dyDescent="0.35">
      <c r="A299" s="2769">
        <v>43928</v>
      </c>
      <c r="B299" s="2760">
        <v>26</v>
      </c>
      <c r="C299" s="817" t="s">
        <v>8542</v>
      </c>
      <c r="D299" s="2712" t="s">
        <v>9940</v>
      </c>
      <c r="E299" s="817" t="s">
        <v>10700</v>
      </c>
      <c r="F299" s="2678">
        <v>1</v>
      </c>
      <c r="G299" s="2669">
        <v>1</v>
      </c>
      <c r="H299" s="2669"/>
      <c r="I299" s="2669"/>
      <c r="J299" s="2669"/>
      <c r="K299" s="2669"/>
      <c r="L299" s="817"/>
      <c r="M299" s="817"/>
      <c r="N299" s="817"/>
      <c r="O299" s="817" t="s">
        <v>8148</v>
      </c>
      <c r="P299" s="2769">
        <v>43938</v>
      </c>
      <c r="Q299" s="2769"/>
      <c r="R299" s="2770" t="s">
        <v>8543</v>
      </c>
      <c r="S299" s="2770" t="s">
        <v>8303</v>
      </c>
      <c r="T299" s="2694" t="s">
        <v>15</v>
      </c>
      <c r="U299" s="2694">
        <v>0.59375</v>
      </c>
      <c r="V299" s="2694" t="s">
        <v>972</v>
      </c>
      <c r="W299" s="2659">
        <v>140</v>
      </c>
      <c r="X299" s="817" t="s">
        <v>257</v>
      </c>
      <c r="Y299" s="2772"/>
      <c r="Z299" s="2694"/>
      <c r="AA299" s="2694"/>
      <c r="AB299" s="817" t="s">
        <v>22</v>
      </c>
      <c r="AC299" s="817" t="s">
        <v>7451</v>
      </c>
      <c r="AD299" s="2696" t="s">
        <v>8773</v>
      </c>
      <c r="AG299" s="2662"/>
    </row>
    <row r="300" spans="1:33" ht="87" hidden="1" x14ac:dyDescent="0.35">
      <c r="A300" s="2486">
        <v>43924</v>
      </c>
      <c r="B300" s="2718">
        <v>13</v>
      </c>
      <c r="C300" s="7" t="s">
        <v>7926</v>
      </c>
      <c r="D300" s="2712" t="s">
        <v>9718</v>
      </c>
      <c r="E300" s="817" t="s">
        <v>7927</v>
      </c>
      <c r="F300" s="5">
        <v>1</v>
      </c>
      <c r="G300" s="5">
        <v>1</v>
      </c>
      <c r="H300" s="5"/>
      <c r="I300" s="5"/>
      <c r="J300" s="5"/>
      <c r="K300" s="5"/>
      <c r="L300" s="5"/>
      <c r="M300" s="5"/>
      <c r="N300" s="5"/>
      <c r="O300" s="5" t="s">
        <v>8148</v>
      </c>
      <c r="P300" s="2486">
        <v>43938</v>
      </c>
      <c r="Q300" s="2486"/>
      <c r="R300" s="824" t="s">
        <v>7928</v>
      </c>
      <c r="S300" s="824"/>
      <c r="T300" s="6" t="s">
        <v>15</v>
      </c>
      <c r="U300" s="2694">
        <v>0.47222222222222227</v>
      </c>
      <c r="V300" s="2694" t="s">
        <v>3213</v>
      </c>
      <c r="W300" s="1809">
        <f>175</f>
        <v>175</v>
      </c>
      <c r="X300" s="817" t="s">
        <v>257</v>
      </c>
      <c r="Y300" s="2772"/>
      <c r="Z300" s="817"/>
      <c r="AA300" s="817"/>
      <c r="AB300" s="817" t="s">
        <v>17</v>
      </c>
      <c r="AC300" s="817" t="s">
        <v>7451</v>
      </c>
      <c r="AD300" s="2699"/>
      <c r="AG300" s="2662"/>
    </row>
    <row r="301" spans="1:33" ht="72.5" hidden="1" x14ac:dyDescent="0.35">
      <c r="A301" s="2486">
        <v>43931</v>
      </c>
      <c r="B301" s="2718">
        <v>9</v>
      </c>
      <c r="C301" s="5" t="s">
        <v>9302</v>
      </c>
      <c r="D301" s="2700" t="s">
        <v>9301</v>
      </c>
      <c r="E301" s="7" t="s">
        <v>9304</v>
      </c>
      <c r="F301" s="2682">
        <v>1</v>
      </c>
      <c r="G301" s="2682"/>
      <c r="H301" s="2682">
        <v>1</v>
      </c>
      <c r="I301" s="2682"/>
      <c r="J301" s="2682"/>
      <c r="K301" s="2682"/>
      <c r="L301" s="817"/>
      <c r="M301" s="817"/>
      <c r="N301" s="817"/>
      <c r="O301" s="817" t="s">
        <v>8148</v>
      </c>
      <c r="P301" s="2486">
        <v>43938</v>
      </c>
      <c r="Q301" s="2486"/>
      <c r="R301" s="2829" t="s">
        <v>9303</v>
      </c>
      <c r="S301" s="2688"/>
      <c r="T301" s="2694" t="s">
        <v>15</v>
      </c>
      <c r="U301" s="2694">
        <v>0.4381944444444445</v>
      </c>
      <c r="V301" s="2694" t="s">
        <v>972</v>
      </c>
      <c r="W301" s="2680">
        <v>300</v>
      </c>
      <c r="X301" s="817" t="s">
        <v>2900</v>
      </c>
      <c r="Y301" s="2772"/>
      <c r="Z301" s="817"/>
      <c r="AA301" s="817"/>
      <c r="AB301" s="817" t="s">
        <v>17</v>
      </c>
      <c r="AC301" s="817" t="s">
        <v>7451</v>
      </c>
      <c r="AD301" s="2700" t="s">
        <v>9301</v>
      </c>
      <c r="AG301" s="2662"/>
    </row>
    <row r="302" spans="1:33" ht="87" hidden="1" x14ac:dyDescent="0.35">
      <c r="A302" s="2486">
        <v>43927</v>
      </c>
      <c r="B302" s="2718">
        <v>30</v>
      </c>
      <c r="C302" s="7" t="s">
        <v>8481</v>
      </c>
      <c r="D302" s="2712" t="s">
        <v>9909</v>
      </c>
      <c r="E302" s="7" t="s">
        <v>8479</v>
      </c>
      <c r="F302" s="5">
        <v>1</v>
      </c>
      <c r="G302" s="2669">
        <v>1</v>
      </c>
      <c r="H302" s="2669"/>
      <c r="I302" s="2669"/>
      <c r="J302" s="2669"/>
      <c r="K302" s="2669"/>
      <c r="L302" s="817"/>
      <c r="M302" s="817"/>
      <c r="N302" s="817"/>
      <c r="O302" s="817" t="s">
        <v>8148</v>
      </c>
      <c r="P302" s="2486">
        <v>43938</v>
      </c>
      <c r="Q302" s="2486"/>
      <c r="R302" s="824" t="s">
        <v>8480</v>
      </c>
      <c r="S302" s="2747" t="s">
        <v>8510</v>
      </c>
      <c r="T302" s="6" t="s">
        <v>15</v>
      </c>
      <c r="U302" s="2694">
        <v>0.65694444444444444</v>
      </c>
      <c r="V302" s="2694" t="s">
        <v>972</v>
      </c>
      <c r="W302" s="1809">
        <v>230</v>
      </c>
      <c r="X302" s="836" t="s">
        <v>257</v>
      </c>
      <c r="Y302" s="2772"/>
      <c r="Z302" s="817"/>
      <c r="AA302" s="817"/>
      <c r="AB302" s="7" t="s">
        <v>17</v>
      </c>
      <c r="AC302" s="817" t="s">
        <v>7451</v>
      </c>
      <c r="AD302" s="2699"/>
      <c r="AG302" s="2711"/>
    </row>
    <row r="303" spans="1:33" ht="87" hidden="1" x14ac:dyDescent="0.35">
      <c r="A303" s="2769">
        <v>43919</v>
      </c>
      <c r="B303" s="2760">
        <v>9</v>
      </c>
      <c r="C303" s="817" t="s">
        <v>7538</v>
      </c>
      <c r="D303" s="2712" t="s">
        <v>9970</v>
      </c>
      <c r="E303" s="817" t="s">
        <v>7537</v>
      </c>
      <c r="F303" s="817">
        <v>1</v>
      </c>
      <c r="G303" s="817">
        <v>1</v>
      </c>
      <c r="H303" s="817"/>
      <c r="I303" s="817"/>
      <c r="J303" s="817"/>
      <c r="K303" s="817"/>
      <c r="L303" s="817"/>
      <c r="M303" s="817"/>
      <c r="N303" s="817"/>
      <c r="O303" s="817" t="s">
        <v>8148</v>
      </c>
      <c r="P303" s="2769">
        <v>43938</v>
      </c>
      <c r="Q303" s="2769"/>
      <c r="R303" s="2770" t="s">
        <v>7539</v>
      </c>
      <c r="S303" s="2770"/>
      <c r="T303" s="2694" t="s">
        <v>15</v>
      </c>
      <c r="U303" s="2694">
        <v>0.42499999999999999</v>
      </c>
      <c r="V303" s="2694" t="s">
        <v>3213</v>
      </c>
      <c r="W303" s="1809">
        <v>190</v>
      </c>
      <c r="X303" s="817" t="s">
        <v>257</v>
      </c>
      <c r="Y303" s="2772"/>
      <c r="Z303" s="817"/>
      <c r="AA303" s="817"/>
      <c r="AB303" s="817" t="s">
        <v>17</v>
      </c>
      <c r="AC303" s="817" t="s">
        <v>7451</v>
      </c>
      <c r="AD303" s="2699"/>
      <c r="AG303" s="2711"/>
    </row>
    <row r="304" spans="1:33" ht="72.5" hidden="1" x14ac:dyDescent="0.35">
      <c r="A304" s="1899">
        <v>43931</v>
      </c>
      <c r="B304" s="2759">
        <v>5</v>
      </c>
      <c r="C304" s="7" t="s">
        <v>9031</v>
      </c>
      <c r="D304" s="2712" t="s">
        <v>10171</v>
      </c>
      <c r="E304" s="7" t="s">
        <v>9032</v>
      </c>
      <c r="F304" s="7">
        <v>1</v>
      </c>
      <c r="G304" s="7">
        <v>1</v>
      </c>
      <c r="H304" s="7"/>
      <c r="I304" s="7"/>
      <c r="J304" s="7"/>
      <c r="K304" s="7"/>
      <c r="L304" s="817"/>
      <c r="M304" s="817"/>
      <c r="N304" s="817"/>
      <c r="O304" s="817" t="s">
        <v>8148</v>
      </c>
      <c r="P304" s="1899">
        <v>43938</v>
      </c>
      <c r="Q304" s="1899"/>
      <c r="R304" s="881" t="s">
        <v>9033</v>
      </c>
      <c r="S304" s="2770"/>
      <c r="T304" s="836" t="s">
        <v>15</v>
      </c>
      <c r="U304" s="2694">
        <v>0.41388888888888892</v>
      </c>
      <c r="V304" s="2694" t="s">
        <v>972</v>
      </c>
      <c r="W304" s="1809">
        <v>300</v>
      </c>
      <c r="X304" s="817" t="s">
        <v>257</v>
      </c>
      <c r="Y304" s="2772"/>
      <c r="Z304" s="817"/>
      <c r="AA304" s="817"/>
      <c r="AB304" s="817" t="s">
        <v>17</v>
      </c>
      <c r="AC304" s="817" t="s">
        <v>7451</v>
      </c>
      <c r="AD304" s="2696"/>
      <c r="AG304" s="2711"/>
    </row>
    <row r="305" spans="1:34" ht="72.5" hidden="1" x14ac:dyDescent="0.35">
      <c r="A305" s="1899">
        <v>43931</v>
      </c>
      <c r="B305" s="2759">
        <v>16</v>
      </c>
      <c r="C305" s="7" t="s">
        <v>10694</v>
      </c>
      <c r="D305" s="2712" t="s">
        <v>10164</v>
      </c>
      <c r="E305" s="7" t="s">
        <v>9016</v>
      </c>
      <c r="F305" s="7">
        <v>1</v>
      </c>
      <c r="G305" s="7">
        <v>1</v>
      </c>
      <c r="H305" s="7"/>
      <c r="I305" s="7"/>
      <c r="J305" s="7"/>
      <c r="K305" s="7"/>
      <c r="L305" s="817"/>
      <c r="M305" s="817"/>
      <c r="N305" s="817"/>
      <c r="O305" s="817" t="s">
        <v>8148</v>
      </c>
      <c r="P305" s="1899">
        <v>43938</v>
      </c>
      <c r="Q305" s="1899"/>
      <c r="R305" s="881" t="s">
        <v>9041</v>
      </c>
      <c r="S305" s="2521"/>
      <c r="T305" s="836" t="s">
        <v>15</v>
      </c>
      <c r="U305" s="2694">
        <v>0.49444444444444446</v>
      </c>
      <c r="V305" s="2694" t="s">
        <v>972</v>
      </c>
      <c r="W305" s="1956">
        <v>100</v>
      </c>
      <c r="X305" s="817" t="s">
        <v>9042</v>
      </c>
      <c r="Y305" s="2772"/>
      <c r="Z305" s="817"/>
      <c r="AA305" s="817"/>
      <c r="AB305" s="817" t="s">
        <v>17</v>
      </c>
      <c r="AC305" s="817" t="s">
        <v>7451</v>
      </c>
      <c r="AD305" s="2696"/>
      <c r="AG305" s="2711"/>
    </row>
    <row r="306" spans="1:34" ht="101.5" hidden="1" x14ac:dyDescent="0.35">
      <c r="A306" s="2769">
        <v>43927</v>
      </c>
      <c r="B306" s="2760">
        <v>28</v>
      </c>
      <c r="C306" s="817" t="s">
        <v>8169</v>
      </c>
      <c r="D306" s="2712" t="s">
        <v>10147</v>
      </c>
      <c r="E306" s="817" t="s">
        <v>8170</v>
      </c>
      <c r="F306" s="5">
        <v>1</v>
      </c>
      <c r="G306" s="5"/>
      <c r="H306" s="5"/>
      <c r="I306" s="5"/>
      <c r="J306" s="5"/>
      <c r="K306" s="5"/>
      <c r="L306" s="817"/>
      <c r="M306" s="817"/>
      <c r="N306" s="817"/>
      <c r="O306" s="817" t="s">
        <v>8148</v>
      </c>
      <c r="P306" s="2769">
        <v>43938</v>
      </c>
      <c r="Q306" s="2769"/>
      <c r="R306" s="2770" t="s">
        <v>8273</v>
      </c>
      <c r="S306" s="2770"/>
      <c r="T306" s="2694" t="s">
        <v>15</v>
      </c>
      <c r="U306" s="2694">
        <v>0.63611111111111118</v>
      </c>
      <c r="V306" s="2694" t="s">
        <v>972</v>
      </c>
      <c r="W306" s="1956">
        <v>167</v>
      </c>
      <c r="X306" s="817" t="s">
        <v>8268</v>
      </c>
      <c r="Y306" s="2772"/>
      <c r="Z306" s="817"/>
      <c r="AA306" s="817"/>
      <c r="AB306" s="817" t="s">
        <v>17</v>
      </c>
      <c r="AC306" s="817" t="s">
        <v>7451</v>
      </c>
      <c r="AD306" s="2699"/>
      <c r="AG306" s="2711"/>
      <c r="AH306" s="1" t="s">
        <v>10784</v>
      </c>
    </row>
    <row r="307" spans="1:34" ht="130.5" hidden="1" x14ac:dyDescent="0.35">
      <c r="A307" s="1899">
        <v>43930</v>
      </c>
      <c r="B307" s="2759">
        <v>19</v>
      </c>
      <c r="C307" s="7" t="s">
        <v>8964</v>
      </c>
      <c r="D307" s="2712" t="s">
        <v>10205</v>
      </c>
      <c r="E307" s="7" t="s">
        <v>8966</v>
      </c>
      <c r="F307" s="5">
        <v>1</v>
      </c>
      <c r="G307" s="5">
        <v>2</v>
      </c>
      <c r="H307" s="5"/>
      <c r="I307" s="5"/>
      <c r="J307" s="5"/>
      <c r="K307" s="5"/>
      <c r="L307" s="817"/>
      <c r="M307" s="817"/>
      <c r="N307" s="817"/>
      <c r="O307" s="817" t="s">
        <v>8148</v>
      </c>
      <c r="P307" s="1899">
        <v>43938</v>
      </c>
      <c r="Q307" s="1899"/>
      <c r="R307" s="881" t="s">
        <v>8965</v>
      </c>
      <c r="S307" s="2829"/>
      <c r="T307" s="836" t="s">
        <v>15</v>
      </c>
      <c r="U307" s="2694">
        <v>0.54652777777777783</v>
      </c>
      <c r="V307" s="2694" t="s">
        <v>972</v>
      </c>
      <c r="W307" s="1809">
        <f>100+65+90</f>
        <v>255</v>
      </c>
      <c r="X307" s="817" t="s">
        <v>8967</v>
      </c>
      <c r="Y307" s="2772"/>
      <c r="Z307" s="817"/>
      <c r="AA307" s="817"/>
      <c r="AB307" s="7" t="s">
        <v>17</v>
      </c>
      <c r="AC307" s="817" t="s">
        <v>7451</v>
      </c>
      <c r="AD307" s="2696"/>
      <c r="AG307" s="2711"/>
    </row>
    <row r="308" spans="1:34" ht="116" hidden="1" x14ac:dyDescent="0.35">
      <c r="A308" s="2828">
        <v>43935</v>
      </c>
      <c r="B308" s="2760">
        <v>2</v>
      </c>
      <c r="C308" s="817" t="s">
        <v>9702</v>
      </c>
      <c r="D308" s="2700" t="s">
        <v>9703</v>
      </c>
      <c r="E308" s="7" t="s">
        <v>10628</v>
      </c>
      <c r="F308" s="5">
        <v>1</v>
      </c>
      <c r="G308" s="5">
        <v>1</v>
      </c>
      <c r="H308" s="5"/>
      <c r="I308" s="5"/>
      <c r="J308" s="5"/>
      <c r="K308" s="5"/>
      <c r="L308" s="817"/>
      <c r="M308" s="817"/>
      <c r="N308" s="817"/>
      <c r="O308" s="817" t="s">
        <v>8148</v>
      </c>
      <c r="P308" s="2828">
        <v>43938</v>
      </c>
      <c r="Q308" s="2828"/>
      <c r="R308" s="2706" t="s">
        <v>10499</v>
      </c>
      <c r="S308" s="2770"/>
      <c r="T308" s="2694">
        <v>0.35416666666666669</v>
      </c>
      <c r="U308" s="836">
        <v>0.36527777777777781</v>
      </c>
      <c r="V308" s="836" t="s">
        <v>972</v>
      </c>
      <c r="W308" s="2681">
        <v>130</v>
      </c>
      <c r="X308" s="817" t="s">
        <v>10836</v>
      </c>
      <c r="Y308" s="2772"/>
      <c r="Z308" s="817"/>
      <c r="AA308" s="817"/>
      <c r="AB308" s="817" t="s">
        <v>17</v>
      </c>
      <c r="AC308" s="817" t="s">
        <v>7451</v>
      </c>
      <c r="AD308" s="2696"/>
      <c r="AG308" s="2711"/>
    </row>
    <row r="309" spans="1:34" ht="72.5" hidden="1" x14ac:dyDescent="0.35">
      <c r="A309" s="2486">
        <v>43928</v>
      </c>
      <c r="B309" s="2718">
        <v>16</v>
      </c>
      <c r="C309" s="7" t="s">
        <v>8472</v>
      </c>
      <c r="D309" s="2712" t="s">
        <v>9832</v>
      </c>
      <c r="E309" s="7" t="s">
        <v>8473</v>
      </c>
      <c r="F309" s="2678">
        <v>1</v>
      </c>
      <c r="G309" s="2669">
        <v>1</v>
      </c>
      <c r="H309" s="2669"/>
      <c r="I309" s="2669"/>
      <c r="J309" s="2669"/>
      <c r="K309" s="2669"/>
      <c r="L309" s="817"/>
      <c r="M309" s="817"/>
      <c r="N309" s="817"/>
      <c r="O309" s="817" t="s">
        <v>8148</v>
      </c>
      <c r="P309" s="2486">
        <v>43938</v>
      </c>
      <c r="Q309" s="2486"/>
      <c r="R309" s="824" t="s">
        <v>8474</v>
      </c>
      <c r="S309" s="2770" t="s">
        <v>8303</v>
      </c>
      <c r="T309" s="836" t="s">
        <v>15</v>
      </c>
      <c r="U309" s="2694">
        <v>0.50624999999999998</v>
      </c>
      <c r="V309" s="2694" t="s">
        <v>972</v>
      </c>
      <c r="W309" s="2660">
        <v>300</v>
      </c>
      <c r="X309" s="2694" t="s">
        <v>8381</v>
      </c>
      <c r="Y309" s="2772"/>
      <c r="Z309" s="817"/>
      <c r="AA309" s="817"/>
      <c r="AB309" s="817" t="s">
        <v>17</v>
      </c>
      <c r="AC309" s="817" t="s">
        <v>7451</v>
      </c>
      <c r="AD309" s="2699"/>
      <c r="AG309" s="2711"/>
    </row>
    <row r="310" spans="1:34" ht="116" hidden="1" x14ac:dyDescent="0.35">
      <c r="A310" s="2769">
        <v>43927</v>
      </c>
      <c r="B310" s="2760">
        <v>14</v>
      </c>
      <c r="C310" s="817" t="s">
        <v>8251</v>
      </c>
      <c r="D310" s="2712" t="s">
        <v>9971</v>
      </c>
      <c r="E310" s="817" t="s">
        <v>9036</v>
      </c>
      <c r="F310" s="5">
        <v>1</v>
      </c>
      <c r="G310" s="5">
        <v>1</v>
      </c>
      <c r="H310" s="5"/>
      <c r="I310" s="5"/>
      <c r="J310" s="5"/>
      <c r="K310" s="5"/>
      <c r="L310" s="817"/>
      <c r="M310" s="817"/>
      <c r="N310" s="817"/>
      <c r="O310" s="817" t="s">
        <v>8148</v>
      </c>
      <c r="P310" s="2769">
        <v>43938</v>
      </c>
      <c r="Q310" s="2769"/>
      <c r="R310" s="2770" t="s">
        <v>8342</v>
      </c>
      <c r="S310" s="2770"/>
      <c r="T310" s="2694">
        <v>0.35416666666666669</v>
      </c>
      <c r="U310" s="2694">
        <v>0.4777777777777778</v>
      </c>
      <c r="V310" s="2694" t="s">
        <v>3213</v>
      </c>
      <c r="W310" s="1956">
        <v>145</v>
      </c>
      <c r="X310" s="817" t="s">
        <v>9037</v>
      </c>
      <c r="Y310" s="2772"/>
      <c r="Z310" s="817"/>
      <c r="AA310" s="817"/>
      <c r="AB310" s="817" t="s">
        <v>17</v>
      </c>
      <c r="AC310" s="817" t="s">
        <v>7451</v>
      </c>
      <c r="AD310" s="2699"/>
      <c r="AG310" s="2711"/>
    </row>
    <row r="311" spans="1:34" ht="43.5" hidden="1" x14ac:dyDescent="0.35">
      <c r="A311" s="2828">
        <v>43930</v>
      </c>
      <c r="B311" s="2760">
        <v>13</v>
      </c>
      <c r="C311" s="817" t="s">
        <v>8938</v>
      </c>
      <c r="D311" s="2712" t="s">
        <v>9807</v>
      </c>
      <c r="E311" s="817" t="s">
        <v>8931</v>
      </c>
      <c r="F311" s="2682">
        <v>1</v>
      </c>
      <c r="G311" s="2682">
        <v>1</v>
      </c>
      <c r="H311" s="2682"/>
      <c r="I311" s="2682"/>
      <c r="J311" s="2682"/>
      <c r="K311" s="2682"/>
      <c r="L311" s="817"/>
      <c r="M311" s="817"/>
      <c r="N311" s="817"/>
      <c r="O311" s="817" t="s">
        <v>8148</v>
      </c>
      <c r="P311" s="2828">
        <v>43938</v>
      </c>
      <c r="Q311" s="2828"/>
      <c r="R311" s="2829" t="s">
        <v>8926</v>
      </c>
      <c r="S311" s="2770"/>
      <c r="T311" s="2694">
        <v>0.35416666666666669</v>
      </c>
      <c r="U311" s="2694">
        <v>0.4694444444444445</v>
      </c>
      <c r="V311" s="2694" t="s">
        <v>972</v>
      </c>
      <c r="W311" s="2680">
        <v>0</v>
      </c>
      <c r="X311" s="817" t="s">
        <v>8917</v>
      </c>
      <c r="Y311" s="2772"/>
      <c r="Z311" s="817"/>
      <c r="AA311" s="817"/>
      <c r="AB311" s="817" t="s">
        <v>974</v>
      </c>
      <c r="AC311" s="817" t="s">
        <v>7451</v>
      </c>
      <c r="AD311" s="2695"/>
      <c r="AG311" s="2711"/>
    </row>
    <row r="312" spans="1:34" ht="72.5" hidden="1" x14ac:dyDescent="0.35">
      <c r="A312" s="2828">
        <v>43931</v>
      </c>
      <c r="B312" s="2760">
        <v>11</v>
      </c>
      <c r="C312" s="817" t="s">
        <v>9250</v>
      </c>
      <c r="D312" s="2712" t="s">
        <v>9249</v>
      </c>
      <c r="E312" s="7" t="s">
        <v>9252</v>
      </c>
      <c r="F312" s="2682">
        <v>1</v>
      </c>
      <c r="G312" s="2682">
        <v>1</v>
      </c>
      <c r="H312" s="2682"/>
      <c r="I312" s="2682"/>
      <c r="J312" s="2682"/>
      <c r="K312" s="2682"/>
      <c r="L312" s="817"/>
      <c r="M312" s="817"/>
      <c r="N312" s="817"/>
      <c r="O312" s="817" t="s">
        <v>8148</v>
      </c>
      <c r="P312" s="2828">
        <v>43938</v>
      </c>
      <c r="Q312" s="2828"/>
      <c r="R312" s="2829" t="s">
        <v>9251</v>
      </c>
      <c r="S312" s="2829"/>
      <c r="T312" s="2694" t="s">
        <v>15</v>
      </c>
      <c r="U312" s="2694">
        <v>0.44236111111111115</v>
      </c>
      <c r="V312" s="2694" t="s">
        <v>8985</v>
      </c>
      <c r="W312" s="2680">
        <v>175</v>
      </c>
      <c r="X312" s="817" t="s">
        <v>2900</v>
      </c>
      <c r="Y312" s="2772"/>
      <c r="Z312" s="817"/>
      <c r="AA312" s="817"/>
      <c r="AB312" s="817" t="s">
        <v>17</v>
      </c>
      <c r="AC312" s="817" t="s">
        <v>7451</v>
      </c>
      <c r="AD312" s="2700" t="s">
        <v>9249</v>
      </c>
      <c r="AG312" s="2711"/>
    </row>
    <row r="313" spans="1:34" ht="72.5" hidden="1" x14ac:dyDescent="0.35">
      <c r="A313" s="2769">
        <v>43927</v>
      </c>
      <c r="B313" s="2760">
        <v>2</v>
      </c>
      <c r="C313" s="817" t="s">
        <v>8162</v>
      </c>
      <c r="D313" s="2712" t="s">
        <v>10185</v>
      </c>
      <c r="E313" s="817" t="s">
        <v>8163</v>
      </c>
      <c r="F313" s="5">
        <v>1</v>
      </c>
      <c r="G313" s="5">
        <v>1</v>
      </c>
      <c r="H313" s="5"/>
      <c r="I313" s="5"/>
      <c r="J313" s="5"/>
      <c r="K313" s="5"/>
      <c r="L313" s="817"/>
      <c r="M313" s="817"/>
      <c r="N313" s="817"/>
      <c r="O313" s="817" t="s">
        <v>8148</v>
      </c>
      <c r="P313" s="2769">
        <v>43938</v>
      </c>
      <c r="Q313" s="2769"/>
      <c r="R313" s="2770" t="s">
        <v>10739</v>
      </c>
      <c r="S313" s="2770"/>
      <c r="T313" s="2694" t="s">
        <v>15</v>
      </c>
      <c r="U313" s="2694">
        <v>0.3743055555555555</v>
      </c>
      <c r="V313" s="2694" t="s">
        <v>972</v>
      </c>
      <c r="W313" s="1809">
        <v>175</v>
      </c>
      <c r="X313" s="817" t="s">
        <v>257</v>
      </c>
      <c r="Y313" s="2772"/>
      <c r="Z313" s="817"/>
      <c r="AA313" s="817"/>
      <c r="AB313" s="817" t="s">
        <v>17</v>
      </c>
      <c r="AC313" s="817" t="s">
        <v>7451</v>
      </c>
      <c r="AD313" s="2696" t="s">
        <v>8773</v>
      </c>
      <c r="AG313" s="2711"/>
    </row>
    <row r="314" spans="1:34" ht="43.5" hidden="1" x14ac:dyDescent="0.35">
      <c r="A314" s="2828">
        <v>43930</v>
      </c>
      <c r="B314" s="2760">
        <v>30</v>
      </c>
      <c r="C314" s="2545" t="s">
        <v>8934</v>
      </c>
      <c r="D314" s="2712" t="s">
        <v>9784</v>
      </c>
      <c r="E314" s="817" t="s">
        <v>8931</v>
      </c>
      <c r="F314" s="2682">
        <v>1</v>
      </c>
      <c r="G314" s="2682">
        <v>1</v>
      </c>
      <c r="H314" s="2682"/>
      <c r="I314" s="2682"/>
      <c r="J314" s="2682"/>
      <c r="K314" s="2682"/>
      <c r="L314" s="817"/>
      <c r="M314" s="817"/>
      <c r="N314" s="817"/>
      <c r="O314" s="817" t="s">
        <v>8148</v>
      </c>
      <c r="P314" s="2828">
        <v>43938</v>
      </c>
      <c r="Q314" s="2828"/>
      <c r="R314" s="2829" t="s">
        <v>8922</v>
      </c>
      <c r="S314" s="2770"/>
      <c r="T314" s="2694" t="s">
        <v>15</v>
      </c>
      <c r="U314" s="2694">
        <v>0.64027777777777783</v>
      </c>
      <c r="V314" s="2694" t="s">
        <v>972</v>
      </c>
      <c r="W314" s="2680">
        <v>0</v>
      </c>
      <c r="X314" s="817" t="s">
        <v>8917</v>
      </c>
      <c r="Y314" s="2772"/>
      <c r="Z314" s="817"/>
      <c r="AA314" s="817"/>
      <c r="AB314" s="817" t="s">
        <v>974</v>
      </c>
      <c r="AC314" s="817" t="s">
        <v>7451</v>
      </c>
      <c r="AD314" s="2695"/>
      <c r="AG314" s="2711"/>
    </row>
    <row r="315" spans="1:34" ht="116" hidden="1" x14ac:dyDescent="0.35">
      <c r="A315" s="1899">
        <v>43922</v>
      </c>
      <c r="B315" s="2759">
        <v>20</v>
      </c>
      <c r="C315" s="7" t="s">
        <v>7710</v>
      </c>
      <c r="D315" s="2712" t="s">
        <v>10176</v>
      </c>
      <c r="E315" s="7" t="s">
        <v>7709</v>
      </c>
      <c r="F315" s="7">
        <v>2</v>
      </c>
      <c r="G315" s="7">
        <v>2</v>
      </c>
      <c r="H315" s="7"/>
      <c r="I315" s="7"/>
      <c r="J315" s="7"/>
      <c r="K315" s="7"/>
      <c r="L315" s="7"/>
      <c r="M315" s="7"/>
      <c r="N315" s="7"/>
      <c r="O315" s="7" t="s">
        <v>8148</v>
      </c>
      <c r="P315" s="1899">
        <v>43938</v>
      </c>
      <c r="Q315" s="1899"/>
      <c r="R315" s="881" t="s">
        <v>7708</v>
      </c>
      <c r="S315" s="881" t="s">
        <v>8303</v>
      </c>
      <c r="T315" s="836" t="s">
        <v>15</v>
      </c>
      <c r="U315" s="2694">
        <v>0.54166666666666663</v>
      </c>
      <c r="V315" s="2694" t="s">
        <v>3213</v>
      </c>
      <c r="W315" s="1809">
        <v>200</v>
      </c>
      <c r="X315" s="2694" t="s">
        <v>294</v>
      </c>
      <c r="Y315" s="2772"/>
      <c r="Z315" s="817"/>
      <c r="AA315" s="817"/>
      <c r="AB315" s="817" t="s">
        <v>17</v>
      </c>
      <c r="AC315" s="817" t="s">
        <v>7451</v>
      </c>
      <c r="AD315" s="2699"/>
      <c r="AG315" s="2711"/>
    </row>
    <row r="316" spans="1:34" ht="72.5" hidden="1" x14ac:dyDescent="0.35">
      <c r="A316" s="2828">
        <v>43929</v>
      </c>
      <c r="B316" s="2760">
        <v>10</v>
      </c>
      <c r="C316" s="817" t="s">
        <v>8640</v>
      </c>
      <c r="D316" s="2712" t="s">
        <v>9875</v>
      </c>
      <c r="E316" s="7" t="s">
        <v>8642</v>
      </c>
      <c r="F316" s="2682">
        <v>1</v>
      </c>
      <c r="G316" s="2682">
        <v>1</v>
      </c>
      <c r="H316" s="2682"/>
      <c r="I316" s="2682"/>
      <c r="J316" s="2682"/>
      <c r="K316" s="2682"/>
      <c r="L316" s="817"/>
      <c r="M316" s="817"/>
      <c r="N316" s="817"/>
      <c r="O316" s="817" t="s">
        <v>8148</v>
      </c>
      <c r="P316" s="2828">
        <v>43938</v>
      </c>
      <c r="Q316" s="2828"/>
      <c r="R316" s="2829" t="s">
        <v>8641</v>
      </c>
      <c r="S316" s="2737"/>
      <c r="T316" s="2694" t="s">
        <v>15</v>
      </c>
      <c r="U316" s="2694">
        <v>0.44027777777777777</v>
      </c>
      <c r="V316" s="2694" t="s">
        <v>972</v>
      </c>
      <c r="W316" s="1809">
        <v>190</v>
      </c>
      <c r="X316" s="836" t="s">
        <v>257</v>
      </c>
      <c r="Y316" s="2772"/>
      <c r="Z316" s="817"/>
      <c r="AA316" s="817"/>
      <c r="AB316" s="7" t="s">
        <v>17</v>
      </c>
      <c r="AC316" s="817" t="s">
        <v>7451</v>
      </c>
      <c r="AD316" s="2700"/>
      <c r="AG316" s="2711"/>
    </row>
    <row r="317" spans="1:34" ht="116" hidden="1" x14ac:dyDescent="0.35">
      <c r="A317" s="1899">
        <v>43922</v>
      </c>
      <c r="B317" s="2759">
        <v>11</v>
      </c>
      <c r="C317" s="7" t="s">
        <v>7695</v>
      </c>
      <c r="D317" s="2712" t="s">
        <v>9968</v>
      </c>
      <c r="E317" s="7" t="s">
        <v>7696</v>
      </c>
      <c r="F317" s="7">
        <v>1</v>
      </c>
      <c r="G317" s="7">
        <v>1</v>
      </c>
      <c r="H317" s="7"/>
      <c r="I317" s="7"/>
      <c r="J317" s="7"/>
      <c r="K317" s="7"/>
      <c r="L317" s="7"/>
      <c r="M317" s="7"/>
      <c r="N317" s="7"/>
      <c r="O317" s="7" t="s">
        <v>8148</v>
      </c>
      <c r="P317" s="1899">
        <v>43938</v>
      </c>
      <c r="Q317" s="1899"/>
      <c r="R317" s="881" t="s">
        <v>7697</v>
      </c>
      <c r="S317" s="881" t="s">
        <v>8154</v>
      </c>
      <c r="T317" s="836" t="s">
        <v>15</v>
      </c>
      <c r="U317" s="2694">
        <v>0.46736111111111112</v>
      </c>
      <c r="V317" s="2694" t="s">
        <v>3213</v>
      </c>
      <c r="W317" s="1809">
        <v>166</v>
      </c>
      <c r="X317" s="2694" t="s">
        <v>294</v>
      </c>
      <c r="Y317" s="2772"/>
      <c r="Z317" s="817"/>
      <c r="AA317" s="817"/>
      <c r="AB317" s="817" t="s">
        <v>17</v>
      </c>
      <c r="AC317" s="817" t="s">
        <v>7451</v>
      </c>
      <c r="AD317" s="2699"/>
      <c r="AG317" s="2711"/>
    </row>
    <row r="318" spans="1:34" ht="72.5" hidden="1" x14ac:dyDescent="0.35">
      <c r="A318" s="2769">
        <v>43927</v>
      </c>
      <c r="B318" s="2760">
        <v>27</v>
      </c>
      <c r="C318" s="817" t="s">
        <v>8260</v>
      </c>
      <c r="D318" s="2712" t="s">
        <v>9936</v>
      </c>
      <c r="E318" s="817" t="s">
        <v>8261</v>
      </c>
      <c r="F318" s="5">
        <v>1</v>
      </c>
      <c r="G318" s="5">
        <v>1</v>
      </c>
      <c r="H318" s="5"/>
      <c r="I318" s="5"/>
      <c r="J318" s="5"/>
      <c r="K318" s="5"/>
      <c r="L318" s="817"/>
      <c r="M318" s="817"/>
      <c r="N318" s="817"/>
      <c r="O318" s="817" t="s">
        <v>8148</v>
      </c>
      <c r="P318" s="2769">
        <v>43938</v>
      </c>
      <c r="Q318" s="2769"/>
      <c r="R318" s="2770" t="s">
        <v>8350</v>
      </c>
      <c r="S318" s="2737" t="s">
        <v>8289</v>
      </c>
      <c r="T318" s="2694" t="s">
        <v>15</v>
      </c>
      <c r="U318" s="2694">
        <v>0.6118055555555556</v>
      </c>
      <c r="V318" s="2694" t="s">
        <v>3213</v>
      </c>
      <c r="W318" s="1809">
        <v>200</v>
      </c>
      <c r="X318" s="817" t="s">
        <v>257</v>
      </c>
      <c r="Y318" s="2772"/>
      <c r="Z318" s="817"/>
      <c r="AA318" s="817"/>
      <c r="AB318" s="817" t="s">
        <v>17</v>
      </c>
      <c r="AC318" s="817" t="s">
        <v>7451</v>
      </c>
      <c r="AD318" s="2699"/>
      <c r="AG318" s="2711"/>
    </row>
    <row r="319" spans="1:34" ht="72.5" hidden="1" x14ac:dyDescent="0.35">
      <c r="A319" s="2769">
        <v>43931</v>
      </c>
      <c r="B319" s="2760">
        <v>1</v>
      </c>
      <c r="C319" s="817" t="s">
        <v>9101</v>
      </c>
      <c r="D319" s="2712" t="s">
        <v>9100</v>
      </c>
      <c r="E319" s="7" t="s">
        <v>9102</v>
      </c>
      <c r="F319" s="2682">
        <v>1</v>
      </c>
      <c r="G319" s="2682">
        <v>1</v>
      </c>
      <c r="H319" s="2682"/>
      <c r="I319" s="2682"/>
      <c r="J319" s="2682"/>
      <c r="K319" s="2682"/>
      <c r="L319" s="817"/>
      <c r="M319" s="817"/>
      <c r="N319" s="817"/>
      <c r="O319" s="817" t="s">
        <v>8148</v>
      </c>
      <c r="P319" s="2769">
        <v>43938</v>
      </c>
      <c r="Q319" s="2769"/>
      <c r="R319" s="2770" t="s">
        <v>9103</v>
      </c>
      <c r="S319" s="2770"/>
      <c r="T319" s="2694" t="s">
        <v>15</v>
      </c>
      <c r="U319" s="2694">
        <v>0.36180555555555555</v>
      </c>
      <c r="V319" s="2694" t="s">
        <v>972</v>
      </c>
      <c r="W319" s="2680">
        <v>300</v>
      </c>
      <c r="X319" s="817" t="s">
        <v>2900</v>
      </c>
      <c r="Y319" s="2772"/>
      <c r="Z319" s="817"/>
      <c r="AA319" s="817"/>
      <c r="AB319" s="817" t="s">
        <v>17</v>
      </c>
      <c r="AC319" s="817" t="s">
        <v>7451</v>
      </c>
      <c r="AD319" s="2700" t="s">
        <v>9100</v>
      </c>
      <c r="AG319" s="2711"/>
    </row>
    <row r="320" spans="1:34" ht="43.5" hidden="1" x14ac:dyDescent="0.35">
      <c r="A320" s="2769">
        <v>43930</v>
      </c>
      <c r="B320" s="2760">
        <v>31</v>
      </c>
      <c r="C320" s="817" t="s">
        <v>8940</v>
      </c>
      <c r="D320" s="2712" t="s">
        <v>9837</v>
      </c>
      <c r="E320" s="817" t="s">
        <v>8931</v>
      </c>
      <c r="F320" s="2682">
        <v>1</v>
      </c>
      <c r="G320" s="2682">
        <v>1</v>
      </c>
      <c r="H320" s="2682"/>
      <c r="I320" s="2682"/>
      <c r="J320" s="2682"/>
      <c r="K320" s="2682"/>
      <c r="L320" s="817"/>
      <c r="M320" s="817"/>
      <c r="N320" s="817"/>
      <c r="O320" s="817" t="s">
        <v>8148</v>
      </c>
      <c r="P320" s="2769">
        <v>43938</v>
      </c>
      <c r="Q320" s="2769"/>
      <c r="R320" s="2770" t="s">
        <v>8928</v>
      </c>
      <c r="S320" s="2770"/>
      <c r="T320" s="2694" t="s">
        <v>15</v>
      </c>
      <c r="U320" s="2694">
        <v>0.64930555555555558</v>
      </c>
      <c r="V320" s="2694" t="s">
        <v>972</v>
      </c>
      <c r="W320" s="2680">
        <v>0</v>
      </c>
      <c r="X320" s="817" t="s">
        <v>8917</v>
      </c>
      <c r="Y320" s="2772"/>
      <c r="Z320" s="817"/>
      <c r="AA320" s="817"/>
      <c r="AB320" s="817" t="s">
        <v>974</v>
      </c>
      <c r="AC320" s="817" t="s">
        <v>7451</v>
      </c>
      <c r="AD320" s="2695"/>
      <c r="AG320" s="2711"/>
    </row>
    <row r="321" spans="1:33" ht="101.5" hidden="1" x14ac:dyDescent="0.35">
      <c r="A321" s="2486">
        <v>43935</v>
      </c>
      <c r="B321" s="2760">
        <v>15</v>
      </c>
      <c r="C321" s="7" t="s">
        <v>10613</v>
      </c>
      <c r="D321" s="2700" t="s">
        <v>10610</v>
      </c>
      <c r="E321" s="7" t="s">
        <v>10611</v>
      </c>
      <c r="F321" s="2740"/>
      <c r="G321" s="2741">
        <v>2</v>
      </c>
      <c r="H321" s="2741"/>
      <c r="I321" s="2741"/>
      <c r="J321" s="2741"/>
      <c r="K321" s="2741"/>
      <c r="L321" s="817"/>
      <c r="M321" s="817"/>
      <c r="N321" s="817"/>
      <c r="O321" s="817" t="s">
        <v>8148</v>
      </c>
      <c r="P321" s="2486">
        <v>43938</v>
      </c>
      <c r="Q321" s="2769"/>
      <c r="R321" s="824" t="s">
        <v>10612</v>
      </c>
      <c r="S321" s="2770"/>
      <c r="T321" s="2694" t="s">
        <v>15</v>
      </c>
      <c r="U321" s="2694">
        <v>0.4993055555555555</v>
      </c>
      <c r="V321" s="2694" t="s">
        <v>972</v>
      </c>
      <c r="W321" s="1956">
        <v>277</v>
      </c>
      <c r="X321" s="2694" t="s">
        <v>7682</v>
      </c>
      <c r="Y321" s="2717"/>
      <c r="Z321" s="817"/>
      <c r="AA321" s="817"/>
      <c r="AB321" s="817" t="s">
        <v>17</v>
      </c>
      <c r="AC321" s="817" t="s">
        <v>7451</v>
      </c>
      <c r="AD321" s="2739"/>
      <c r="AG321" s="2711"/>
    </row>
    <row r="322" spans="1:33" ht="72.5" hidden="1" x14ac:dyDescent="0.35">
      <c r="A322" s="2828">
        <v>43931</v>
      </c>
      <c r="B322" s="2760">
        <v>25</v>
      </c>
      <c r="C322" s="817" t="s">
        <v>9205</v>
      </c>
      <c r="D322" s="2712" t="s">
        <v>9206</v>
      </c>
      <c r="E322" s="7" t="s">
        <v>9209</v>
      </c>
      <c r="F322" s="2682">
        <v>1</v>
      </c>
      <c r="G322" s="2682">
        <v>1</v>
      </c>
      <c r="H322" s="2682"/>
      <c r="I322" s="2682"/>
      <c r="J322" s="2682"/>
      <c r="K322" s="2682"/>
      <c r="L322" s="817"/>
      <c r="M322" s="817"/>
      <c r="N322" s="817"/>
      <c r="O322" s="817" t="s">
        <v>8148</v>
      </c>
      <c r="P322" s="2828">
        <v>43938</v>
      </c>
      <c r="Q322" s="2828"/>
      <c r="R322" s="2829" t="s">
        <v>9208</v>
      </c>
      <c r="S322" s="2829"/>
      <c r="T322" s="2694">
        <v>0.35416666666666669</v>
      </c>
      <c r="U322" s="2694">
        <v>0.59444444444444444</v>
      </c>
      <c r="V322" s="2694" t="s">
        <v>972</v>
      </c>
      <c r="W322" s="1956">
        <v>300</v>
      </c>
      <c r="X322" s="817" t="s">
        <v>8625</v>
      </c>
      <c r="Y322" s="2772"/>
      <c r="Z322" s="817"/>
      <c r="AA322" s="817"/>
      <c r="AB322" s="817" t="s">
        <v>17</v>
      </c>
      <c r="AC322" s="817" t="s">
        <v>7451</v>
      </c>
      <c r="AD322" s="2700" t="s">
        <v>9206</v>
      </c>
      <c r="AG322" s="2711"/>
    </row>
    <row r="323" spans="1:33" ht="116" hidden="1" x14ac:dyDescent="0.35">
      <c r="A323" s="2769">
        <v>43931</v>
      </c>
      <c r="B323" s="2760">
        <v>16</v>
      </c>
      <c r="C323" s="817" t="s">
        <v>9131</v>
      </c>
      <c r="D323" s="2712" t="s">
        <v>9130</v>
      </c>
      <c r="E323" s="7" t="s">
        <v>9132</v>
      </c>
      <c r="F323" s="2682">
        <v>2</v>
      </c>
      <c r="G323" s="2682">
        <v>2</v>
      </c>
      <c r="H323" s="2682"/>
      <c r="I323" s="2682"/>
      <c r="J323" s="2682"/>
      <c r="K323" s="2682"/>
      <c r="L323" s="817"/>
      <c r="M323" s="817"/>
      <c r="N323" s="817"/>
      <c r="O323" s="817" t="s">
        <v>8148</v>
      </c>
      <c r="P323" s="2769">
        <v>43938</v>
      </c>
      <c r="Q323" s="2769"/>
      <c r="R323" s="2770" t="s">
        <v>9133</v>
      </c>
      <c r="S323" s="2737"/>
      <c r="T323" s="2694">
        <v>0.35416666666666669</v>
      </c>
      <c r="U323" s="2694">
        <v>0.49652777777777773</v>
      </c>
      <c r="V323" s="2694" t="s">
        <v>972</v>
      </c>
      <c r="W323" s="1956">
        <v>400</v>
      </c>
      <c r="X323" s="817" t="s">
        <v>8625</v>
      </c>
      <c r="Y323" s="2772"/>
      <c r="Z323" s="817"/>
      <c r="AA323" s="817"/>
      <c r="AB323" s="817" t="s">
        <v>17</v>
      </c>
      <c r="AC323" s="817" t="s">
        <v>7451</v>
      </c>
      <c r="AD323" s="2700" t="s">
        <v>9130</v>
      </c>
      <c r="AG323" s="2711"/>
    </row>
    <row r="324" spans="1:33" ht="58" hidden="1" x14ac:dyDescent="0.35">
      <c r="A324" s="2486">
        <v>43926</v>
      </c>
      <c r="B324" s="2718">
        <v>13</v>
      </c>
      <c r="C324" s="7" t="s">
        <v>8087</v>
      </c>
      <c r="D324" s="2712" t="s">
        <v>9964</v>
      </c>
      <c r="E324" s="817" t="s">
        <v>8088</v>
      </c>
      <c r="F324" s="2690"/>
      <c r="G324" s="2690">
        <v>2</v>
      </c>
      <c r="H324" s="2690"/>
      <c r="I324" s="2690">
        <v>1</v>
      </c>
      <c r="J324" s="2690"/>
      <c r="K324" s="2690"/>
      <c r="L324" s="2690"/>
      <c r="M324" s="2690"/>
      <c r="N324" s="2690"/>
      <c r="O324" s="5" t="s">
        <v>8148</v>
      </c>
      <c r="P324" s="2486">
        <v>43938</v>
      </c>
      <c r="Q324" s="2486"/>
      <c r="R324" s="824" t="s">
        <v>8089</v>
      </c>
      <c r="S324" s="824" t="s">
        <v>8514</v>
      </c>
      <c r="T324" s="6" t="s">
        <v>15</v>
      </c>
      <c r="U324" s="2694">
        <v>0.4770833333333333</v>
      </c>
      <c r="V324" s="2694" t="s">
        <v>972</v>
      </c>
      <c r="W324" s="2671">
        <v>270</v>
      </c>
      <c r="X324" s="1430" t="s">
        <v>8090</v>
      </c>
      <c r="Y324" s="2772"/>
      <c r="Z324" s="2653"/>
      <c r="AA324" s="2653"/>
      <c r="AB324" s="817" t="s">
        <v>22</v>
      </c>
      <c r="AC324" s="817" t="s">
        <v>7451</v>
      </c>
      <c r="AD324" s="2699"/>
      <c r="AG324" s="2711"/>
    </row>
    <row r="325" spans="1:33" ht="72.5" hidden="1" x14ac:dyDescent="0.35">
      <c r="A325" s="2486">
        <v>43931</v>
      </c>
      <c r="B325" s="2718">
        <v>24</v>
      </c>
      <c r="C325" s="5" t="s">
        <v>9313</v>
      </c>
      <c r="D325" s="2700" t="s">
        <v>9312</v>
      </c>
      <c r="E325" s="7" t="s">
        <v>9314</v>
      </c>
      <c r="F325" s="2682">
        <v>1</v>
      </c>
      <c r="G325" s="2682">
        <v>1</v>
      </c>
      <c r="H325" s="2682"/>
      <c r="I325" s="2682"/>
      <c r="J325" s="2682"/>
      <c r="K325" s="2682"/>
      <c r="L325" s="817"/>
      <c r="M325" s="817"/>
      <c r="N325" s="817"/>
      <c r="O325" s="817" t="s">
        <v>8148</v>
      </c>
      <c r="P325" s="2486">
        <v>43938</v>
      </c>
      <c r="Q325" s="2486"/>
      <c r="R325" s="2770" t="s">
        <v>9315</v>
      </c>
      <c r="S325" s="2770"/>
      <c r="T325" s="2694">
        <v>0.35416666666666669</v>
      </c>
      <c r="U325" s="2694">
        <v>0.57916666666666672</v>
      </c>
      <c r="V325" s="2694" t="s">
        <v>972</v>
      </c>
      <c r="W325" s="1956">
        <v>300</v>
      </c>
      <c r="X325" s="817" t="s">
        <v>8625</v>
      </c>
      <c r="Y325" s="2772"/>
      <c r="Z325" s="817"/>
      <c r="AA325" s="817"/>
      <c r="AB325" s="817" t="s">
        <v>17</v>
      </c>
      <c r="AC325" s="817" t="s">
        <v>7451</v>
      </c>
      <c r="AD325" s="2700" t="s">
        <v>9312</v>
      </c>
      <c r="AG325" s="2711"/>
    </row>
    <row r="326" spans="1:33" ht="43.5" hidden="1" x14ac:dyDescent="0.35">
      <c r="A326" s="1899">
        <v>43929</v>
      </c>
      <c r="B326" s="2759">
        <v>10</v>
      </c>
      <c r="C326" s="7" t="s">
        <v>8766</v>
      </c>
      <c r="D326" s="2712" t="s">
        <v>9874</v>
      </c>
      <c r="E326" s="817" t="s">
        <v>8769</v>
      </c>
      <c r="F326" s="2685">
        <v>1</v>
      </c>
      <c r="G326" s="2685">
        <v>1</v>
      </c>
      <c r="H326" s="2685"/>
      <c r="I326" s="2685"/>
      <c r="J326" s="2685"/>
      <c r="K326" s="2685"/>
      <c r="L326" s="817"/>
      <c r="M326" s="817"/>
      <c r="N326" s="817"/>
      <c r="O326" s="817" t="s">
        <v>8148</v>
      </c>
      <c r="P326" s="1899">
        <v>43938</v>
      </c>
      <c r="Q326" s="1899"/>
      <c r="R326" s="881" t="s">
        <v>8768</v>
      </c>
      <c r="S326" s="2747"/>
      <c r="T326" s="6" t="s">
        <v>15</v>
      </c>
      <c r="U326" s="2694">
        <v>0.45208333333333334</v>
      </c>
      <c r="V326" s="2694" t="s">
        <v>3213</v>
      </c>
      <c r="W326" s="2681">
        <v>100</v>
      </c>
      <c r="X326" s="1430" t="s">
        <v>8770</v>
      </c>
      <c r="Y326" s="2772"/>
      <c r="Z326" s="2694"/>
      <c r="AA326" s="2694"/>
      <c r="AB326" s="817" t="s">
        <v>974</v>
      </c>
      <c r="AC326" s="7" t="s">
        <v>7451</v>
      </c>
      <c r="AD326" s="2695"/>
      <c r="AG326" s="2711"/>
    </row>
    <row r="327" spans="1:33" ht="72.5" hidden="1" x14ac:dyDescent="0.35">
      <c r="A327" s="2486">
        <v>43931</v>
      </c>
      <c r="B327" s="2718">
        <v>29</v>
      </c>
      <c r="C327" s="5" t="s">
        <v>9350</v>
      </c>
      <c r="D327" s="2700" t="s">
        <v>9349</v>
      </c>
      <c r="E327" s="5" t="s">
        <v>9351</v>
      </c>
      <c r="F327" s="5">
        <v>1</v>
      </c>
      <c r="G327" s="5">
        <v>1</v>
      </c>
      <c r="H327" s="5"/>
      <c r="I327" s="5"/>
      <c r="J327" s="5"/>
      <c r="K327" s="5"/>
      <c r="L327" s="817"/>
      <c r="M327" s="817"/>
      <c r="N327" s="817"/>
      <c r="O327" s="817" t="s">
        <v>8148</v>
      </c>
      <c r="P327" s="2486">
        <v>43938</v>
      </c>
      <c r="Q327" s="2486"/>
      <c r="R327" s="2770" t="s">
        <v>9352</v>
      </c>
      <c r="S327" s="2770"/>
      <c r="T327" s="881" t="s">
        <v>15</v>
      </c>
      <c r="U327" s="2694">
        <v>0.64652777777777781</v>
      </c>
      <c r="V327" s="2694" t="s">
        <v>972</v>
      </c>
      <c r="W327" s="2680">
        <v>220</v>
      </c>
      <c r="X327" s="817" t="s">
        <v>2900</v>
      </c>
      <c r="Y327" s="2772"/>
      <c r="Z327" s="817"/>
      <c r="AA327" s="817"/>
      <c r="AB327" s="817" t="s">
        <v>17</v>
      </c>
      <c r="AC327" s="817" t="s">
        <v>6041</v>
      </c>
      <c r="AD327" s="2700" t="s">
        <v>9349</v>
      </c>
      <c r="AG327" s="2711"/>
    </row>
    <row r="328" spans="1:33" ht="87" hidden="1" x14ac:dyDescent="0.35">
      <c r="A328" s="2828">
        <v>43935</v>
      </c>
      <c r="B328" s="2760">
        <v>19</v>
      </c>
      <c r="C328" s="2828" t="s">
        <v>8117</v>
      </c>
      <c r="D328" s="2712" t="s">
        <v>9963</v>
      </c>
      <c r="E328" s="817" t="s">
        <v>10627</v>
      </c>
      <c r="F328" s="817">
        <v>1</v>
      </c>
      <c r="G328" s="817">
        <v>1</v>
      </c>
      <c r="H328" s="817"/>
      <c r="I328" s="817"/>
      <c r="J328" s="817"/>
      <c r="K328" s="817"/>
      <c r="L328" s="817"/>
      <c r="M328" s="817"/>
      <c r="N328" s="817"/>
      <c r="O328" s="817" t="s">
        <v>8148</v>
      </c>
      <c r="P328" s="2828">
        <v>43938</v>
      </c>
      <c r="Q328" s="2769"/>
      <c r="R328" s="2829" t="s">
        <v>8118</v>
      </c>
      <c r="S328" s="2770"/>
      <c r="T328" s="2694">
        <v>0.35416666666666669</v>
      </c>
      <c r="U328" s="2694">
        <v>0.52847222222222223</v>
      </c>
      <c r="V328" s="2694" t="s">
        <v>9002</v>
      </c>
      <c r="W328" s="1956">
        <v>280</v>
      </c>
      <c r="X328" s="2694" t="s">
        <v>257</v>
      </c>
      <c r="Y328" s="2772"/>
      <c r="Z328" s="817"/>
      <c r="AA328" s="817"/>
      <c r="AB328" s="817" t="s">
        <v>17</v>
      </c>
      <c r="AC328" s="817" t="s">
        <v>7451</v>
      </c>
      <c r="AD328" s="2699"/>
      <c r="AG328" s="2711"/>
    </row>
    <row r="329" spans="1:33" ht="101.5" hidden="1" x14ac:dyDescent="0.35">
      <c r="A329" s="1899">
        <v>43928</v>
      </c>
      <c r="B329" s="2759">
        <v>33</v>
      </c>
      <c r="C329" s="7" t="s">
        <v>8382</v>
      </c>
      <c r="D329" s="2712" t="s">
        <v>9892</v>
      </c>
      <c r="E329" s="7" t="s">
        <v>8383</v>
      </c>
      <c r="F329" s="2684">
        <v>1</v>
      </c>
      <c r="G329" s="2661">
        <v>1</v>
      </c>
      <c r="H329" s="2661">
        <v>1</v>
      </c>
      <c r="I329" s="2661"/>
      <c r="J329" s="2661"/>
      <c r="K329" s="2661"/>
      <c r="L329" s="817"/>
      <c r="M329" s="817"/>
      <c r="N329" s="817"/>
      <c r="O329" s="817" t="s">
        <v>8148</v>
      </c>
      <c r="P329" s="1899">
        <v>43938</v>
      </c>
      <c r="Q329" s="1899"/>
      <c r="R329" s="881" t="s">
        <v>8384</v>
      </c>
      <c r="S329" s="2770" t="s">
        <v>8513</v>
      </c>
      <c r="T329" s="836" t="s">
        <v>15</v>
      </c>
      <c r="U329" s="2694">
        <v>0.67569444444444438</v>
      </c>
      <c r="V329" s="2694" t="s">
        <v>972</v>
      </c>
      <c r="W329" s="2660">
        <v>210</v>
      </c>
      <c r="X329" s="2694" t="s">
        <v>8381</v>
      </c>
      <c r="Y329" s="2772"/>
      <c r="Z329" s="817"/>
      <c r="AA329" s="817"/>
      <c r="AB329" s="817" t="s">
        <v>17</v>
      </c>
      <c r="AC329" s="817" t="s">
        <v>7451</v>
      </c>
      <c r="AD329" s="2699"/>
      <c r="AG329" s="2711"/>
    </row>
    <row r="330" spans="1:33" ht="43.5" hidden="1" x14ac:dyDescent="0.35">
      <c r="A330" s="2769">
        <v>43930</v>
      </c>
      <c r="B330" s="2760">
        <v>2</v>
      </c>
      <c r="C330" s="2689" t="s">
        <v>8935</v>
      </c>
      <c r="D330" s="2712" t="s">
        <v>9785</v>
      </c>
      <c r="E330" s="817" t="s">
        <v>8931</v>
      </c>
      <c r="F330" s="2682">
        <v>1</v>
      </c>
      <c r="G330" s="2682">
        <v>1</v>
      </c>
      <c r="H330" s="2682"/>
      <c r="I330" s="2682"/>
      <c r="J330" s="2682"/>
      <c r="K330" s="2682"/>
      <c r="L330" s="817"/>
      <c r="M330" s="817"/>
      <c r="N330" s="817"/>
      <c r="O330" s="817" t="s">
        <v>8148</v>
      </c>
      <c r="P330" s="2769">
        <v>43938</v>
      </c>
      <c r="Q330" s="2769"/>
      <c r="R330" s="2770" t="s">
        <v>8923</v>
      </c>
      <c r="S330" s="2770"/>
      <c r="T330" s="2694" t="s">
        <v>15</v>
      </c>
      <c r="U330" s="2694">
        <v>0.3756944444444445</v>
      </c>
      <c r="V330" s="2694" t="s">
        <v>972</v>
      </c>
      <c r="W330" s="2680">
        <v>0</v>
      </c>
      <c r="X330" s="817" t="s">
        <v>8917</v>
      </c>
      <c r="Y330" s="2772"/>
      <c r="Z330" s="817"/>
      <c r="AA330" s="817"/>
      <c r="AB330" s="817" t="s">
        <v>974</v>
      </c>
      <c r="AC330" s="817" t="s">
        <v>7451</v>
      </c>
      <c r="AD330" s="2695"/>
      <c r="AG330" s="2711"/>
    </row>
    <row r="331" spans="1:33" ht="72.5" hidden="1" x14ac:dyDescent="0.35">
      <c r="A331" s="1899">
        <v>43930</v>
      </c>
      <c r="B331" s="2759">
        <v>37</v>
      </c>
      <c r="C331" s="7" t="s">
        <v>8896</v>
      </c>
      <c r="D331" s="2712" t="s">
        <v>9945</v>
      </c>
      <c r="E331" s="7" t="s">
        <v>8897</v>
      </c>
      <c r="F331" s="2719">
        <v>2</v>
      </c>
      <c r="G331" s="2685">
        <v>2</v>
      </c>
      <c r="H331" s="2685"/>
      <c r="I331" s="2685"/>
      <c r="J331" s="2685"/>
      <c r="K331" s="2685"/>
      <c r="L331" s="817"/>
      <c r="M331" s="817"/>
      <c r="N331" s="817"/>
      <c r="O331" s="817" t="s">
        <v>8148</v>
      </c>
      <c r="P331" s="1899">
        <v>43938</v>
      </c>
      <c r="Q331" s="1899"/>
      <c r="R331" s="881" t="s">
        <v>8895</v>
      </c>
      <c r="S331" s="2829"/>
      <c r="T331" s="836" t="s">
        <v>15</v>
      </c>
      <c r="U331" s="2694">
        <v>0.68611111111111101</v>
      </c>
      <c r="V331" s="2694" t="s">
        <v>972</v>
      </c>
      <c r="W331" s="2680">
        <v>400</v>
      </c>
      <c r="X331" s="836" t="s">
        <v>257</v>
      </c>
      <c r="Y331" s="2772"/>
      <c r="Z331" s="817"/>
      <c r="AA331" s="817"/>
      <c r="AB331" s="7" t="s">
        <v>17</v>
      </c>
      <c r="AC331" s="817" t="s">
        <v>7451</v>
      </c>
      <c r="AD331" s="2695"/>
      <c r="AG331" s="2711"/>
    </row>
    <row r="332" spans="1:33" ht="43.5" hidden="1" x14ac:dyDescent="0.35">
      <c r="A332" s="2828">
        <v>43930</v>
      </c>
      <c r="B332" s="2760">
        <v>18</v>
      </c>
      <c r="C332" s="817" t="s">
        <v>8937</v>
      </c>
      <c r="D332" s="2712" t="s">
        <v>9783</v>
      </c>
      <c r="E332" s="817" t="s">
        <v>8931</v>
      </c>
      <c r="F332" s="2682">
        <v>1</v>
      </c>
      <c r="G332" s="2682">
        <v>1</v>
      </c>
      <c r="H332" s="2682"/>
      <c r="I332" s="2682"/>
      <c r="J332" s="2682"/>
      <c r="K332" s="2682"/>
      <c r="L332" s="817"/>
      <c r="M332" s="817"/>
      <c r="N332" s="817"/>
      <c r="O332" s="817" t="s">
        <v>8148</v>
      </c>
      <c r="P332" s="2828">
        <v>43938</v>
      </c>
      <c r="Q332" s="2828"/>
      <c r="R332" s="2770" t="s">
        <v>8925</v>
      </c>
      <c r="S332" s="2770"/>
      <c r="T332" s="2694" t="s">
        <v>15</v>
      </c>
      <c r="U332" s="2694">
        <v>0.52222222222222225</v>
      </c>
      <c r="V332" s="2694" t="s">
        <v>972</v>
      </c>
      <c r="W332" s="2680">
        <v>0</v>
      </c>
      <c r="X332" s="817" t="s">
        <v>8917</v>
      </c>
      <c r="Y332" s="2772"/>
      <c r="Z332" s="817"/>
      <c r="AA332" s="817"/>
      <c r="AB332" s="817" t="s">
        <v>974</v>
      </c>
      <c r="AC332" s="817" t="s">
        <v>7451</v>
      </c>
      <c r="AD332" s="2695"/>
      <c r="AG332" s="2711"/>
    </row>
    <row r="333" spans="1:33" ht="43.5" hidden="1" x14ac:dyDescent="0.35">
      <c r="A333" s="2828">
        <v>43930</v>
      </c>
      <c r="B333" s="2760">
        <v>6</v>
      </c>
      <c r="C333" s="817" t="s">
        <v>8932</v>
      </c>
      <c r="D333" s="2712" t="s">
        <v>9815</v>
      </c>
      <c r="E333" s="817" t="s">
        <v>8931</v>
      </c>
      <c r="F333" s="2682">
        <v>1</v>
      </c>
      <c r="G333" s="2682">
        <v>1</v>
      </c>
      <c r="H333" s="2682"/>
      <c r="I333" s="2682"/>
      <c r="J333" s="2682"/>
      <c r="K333" s="2682"/>
      <c r="L333" s="817"/>
      <c r="M333" s="817"/>
      <c r="N333" s="817"/>
      <c r="O333" s="817" t="s">
        <v>8148</v>
      </c>
      <c r="P333" s="2828">
        <v>43938</v>
      </c>
      <c r="Q333" s="2828"/>
      <c r="R333" s="2829" t="s">
        <v>8920</v>
      </c>
      <c r="S333" s="2770"/>
      <c r="T333" s="2694" t="s">
        <v>15</v>
      </c>
      <c r="U333" s="2694">
        <v>0.42430555555555555</v>
      </c>
      <c r="V333" s="2694" t="s">
        <v>972</v>
      </c>
      <c r="W333" s="2680">
        <v>0</v>
      </c>
      <c r="X333" s="817" t="s">
        <v>8917</v>
      </c>
      <c r="Y333" s="2772"/>
      <c r="Z333" s="817"/>
      <c r="AA333" s="817"/>
      <c r="AB333" s="817" t="s">
        <v>974</v>
      </c>
      <c r="AC333" s="817" t="s">
        <v>7451</v>
      </c>
      <c r="AD333" s="2695"/>
      <c r="AG333" s="2711"/>
    </row>
    <row r="334" spans="1:33" ht="87" hidden="1" x14ac:dyDescent="0.35">
      <c r="A334" s="2486">
        <v>43936</v>
      </c>
      <c r="B334" s="2718">
        <v>14</v>
      </c>
      <c r="C334" s="7" t="s">
        <v>8035</v>
      </c>
      <c r="D334" s="2712" t="s">
        <v>10183</v>
      </c>
      <c r="E334" s="817" t="s">
        <v>10722</v>
      </c>
      <c r="F334" s="5">
        <v>2</v>
      </c>
      <c r="G334" s="5">
        <v>2</v>
      </c>
      <c r="H334" s="5"/>
      <c r="I334" s="5"/>
      <c r="J334" s="5"/>
      <c r="K334" s="5"/>
      <c r="L334" s="5"/>
      <c r="M334" s="5"/>
      <c r="N334" s="5"/>
      <c r="O334" s="5" t="s">
        <v>8148</v>
      </c>
      <c r="P334" s="2486">
        <v>43938</v>
      </c>
      <c r="Q334" s="2486"/>
      <c r="R334" s="824" t="s">
        <v>8036</v>
      </c>
      <c r="S334" s="824"/>
      <c r="T334" s="6" t="s">
        <v>15</v>
      </c>
      <c r="U334" s="2694">
        <v>0.49236111111111108</v>
      </c>
      <c r="V334" s="2694" t="s">
        <v>972</v>
      </c>
      <c r="W334" s="2648">
        <v>300</v>
      </c>
      <c r="X334" s="817" t="s">
        <v>8037</v>
      </c>
      <c r="Y334" s="2772"/>
      <c r="Z334" s="817"/>
      <c r="AA334" s="817"/>
      <c r="AB334" s="817" t="s">
        <v>17</v>
      </c>
      <c r="AC334" s="817" t="s">
        <v>7451</v>
      </c>
      <c r="AD334" s="2699"/>
      <c r="AG334" s="2711"/>
    </row>
    <row r="335" spans="1:33" ht="72.5" hidden="1" x14ac:dyDescent="0.35">
      <c r="A335" s="2769">
        <v>43930</v>
      </c>
      <c r="B335" s="2760">
        <v>19</v>
      </c>
      <c r="C335" s="817" t="s">
        <v>8984</v>
      </c>
      <c r="D335" s="2712" t="s">
        <v>9838</v>
      </c>
      <c r="E335" s="5" t="s">
        <v>8982</v>
      </c>
      <c r="F335" s="2686">
        <v>1</v>
      </c>
      <c r="G335" s="2682">
        <v>1</v>
      </c>
      <c r="H335" s="2682"/>
      <c r="I335" s="2682"/>
      <c r="J335" s="2682"/>
      <c r="K335" s="2682"/>
      <c r="L335" s="817"/>
      <c r="M335" s="817"/>
      <c r="N335" s="817"/>
      <c r="O335" s="817" t="s">
        <v>8148</v>
      </c>
      <c r="P335" s="2769">
        <v>43938</v>
      </c>
      <c r="Q335" s="2769"/>
      <c r="R335" s="2770" t="s">
        <v>8983</v>
      </c>
      <c r="S335" s="2770"/>
      <c r="T335" s="6" t="s">
        <v>15</v>
      </c>
      <c r="U335" s="2694">
        <v>0.52708333333333335</v>
      </c>
      <c r="V335" s="2694" t="s">
        <v>8985</v>
      </c>
      <c r="W335" s="1956">
        <v>300</v>
      </c>
      <c r="X335" s="836" t="s">
        <v>257</v>
      </c>
      <c r="Y335" s="2772"/>
      <c r="Z335" s="817"/>
      <c r="AA335" s="817"/>
      <c r="AB335" s="7" t="s">
        <v>17</v>
      </c>
      <c r="AC335" s="817" t="s">
        <v>7451</v>
      </c>
      <c r="AD335" s="2696"/>
      <c r="AG335" s="2711"/>
    </row>
    <row r="336" spans="1:33" ht="72.5" hidden="1" x14ac:dyDescent="0.35">
      <c r="A336" s="2828">
        <v>43927</v>
      </c>
      <c r="B336" s="2760">
        <v>7</v>
      </c>
      <c r="C336" s="817" t="s">
        <v>7983</v>
      </c>
      <c r="D336" s="2712" t="s">
        <v>9724</v>
      </c>
      <c r="E336" s="817" t="s">
        <v>8259</v>
      </c>
      <c r="F336" s="5">
        <v>1</v>
      </c>
      <c r="G336" s="5">
        <v>1</v>
      </c>
      <c r="H336" s="5"/>
      <c r="I336" s="5"/>
      <c r="J336" s="5"/>
      <c r="K336" s="5"/>
      <c r="L336" s="817"/>
      <c r="M336" s="817"/>
      <c r="N336" s="817"/>
      <c r="O336" s="817" t="s">
        <v>8148</v>
      </c>
      <c r="P336" s="2828">
        <v>43938</v>
      </c>
      <c r="Q336" s="2828"/>
      <c r="R336" s="2829" t="s">
        <v>8349</v>
      </c>
      <c r="S336" s="2770" t="s">
        <v>8303</v>
      </c>
      <c r="T336" s="2694" t="s">
        <v>15</v>
      </c>
      <c r="U336" s="2694">
        <v>0.42569444444444443</v>
      </c>
      <c r="V336" s="2694" t="s">
        <v>3213</v>
      </c>
      <c r="W336" s="1809">
        <v>200</v>
      </c>
      <c r="X336" s="817" t="s">
        <v>257</v>
      </c>
      <c r="Y336" s="2772"/>
      <c r="Z336" s="817"/>
      <c r="AA336" s="817"/>
      <c r="AB336" s="817" t="s">
        <v>17</v>
      </c>
      <c r="AC336" s="817" t="s">
        <v>7451</v>
      </c>
      <c r="AD336" s="2699"/>
      <c r="AG336" s="2711"/>
    </row>
    <row r="337" spans="1:33" ht="72.5" hidden="1" x14ac:dyDescent="0.35">
      <c r="A337" s="2486">
        <v>43928</v>
      </c>
      <c r="B337" s="2718">
        <v>15</v>
      </c>
      <c r="C337" s="5" t="s">
        <v>8572</v>
      </c>
      <c r="D337" s="2712" t="s">
        <v>9896</v>
      </c>
      <c r="E337" s="5" t="s">
        <v>8573</v>
      </c>
      <c r="F337" s="2679">
        <v>1</v>
      </c>
      <c r="G337" s="5">
        <v>1</v>
      </c>
      <c r="H337" s="5"/>
      <c r="I337" s="5"/>
      <c r="J337" s="5"/>
      <c r="K337" s="5"/>
      <c r="L337" s="817"/>
      <c r="M337" s="817"/>
      <c r="N337" s="817"/>
      <c r="O337" s="817" t="s">
        <v>8148</v>
      </c>
      <c r="P337" s="2486">
        <v>43938</v>
      </c>
      <c r="Q337" s="2486"/>
      <c r="R337" s="824" t="s">
        <v>8603</v>
      </c>
      <c r="S337" s="824"/>
      <c r="T337" s="6" t="s">
        <v>15</v>
      </c>
      <c r="U337" s="6">
        <v>0.49583333333333335</v>
      </c>
      <c r="V337" s="6" t="s">
        <v>3213</v>
      </c>
      <c r="W337" s="1630">
        <v>100</v>
      </c>
      <c r="X337" s="5" t="s">
        <v>8592</v>
      </c>
      <c r="Y337" s="2772"/>
      <c r="Z337" s="5"/>
      <c r="AA337" s="5"/>
      <c r="AB337" s="5" t="s">
        <v>17</v>
      </c>
      <c r="AC337" s="5" t="s">
        <v>7451</v>
      </c>
      <c r="AD337" s="2696"/>
      <c r="AG337" s="2711"/>
    </row>
    <row r="338" spans="1:33" ht="58" hidden="1" x14ac:dyDescent="0.35">
      <c r="A338" s="1899">
        <v>43932</v>
      </c>
      <c r="B338" s="2759">
        <v>15</v>
      </c>
      <c r="C338" s="7" t="s">
        <v>9467</v>
      </c>
      <c r="D338" s="2707" t="s">
        <v>9468</v>
      </c>
      <c r="E338" s="7" t="s">
        <v>9469</v>
      </c>
      <c r="F338" s="2682"/>
      <c r="G338" s="2682"/>
      <c r="H338" s="2682"/>
      <c r="I338" s="2682"/>
      <c r="J338" s="2682"/>
      <c r="K338" s="2682"/>
      <c r="L338" s="817"/>
      <c r="M338" s="817"/>
      <c r="N338" s="817"/>
      <c r="O338" s="817" t="s">
        <v>8148</v>
      </c>
      <c r="P338" s="1899">
        <v>43938</v>
      </c>
      <c r="Q338" s="2828"/>
      <c r="R338" s="881" t="s">
        <v>9470</v>
      </c>
      <c r="S338" s="2770"/>
      <c r="T338" s="836" t="s">
        <v>15</v>
      </c>
      <c r="U338" s="2709">
        <v>0.50208333333333333</v>
      </c>
      <c r="V338" s="2709">
        <v>0.41666666666666669</v>
      </c>
      <c r="W338" s="1956">
        <v>120</v>
      </c>
      <c r="X338" s="817" t="s">
        <v>8625</v>
      </c>
      <c r="Y338" s="2772"/>
      <c r="Z338" s="817"/>
      <c r="AA338" s="817"/>
      <c r="AB338" s="817" t="s">
        <v>17</v>
      </c>
      <c r="AC338" s="817" t="s">
        <v>6041</v>
      </c>
      <c r="AD338" s="2695"/>
      <c r="AG338" s="2711"/>
    </row>
    <row r="339" spans="1:33" ht="43.5" hidden="1" x14ac:dyDescent="0.35">
      <c r="A339" s="2769">
        <v>43930</v>
      </c>
      <c r="B339" s="2760">
        <v>24</v>
      </c>
      <c r="C339" s="817" t="s">
        <v>8942</v>
      </c>
      <c r="D339" s="2712" t="s">
        <v>9795</v>
      </c>
      <c r="E339" s="817" t="s">
        <v>8931</v>
      </c>
      <c r="F339" s="2682">
        <v>1</v>
      </c>
      <c r="G339" s="2682">
        <v>1</v>
      </c>
      <c r="H339" s="2682"/>
      <c r="I339" s="2682"/>
      <c r="J339" s="2682"/>
      <c r="K339" s="2682"/>
      <c r="L339" s="817"/>
      <c r="M339" s="817"/>
      <c r="N339" s="817"/>
      <c r="O339" s="817" t="s">
        <v>8148</v>
      </c>
      <c r="P339" s="2769">
        <v>43938</v>
      </c>
      <c r="Q339" s="2769"/>
      <c r="R339" s="2770" t="s">
        <v>8930</v>
      </c>
      <c r="S339" s="2770"/>
      <c r="T339" s="2694" t="s">
        <v>15</v>
      </c>
      <c r="U339" s="2694">
        <v>0.5625</v>
      </c>
      <c r="V339" s="2694" t="s">
        <v>972</v>
      </c>
      <c r="W339" s="2681">
        <v>2588</v>
      </c>
      <c r="X339" s="817" t="s">
        <v>8917</v>
      </c>
      <c r="Y339" s="2772"/>
      <c r="Z339" s="817"/>
      <c r="AA339" s="817"/>
      <c r="AB339" s="817" t="s">
        <v>974</v>
      </c>
      <c r="AC339" s="817" t="s">
        <v>7451</v>
      </c>
      <c r="AD339" s="2695"/>
      <c r="AG339" s="2711"/>
    </row>
    <row r="340" spans="1:33" ht="43.5" hidden="1" x14ac:dyDescent="0.35">
      <c r="A340" s="2769">
        <v>43927</v>
      </c>
      <c r="B340" s="2760">
        <v>6</v>
      </c>
      <c r="C340" s="817" t="s">
        <v>8229</v>
      </c>
      <c r="D340" s="2712" t="s">
        <v>9924</v>
      </c>
      <c r="E340" s="817" t="s">
        <v>8230</v>
      </c>
      <c r="F340" s="5">
        <v>2</v>
      </c>
      <c r="G340" s="5">
        <v>1</v>
      </c>
      <c r="H340" s="5"/>
      <c r="I340" s="5"/>
      <c r="J340" s="5"/>
      <c r="K340" s="5"/>
      <c r="L340" s="817"/>
      <c r="M340" s="817"/>
      <c r="N340" s="817"/>
      <c r="O340" s="817" t="s">
        <v>8148</v>
      </c>
      <c r="P340" s="2769">
        <v>43938</v>
      </c>
      <c r="Q340" s="2769"/>
      <c r="R340" s="2770" t="s">
        <v>8325</v>
      </c>
      <c r="S340" s="2770" t="s">
        <v>8289</v>
      </c>
      <c r="T340" s="2694" t="s">
        <v>15</v>
      </c>
      <c r="U340" s="2694">
        <v>0.41666666666666669</v>
      </c>
      <c r="V340" s="2694" t="s">
        <v>3213</v>
      </c>
      <c r="W340" s="1956">
        <v>264</v>
      </c>
      <c r="X340" s="817" t="s">
        <v>8268</v>
      </c>
      <c r="Y340" s="2772"/>
      <c r="Z340" s="817"/>
      <c r="AA340" s="817"/>
      <c r="AB340" s="817" t="s">
        <v>17</v>
      </c>
      <c r="AC340" s="817" t="s">
        <v>7451</v>
      </c>
      <c r="AD340" s="2699"/>
      <c r="AG340" s="2711"/>
    </row>
    <row r="341" spans="1:33" ht="43.5" hidden="1" x14ac:dyDescent="0.35">
      <c r="A341" s="2486">
        <v>43935</v>
      </c>
      <c r="B341" s="2718">
        <v>26</v>
      </c>
      <c r="C341" s="7" t="s">
        <v>10604</v>
      </c>
      <c r="D341" s="2700" t="s">
        <v>10605</v>
      </c>
      <c r="E341" s="7" t="s">
        <v>10692</v>
      </c>
      <c r="F341" s="2740">
        <v>1</v>
      </c>
      <c r="G341" s="2741"/>
      <c r="H341" s="2741"/>
      <c r="I341" s="2741">
        <v>1</v>
      </c>
      <c r="J341" s="2741"/>
      <c r="K341" s="2741"/>
      <c r="L341" s="817"/>
      <c r="M341" s="817"/>
      <c r="N341" s="817"/>
      <c r="O341" s="817" t="s">
        <v>8148</v>
      </c>
      <c r="P341" s="2486">
        <v>43938</v>
      </c>
      <c r="Q341" s="2828"/>
      <c r="R341" s="2722" t="s">
        <v>10606</v>
      </c>
      <c r="S341" s="2829"/>
      <c r="T341" s="6" t="s">
        <v>15</v>
      </c>
      <c r="U341" s="2694">
        <v>0.58680555555555558</v>
      </c>
      <c r="V341" s="2694" t="s">
        <v>972</v>
      </c>
      <c r="W341" s="1956">
        <v>115</v>
      </c>
      <c r="X341" s="2694" t="s">
        <v>7682</v>
      </c>
      <c r="Y341" s="2772"/>
      <c r="Z341" s="817"/>
      <c r="AA341" s="817"/>
      <c r="AB341" s="817" t="s">
        <v>17</v>
      </c>
      <c r="AC341" s="817" t="s">
        <v>7451</v>
      </c>
      <c r="AD341" s="2739"/>
      <c r="AG341" s="2711"/>
    </row>
    <row r="342" spans="1:33" ht="72.5" hidden="1" x14ac:dyDescent="0.35">
      <c r="A342" s="2769">
        <v>43932</v>
      </c>
      <c r="B342" s="2760">
        <v>3</v>
      </c>
      <c r="C342" s="817" t="s">
        <v>10216</v>
      </c>
      <c r="D342" s="2700" t="s">
        <v>10217</v>
      </c>
      <c r="E342" s="7" t="s">
        <v>9483</v>
      </c>
      <c r="F342" s="2692">
        <v>1</v>
      </c>
      <c r="G342" s="2692">
        <v>1</v>
      </c>
      <c r="H342" s="2692"/>
      <c r="I342" s="2692"/>
      <c r="J342" s="2692"/>
      <c r="K342" s="2692"/>
      <c r="L342" s="817"/>
      <c r="M342" s="817"/>
      <c r="N342" s="817"/>
      <c r="O342" s="817" t="s">
        <v>8148</v>
      </c>
      <c r="P342" s="2769">
        <v>43938</v>
      </c>
      <c r="Q342" s="2769"/>
      <c r="R342" s="2706" t="s">
        <v>10218</v>
      </c>
      <c r="S342" s="2770"/>
      <c r="T342" s="836" t="s">
        <v>15</v>
      </c>
      <c r="U342" s="836">
        <v>0.38541666666666669</v>
      </c>
      <c r="V342" s="836">
        <v>0.54861111111111105</v>
      </c>
      <c r="W342" s="2680">
        <v>300</v>
      </c>
      <c r="X342" s="817" t="s">
        <v>2900</v>
      </c>
      <c r="Y342" s="2772"/>
      <c r="Z342" s="817"/>
      <c r="AA342" s="817"/>
      <c r="AB342" s="817" t="s">
        <v>17</v>
      </c>
      <c r="AC342" s="817" t="s">
        <v>7451</v>
      </c>
      <c r="AD342" s="2695"/>
      <c r="AG342" s="2711"/>
    </row>
    <row r="343" spans="1:33" ht="101.5" hidden="1" x14ac:dyDescent="0.35">
      <c r="A343" s="1899">
        <v>43935</v>
      </c>
      <c r="B343" s="2759">
        <v>7</v>
      </c>
      <c r="C343" s="7" t="s">
        <v>9375</v>
      </c>
      <c r="D343" s="2712" t="s">
        <v>1524</v>
      </c>
      <c r="E343" s="7" t="s">
        <v>10793</v>
      </c>
      <c r="F343" s="7">
        <v>3</v>
      </c>
      <c r="G343" s="7">
        <v>3</v>
      </c>
      <c r="H343" s="7"/>
      <c r="I343" s="7"/>
      <c r="J343" s="7"/>
      <c r="K343" s="7"/>
      <c r="L343" s="817"/>
      <c r="M343" s="817"/>
      <c r="N343" s="817"/>
      <c r="O343" s="817" t="s">
        <v>8148</v>
      </c>
      <c r="P343" s="1899">
        <v>43938</v>
      </c>
      <c r="Q343" s="1899"/>
      <c r="R343" s="881" t="s">
        <v>9376</v>
      </c>
      <c r="S343" s="2770"/>
      <c r="T343" s="836" t="s">
        <v>15</v>
      </c>
      <c r="U343" s="2694">
        <v>0.4152777777777778</v>
      </c>
      <c r="V343" s="2694" t="s">
        <v>972</v>
      </c>
      <c r="W343" s="1809">
        <v>200</v>
      </c>
      <c r="X343" s="817" t="s">
        <v>10794</v>
      </c>
      <c r="Y343" s="2772"/>
      <c r="Z343" s="817"/>
      <c r="AA343" s="817"/>
      <c r="AB343" s="817" t="s">
        <v>17</v>
      </c>
      <c r="AC343" s="817" t="s">
        <v>7451</v>
      </c>
      <c r="AD343" s="2696"/>
      <c r="AG343" s="2711"/>
    </row>
    <row r="344" spans="1:33" ht="87" hidden="1" x14ac:dyDescent="0.35">
      <c r="A344" s="2828">
        <v>43927</v>
      </c>
      <c r="B344" s="2760">
        <v>40</v>
      </c>
      <c r="C344" s="817" t="s">
        <v>8247</v>
      </c>
      <c r="D344" s="2712" t="s">
        <v>9935</v>
      </c>
      <c r="E344" s="817" t="s">
        <v>8248</v>
      </c>
      <c r="F344" s="5">
        <v>1</v>
      </c>
      <c r="G344" s="5">
        <v>1</v>
      </c>
      <c r="H344" s="5"/>
      <c r="I344" s="5"/>
      <c r="J344" s="5"/>
      <c r="K344" s="5"/>
      <c r="L344" s="817"/>
      <c r="M344" s="817"/>
      <c r="N344" s="817"/>
      <c r="O344" s="817" t="s">
        <v>8148</v>
      </c>
      <c r="P344" s="2828">
        <v>43938</v>
      </c>
      <c r="Q344" s="2828"/>
      <c r="R344" s="2829" t="s">
        <v>8339</v>
      </c>
      <c r="S344" s="2829" t="s">
        <v>8285</v>
      </c>
      <c r="T344" s="2694" t="s">
        <v>15</v>
      </c>
      <c r="U344" s="2694">
        <v>0.71527777777777779</v>
      </c>
      <c r="V344" s="2694" t="s">
        <v>3213</v>
      </c>
      <c r="W344" s="1809">
        <v>300</v>
      </c>
      <c r="X344" s="817" t="s">
        <v>257</v>
      </c>
      <c r="Y344" s="2772"/>
      <c r="Z344" s="817"/>
      <c r="AA344" s="817"/>
      <c r="AB344" s="817" t="s">
        <v>17</v>
      </c>
      <c r="AC344" s="817" t="s">
        <v>7451</v>
      </c>
      <c r="AD344" s="2699"/>
      <c r="AG344" s="2711"/>
    </row>
    <row r="345" spans="1:33" ht="58" hidden="1" x14ac:dyDescent="0.35">
      <c r="A345" s="2828">
        <v>43929</v>
      </c>
      <c r="B345" s="2760">
        <v>11</v>
      </c>
      <c r="C345" s="817" t="s">
        <v>8643</v>
      </c>
      <c r="D345" s="2712" t="s">
        <v>9843</v>
      </c>
      <c r="E345" s="7" t="s">
        <v>8645</v>
      </c>
      <c r="F345" s="2682"/>
      <c r="G345" s="2682">
        <v>1</v>
      </c>
      <c r="H345" s="2682"/>
      <c r="I345" s="2682"/>
      <c r="J345" s="2682"/>
      <c r="K345" s="2682">
        <v>1</v>
      </c>
      <c r="L345" s="817"/>
      <c r="M345" s="817"/>
      <c r="N345" s="817"/>
      <c r="O345" s="817" t="s">
        <v>8148</v>
      </c>
      <c r="P345" s="2828">
        <v>43938</v>
      </c>
      <c r="Q345" s="2769"/>
      <c r="R345" s="2829" t="s">
        <v>8644</v>
      </c>
      <c r="S345" s="2770"/>
      <c r="T345" s="2694" t="s">
        <v>15</v>
      </c>
      <c r="U345" s="2694">
        <v>0.44861111111111113</v>
      </c>
      <c r="V345" s="2694" t="s">
        <v>972</v>
      </c>
      <c r="W345" s="1809">
        <v>130</v>
      </c>
      <c r="X345" s="836" t="s">
        <v>257</v>
      </c>
      <c r="Y345" s="2772"/>
      <c r="Z345" s="817"/>
      <c r="AA345" s="817"/>
      <c r="AB345" s="7" t="s">
        <v>17</v>
      </c>
      <c r="AC345" s="817" t="s">
        <v>7451</v>
      </c>
      <c r="AD345" s="2700"/>
      <c r="AG345" s="2711"/>
    </row>
    <row r="346" spans="1:33" ht="116" hidden="1" x14ac:dyDescent="0.35">
      <c r="A346" s="2589">
        <v>43936</v>
      </c>
      <c r="B346" s="2759">
        <v>0</v>
      </c>
      <c r="C346" s="7" t="s">
        <v>10746</v>
      </c>
      <c r="D346" s="2707" t="s">
        <v>10747</v>
      </c>
      <c r="E346" s="2776" t="s">
        <v>10748</v>
      </c>
      <c r="F346" s="2741">
        <v>2</v>
      </c>
      <c r="G346" s="2741">
        <v>1</v>
      </c>
      <c r="H346" s="2741">
        <v>1</v>
      </c>
      <c r="I346" s="2741"/>
      <c r="J346" s="2741"/>
      <c r="K346" s="2741"/>
      <c r="L346" s="817"/>
      <c r="M346" s="817"/>
      <c r="N346" s="817"/>
      <c r="O346" s="817" t="s">
        <v>8148</v>
      </c>
      <c r="P346" s="1899">
        <v>43938</v>
      </c>
      <c r="Q346" s="2769"/>
      <c r="R346" s="2708" t="s">
        <v>10749</v>
      </c>
      <c r="S346" s="2770"/>
      <c r="T346" s="836" t="s">
        <v>15</v>
      </c>
      <c r="U346" s="836">
        <v>0.35416666666666669</v>
      </c>
      <c r="V346" s="2694" t="s">
        <v>9002</v>
      </c>
      <c r="W346" s="2823">
        <v>374</v>
      </c>
      <c r="X346" s="7" t="s">
        <v>257</v>
      </c>
      <c r="Y346" s="2717"/>
      <c r="Z346" s="5"/>
      <c r="AA346" s="5"/>
      <c r="AB346" s="5" t="s">
        <v>17</v>
      </c>
      <c r="AC346" s="5" t="s">
        <v>7451</v>
      </c>
      <c r="AD346" s="2739"/>
      <c r="AG346" s="2711"/>
    </row>
    <row r="347" spans="1:33" ht="58" hidden="1" x14ac:dyDescent="0.35">
      <c r="A347" s="2486">
        <v>43930</v>
      </c>
      <c r="B347" s="2718">
        <v>22</v>
      </c>
      <c r="C347" s="2545" t="s">
        <v>10782</v>
      </c>
      <c r="D347" s="2712" t="s">
        <v>9919</v>
      </c>
      <c r="E347" s="7" t="s">
        <v>8553</v>
      </c>
      <c r="F347" s="2679">
        <v>1</v>
      </c>
      <c r="G347" s="5">
        <v>1</v>
      </c>
      <c r="H347" s="5"/>
      <c r="I347" s="5"/>
      <c r="J347" s="5"/>
      <c r="K347" s="5"/>
      <c r="L347" s="817"/>
      <c r="M347" s="817"/>
      <c r="N347" s="817"/>
      <c r="O347" s="817"/>
      <c r="P347" s="2486">
        <v>43938</v>
      </c>
      <c r="Q347" s="2486"/>
      <c r="R347" s="824" t="s">
        <v>8836</v>
      </c>
      <c r="S347" s="2770"/>
      <c r="T347" s="2694">
        <v>0.35416666666666669</v>
      </c>
      <c r="U347" s="2694">
        <v>0.56388888888888888</v>
      </c>
      <c r="V347" s="2694" t="s">
        <v>972</v>
      </c>
      <c r="W347" s="1956">
        <v>100</v>
      </c>
      <c r="X347" s="836" t="s">
        <v>257</v>
      </c>
      <c r="Y347" s="2772"/>
      <c r="Z347" s="817"/>
      <c r="AA347" s="817"/>
      <c r="AB347" s="7" t="s">
        <v>17</v>
      </c>
      <c r="AC347" s="817" t="s">
        <v>7451</v>
      </c>
      <c r="AD347" s="2700"/>
      <c r="AG347" s="2711"/>
    </row>
    <row r="348" spans="1:33" ht="43.5" hidden="1" x14ac:dyDescent="0.35">
      <c r="A348" s="2486">
        <v>43925</v>
      </c>
      <c r="B348" s="2718">
        <v>17</v>
      </c>
      <c r="C348" s="7" t="s">
        <v>7976</v>
      </c>
      <c r="D348" s="2712" t="s">
        <v>9918</v>
      </c>
      <c r="E348" s="817" t="s">
        <v>7972</v>
      </c>
      <c r="F348" s="2710">
        <v>1</v>
      </c>
      <c r="G348" s="2710">
        <v>1</v>
      </c>
      <c r="H348" s="2710"/>
      <c r="I348" s="2710"/>
      <c r="J348" s="2710"/>
      <c r="K348" s="2710"/>
      <c r="L348" s="2710"/>
      <c r="M348" s="2710"/>
      <c r="N348" s="2710"/>
      <c r="O348" s="2710"/>
      <c r="P348" s="2486">
        <v>43938</v>
      </c>
      <c r="Q348" s="2486"/>
      <c r="R348" s="824" t="s">
        <v>7977</v>
      </c>
      <c r="S348" s="824" t="s">
        <v>8285</v>
      </c>
      <c r="T348" s="6" t="s">
        <v>15</v>
      </c>
      <c r="U348" s="2694">
        <v>0.50138888888888888</v>
      </c>
      <c r="V348" s="2694" t="s">
        <v>972</v>
      </c>
      <c r="W348" s="2648">
        <v>100</v>
      </c>
      <c r="X348" s="817" t="s">
        <v>257</v>
      </c>
      <c r="Y348" s="2772"/>
      <c r="Z348" s="817"/>
      <c r="AA348" s="817"/>
      <c r="AB348" s="817" t="s">
        <v>17</v>
      </c>
      <c r="AC348" s="817" t="s">
        <v>7451</v>
      </c>
      <c r="AD348" s="2699"/>
      <c r="AG348" s="2711"/>
    </row>
    <row r="349" spans="1:33" ht="43.5" hidden="1" x14ac:dyDescent="0.35">
      <c r="A349" s="1899">
        <v>43925</v>
      </c>
      <c r="B349" s="2759">
        <v>28</v>
      </c>
      <c r="C349" s="7" t="s">
        <v>4494</v>
      </c>
      <c r="D349" s="2712" t="s">
        <v>9816</v>
      </c>
      <c r="E349" s="7" t="s">
        <v>7504</v>
      </c>
      <c r="F349" s="7">
        <v>1</v>
      </c>
      <c r="G349" s="7">
        <v>1</v>
      </c>
      <c r="H349" s="7"/>
      <c r="I349" s="7"/>
      <c r="J349" s="7"/>
      <c r="K349" s="7"/>
      <c r="L349" s="7"/>
      <c r="M349" s="7"/>
      <c r="N349" s="7"/>
      <c r="O349" s="7"/>
      <c r="P349" s="1899">
        <v>43938</v>
      </c>
      <c r="Q349" s="1899"/>
      <c r="R349" s="881" t="s">
        <v>7963</v>
      </c>
      <c r="S349" s="881" t="s">
        <v>8285</v>
      </c>
      <c r="T349" s="836" t="s">
        <v>15</v>
      </c>
      <c r="U349" s="2694">
        <v>0.59236111111111112</v>
      </c>
      <c r="V349" s="2694" t="s">
        <v>972</v>
      </c>
      <c r="W349" s="1956">
        <v>100</v>
      </c>
      <c r="X349" s="817" t="s">
        <v>7634</v>
      </c>
      <c r="Y349" s="2772"/>
      <c r="Z349" s="817"/>
      <c r="AA349" s="817"/>
      <c r="AB349" s="817" t="s">
        <v>17</v>
      </c>
      <c r="AC349" s="817" t="s">
        <v>7451</v>
      </c>
      <c r="AD349" s="2699"/>
      <c r="AG349" s="2711"/>
    </row>
    <row r="350" spans="1:33" ht="29" hidden="1" x14ac:dyDescent="0.35">
      <c r="A350" s="2828">
        <v>43927</v>
      </c>
      <c r="B350" s="2760">
        <v>26</v>
      </c>
      <c r="C350" s="817" t="s">
        <v>8228</v>
      </c>
      <c r="D350" s="2712" t="s">
        <v>9841</v>
      </c>
      <c r="E350" s="817" t="s">
        <v>7935</v>
      </c>
      <c r="F350" s="5">
        <v>1</v>
      </c>
      <c r="G350" s="5">
        <v>1</v>
      </c>
      <c r="H350" s="5"/>
      <c r="I350" s="5"/>
      <c r="J350" s="5"/>
      <c r="K350" s="5"/>
      <c r="L350" s="817"/>
      <c r="M350" s="817"/>
      <c r="N350" s="817"/>
      <c r="O350" s="817"/>
      <c r="P350" s="2828">
        <v>43938</v>
      </c>
      <c r="Q350" s="2828"/>
      <c r="R350" s="2829" t="s">
        <v>8324</v>
      </c>
      <c r="S350" s="2770" t="s">
        <v>8154</v>
      </c>
      <c r="T350" s="2694" t="s">
        <v>15</v>
      </c>
      <c r="U350" s="2694">
        <v>0.60138888888888886</v>
      </c>
      <c r="V350" s="2694">
        <v>0.41666666666666669</v>
      </c>
      <c r="W350" s="1809">
        <v>100</v>
      </c>
      <c r="X350" s="817" t="s">
        <v>257</v>
      </c>
      <c r="Y350" s="2772"/>
      <c r="Z350" s="817"/>
      <c r="AA350" s="817"/>
      <c r="AB350" s="817" t="s">
        <v>17</v>
      </c>
      <c r="AC350" s="817" t="s">
        <v>7451</v>
      </c>
      <c r="AD350" s="2699"/>
      <c r="AG350" s="2711"/>
    </row>
    <row r="351" spans="1:33" ht="43.5" hidden="1" x14ac:dyDescent="0.35">
      <c r="A351" s="2486">
        <v>43923</v>
      </c>
      <c r="B351" s="2718">
        <v>6</v>
      </c>
      <c r="C351" s="5" t="s">
        <v>7746</v>
      </c>
      <c r="D351" s="2712" t="s">
        <v>9917</v>
      </c>
      <c r="E351" s="5" t="s">
        <v>7775</v>
      </c>
      <c r="F351" s="5">
        <v>1</v>
      </c>
      <c r="G351" s="5"/>
      <c r="H351" s="5"/>
      <c r="I351" s="5"/>
      <c r="J351" s="5">
        <v>1</v>
      </c>
      <c r="K351" s="5"/>
      <c r="L351" s="5"/>
      <c r="M351" s="5"/>
      <c r="N351" s="5"/>
      <c r="O351" s="5"/>
      <c r="P351" s="2486">
        <v>43938</v>
      </c>
      <c r="Q351" s="2486"/>
      <c r="R351" s="824" t="s">
        <v>7747</v>
      </c>
      <c r="S351" s="824"/>
      <c r="T351" s="2694" t="s">
        <v>15</v>
      </c>
      <c r="U351" s="2694">
        <v>0.41597222222222219</v>
      </c>
      <c r="V351" s="2694" t="s">
        <v>3213</v>
      </c>
      <c r="W351" s="1956">
        <v>100</v>
      </c>
      <c r="X351" s="2694" t="s">
        <v>257</v>
      </c>
      <c r="Y351" s="2717"/>
      <c r="Z351" s="2694"/>
      <c r="AA351" s="2694"/>
      <c r="AB351" s="817" t="s">
        <v>17</v>
      </c>
      <c r="AC351" s="817" t="s">
        <v>7451</v>
      </c>
      <c r="AD351" s="2699"/>
      <c r="AG351" s="2711"/>
    </row>
    <row r="352" spans="1:33" ht="58" hidden="1" x14ac:dyDescent="0.35">
      <c r="A352" s="2769">
        <v>43924</v>
      </c>
      <c r="B352" s="2760">
        <v>3</v>
      </c>
      <c r="C352" s="817" t="s">
        <v>7835</v>
      </c>
      <c r="D352" s="2712" t="s">
        <v>9902</v>
      </c>
      <c r="E352" s="817" t="s">
        <v>7829</v>
      </c>
      <c r="F352" s="817">
        <v>1</v>
      </c>
      <c r="G352" s="817">
        <v>1</v>
      </c>
      <c r="H352" s="817"/>
      <c r="I352" s="817"/>
      <c r="J352" s="817"/>
      <c r="K352" s="817"/>
      <c r="L352" s="817"/>
      <c r="M352" s="817"/>
      <c r="N352" s="817"/>
      <c r="O352" s="817"/>
      <c r="P352" s="2769">
        <v>43938</v>
      </c>
      <c r="Q352" s="2769"/>
      <c r="R352" s="2770" t="s">
        <v>7834</v>
      </c>
      <c r="S352" s="2770" t="s">
        <v>8289</v>
      </c>
      <c r="T352" s="2694" t="s">
        <v>15</v>
      </c>
      <c r="U352" s="2694">
        <v>0.3833333333333333</v>
      </c>
      <c r="V352" s="2694" t="s">
        <v>972</v>
      </c>
      <c r="W352" s="1809">
        <v>100</v>
      </c>
      <c r="X352" s="817" t="s">
        <v>257</v>
      </c>
      <c r="Y352" s="2772"/>
      <c r="Z352" s="817"/>
      <c r="AA352" s="817"/>
      <c r="AB352" s="817" t="s">
        <v>17</v>
      </c>
      <c r="AC352" s="817" t="s">
        <v>7451</v>
      </c>
      <c r="AD352" s="2699"/>
      <c r="AG352" s="2711"/>
    </row>
    <row r="353" spans="1:33" ht="29" hidden="1" x14ac:dyDescent="0.35">
      <c r="A353" s="2828">
        <v>43928</v>
      </c>
      <c r="B353" s="2760">
        <v>16</v>
      </c>
      <c r="C353" s="817" t="s">
        <v>8874</v>
      </c>
      <c r="D353" s="2712" t="s">
        <v>10179</v>
      </c>
      <c r="E353" s="1090" t="s">
        <v>8207</v>
      </c>
      <c r="F353" s="2717">
        <v>3</v>
      </c>
      <c r="G353" s="7">
        <v>3</v>
      </c>
      <c r="H353" s="7"/>
      <c r="I353" s="7"/>
      <c r="J353" s="7"/>
      <c r="K353" s="7"/>
      <c r="L353" s="7"/>
      <c r="M353" s="7"/>
      <c r="N353" s="7"/>
      <c r="O353" s="7"/>
      <c r="P353" s="1899">
        <v>43938</v>
      </c>
      <c r="Q353" s="1899"/>
      <c r="R353" s="881" t="s">
        <v>8291</v>
      </c>
      <c r="S353" s="2770" t="s">
        <v>8289</v>
      </c>
      <c r="T353" s="2694" t="s">
        <v>15</v>
      </c>
      <c r="U353" s="2694">
        <v>0.4993055555555555</v>
      </c>
      <c r="V353" s="2694" t="s">
        <v>972</v>
      </c>
      <c r="W353" s="1809">
        <v>300</v>
      </c>
      <c r="X353" s="817" t="s">
        <v>257</v>
      </c>
      <c r="Y353" s="2772"/>
      <c r="Z353" s="817"/>
      <c r="AA353" s="817"/>
      <c r="AB353" s="817" t="s">
        <v>17</v>
      </c>
      <c r="AC353" s="817" t="s">
        <v>7451</v>
      </c>
      <c r="AD353" s="2696"/>
      <c r="AG353" s="2711"/>
    </row>
    <row r="354" spans="1:33" ht="29" hidden="1" x14ac:dyDescent="0.35">
      <c r="A354" s="2589">
        <v>43938</v>
      </c>
      <c r="B354" s="2759">
        <v>1.5</v>
      </c>
      <c r="C354" s="2142" t="s">
        <v>10801</v>
      </c>
      <c r="D354" s="2707" t="s">
        <v>10805</v>
      </c>
      <c r="E354" s="2776" t="s">
        <v>10802</v>
      </c>
      <c r="F354" s="2735"/>
      <c r="G354" s="2735"/>
      <c r="H354" s="2735"/>
      <c r="I354" s="2735"/>
      <c r="J354" s="2735"/>
      <c r="K354" s="2735"/>
      <c r="L354" s="817"/>
      <c r="M354" s="817"/>
      <c r="N354" s="817"/>
      <c r="O354" s="817"/>
      <c r="P354" s="1899">
        <v>43938</v>
      </c>
      <c r="Q354" s="2828"/>
      <c r="R354" s="2708" t="s">
        <v>10803</v>
      </c>
      <c r="S354" s="2770"/>
      <c r="T354" s="2694" t="s">
        <v>15</v>
      </c>
      <c r="U354" s="2771">
        <v>0.37847222222222227</v>
      </c>
      <c r="V354" s="2771"/>
      <c r="W354" s="2742">
        <f>130</f>
        <v>130</v>
      </c>
      <c r="X354" s="817" t="s">
        <v>10804</v>
      </c>
      <c r="Y354" s="2717"/>
      <c r="Z354" s="817"/>
      <c r="AA354" s="817"/>
      <c r="AB354" s="2744"/>
      <c r="AC354" s="2744"/>
      <c r="AD354" s="2739"/>
      <c r="AG354" s="2711"/>
    </row>
    <row r="355" spans="1:33" ht="43.5" hidden="1" x14ac:dyDescent="0.35">
      <c r="A355" s="2486">
        <v>43931</v>
      </c>
      <c r="B355" s="2718">
        <v>15</v>
      </c>
      <c r="C355" s="5" t="s">
        <v>9422</v>
      </c>
      <c r="D355" s="2700" t="s">
        <v>9421</v>
      </c>
      <c r="E355" s="5" t="s">
        <v>8553</v>
      </c>
      <c r="F355" s="5">
        <v>1</v>
      </c>
      <c r="G355" s="5">
        <v>1</v>
      </c>
      <c r="H355" s="5"/>
      <c r="I355" s="5"/>
      <c r="J355" s="5"/>
      <c r="K355" s="5"/>
      <c r="L355" s="817"/>
      <c r="M355" s="817"/>
      <c r="N355" s="817"/>
      <c r="O355" s="817"/>
      <c r="P355" s="2486">
        <v>43938</v>
      </c>
      <c r="Q355" s="2486"/>
      <c r="R355" s="2829" t="s">
        <v>9423</v>
      </c>
      <c r="S355" s="2829"/>
      <c r="T355" s="881" t="s">
        <v>15</v>
      </c>
      <c r="U355" s="2694">
        <v>0.48194444444444445</v>
      </c>
      <c r="V355" s="2694" t="s">
        <v>972</v>
      </c>
      <c r="W355" s="1956">
        <v>100</v>
      </c>
      <c r="X355" s="817" t="s">
        <v>8625</v>
      </c>
      <c r="Y355" s="2772"/>
      <c r="Z355" s="817"/>
      <c r="AA355" s="817"/>
      <c r="AB355" s="817" t="s">
        <v>17</v>
      </c>
      <c r="AC355" s="817" t="s">
        <v>7451</v>
      </c>
      <c r="AD355" s="2700" t="s">
        <v>9421</v>
      </c>
      <c r="AG355" s="2711"/>
    </row>
    <row r="356" spans="1:33" ht="29" hidden="1" x14ac:dyDescent="0.35">
      <c r="A356" s="2828">
        <v>43926</v>
      </c>
      <c r="B356" s="2760">
        <v>26</v>
      </c>
      <c r="C356" s="2828" t="s">
        <v>8082</v>
      </c>
      <c r="D356" s="2712" t="s">
        <v>9803</v>
      </c>
      <c r="E356" s="817" t="s">
        <v>7935</v>
      </c>
      <c r="F356" s="817">
        <v>1</v>
      </c>
      <c r="G356" s="817">
        <v>1</v>
      </c>
      <c r="H356" s="817"/>
      <c r="I356" s="817"/>
      <c r="J356" s="817"/>
      <c r="K356" s="817"/>
      <c r="L356" s="817"/>
      <c r="M356" s="817"/>
      <c r="N356" s="817"/>
      <c r="O356" s="817"/>
      <c r="P356" s="2828">
        <v>43938</v>
      </c>
      <c r="Q356" s="2828"/>
      <c r="R356" s="2829" t="s">
        <v>8083</v>
      </c>
      <c r="S356" s="2829"/>
      <c r="T356" s="2694" t="s">
        <v>15</v>
      </c>
      <c r="U356" s="2694">
        <v>0.60833333333333328</v>
      </c>
      <c r="V356" s="2694" t="s">
        <v>972</v>
      </c>
      <c r="W356" s="1809">
        <v>100</v>
      </c>
      <c r="X356" s="2694" t="s">
        <v>257</v>
      </c>
      <c r="Y356" s="2772"/>
      <c r="Z356" s="817"/>
      <c r="AA356" s="817"/>
      <c r="AB356" s="817" t="s">
        <v>17</v>
      </c>
      <c r="AC356" s="817" t="s">
        <v>7451</v>
      </c>
      <c r="AD356" s="2699"/>
      <c r="AG356" s="2711"/>
    </row>
    <row r="357" spans="1:33" ht="43.5" hidden="1" x14ac:dyDescent="0.35">
      <c r="A357" s="2769">
        <v>43931</v>
      </c>
      <c r="B357" s="2760">
        <v>21</v>
      </c>
      <c r="C357" s="817" t="s">
        <v>9095</v>
      </c>
      <c r="D357" s="2712" t="s">
        <v>9094</v>
      </c>
      <c r="E357" s="7" t="s">
        <v>8553</v>
      </c>
      <c r="F357" s="2682">
        <v>1</v>
      </c>
      <c r="G357" s="2682">
        <v>1</v>
      </c>
      <c r="H357" s="2682"/>
      <c r="I357" s="2682"/>
      <c r="J357" s="2682"/>
      <c r="K357" s="2682"/>
      <c r="L357" s="817"/>
      <c r="M357" s="817"/>
      <c r="N357" s="817"/>
      <c r="O357" s="817"/>
      <c r="P357" s="2769">
        <v>43938</v>
      </c>
      <c r="Q357" s="2769"/>
      <c r="R357" s="2770" t="s">
        <v>9096</v>
      </c>
      <c r="S357" s="2770"/>
      <c r="T357" s="2694" t="s">
        <v>15</v>
      </c>
      <c r="U357" s="2694">
        <v>0.55555555555555558</v>
      </c>
      <c r="V357" s="2694" t="s">
        <v>972</v>
      </c>
      <c r="W357" s="2681">
        <v>100</v>
      </c>
      <c r="X357" s="817" t="s">
        <v>2900</v>
      </c>
      <c r="Y357" s="2772"/>
      <c r="Z357" s="817"/>
      <c r="AA357" s="817"/>
      <c r="AB357" s="817" t="s">
        <v>17</v>
      </c>
      <c r="AC357" s="817" t="s">
        <v>7451</v>
      </c>
      <c r="AD357" s="2700" t="s">
        <v>9094</v>
      </c>
      <c r="AG357" s="2711"/>
    </row>
    <row r="358" spans="1:33" ht="43.5" hidden="1" x14ac:dyDescent="0.35">
      <c r="A358" s="2486">
        <v>43928</v>
      </c>
      <c r="B358" s="2718">
        <v>18</v>
      </c>
      <c r="C358" s="2546" t="s">
        <v>447</v>
      </c>
      <c r="D358" s="2712" t="s">
        <v>2180</v>
      </c>
      <c r="E358" s="2664" t="s">
        <v>8415</v>
      </c>
      <c r="F358" s="2684">
        <v>2</v>
      </c>
      <c r="G358" s="2661">
        <v>2</v>
      </c>
      <c r="H358" s="2661"/>
      <c r="I358" s="2661"/>
      <c r="J358" s="2661"/>
      <c r="K358" s="2661"/>
      <c r="L358" s="817"/>
      <c r="M358" s="817"/>
      <c r="N358" s="817"/>
      <c r="O358" s="817"/>
      <c r="P358" s="1899">
        <v>43938</v>
      </c>
      <c r="Q358" s="1899"/>
      <c r="R358" s="2546" t="s">
        <v>8494</v>
      </c>
      <c r="S358" s="2829" t="s">
        <v>8303</v>
      </c>
      <c r="T358" s="2687" t="s">
        <v>15</v>
      </c>
      <c r="U358" s="2665">
        <v>0.52083333333333337</v>
      </c>
      <c r="V358" s="2665" t="s">
        <v>972</v>
      </c>
      <c r="W358" s="2666">
        <v>200</v>
      </c>
      <c r="X358" s="2667" t="s">
        <v>257</v>
      </c>
      <c r="Y358" s="2772"/>
      <c r="Z358" s="2668"/>
      <c r="AA358" s="2668"/>
      <c r="AB358" s="2664" t="s">
        <v>17</v>
      </c>
      <c r="AC358" s="2668" t="s">
        <v>7451</v>
      </c>
      <c r="AD358" s="2699"/>
      <c r="AG358" s="2711"/>
    </row>
    <row r="359" spans="1:33" ht="43.5" hidden="1" x14ac:dyDescent="0.35">
      <c r="A359" s="1899">
        <v>43932</v>
      </c>
      <c r="B359" s="2759">
        <v>7</v>
      </c>
      <c r="C359" s="7" t="s">
        <v>9517</v>
      </c>
      <c r="D359" s="2707" t="s">
        <v>9518</v>
      </c>
      <c r="E359" s="7" t="s">
        <v>8553</v>
      </c>
      <c r="F359" s="5">
        <v>1</v>
      </c>
      <c r="G359" s="5">
        <v>1</v>
      </c>
      <c r="H359" s="5"/>
      <c r="I359" s="5"/>
      <c r="J359" s="5"/>
      <c r="K359" s="5"/>
      <c r="L359" s="817"/>
      <c r="M359" s="817"/>
      <c r="N359" s="817"/>
      <c r="O359" s="817"/>
      <c r="P359" s="1899">
        <v>43938</v>
      </c>
      <c r="Q359" s="2769"/>
      <c r="R359" s="2708" t="s">
        <v>9519</v>
      </c>
      <c r="S359" s="2747"/>
      <c r="T359" s="836" t="s">
        <v>15</v>
      </c>
      <c r="U359" s="836">
        <v>0.42222222222222222</v>
      </c>
      <c r="V359" s="836" t="s">
        <v>972</v>
      </c>
      <c r="W359" s="2680">
        <v>100</v>
      </c>
      <c r="X359" s="817" t="s">
        <v>2900</v>
      </c>
      <c r="Y359" s="2772"/>
      <c r="Z359" s="817"/>
      <c r="AA359" s="817"/>
      <c r="AB359" s="817" t="s">
        <v>17</v>
      </c>
      <c r="AC359" s="817" t="s">
        <v>7451</v>
      </c>
      <c r="AD359" s="2696"/>
      <c r="AG359" s="2711"/>
    </row>
    <row r="360" spans="1:33" ht="29" hidden="1" x14ac:dyDescent="0.35">
      <c r="A360" s="2769">
        <v>43927</v>
      </c>
      <c r="B360" s="2760">
        <v>19</v>
      </c>
      <c r="C360" s="817" t="s">
        <v>8242</v>
      </c>
      <c r="D360" s="2712" t="s">
        <v>9791</v>
      </c>
      <c r="E360" s="817" t="s">
        <v>7935</v>
      </c>
      <c r="F360" s="5">
        <v>1</v>
      </c>
      <c r="G360" s="5">
        <v>1</v>
      </c>
      <c r="H360" s="5"/>
      <c r="I360" s="5"/>
      <c r="J360" s="5"/>
      <c r="K360" s="5"/>
      <c r="L360" s="817"/>
      <c r="M360" s="817"/>
      <c r="N360" s="817"/>
      <c r="O360" s="817"/>
      <c r="P360" s="2828">
        <v>43938</v>
      </c>
      <c r="Q360" s="2828"/>
      <c r="R360" s="2829" t="s">
        <v>8335</v>
      </c>
      <c r="S360" s="2770" t="s">
        <v>8154</v>
      </c>
      <c r="T360" s="2694" t="s">
        <v>15</v>
      </c>
      <c r="U360" s="2694">
        <v>0.5444444444444444</v>
      </c>
      <c r="V360" s="2694" t="s">
        <v>3213</v>
      </c>
      <c r="W360" s="1809">
        <v>100</v>
      </c>
      <c r="X360" s="817" t="s">
        <v>257</v>
      </c>
      <c r="Y360" s="2772"/>
      <c r="Z360" s="817"/>
      <c r="AA360" s="817"/>
      <c r="AB360" s="817" t="s">
        <v>17</v>
      </c>
      <c r="AC360" s="817" t="s">
        <v>7451</v>
      </c>
      <c r="AD360" s="2699"/>
      <c r="AG360" s="2711"/>
    </row>
    <row r="361" spans="1:33" ht="43.5" hidden="1" x14ac:dyDescent="0.35">
      <c r="A361" s="2828">
        <v>43931</v>
      </c>
      <c r="B361" s="2760">
        <v>1</v>
      </c>
      <c r="C361" s="817" t="s">
        <v>9180</v>
      </c>
      <c r="D361" s="2712" t="s">
        <v>9179</v>
      </c>
      <c r="E361" s="7" t="s">
        <v>8073</v>
      </c>
      <c r="F361" s="2682">
        <v>1</v>
      </c>
      <c r="G361" s="2682"/>
      <c r="H361" s="2682"/>
      <c r="I361" s="2682">
        <v>1</v>
      </c>
      <c r="J361" s="2682"/>
      <c r="K361" s="2682"/>
      <c r="L361" s="817"/>
      <c r="M361" s="817"/>
      <c r="N361" s="817"/>
      <c r="O361" s="817"/>
      <c r="P361" s="2828">
        <v>43938</v>
      </c>
      <c r="Q361" s="2769"/>
      <c r="R361" s="2829" t="s">
        <v>9181</v>
      </c>
      <c r="S361" s="2770"/>
      <c r="T361" s="2694" t="s">
        <v>15</v>
      </c>
      <c r="U361" s="2694">
        <v>0.36388888888888887</v>
      </c>
      <c r="V361" s="2694" t="s">
        <v>972</v>
      </c>
      <c r="W361" s="2680">
        <v>100</v>
      </c>
      <c r="X361" s="817" t="s">
        <v>2900</v>
      </c>
      <c r="Y361" s="2772"/>
      <c r="Z361" s="817"/>
      <c r="AA361" s="817"/>
      <c r="AB361" s="817" t="s">
        <v>17</v>
      </c>
      <c r="AC361" s="817" t="s">
        <v>7451</v>
      </c>
      <c r="AD361" s="2700" t="s">
        <v>9179</v>
      </c>
      <c r="AG361" s="2711"/>
    </row>
    <row r="362" spans="1:33" ht="58" hidden="1" x14ac:dyDescent="0.35">
      <c r="A362" s="2486">
        <v>43931</v>
      </c>
      <c r="B362" s="2718">
        <v>39</v>
      </c>
      <c r="C362" s="5" t="s">
        <v>9345</v>
      </c>
      <c r="D362" s="2700" t="s">
        <v>9344</v>
      </c>
      <c r="E362" s="5" t="s">
        <v>9346</v>
      </c>
      <c r="F362" s="5"/>
      <c r="G362" s="5">
        <v>1</v>
      </c>
      <c r="H362" s="5"/>
      <c r="I362" s="5"/>
      <c r="J362" s="5"/>
      <c r="K362" s="5"/>
      <c r="L362" s="817"/>
      <c r="M362" s="817"/>
      <c r="N362" s="817"/>
      <c r="O362" s="817"/>
      <c r="P362" s="2486">
        <v>43938</v>
      </c>
      <c r="Q362" s="2486"/>
      <c r="R362" s="2770" t="s">
        <v>9347</v>
      </c>
      <c r="S362" s="2770"/>
      <c r="T362" s="881" t="s">
        <v>15</v>
      </c>
      <c r="U362" s="2694">
        <v>0.70763888888888893</v>
      </c>
      <c r="V362" s="2694" t="s">
        <v>972</v>
      </c>
      <c r="W362" s="2680">
        <v>125</v>
      </c>
      <c r="X362" s="817" t="s">
        <v>2900</v>
      </c>
      <c r="Y362" s="2772"/>
      <c r="Z362" s="817"/>
      <c r="AA362" s="817"/>
      <c r="AB362" s="817" t="s">
        <v>17</v>
      </c>
      <c r="AC362" s="817" t="s">
        <v>7451</v>
      </c>
      <c r="AD362" s="2700" t="s">
        <v>9344</v>
      </c>
      <c r="AG362" s="2711"/>
    </row>
    <row r="363" spans="1:33" ht="29" hidden="1" x14ac:dyDescent="0.35">
      <c r="A363" s="2769">
        <v>43931</v>
      </c>
      <c r="B363" s="2760">
        <v>18</v>
      </c>
      <c r="C363" s="817" t="s">
        <v>9089</v>
      </c>
      <c r="D363" s="2712" t="s">
        <v>9088</v>
      </c>
      <c r="E363" s="7" t="s">
        <v>8553</v>
      </c>
      <c r="F363" s="2682">
        <v>1</v>
      </c>
      <c r="G363" s="2682">
        <v>1</v>
      </c>
      <c r="H363" s="2682"/>
      <c r="I363" s="2682"/>
      <c r="J363" s="2682"/>
      <c r="K363" s="2682"/>
      <c r="L363" s="817"/>
      <c r="M363" s="817"/>
      <c r="N363" s="817"/>
      <c r="O363" s="817"/>
      <c r="P363" s="2769">
        <v>43938</v>
      </c>
      <c r="Q363" s="2769"/>
      <c r="R363" s="2770" t="s">
        <v>9090</v>
      </c>
      <c r="S363" s="2770"/>
      <c r="T363" s="2694" t="s">
        <v>15</v>
      </c>
      <c r="U363" s="2694">
        <v>0.51944444444444449</v>
      </c>
      <c r="V363" s="2694" t="s">
        <v>972</v>
      </c>
      <c r="W363" s="2680">
        <v>100</v>
      </c>
      <c r="X363" s="817" t="s">
        <v>2900</v>
      </c>
      <c r="Y363" s="2772"/>
      <c r="Z363" s="817"/>
      <c r="AA363" s="817"/>
      <c r="AB363" s="817" t="s">
        <v>17</v>
      </c>
      <c r="AC363" s="817" t="s">
        <v>7451</v>
      </c>
      <c r="AD363" s="2700" t="s">
        <v>9088</v>
      </c>
      <c r="AG363" s="2711"/>
    </row>
    <row r="364" spans="1:33" ht="43.5" hidden="1" x14ac:dyDescent="0.35">
      <c r="A364" s="2486">
        <v>43928</v>
      </c>
      <c r="B364" s="2718">
        <v>9</v>
      </c>
      <c r="C364" s="7" t="s">
        <v>8416</v>
      </c>
      <c r="D364" s="2712" t="s">
        <v>9881</v>
      </c>
      <c r="E364" s="7" t="s">
        <v>8149</v>
      </c>
      <c r="F364" s="2679">
        <v>1</v>
      </c>
      <c r="G364" s="5">
        <v>1</v>
      </c>
      <c r="H364" s="5"/>
      <c r="I364" s="5"/>
      <c r="J364" s="5"/>
      <c r="K364" s="5"/>
      <c r="L364" s="817"/>
      <c r="M364" s="817"/>
      <c r="N364" s="817"/>
      <c r="O364" s="817"/>
      <c r="P364" s="2486">
        <v>43938</v>
      </c>
      <c r="Q364" s="2486"/>
      <c r="R364" s="824" t="s">
        <v>8417</v>
      </c>
      <c r="S364" s="2770" t="s">
        <v>8285</v>
      </c>
      <c r="T364" s="6" t="s">
        <v>15</v>
      </c>
      <c r="U364" s="2694">
        <v>0.44236111111111115</v>
      </c>
      <c r="V364" s="2694" t="s">
        <v>972</v>
      </c>
      <c r="W364" s="1809">
        <v>100</v>
      </c>
      <c r="X364" s="836" t="s">
        <v>257</v>
      </c>
      <c r="Y364" s="2772"/>
      <c r="Z364" s="817"/>
      <c r="AA364" s="817"/>
      <c r="AB364" s="7" t="s">
        <v>17</v>
      </c>
      <c r="AC364" s="817" t="s">
        <v>7451</v>
      </c>
      <c r="AD364" s="2699"/>
      <c r="AG364" s="2711"/>
    </row>
    <row r="365" spans="1:33" ht="58" hidden="1" x14ac:dyDescent="0.35">
      <c r="A365" s="1899">
        <v>43922</v>
      </c>
      <c r="B365" s="2759">
        <v>18</v>
      </c>
      <c r="C365" s="7" t="s">
        <v>7692</v>
      </c>
      <c r="D365" s="2712" t="s">
        <v>9903</v>
      </c>
      <c r="E365" s="7" t="s">
        <v>7693</v>
      </c>
      <c r="F365" s="7">
        <v>1</v>
      </c>
      <c r="G365" s="7">
        <v>1</v>
      </c>
      <c r="H365" s="7"/>
      <c r="I365" s="7"/>
      <c r="J365" s="7"/>
      <c r="K365" s="7"/>
      <c r="L365" s="7"/>
      <c r="M365" s="7"/>
      <c r="N365" s="7"/>
      <c r="O365" s="7"/>
      <c r="P365" s="1899">
        <v>43938</v>
      </c>
      <c r="Q365" s="1899"/>
      <c r="R365" s="881" t="s">
        <v>7694</v>
      </c>
      <c r="S365" s="881" t="s">
        <v>8289</v>
      </c>
      <c r="T365" s="836" t="s">
        <v>15</v>
      </c>
      <c r="U365" s="836">
        <v>0.53749999999999998</v>
      </c>
      <c r="V365" s="836" t="s">
        <v>972</v>
      </c>
      <c r="W365" s="1630">
        <v>100</v>
      </c>
      <c r="X365" s="836" t="s">
        <v>7682</v>
      </c>
      <c r="Y365" s="2717"/>
      <c r="Z365" s="7"/>
      <c r="AA365" s="7"/>
      <c r="AB365" s="7" t="s">
        <v>17</v>
      </c>
      <c r="AC365" s="7" t="s">
        <v>7451</v>
      </c>
      <c r="AD365" s="2699"/>
      <c r="AG365" s="2711"/>
    </row>
    <row r="366" spans="1:33" ht="43.5" hidden="1" x14ac:dyDescent="0.35">
      <c r="A366" s="2486">
        <v>43928</v>
      </c>
      <c r="B366" s="2718">
        <v>24</v>
      </c>
      <c r="C366" s="7" t="s">
        <v>8420</v>
      </c>
      <c r="D366" s="2712" t="s">
        <v>9961</v>
      </c>
      <c r="E366" s="7" t="s">
        <v>8149</v>
      </c>
      <c r="F366" s="2679">
        <v>1</v>
      </c>
      <c r="G366" s="5">
        <v>1</v>
      </c>
      <c r="H366" s="5"/>
      <c r="I366" s="5"/>
      <c r="J366" s="5"/>
      <c r="K366" s="5"/>
      <c r="L366" s="817"/>
      <c r="M366" s="817"/>
      <c r="N366" s="817"/>
      <c r="O366" s="817"/>
      <c r="P366" s="2486">
        <v>43938</v>
      </c>
      <c r="Q366" s="2486"/>
      <c r="R366" s="824" t="s">
        <v>8421</v>
      </c>
      <c r="S366" s="2770" t="s">
        <v>8303</v>
      </c>
      <c r="T366" s="836" t="s">
        <v>15</v>
      </c>
      <c r="U366" s="2694">
        <v>0.57638888888888895</v>
      </c>
      <c r="V366" s="2694" t="s">
        <v>972</v>
      </c>
      <c r="W366" s="2660">
        <v>100</v>
      </c>
      <c r="X366" s="2694" t="s">
        <v>8381</v>
      </c>
      <c r="Y366" s="2772"/>
      <c r="Z366" s="817"/>
      <c r="AA366" s="817"/>
      <c r="AB366" s="817" t="s">
        <v>17</v>
      </c>
      <c r="AC366" s="817" t="s">
        <v>7451</v>
      </c>
      <c r="AD366" s="2699"/>
      <c r="AG366" s="2711"/>
    </row>
    <row r="367" spans="1:33" ht="58" hidden="1" x14ac:dyDescent="0.35">
      <c r="A367" s="2486">
        <v>43928</v>
      </c>
      <c r="B367" s="2718">
        <v>15</v>
      </c>
      <c r="C367" s="5" t="s">
        <v>8589</v>
      </c>
      <c r="D367" s="2712" t="s">
        <v>9947</v>
      </c>
      <c r="E367" s="5" t="s">
        <v>8561</v>
      </c>
      <c r="F367" s="2679">
        <v>1</v>
      </c>
      <c r="G367" s="5">
        <v>1</v>
      </c>
      <c r="H367" s="5"/>
      <c r="I367" s="5"/>
      <c r="J367" s="5"/>
      <c r="K367" s="5"/>
      <c r="L367" s="817"/>
      <c r="M367" s="817"/>
      <c r="N367" s="817"/>
      <c r="O367" s="817"/>
      <c r="P367" s="2486">
        <v>43938</v>
      </c>
      <c r="Q367" s="2486"/>
      <c r="R367" s="824" t="s">
        <v>8617</v>
      </c>
      <c r="S367" s="824"/>
      <c r="T367" s="6" t="s">
        <v>15</v>
      </c>
      <c r="U367" s="6">
        <v>0.50069444444444444</v>
      </c>
      <c r="V367" s="6" t="s">
        <v>3213</v>
      </c>
      <c r="W367" s="1678">
        <v>100</v>
      </c>
      <c r="X367" s="5" t="s">
        <v>257</v>
      </c>
      <c r="Y367" s="2772"/>
      <c r="Z367" s="5"/>
      <c r="AA367" s="5"/>
      <c r="AB367" s="5" t="s">
        <v>17</v>
      </c>
      <c r="AC367" s="5" t="s">
        <v>7451</v>
      </c>
      <c r="AD367" s="2696"/>
      <c r="AG367" s="2711"/>
    </row>
    <row r="368" spans="1:33" ht="43.5" hidden="1" x14ac:dyDescent="0.35">
      <c r="A368" s="1899">
        <v>43932</v>
      </c>
      <c r="B368" s="2759">
        <v>27</v>
      </c>
      <c r="C368" s="7" t="s">
        <v>9538</v>
      </c>
      <c r="D368" s="2707" t="s">
        <v>9539</v>
      </c>
      <c r="E368" s="7" t="s">
        <v>8553</v>
      </c>
      <c r="F368" s="5">
        <v>1</v>
      </c>
      <c r="G368" s="5">
        <v>1</v>
      </c>
      <c r="H368" s="5"/>
      <c r="I368" s="5"/>
      <c r="J368" s="5"/>
      <c r="K368" s="5"/>
      <c r="L368" s="817"/>
      <c r="M368" s="817"/>
      <c r="N368" s="817"/>
      <c r="O368" s="817"/>
      <c r="P368" s="1899">
        <v>43938</v>
      </c>
      <c r="Q368" s="2769"/>
      <c r="R368" s="2708" t="s">
        <v>9540</v>
      </c>
      <c r="S368" s="2770"/>
      <c r="T368" s="836" t="s">
        <v>15</v>
      </c>
      <c r="U368" s="836">
        <v>0.60277777777777775</v>
      </c>
      <c r="V368" s="836" t="s">
        <v>972</v>
      </c>
      <c r="W368" s="2680">
        <v>100</v>
      </c>
      <c r="X368" s="817" t="s">
        <v>2900</v>
      </c>
      <c r="Y368" s="2772"/>
      <c r="Z368" s="817"/>
      <c r="AA368" s="817"/>
      <c r="AB368" s="817" t="s">
        <v>17</v>
      </c>
      <c r="AC368" s="817" t="s">
        <v>7451</v>
      </c>
      <c r="AD368" s="2696"/>
      <c r="AG368" s="2711"/>
    </row>
    <row r="369" spans="1:33" ht="43.5" hidden="1" x14ac:dyDescent="0.35">
      <c r="A369" s="2486">
        <v>43929</v>
      </c>
      <c r="B369" s="2718">
        <v>27</v>
      </c>
      <c r="C369" s="5" t="s">
        <v>8719</v>
      </c>
      <c r="D369" s="2712" t="s">
        <v>9847</v>
      </c>
      <c r="E369" s="7" t="s">
        <v>8622</v>
      </c>
      <c r="F369" s="2686">
        <v>1</v>
      </c>
      <c r="G369" s="2682">
        <v>1</v>
      </c>
      <c r="H369" s="2682"/>
      <c r="I369" s="2682"/>
      <c r="J369" s="2682"/>
      <c r="K369" s="2682"/>
      <c r="L369" s="817"/>
      <c r="M369" s="817"/>
      <c r="N369" s="817"/>
      <c r="O369" s="817"/>
      <c r="P369" s="2486">
        <v>43938</v>
      </c>
      <c r="Q369" s="2486"/>
      <c r="R369" s="824" t="s">
        <v>8720</v>
      </c>
      <c r="S369" s="2770"/>
      <c r="T369" s="6" t="s">
        <v>15</v>
      </c>
      <c r="U369" s="2694">
        <v>0.59930555555555554</v>
      </c>
      <c r="V369" s="2694" t="s">
        <v>972</v>
      </c>
      <c r="W369" s="1956">
        <v>100</v>
      </c>
      <c r="X369" s="836" t="s">
        <v>8625</v>
      </c>
      <c r="Y369" s="2772"/>
      <c r="Z369" s="817"/>
      <c r="AA369" s="817"/>
      <c r="AB369" s="7" t="s">
        <v>17</v>
      </c>
      <c r="AC369" s="817" t="s">
        <v>7451</v>
      </c>
      <c r="AD369" s="2700"/>
      <c r="AG369" s="2711"/>
    </row>
    <row r="370" spans="1:33" ht="43.5" hidden="1" x14ac:dyDescent="0.35">
      <c r="A370" s="2486">
        <v>43930</v>
      </c>
      <c r="B370" s="2718">
        <v>21</v>
      </c>
      <c r="C370" s="5" t="s">
        <v>8852</v>
      </c>
      <c r="D370" s="2712" t="s">
        <v>9826</v>
      </c>
      <c r="E370" s="7" t="s">
        <v>8553</v>
      </c>
      <c r="F370" s="2679">
        <v>1</v>
      </c>
      <c r="G370" s="5">
        <v>1</v>
      </c>
      <c r="H370" s="5"/>
      <c r="I370" s="5"/>
      <c r="J370" s="5"/>
      <c r="K370" s="5"/>
      <c r="L370" s="817"/>
      <c r="M370" s="817"/>
      <c r="N370" s="817"/>
      <c r="O370" s="817"/>
      <c r="P370" s="2486">
        <v>43938</v>
      </c>
      <c r="Q370" s="2486"/>
      <c r="R370" s="824" t="s">
        <v>8853</v>
      </c>
      <c r="S370" s="2770"/>
      <c r="T370" s="6" t="s">
        <v>15</v>
      </c>
      <c r="U370" s="2694">
        <v>0.53402777777777777</v>
      </c>
      <c r="V370" s="2694" t="s">
        <v>972</v>
      </c>
      <c r="W370" s="1956">
        <v>100</v>
      </c>
      <c r="X370" s="836" t="s">
        <v>257</v>
      </c>
      <c r="Y370" s="2772"/>
      <c r="Z370" s="817"/>
      <c r="AA370" s="817"/>
      <c r="AB370" s="7" t="s">
        <v>17</v>
      </c>
      <c r="AC370" s="817" t="s">
        <v>7451</v>
      </c>
      <c r="AD370" s="2700"/>
      <c r="AG370" s="2711"/>
    </row>
    <row r="371" spans="1:33" ht="29" hidden="1" x14ac:dyDescent="0.35">
      <c r="A371" s="2486">
        <v>43929</v>
      </c>
      <c r="B371" s="2718">
        <v>17</v>
      </c>
      <c r="C371" s="5" t="s">
        <v>8715</v>
      </c>
      <c r="D371" s="2712" t="s">
        <v>9789</v>
      </c>
      <c r="E371" s="7" t="s">
        <v>8622</v>
      </c>
      <c r="F371" s="2686">
        <v>1</v>
      </c>
      <c r="G371" s="2682">
        <v>1</v>
      </c>
      <c r="H371" s="2682"/>
      <c r="I371" s="2682"/>
      <c r="J371" s="2682"/>
      <c r="K371" s="2682"/>
      <c r="L371" s="817"/>
      <c r="M371" s="817"/>
      <c r="N371" s="817"/>
      <c r="O371" s="817"/>
      <c r="P371" s="2486">
        <v>43938</v>
      </c>
      <c r="Q371" s="2486"/>
      <c r="R371" s="824" t="s">
        <v>8716</v>
      </c>
      <c r="S371" s="2770"/>
      <c r="T371" s="6" t="s">
        <v>15</v>
      </c>
      <c r="U371" s="2694">
        <v>0.50972222222222219</v>
      </c>
      <c r="V371" s="2694" t="s">
        <v>972</v>
      </c>
      <c r="W371" s="1809">
        <v>100</v>
      </c>
      <c r="X371" s="836" t="s">
        <v>257</v>
      </c>
      <c r="Y371" s="2772"/>
      <c r="Z371" s="817"/>
      <c r="AA371" s="817"/>
      <c r="AB371" s="7" t="s">
        <v>17</v>
      </c>
      <c r="AC371" s="817" t="s">
        <v>7451</v>
      </c>
      <c r="AD371" s="2700"/>
      <c r="AG371" s="2711"/>
    </row>
    <row r="372" spans="1:33" ht="101.5" hidden="1" x14ac:dyDescent="0.35">
      <c r="A372" s="2828">
        <v>43928</v>
      </c>
      <c r="B372" s="2760">
        <v>6</v>
      </c>
      <c r="C372" s="817" t="s">
        <v>8523</v>
      </c>
      <c r="D372" s="2712" t="s">
        <v>9855</v>
      </c>
      <c r="E372" s="817" t="s">
        <v>7935</v>
      </c>
      <c r="F372" s="2679">
        <v>1</v>
      </c>
      <c r="G372" s="5">
        <v>1</v>
      </c>
      <c r="H372" s="5"/>
      <c r="I372" s="5"/>
      <c r="J372" s="5"/>
      <c r="K372" s="5"/>
      <c r="L372" s="817"/>
      <c r="M372" s="817"/>
      <c r="N372" s="817"/>
      <c r="O372" s="817"/>
      <c r="P372" s="2828">
        <v>43938</v>
      </c>
      <c r="Q372" s="2828"/>
      <c r="R372" s="2829" t="s">
        <v>8524</v>
      </c>
      <c r="S372" s="2829" t="s">
        <v>8303</v>
      </c>
      <c r="T372" s="2694" t="s">
        <v>15</v>
      </c>
      <c r="U372" s="2694">
        <v>0.4145833333333333</v>
      </c>
      <c r="V372" s="2694" t="s">
        <v>972</v>
      </c>
      <c r="W372" s="1956">
        <v>100</v>
      </c>
      <c r="X372" s="1430" t="s">
        <v>8525</v>
      </c>
      <c r="Y372" s="2772"/>
      <c r="Z372" s="2694"/>
      <c r="AA372" s="2694"/>
      <c r="AB372" s="817" t="s">
        <v>22</v>
      </c>
      <c r="AC372" s="817" t="s">
        <v>7451</v>
      </c>
      <c r="AD372" s="2696"/>
      <c r="AG372" s="2711"/>
    </row>
    <row r="373" spans="1:33" ht="72.5" hidden="1" x14ac:dyDescent="0.35">
      <c r="A373" s="1899">
        <v>43916</v>
      </c>
      <c r="B373" s="2759">
        <v>25</v>
      </c>
      <c r="C373" s="7" t="s">
        <v>7516</v>
      </c>
      <c r="D373" s="2712" t="s">
        <v>9855</v>
      </c>
      <c r="E373" s="7" t="s">
        <v>7453</v>
      </c>
      <c r="F373" s="7">
        <v>1</v>
      </c>
      <c r="G373" s="7">
        <v>1</v>
      </c>
      <c r="H373" s="7"/>
      <c r="I373" s="7"/>
      <c r="J373" s="7"/>
      <c r="K373" s="7"/>
      <c r="L373" s="7"/>
      <c r="M373" s="7"/>
      <c r="N373" s="7"/>
      <c r="O373" s="7"/>
      <c r="P373" s="1899">
        <v>43938</v>
      </c>
      <c r="Q373" s="1899"/>
      <c r="R373" s="881" t="s">
        <v>4384</v>
      </c>
      <c r="S373" s="881"/>
      <c r="T373" s="836" t="s">
        <v>15</v>
      </c>
      <c r="U373" s="836">
        <v>0.58611111111111114</v>
      </c>
      <c r="V373" s="836" t="s">
        <v>1557</v>
      </c>
      <c r="W373" s="1630">
        <v>100</v>
      </c>
      <c r="X373" s="870" t="s">
        <v>7448</v>
      </c>
      <c r="Y373" s="2772"/>
      <c r="Z373" s="7"/>
      <c r="AA373" s="7"/>
      <c r="AB373" s="7" t="s">
        <v>22</v>
      </c>
      <c r="AC373" s="7" t="s">
        <v>7451</v>
      </c>
      <c r="AD373" s="2699"/>
      <c r="AG373" s="2711"/>
    </row>
    <row r="374" spans="1:33" ht="43.5" hidden="1" x14ac:dyDescent="0.35">
      <c r="A374" s="2828">
        <v>43931</v>
      </c>
      <c r="B374" s="2760">
        <v>12</v>
      </c>
      <c r="C374" s="817" t="s">
        <v>9035</v>
      </c>
      <c r="D374" s="2712" t="s">
        <v>9777</v>
      </c>
      <c r="E374" s="7" t="s">
        <v>8553</v>
      </c>
      <c r="F374" s="5">
        <v>1</v>
      </c>
      <c r="G374" s="5">
        <v>1</v>
      </c>
      <c r="H374" s="5"/>
      <c r="I374" s="5"/>
      <c r="J374" s="5"/>
      <c r="K374" s="5"/>
      <c r="L374" s="817"/>
      <c r="M374" s="817"/>
      <c r="N374" s="817"/>
      <c r="O374" s="817"/>
      <c r="P374" s="2828">
        <v>43938</v>
      </c>
      <c r="Q374" s="2828"/>
      <c r="R374" s="2829" t="s">
        <v>9034</v>
      </c>
      <c r="S374" s="2829"/>
      <c r="T374" s="2694" t="s">
        <v>15</v>
      </c>
      <c r="U374" s="2694">
        <v>0.47500000000000003</v>
      </c>
      <c r="V374" s="2694" t="s">
        <v>972</v>
      </c>
      <c r="W374" s="2680">
        <v>100</v>
      </c>
      <c r="X374" s="817" t="s">
        <v>257</v>
      </c>
      <c r="Y374" s="2772"/>
      <c r="Z374" s="817"/>
      <c r="AA374" s="817"/>
      <c r="AB374" s="817" t="s">
        <v>17</v>
      </c>
      <c r="AC374" s="817" t="s">
        <v>7451</v>
      </c>
      <c r="AD374" s="2696"/>
      <c r="AG374" s="2711"/>
    </row>
    <row r="375" spans="1:33" ht="87" hidden="1" x14ac:dyDescent="0.35">
      <c r="A375" s="2828">
        <v>43924</v>
      </c>
      <c r="B375" s="2760">
        <v>3</v>
      </c>
      <c r="C375" s="817" t="s">
        <v>7824</v>
      </c>
      <c r="D375" s="2712" t="s">
        <v>10145</v>
      </c>
      <c r="E375" s="817" t="s">
        <v>7825</v>
      </c>
      <c r="F375" s="817">
        <v>3</v>
      </c>
      <c r="G375" s="817">
        <v>1</v>
      </c>
      <c r="H375" s="817">
        <v>1</v>
      </c>
      <c r="I375" s="817">
        <v>1</v>
      </c>
      <c r="J375" s="817"/>
      <c r="K375" s="817"/>
      <c r="L375" s="817"/>
      <c r="M375" s="817"/>
      <c r="N375" s="817"/>
      <c r="O375" s="817"/>
      <c r="P375" s="2828">
        <v>43938</v>
      </c>
      <c r="Q375" s="2769"/>
      <c r="R375" s="2829" t="s">
        <v>7823</v>
      </c>
      <c r="S375" s="2770" t="s">
        <v>8154</v>
      </c>
      <c r="T375" s="2694" t="s">
        <v>15</v>
      </c>
      <c r="U375" s="2694">
        <v>0.39374999999999999</v>
      </c>
      <c r="V375" s="2694" t="s">
        <v>3213</v>
      </c>
      <c r="W375" s="1809">
        <v>300</v>
      </c>
      <c r="X375" s="817" t="s">
        <v>257</v>
      </c>
      <c r="Y375" s="2772"/>
      <c r="Z375" s="817"/>
      <c r="AA375" s="817"/>
      <c r="AB375" s="817" t="s">
        <v>17</v>
      </c>
      <c r="AC375" s="817" t="s">
        <v>7451</v>
      </c>
      <c r="AD375" s="2699"/>
      <c r="AG375" s="2711"/>
    </row>
    <row r="376" spans="1:33" ht="43.5" hidden="1" x14ac:dyDescent="0.35">
      <c r="A376" s="2828">
        <v>43927</v>
      </c>
      <c r="B376" s="2760">
        <v>21</v>
      </c>
      <c r="C376" s="817" t="s">
        <v>8263</v>
      </c>
      <c r="D376" s="2712" t="s">
        <v>9819</v>
      </c>
      <c r="E376" s="817" t="s">
        <v>7935</v>
      </c>
      <c r="F376" s="5">
        <v>1</v>
      </c>
      <c r="G376" s="5">
        <v>1</v>
      </c>
      <c r="H376" s="5"/>
      <c r="I376" s="5"/>
      <c r="J376" s="5"/>
      <c r="K376" s="5"/>
      <c r="L376" s="817"/>
      <c r="M376" s="817"/>
      <c r="N376" s="817"/>
      <c r="O376" s="817"/>
      <c r="P376" s="2828">
        <v>43938</v>
      </c>
      <c r="Q376" s="2828"/>
      <c r="R376" s="2829" t="s">
        <v>8352</v>
      </c>
      <c r="S376" s="2770" t="s">
        <v>8285</v>
      </c>
      <c r="T376" s="2694" t="s">
        <v>15</v>
      </c>
      <c r="U376" s="2694">
        <v>0.53541666666666665</v>
      </c>
      <c r="V376" s="2694" t="s">
        <v>3213</v>
      </c>
      <c r="W376" s="1956">
        <v>100</v>
      </c>
      <c r="X376" s="817" t="s">
        <v>8268</v>
      </c>
      <c r="Y376" s="2772"/>
      <c r="Z376" s="817"/>
      <c r="AA376" s="817"/>
      <c r="AB376" s="817" t="s">
        <v>17</v>
      </c>
      <c r="AC376" s="817" t="s">
        <v>7451</v>
      </c>
      <c r="AD376" s="2699"/>
      <c r="AG376" s="2711"/>
    </row>
    <row r="377" spans="1:33" ht="29" hidden="1" x14ac:dyDescent="0.35">
      <c r="A377" s="1899">
        <v>43932</v>
      </c>
      <c r="B377" s="2759">
        <v>22</v>
      </c>
      <c r="C377" s="817" t="s">
        <v>9562</v>
      </c>
      <c r="D377" s="2700" t="s">
        <v>9563</v>
      </c>
      <c r="E377" s="7" t="s">
        <v>8553</v>
      </c>
      <c r="F377" s="5">
        <v>1</v>
      </c>
      <c r="G377" s="5">
        <v>1</v>
      </c>
      <c r="H377" s="5"/>
      <c r="I377" s="5"/>
      <c r="J377" s="5"/>
      <c r="K377" s="5"/>
      <c r="L377" s="817"/>
      <c r="M377" s="817"/>
      <c r="N377" s="817"/>
      <c r="O377" s="817"/>
      <c r="P377" s="2828">
        <v>43938</v>
      </c>
      <c r="Q377" s="2828"/>
      <c r="R377" s="2706" t="s">
        <v>9564</v>
      </c>
      <c r="S377" s="2770"/>
      <c r="T377" s="836" t="s">
        <v>15</v>
      </c>
      <c r="U377" s="836">
        <v>0.57916666666666672</v>
      </c>
      <c r="V377" s="836" t="s">
        <v>972</v>
      </c>
      <c r="W377" s="2680">
        <v>100</v>
      </c>
      <c r="X377" s="817" t="s">
        <v>2900</v>
      </c>
      <c r="Y377" s="2772"/>
      <c r="Z377" s="817"/>
      <c r="AA377" s="817"/>
      <c r="AB377" s="817" t="s">
        <v>17</v>
      </c>
      <c r="AC377" s="817" t="s">
        <v>7451</v>
      </c>
      <c r="AD377" s="2696"/>
      <c r="AG377" s="2711"/>
    </row>
    <row r="378" spans="1:33" ht="58" hidden="1" x14ac:dyDescent="0.35">
      <c r="A378" s="2486">
        <v>43924</v>
      </c>
      <c r="B378" s="2718">
        <v>21</v>
      </c>
      <c r="C378" s="5" t="s">
        <v>7888</v>
      </c>
      <c r="D378" s="2712" t="s">
        <v>9908</v>
      </c>
      <c r="E378" s="5" t="s">
        <v>7890</v>
      </c>
      <c r="F378" s="5">
        <v>2</v>
      </c>
      <c r="G378" s="5">
        <v>2</v>
      </c>
      <c r="H378" s="5"/>
      <c r="I378" s="5"/>
      <c r="J378" s="5"/>
      <c r="K378" s="5"/>
      <c r="L378" s="5"/>
      <c r="M378" s="5"/>
      <c r="N378" s="5"/>
      <c r="O378" s="5"/>
      <c r="P378" s="2486">
        <v>43938</v>
      </c>
      <c r="Q378" s="2486"/>
      <c r="R378" s="824" t="s">
        <v>7889</v>
      </c>
      <c r="S378" s="824"/>
      <c r="T378" s="6" t="s">
        <v>15</v>
      </c>
      <c r="U378" s="2694">
        <v>0.55069444444444449</v>
      </c>
      <c r="V378" s="2694" t="s">
        <v>972</v>
      </c>
      <c r="W378" s="1956">
        <v>200</v>
      </c>
      <c r="X378" s="817" t="s">
        <v>7634</v>
      </c>
      <c r="Y378" s="2772"/>
      <c r="Z378" s="817"/>
      <c r="AA378" s="817"/>
      <c r="AB378" s="817" t="s">
        <v>17</v>
      </c>
      <c r="AC378" s="817" t="s">
        <v>7451</v>
      </c>
      <c r="AD378" s="2699"/>
      <c r="AG378" s="2711"/>
    </row>
    <row r="379" spans="1:33" ht="29" hidden="1" x14ac:dyDescent="0.35">
      <c r="A379" s="2486">
        <v>43935</v>
      </c>
      <c r="B379" s="2718">
        <v>17</v>
      </c>
      <c r="C379" s="7" t="s">
        <v>10598</v>
      </c>
      <c r="D379" s="2700" t="s">
        <v>10599</v>
      </c>
      <c r="E379" s="7" t="s">
        <v>8149</v>
      </c>
      <c r="F379" s="2740">
        <v>1</v>
      </c>
      <c r="G379" s="2741">
        <v>1</v>
      </c>
      <c r="H379" s="2741"/>
      <c r="I379" s="2741"/>
      <c r="J379" s="2741"/>
      <c r="K379" s="2741"/>
      <c r="L379" s="817"/>
      <c r="M379" s="817"/>
      <c r="N379" s="817"/>
      <c r="O379" s="817"/>
      <c r="P379" s="2486">
        <v>43938</v>
      </c>
      <c r="Q379" s="2769"/>
      <c r="R379" s="2722" t="s">
        <v>10600</v>
      </c>
      <c r="S379" s="2770"/>
      <c r="T379" s="2694">
        <v>0.35416666666666669</v>
      </c>
      <c r="U379" s="2694">
        <v>0.5083333333333333</v>
      </c>
      <c r="V379" s="2694" t="s">
        <v>972</v>
      </c>
      <c r="W379" s="1956">
        <v>100</v>
      </c>
      <c r="X379" s="2694" t="s">
        <v>257</v>
      </c>
      <c r="Y379" s="2772"/>
      <c r="Z379" s="817"/>
      <c r="AA379" s="817"/>
      <c r="AB379" s="817" t="s">
        <v>17</v>
      </c>
      <c r="AC379" s="817" t="s">
        <v>7451</v>
      </c>
      <c r="AD379" s="2739"/>
      <c r="AG379" s="2711"/>
    </row>
    <row r="380" spans="1:33" ht="43.5" hidden="1" x14ac:dyDescent="0.35">
      <c r="A380" s="2486">
        <v>43928</v>
      </c>
      <c r="B380" s="2718">
        <v>19</v>
      </c>
      <c r="C380" s="5" t="s">
        <v>8564</v>
      </c>
      <c r="D380" s="2712" t="s">
        <v>9904</v>
      </c>
      <c r="E380" s="5" t="s">
        <v>8561</v>
      </c>
      <c r="F380" s="2679">
        <v>1</v>
      </c>
      <c r="G380" s="5">
        <v>1</v>
      </c>
      <c r="H380" s="5"/>
      <c r="I380" s="5"/>
      <c r="J380" s="5"/>
      <c r="K380" s="5"/>
      <c r="L380" s="817"/>
      <c r="M380" s="817"/>
      <c r="N380" s="817"/>
      <c r="O380" s="817"/>
      <c r="P380" s="2486">
        <v>43938</v>
      </c>
      <c r="Q380" s="2486"/>
      <c r="R380" s="824" t="s">
        <v>8596</v>
      </c>
      <c r="S380" s="824"/>
      <c r="T380" s="6" t="s">
        <v>15</v>
      </c>
      <c r="U380" s="6">
        <v>0.53263888888888888</v>
      </c>
      <c r="V380" s="6" t="s">
        <v>3213</v>
      </c>
      <c r="W380" s="1678">
        <v>100</v>
      </c>
      <c r="X380" s="5" t="s">
        <v>257</v>
      </c>
      <c r="Y380" s="2772"/>
      <c r="Z380" s="5"/>
      <c r="AA380" s="5"/>
      <c r="AB380" s="5" t="s">
        <v>17</v>
      </c>
      <c r="AC380" s="5" t="s">
        <v>7451</v>
      </c>
      <c r="AD380" s="2696"/>
      <c r="AG380" s="2711"/>
    </row>
    <row r="381" spans="1:33" ht="43.5" hidden="1" x14ac:dyDescent="0.35">
      <c r="A381" s="1899">
        <v>43932</v>
      </c>
      <c r="B381" s="2759">
        <v>13</v>
      </c>
      <c r="C381" s="7" t="s">
        <v>9505</v>
      </c>
      <c r="D381" s="2707" t="s">
        <v>9506</v>
      </c>
      <c r="E381" s="7" t="s">
        <v>8553</v>
      </c>
      <c r="F381" s="5">
        <v>1</v>
      </c>
      <c r="G381" s="5">
        <v>1</v>
      </c>
      <c r="H381" s="5"/>
      <c r="I381" s="5"/>
      <c r="J381" s="5"/>
      <c r="K381" s="5"/>
      <c r="L381" s="817"/>
      <c r="M381" s="817"/>
      <c r="N381" s="817"/>
      <c r="O381" s="817"/>
      <c r="P381" s="1899">
        <v>43938</v>
      </c>
      <c r="Q381" s="2769"/>
      <c r="R381" s="881" t="s">
        <v>9507</v>
      </c>
      <c r="S381" s="2770"/>
      <c r="T381" s="836" t="s">
        <v>15</v>
      </c>
      <c r="U381" s="836">
        <v>0.46458333333333335</v>
      </c>
      <c r="V381" s="836" t="s">
        <v>972</v>
      </c>
      <c r="W381" s="1956">
        <v>100</v>
      </c>
      <c r="X381" s="817" t="s">
        <v>8625</v>
      </c>
      <c r="Y381" s="2772"/>
      <c r="Z381" s="817"/>
      <c r="AA381" s="817"/>
      <c r="AB381" s="817" t="s">
        <v>17</v>
      </c>
      <c r="AC381" s="817" t="s">
        <v>7451</v>
      </c>
      <c r="AD381" s="2696"/>
      <c r="AG381" s="2711"/>
    </row>
    <row r="382" spans="1:33" ht="58" hidden="1" x14ac:dyDescent="0.35">
      <c r="A382" s="2769">
        <v>43920</v>
      </c>
      <c r="B382" s="2760">
        <v>24</v>
      </c>
      <c r="C382" s="817" t="s">
        <v>7596</v>
      </c>
      <c r="D382" s="2712" t="s">
        <v>9877</v>
      </c>
      <c r="E382" s="817" t="s">
        <v>7593</v>
      </c>
      <c r="F382" s="817">
        <v>2</v>
      </c>
      <c r="G382" s="817">
        <v>2</v>
      </c>
      <c r="H382" s="817"/>
      <c r="I382" s="817"/>
      <c r="J382" s="817"/>
      <c r="K382" s="817"/>
      <c r="L382" s="817"/>
      <c r="M382" s="817"/>
      <c r="N382" s="817"/>
      <c r="O382" s="817"/>
      <c r="P382" s="2769">
        <v>43938</v>
      </c>
      <c r="Q382" s="2769"/>
      <c r="R382" s="2828" t="s">
        <v>7594</v>
      </c>
      <c r="S382" s="2828"/>
      <c r="T382" s="2828" t="s">
        <v>15</v>
      </c>
      <c r="U382" s="2694">
        <v>0.60416666666666663</v>
      </c>
      <c r="V382" s="2694" t="s">
        <v>15</v>
      </c>
      <c r="W382" s="1956">
        <v>200</v>
      </c>
      <c r="X382" s="817" t="s">
        <v>7424</v>
      </c>
      <c r="Y382" s="2772"/>
      <c r="Z382" s="817"/>
      <c r="AA382" s="817"/>
      <c r="AB382" s="817" t="s">
        <v>17</v>
      </c>
      <c r="AC382" s="817" t="s">
        <v>7451</v>
      </c>
      <c r="AD382" s="2699"/>
      <c r="AG382" s="2711"/>
    </row>
    <row r="383" spans="1:33" ht="43.5" hidden="1" x14ac:dyDescent="0.35">
      <c r="A383" s="2486">
        <v>43930</v>
      </c>
      <c r="B383" s="2718">
        <v>2</v>
      </c>
      <c r="C383" s="5" t="s">
        <v>8865</v>
      </c>
      <c r="D383" s="2712" t="s">
        <v>9879</v>
      </c>
      <c r="E383" s="7" t="s">
        <v>8553</v>
      </c>
      <c r="F383" s="2679">
        <v>1</v>
      </c>
      <c r="G383" s="5">
        <v>1</v>
      </c>
      <c r="H383" s="5"/>
      <c r="I383" s="5"/>
      <c r="J383" s="5"/>
      <c r="K383" s="5"/>
      <c r="L383" s="817"/>
      <c r="M383" s="817"/>
      <c r="N383" s="817"/>
      <c r="O383" s="817"/>
      <c r="P383" s="2486">
        <v>43938</v>
      </c>
      <c r="Q383" s="2486"/>
      <c r="R383" s="824" t="s">
        <v>8866</v>
      </c>
      <c r="S383" s="2770"/>
      <c r="T383" s="6" t="s">
        <v>15</v>
      </c>
      <c r="U383" s="2694">
        <v>0.37777777777777777</v>
      </c>
      <c r="V383" s="2694" t="s">
        <v>972</v>
      </c>
      <c r="W383" s="1809">
        <v>100</v>
      </c>
      <c r="X383" s="836" t="s">
        <v>257</v>
      </c>
      <c r="Y383" s="2772"/>
      <c r="Z383" s="817"/>
      <c r="AA383" s="817"/>
      <c r="AB383" s="7" t="s">
        <v>17</v>
      </c>
      <c r="AC383" s="817" t="s">
        <v>7451</v>
      </c>
      <c r="AD383" s="2700"/>
      <c r="AG383" s="2711"/>
    </row>
    <row r="384" spans="1:33" ht="43.5" hidden="1" x14ac:dyDescent="0.35">
      <c r="A384" s="1899">
        <v>43932</v>
      </c>
      <c r="B384" s="2759">
        <v>12</v>
      </c>
      <c r="C384" s="817" t="s">
        <v>9614</v>
      </c>
      <c r="D384" s="2700" t="s">
        <v>9615</v>
      </c>
      <c r="E384" s="7" t="s">
        <v>9294</v>
      </c>
      <c r="F384" s="5">
        <v>1</v>
      </c>
      <c r="G384" s="5">
        <v>1</v>
      </c>
      <c r="H384" s="5"/>
      <c r="I384" s="5">
        <v>1</v>
      </c>
      <c r="J384" s="5"/>
      <c r="K384" s="5"/>
      <c r="L384" s="817"/>
      <c r="M384" s="817"/>
      <c r="N384" s="817"/>
      <c r="O384" s="817"/>
      <c r="P384" s="2769">
        <v>43938</v>
      </c>
      <c r="Q384" s="2769"/>
      <c r="R384" s="2706" t="s">
        <v>9616</v>
      </c>
      <c r="S384" s="2770"/>
      <c r="T384" s="836" t="s">
        <v>15</v>
      </c>
      <c r="U384" s="836">
        <v>0.47847222222222219</v>
      </c>
      <c r="V384" s="836" t="s">
        <v>972</v>
      </c>
      <c r="W384" s="1956">
        <v>165</v>
      </c>
      <c r="X384" s="817" t="s">
        <v>8625</v>
      </c>
      <c r="Y384" s="2772"/>
      <c r="Z384" s="817"/>
      <c r="AA384" s="817"/>
      <c r="AB384" s="817" t="s">
        <v>17</v>
      </c>
      <c r="AC384" s="817" t="s">
        <v>7451</v>
      </c>
      <c r="AD384" s="2696"/>
      <c r="AG384" s="2711"/>
    </row>
    <row r="385" spans="1:33" ht="58" hidden="1" x14ac:dyDescent="0.35">
      <c r="A385" s="1899">
        <v>43922</v>
      </c>
      <c r="B385" s="2759">
        <v>20</v>
      </c>
      <c r="C385" s="7" t="s">
        <v>7725</v>
      </c>
      <c r="D385" s="2712" t="s">
        <v>9814</v>
      </c>
      <c r="E385" s="7" t="s">
        <v>7693</v>
      </c>
      <c r="F385" s="7">
        <v>1</v>
      </c>
      <c r="G385" s="7">
        <v>1</v>
      </c>
      <c r="H385" s="7"/>
      <c r="I385" s="7"/>
      <c r="J385" s="7"/>
      <c r="K385" s="7"/>
      <c r="L385" s="7"/>
      <c r="M385" s="7"/>
      <c r="N385" s="7"/>
      <c r="O385" s="7"/>
      <c r="P385" s="1899">
        <v>43938</v>
      </c>
      <c r="Q385" s="1899"/>
      <c r="R385" s="881" t="s">
        <v>7724</v>
      </c>
      <c r="S385" s="881" t="s">
        <v>8293</v>
      </c>
      <c r="T385" s="836" t="s">
        <v>15</v>
      </c>
      <c r="U385" s="2694">
        <v>0.53819444444444442</v>
      </c>
      <c r="V385" s="2694" t="s">
        <v>972</v>
      </c>
      <c r="W385" s="1809">
        <v>100</v>
      </c>
      <c r="X385" s="2694" t="s">
        <v>257</v>
      </c>
      <c r="Y385" s="2772"/>
      <c r="Z385" s="817"/>
      <c r="AA385" s="817"/>
      <c r="AB385" s="7" t="s">
        <v>17</v>
      </c>
      <c r="AC385" s="7" t="s">
        <v>7451</v>
      </c>
      <c r="AD385" s="2699"/>
      <c r="AG385" s="2711"/>
    </row>
    <row r="386" spans="1:33" ht="43.5" hidden="1" x14ac:dyDescent="0.35">
      <c r="A386" s="2828">
        <v>43932</v>
      </c>
      <c r="B386" s="2760">
        <v>10</v>
      </c>
      <c r="C386" s="817" t="s">
        <v>9692</v>
      </c>
      <c r="D386" s="2700" t="s">
        <v>9693</v>
      </c>
      <c r="E386" s="7" t="s">
        <v>8553</v>
      </c>
      <c r="F386" s="5">
        <v>1</v>
      </c>
      <c r="G386" s="5">
        <v>1</v>
      </c>
      <c r="H386" s="5"/>
      <c r="I386" s="5"/>
      <c r="J386" s="5"/>
      <c r="K386" s="5"/>
      <c r="L386" s="817"/>
      <c r="M386" s="817"/>
      <c r="N386" s="817"/>
      <c r="O386" s="817"/>
      <c r="P386" s="2828">
        <v>43938</v>
      </c>
      <c r="Q386" s="2769"/>
      <c r="R386" s="2706" t="s">
        <v>9694</v>
      </c>
      <c r="S386" s="2770"/>
      <c r="T386" s="836" t="s">
        <v>15</v>
      </c>
      <c r="U386" s="836">
        <v>0.44722222222222219</v>
      </c>
      <c r="V386" s="836" t="s">
        <v>972</v>
      </c>
      <c r="W386" s="1956">
        <v>100</v>
      </c>
      <c r="X386" s="817" t="s">
        <v>8625</v>
      </c>
      <c r="Y386" s="2772"/>
      <c r="Z386" s="817"/>
      <c r="AA386" s="817"/>
      <c r="AB386" s="817" t="s">
        <v>17</v>
      </c>
      <c r="AC386" s="817" t="s">
        <v>7451</v>
      </c>
      <c r="AD386" s="2696"/>
      <c r="AG386" s="2711"/>
    </row>
    <row r="387" spans="1:33" ht="58" hidden="1" x14ac:dyDescent="0.35">
      <c r="A387" s="2486">
        <v>43923</v>
      </c>
      <c r="B387" s="2718">
        <v>20</v>
      </c>
      <c r="C387" s="5" t="s">
        <v>7791</v>
      </c>
      <c r="D387" s="2712" t="s">
        <v>9878</v>
      </c>
      <c r="E387" s="5" t="s">
        <v>7693</v>
      </c>
      <c r="F387" s="5">
        <v>1</v>
      </c>
      <c r="G387" s="5">
        <v>1</v>
      </c>
      <c r="H387" s="5"/>
      <c r="I387" s="5"/>
      <c r="J387" s="5"/>
      <c r="K387" s="5"/>
      <c r="L387" s="5"/>
      <c r="M387" s="5"/>
      <c r="N387" s="5"/>
      <c r="O387" s="5"/>
      <c r="P387" s="2486">
        <v>43938</v>
      </c>
      <c r="Q387" s="2486"/>
      <c r="R387" s="824" t="s">
        <v>7792</v>
      </c>
      <c r="S387" s="824"/>
      <c r="T387" s="6" t="s">
        <v>15</v>
      </c>
      <c r="U387" s="2694">
        <v>0.52430555555555558</v>
      </c>
      <c r="V387" s="2694" t="s">
        <v>3213</v>
      </c>
      <c r="W387" s="1809">
        <v>100</v>
      </c>
      <c r="X387" s="2694" t="s">
        <v>257</v>
      </c>
      <c r="Y387" s="2772"/>
      <c r="Z387" s="2694"/>
      <c r="AA387" s="2694"/>
      <c r="AB387" s="817" t="s">
        <v>17</v>
      </c>
      <c r="AC387" s="817" t="s">
        <v>7451</v>
      </c>
      <c r="AD387" s="2699"/>
      <c r="AG387" s="2711"/>
    </row>
    <row r="388" spans="1:33" ht="29" hidden="1" x14ac:dyDescent="0.35">
      <c r="A388" s="2486">
        <v>43930</v>
      </c>
      <c r="B388" s="2718">
        <v>11</v>
      </c>
      <c r="C388" s="5" t="s">
        <v>8906</v>
      </c>
      <c r="D388" s="2712" t="s">
        <v>9955</v>
      </c>
      <c r="E388" s="7" t="s">
        <v>8526</v>
      </c>
      <c r="F388" s="2686">
        <v>2</v>
      </c>
      <c r="G388" s="2682">
        <v>2</v>
      </c>
      <c r="H388" s="2682"/>
      <c r="I388" s="2682"/>
      <c r="J388" s="2682"/>
      <c r="K388" s="2682"/>
      <c r="L388" s="817"/>
      <c r="M388" s="817"/>
      <c r="N388" s="817"/>
      <c r="O388" s="817"/>
      <c r="P388" s="2486">
        <v>43938</v>
      </c>
      <c r="Q388" s="2486"/>
      <c r="R388" s="2486" t="s">
        <v>8907</v>
      </c>
      <c r="S388" s="2770"/>
      <c r="T388" s="6" t="s">
        <v>15</v>
      </c>
      <c r="U388" s="2694">
        <v>0.47083333333333338</v>
      </c>
      <c r="V388" s="2694" t="s">
        <v>972</v>
      </c>
      <c r="W388" s="1809">
        <v>200</v>
      </c>
      <c r="X388" s="836" t="s">
        <v>257</v>
      </c>
      <c r="Y388" s="2772"/>
      <c r="Z388" s="817"/>
      <c r="AA388" s="817"/>
      <c r="AB388" s="7" t="s">
        <v>17</v>
      </c>
      <c r="AC388" s="817" t="s">
        <v>7451</v>
      </c>
      <c r="AD388" s="2702"/>
      <c r="AG388" s="2662"/>
    </row>
    <row r="389" spans="1:33" ht="43.5" hidden="1" x14ac:dyDescent="0.35">
      <c r="A389" s="1899">
        <v>43934</v>
      </c>
      <c r="B389" s="2759">
        <v>20</v>
      </c>
      <c r="C389" s="7" t="s">
        <v>10431</v>
      </c>
      <c r="D389" s="2707" t="s">
        <v>10432</v>
      </c>
      <c r="E389" s="7" t="s">
        <v>8553</v>
      </c>
      <c r="F389" s="7">
        <v>1</v>
      </c>
      <c r="G389" s="7">
        <v>1</v>
      </c>
      <c r="H389" s="7"/>
      <c r="I389" s="7"/>
      <c r="J389" s="7"/>
      <c r="K389" s="7"/>
      <c r="L389" s="817"/>
      <c r="M389" s="817"/>
      <c r="N389" s="817"/>
      <c r="O389" s="817"/>
      <c r="P389" s="1899">
        <v>43938</v>
      </c>
      <c r="Q389" s="2769"/>
      <c r="R389" s="2708" t="s">
        <v>10433</v>
      </c>
      <c r="S389" s="2829"/>
      <c r="T389" s="2694" t="s">
        <v>15</v>
      </c>
      <c r="U389" s="836">
        <v>0.55555555555555558</v>
      </c>
      <c r="V389" s="836" t="s">
        <v>972</v>
      </c>
      <c r="W389" s="1630">
        <v>100</v>
      </c>
      <c r="X389" s="7" t="s">
        <v>10638</v>
      </c>
      <c r="Y389" s="2717"/>
      <c r="Z389" s="7"/>
      <c r="AA389" s="7"/>
      <c r="AB389" s="7" t="s">
        <v>17</v>
      </c>
      <c r="AC389" s="7" t="s">
        <v>7451</v>
      </c>
      <c r="AD389" s="2696"/>
      <c r="AG389" s="2662"/>
    </row>
    <row r="390" spans="1:33" ht="43.5" hidden="1" x14ac:dyDescent="0.35">
      <c r="A390" s="2828">
        <v>43926</v>
      </c>
      <c r="B390" s="2760">
        <v>15</v>
      </c>
      <c r="C390" s="2828" t="s">
        <v>8102</v>
      </c>
      <c r="D390" s="2712" t="s">
        <v>9800</v>
      </c>
      <c r="E390" s="817" t="s">
        <v>7935</v>
      </c>
      <c r="F390" s="817">
        <v>1</v>
      </c>
      <c r="G390" s="817">
        <v>1</v>
      </c>
      <c r="H390" s="817"/>
      <c r="I390" s="817"/>
      <c r="J390" s="817"/>
      <c r="K390" s="817"/>
      <c r="L390" s="817"/>
      <c r="M390" s="817"/>
      <c r="N390" s="817"/>
      <c r="O390" s="817"/>
      <c r="P390" s="2828">
        <v>43938</v>
      </c>
      <c r="Q390" s="2828"/>
      <c r="R390" s="2829" t="s">
        <v>8103</v>
      </c>
      <c r="S390" s="2737"/>
      <c r="T390" s="2694" t="s">
        <v>15</v>
      </c>
      <c r="U390" s="2694">
        <v>0.48472222222222222</v>
      </c>
      <c r="V390" s="2694" t="s">
        <v>972</v>
      </c>
      <c r="W390" s="1809">
        <v>100</v>
      </c>
      <c r="X390" s="2694" t="s">
        <v>257</v>
      </c>
      <c r="Y390" s="2772"/>
      <c r="Z390" s="817"/>
      <c r="AA390" s="817"/>
      <c r="AB390" s="817" t="s">
        <v>17</v>
      </c>
      <c r="AC390" s="817" t="s">
        <v>7451</v>
      </c>
      <c r="AD390" s="2699"/>
      <c r="AG390" s="2662"/>
    </row>
    <row r="391" spans="1:33" ht="58" hidden="1" x14ac:dyDescent="0.35">
      <c r="A391" s="2486">
        <v>43925</v>
      </c>
      <c r="B391" s="2718">
        <v>22</v>
      </c>
      <c r="C391" s="7" t="s">
        <v>8005</v>
      </c>
      <c r="D391" s="2712" t="s">
        <v>9960</v>
      </c>
      <c r="E391" s="817" t="s">
        <v>8006</v>
      </c>
      <c r="F391" s="5">
        <v>3</v>
      </c>
      <c r="G391" s="5">
        <v>1</v>
      </c>
      <c r="H391" s="5"/>
      <c r="I391" s="5">
        <v>1</v>
      </c>
      <c r="J391" s="5"/>
      <c r="K391" s="5"/>
      <c r="L391" s="5"/>
      <c r="M391" s="5"/>
      <c r="N391" s="5"/>
      <c r="O391" s="5"/>
      <c r="P391" s="2486">
        <v>43938</v>
      </c>
      <c r="Q391" s="2486"/>
      <c r="R391" s="824" t="s">
        <v>8007</v>
      </c>
      <c r="S391" s="824" t="s">
        <v>8303</v>
      </c>
      <c r="T391" s="6" t="s">
        <v>15</v>
      </c>
      <c r="U391" s="2694">
        <v>0.55763888888888891</v>
      </c>
      <c r="V391" s="2694" t="s">
        <v>972</v>
      </c>
      <c r="W391" s="1956">
        <v>265</v>
      </c>
      <c r="X391" s="817" t="s">
        <v>7634</v>
      </c>
      <c r="Y391" s="2772"/>
      <c r="Z391" s="817"/>
      <c r="AA391" s="817"/>
      <c r="AB391" s="817" t="s">
        <v>17</v>
      </c>
      <c r="AC391" s="817" t="s">
        <v>7451</v>
      </c>
      <c r="AD391" s="2699"/>
      <c r="AG391" s="2662"/>
    </row>
    <row r="392" spans="1:33" ht="29" hidden="1" x14ac:dyDescent="0.35">
      <c r="A392" s="1899">
        <v>43934</v>
      </c>
      <c r="B392" s="2759">
        <v>10</v>
      </c>
      <c r="C392" s="7" t="s">
        <v>10453</v>
      </c>
      <c r="D392" s="2707" t="s">
        <v>10454</v>
      </c>
      <c r="E392" s="7" t="s">
        <v>8553</v>
      </c>
      <c r="F392" s="7">
        <v>1</v>
      </c>
      <c r="G392" s="7">
        <v>1</v>
      </c>
      <c r="H392" s="7"/>
      <c r="I392" s="7"/>
      <c r="J392" s="7"/>
      <c r="K392" s="7"/>
      <c r="L392" s="817"/>
      <c r="M392" s="817"/>
      <c r="N392" s="817"/>
      <c r="O392" s="817"/>
      <c r="P392" s="1899">
        <v>43938</v>
      </c>
      <c r="Q392" s="2828"/>
      <c r="R392" s="2708" t="s">
        <v>10455</v>
      </c>
      <c r="S392" s="2829"/>
      <c r="T392" s="836" t="s">
        <v>15</v>
      </c>
      <c r="U392" s="836">
        <v>0.44444444444444442</v>
      </c>
      <c r="V392" s="836" t="s">
        <v>972</v>
      </c>
      <c r="W392" s="1100">
        <v>100</v>
      </c>
      <c r="X392" s="7" t="s">
        <v>3173</v>
      </c>
      <c r="Y392" s="2717"/>
      <c r="Z392" s="7"/>
      <c r="AA392" s="7"/>
      <c r="AB392" s="7" t="s">
        <v>17</v>
      </c>
      <c r="AC392" s="7" t="s">
        <v>7451</v>
      </c>
      <c r="AD392" s="2696"/>
      <c r="AG392" s="2662"/>
    </row>
    <row r="393" spans="1:33" ht="43.5" hidden="1" x14ac:dyDescent="0.35">
      <c r="A393" s="2486">
        <v>43928</v>
      </c>
      <c r="B393" s="2718">
        <v>19</v>
      </c>
      <c r="C393" s="7" t="s">
        <v>8413</v>
      </c>
      <c r="D393" s="2712" t="s">
        <v>9839</v>
      </c>
      <c r="E393" s="7" t="s">
        <v>8415</v>
      </c>
      <c r="F393" s="2679">
        <v>2</v>
      </c>
      <c r="G393" s="5">
        <v>2</v>
      </c>
      <c r="H393" s="5"/>
      <c r="I393" s="5"/>
      <c r="J393" s="5"/>
      <c r="K393" s="5"/>
      <c r="L393" s="817"/>
      <c r="M393" s="817"/>
      <c r="N393" s="817"/>
      <c r="O393" s="817"/>
      <c r="P393" s="2486">
        <v>43938</v>
      </c>
      <c r="Q393" s="2486"/>
      <c r="R393" s="824" t="s">
        <v>8414</v>
      </c>
      <c r="S393" s="2770" t="s">
        <v>8303</v>
      </c>
      <c r="T393" s="6" t="s">
        <v>15</v>
      </c>
      <c r="U393" s="2694">
        <v>0.53055555555555556</v>
      </c>
      <c r="V393" s="2694" t="s">
        <v>972</v>
      </c>
      <c r="W393" s="1809">
        <v>100</v>
      </c>
      <c r="X393" s="836" t="s">
        <v>257</v>
      </c>
      <c r="Y393" s="2772"/>
      <c r="Z393" s="817"/>
      <c r="AA393" s="817"/>
      <c r="AB393" s="7" t="s">
        <v>17</v>
      </c>
      <c r="AC393" s="817" t="s">
        <v>7451</v>
      </c>
      <c r="AD393" s="2699"/>
      <c r="AG393" s="2662"/>
    </row>
    <row r="394" spans="1:33" ht="43.5" hidden="1" x14ac:dyDescent="0.35">
      <c r="A394" s="1899">
        <v>43932</v>
      </c>
      <c r="B394" s="2759">
        <v>22</v>
      </c>
      <c r="C394" s="817" t="s">
        <v>9598</v>
      </c>
      <c r="D394" s="2700" t="s">
        <v>9599</v>
      </c>
      <c r="E394" s="7" t="s">
        <v>8553</v>
      </c>
      <c r="F394" s="5">
        <v>1</v>
      </c>
      <c r="G394" s="5">
        <v>1</v>
      </c>
      <c r="H394" s="5"/>
      <c r="I394" s="5"/>
      <c r="J394" s="5"/>
      <c r="K394" s="5"/>
      <c r="L394" s="817"/>
      <c r="M394" s="817"/>
      <c r="N394" s="817"/>
      <c r="O394" s="817"/>
      <c r="P394" s="2828">
        <v>43938</v>
      </c>
      <c r="Q394" s="2828"/>
      <c r="R394" s="2706" t="s">
        <v>9600</v>
      </c>
      <c r="S394" s="2829"/>
      <c r="T394" s="836" t="s">
        <v>15</v>
      </c>
      <c r="U394" s="836">
        <v>0.56180555555555556</v>
      </c>
      <c r="V394" s="836" t="s">
        <v>972</v>
      </c>
      <c r="W394" s="2680">
        <v>100</v>
      </c>
      <c r="X394" s="817" t="s">
        <v>2900</v>
      </c>
      <c r="Y394" s="2772"/>
      <c r="Z394" s="817"/>
      <c r="AA394" s="817"/>
      <c r="AB394" s="817" t="s">
        <v>17</v>
      </c>
      <c r="AC394" s="817" t="s">
        <v>7451</v>
      </c>
      <c r="AD394" s="2696"/>
      <c r="AG394" s="2662"/>
    </row>
    <row r="395" spans="1:33" ht="43.5" hidden="1" x14ac:dyDescent="0.35">
      <c r="A395" s="2828">
        <v>43927</v>
      </c>
      <c r="B395" s="2760">
        <v>4</v>
      </c>
      <c r="C395" s="817" t="s">
        <v>8218</v>
      </c>
      <c r="D395" s="2712" t="s">
        <v>9915</v>
      </c>
      <c r="E395" s="817" t="s">
        <v>7935</v>
      </c>
      <c r="F395" s="5">
        <v>1</v>
      </c>
      <c r="G395" s="5">
        <v>1</v>
      </c>
      <c r="H395" s="5"/>
      <c r="I395" s="5"/>
      <c r="J395" s="5"/>
      <c r="K395" s="5"/>
      <c r="L395" s="817"/>
      <c r="M395" s="817"/>
      <c r="N395" s="817"/>
      <c r="O395" s="817"/>
      <c r="P395" s="2828">
        <v>43938</v>
      </c>
      <c r="Q395" s="2828"/>
      <c r="R395" s="2829" t="s">
        <v>8317</v>
      </c>
      <c r="S395" s="2770" t="s">
        <v>8289</v>
      </c>
      <c r="T395" s="2694" t="s">
        <v>15</v>
      </c>
      <c r="U395" s="2694">
        <v>0.39930555555555558</v>
      </c>
      <c r="V395" s="2694">
        <v>0.41666666666666669</v>
      </c>
      <c r="W395" s="1956">
        <v>100</v>
      </c>
      <c r="X395" s="817" t="s">
        <v>257</v>
      </c>
      <c r="Y395" s="2717"/>
      <c r="Z395" s="817"/>
      <c r="AA395" s="817"/>
      <c r="AB395" s="817" t="s">
        <v>17</v>
      </c>
      <c r="AC395" s="817" t="s">
        <v>7451</v>
      </c>
      <c r="AD395" s="2699"/>
      <c r="AG395" s="2662"/>
    </row>
    <row r="396" spans="1:33" ht="58" hidden="1" x14ac:dyDescent="0.35">
      <c r="A396" s="2828">
        <v>43926</v>
      </c>
      <c r="B396" s="2760">
        <v>20</v>
      </c>
      <c r="C396" s="2828" t="s">
        <v>8095</v>
      </c>
      <c r="D396" s="2712" t="s">
        <v>9790</v>
      </c>
      <c r="E396" s="817" t="s">
        <v>7935</v>
      </c>
      <c r="F396" s="5">
        <v>1</v>
      </c>
      <c r="G396" s="5">
        <v>1</v>
      </c>
      <c r="H396" s="5"/>
      <c r="I396" s="5"/>
      <c r="J396" s="5"/>
      <c r="K396" s="5"/>
      <c r="L396" s="5"/>
      <c r="M396" s="5"/>
      <c r="N396" s="5"/>
      <c r="O396" s="5"/>
      <c r="P396" s="2828">
        <v>43938</v>
      </c>
      <c r="Q396" s="2769"/>
      <c r="R396" s="2829" t="s">
        <v>8100</v>
      </c>
      <c r="S396" s="2770"/>
      <c r="T396" s="2694" t="s">
        <v>15</v>
      </c>
      <c r="U396" s="2694">
        <v>0.53333333333333333</v>
      </c>
      <c r="V396" s="2694" t="s">
        <v>3213</v>
      </c>
      <c r="W396" s="1956">
        <v>100</v>
      </c>
      <c r="X396" s="817" t="s">
        <v>7424</v>
      </c>
      <c r="Y396" s="2772"/>
      <c r="Z396" s="817"/>
      <c r="AA396" s="817"/>
      <c r="AB396" s="817" t="s">
        <v>17</v>
      </c>
      <c r="AC396" s="817" t="s">
        <v>7451</v>
      </c>
      <c r="AD396" s="2699"/>
      <c r="AG396" s="2662"/>
    </row>
    <row r="397" spans="1:33" ht="58" hidden="1" x14ac:dyDescent="0.35">
      <c r="A397" s="1899">
        <v>43930</v>
      </c>
      <c r="B397" s="2759">
        <v>4</v>
      </c>
      <c r="C397" s="7" t="s">
        <v>8972</v>
      </c>
      <c r="D397" s="2712" t="s">
        <v>9780</v>
      </c>
      <c r="E397" s="7" t="s">
        <v>8974</v>
      </c>
      <c r="F397" s="5">
        <v>1</v>
      </c>
      <c r="G397" s="5">
        <v>1</v>
      </c>
      <c r="H397" s="5">
        <v>1</v>
      </c>
      <c r="I397" s="5">
        <v>1</v>
      </c>
      <c r="J397" s="5"/>
      <c r="K397" s="5"/>
      <c r="L397" s="817"/>
      <c r="M397" s="817"/>
      <c r="N397" s="817"/>
      <c r="O397" s="817"/>
      <c r="P397" s="1899">
        <v>43938</v>
      </c>
      <c r="Q397" s="1899"/>
      <c r="R397" s="881" t="s">
        <v>8973</v>
      </c>
      <c r="S397" s="2770"/>
      <c r="T397" s="6" t="s">
        <v>15</v>
      </c>
      <c r="U397" s="2694">
        <v>0.39374999999999999</v>
      </c>
      <c r="V397" s="2694" t="s">
        <v>972</v>
      </c>
      <c r="W397" s="1956">
        <v>230</v>
      </c>
      <c r="X397" s="836" t="s">
        <v>8625</v>
      </c>
      <c r="Y397" s="2772"/>
      <c r="Z397" s="817"/>
      <c r="AA397" s="817"/>
      <c r="AB397" s="7" t="s">
        <v>17</v>
      </c>
      <c r="AC397" s="817" t="s">
        <v>7451</v>
      </c>
      <c r="AD397" s="2700"/>
      <c r="AG397" s="2662"/>
    </row>
    <row r="398" spans="1:33" ht="43.5" hidden="1" x14ac:dyDescent="0.35">
      <c r="A398" s="1899">
        <v>43932</v>
      </c>
      <c r="B398" s="2759">
        <v>6</v>
      </c>
      <c r="C398" s="817" t="s">
        <v>9617</v>
      </c>
      <c r="D398" s="2700" t="s">
        <v>9618</v>
      </c>
      <c r="E398" s="7" t="s">
        <v>8073</v>
      </c>
      <c r="F398" s="5">
        <v>1</v>
      </c>
      <c r="G398" s="5"/>
      <c r="H398" s="5"/>
      <c r="I398" s="5">
        <v>1</v>
      </c>
      <c r="J398" s="5"/>
      <c r="K398" s="5"/>
      <c r="L398" s="817"/>
      <c r="M398" s="817"/>
      <c r="N398" s="817"/>
      <c r="O398" s="817"/>
      <c r="P398" s="2828">
        <v>43938</v>
      </c>
      <c r="Q398" s="2828"/>
      <c r="R398" s="2706" t="s">
        <v>9619</v>
      </c>
      <c r="S398" s="2829"/>
      <c r="T398" s="836" t="s">
        <v>15</v>
      </c>
      <c r="U398" s="836">
        <v>0.41736111111111113</v>
      </c>
      <c r="V398" s="836" t="s">
        <v>972</v>
      </c>
      <c r="W398" s="2680">
        <v>100</v>
      </c>
      <c r="X398" s="817" t="s">
        <v>2900</v>
      </c>
      <c r="Y398" s="2772"/>
      <c r="Z398" s="817"/>
      <c r="AA398" s="817"/>
      <c r="AB398" s="817" t="s">
        <v>17</v>
      </c>
      <c r="AC398" s="817" t="s">
        <v>7451</v>
      </c>
      <c r="AD398" s="2696"/>
      <c r="AG398" s="2662"/>
    </row>
    <row r="399" spans="1:33" ht="101.5" hidden="1" x14ac:dyDescent="0.35">
      <c r="A399" s="2828">
        <v>43926</v>
      </c>
      <c r="B399" s="2760">
        <v>22</v>
      </c>
      <c r="C399" s="2828" t="s">
        <v>8123</v>
      </c>
      <c r="D399" s="2712" t="s">
        <v>9823</v>
      </c>
      <c r="E399" s="817" t="s">
        <v>8122</v>
      </c>
      <c r="F399" s="817">
        <v>1</v>
      </c>
      <c r="G399" s="817"/>
      <c r="H399" s="817"/>
      <c r="I399" s="817"/>
      <c r="J399" s="817">
        <v>1</v>
      </c>
      <c r="K399" s="817"/>
      <c r="L399" s="817"/>
      <c r="M399" s="817"/>
      <c r="N399" s="817"/>
      <c r="O399" s="817"/>
      <c r="P399" s="2828">
        <v>43938</v>
      </c>
      <c r="Q399" s="2769"/>
      <c r="R399" s="2829" t="s">
        <v>8130</v>
      </c>
      <c r="S399" s="2770"/>
      <c r="T399" s="2694" t="s">
        <v>15</v>
      </c>
      <c r="U399" s="2694">
        <v>0.55972222222222223</v>
      </c>
      <c r="V399" s="2694" t="s">
        <v>1574</v>
      </c>
      <c r="W399" s="1809">
        <v>100</v>
      </c>
      <c r="X399" s="2694" t="s">
        <v>257</v>
      </c>
      <c r="Y399" s="2772"/>
      <c r="Z399" s="817"/>
      <c r="AA399" s="817"/>
      <c r="AB399" s="817" t="s">
        <v>17</v>
      </c>
      <c r="AC399" s="817" t="s">
        <v>7451</v>
      </c>
      <c r="AD399" s="2699"/>
      <c r="AG399" s="2662"/>
    </row>
    <row r="400" spans="1:33" ht="43.5" hidden="1" x14ac:dyDescent="0.35">
      <c r="A400" s="2486">
        <v>43935</v>
      </c>
      <c r="B400" s="2718">
        <v>14</v>
      </c>
      <c r="C400" s="7" t="s">
        <v>10587</v>
      </c>
      <c r="D400" s="2700" t="s">
        <v>10588</v>
      </c>
      <c r="E400" s="7" t="s">
        <v>10590</v>
      </c>
      <c r="F400" s="2740">
        <v>2</v>
      </c>
      <c r="G400" s="2741">
        <v>1</v>
      </c>
      <c r="H400" s="2741"/>
      <c r="I400" s="2741">
        <v>1</v>
      </c>
      <c r="J400" s="2741"/>
      <c r="K400" s="2741"/>
      <c r="L400" s="817"/>
      <c r="M400" s="817"/>
      <c r="N400" s="817"/>
      <c r="O400" s="817"/>
      <c r="P400" s="2486">
        <v>43938</v>
      </c>
      <c r="Q400" s="2828"/>
      <c r="R400" s="824" t="s">
        <v>10589</v>
      </c>
      <c r="S400" s="2770"/>
      <c r="T400" s="6" t="s">
        <v>15</v>
      </c>
      <c r="U400" s="2694">
        <v>0.48055555555555557</v>
      </c>
      <c r="V400" s="2694" t="s">
        <v>972</v>
      </c>
      <c r="W400" s="1809">
        <v>200</v>
      </c>
      <c r="X400" s="2694" t="s">
        <v>257</v>
      </c>
      <c r="Y400" s="2772"/>
      <c r="Z400" s="817"/>
      <c r="AA400" s="817"/>
      <c r="AB400" s="817" t="s">
        <v>17</v>
      </c>
      <c r="AC400" s="817" t="s">
        <v>7451</v>
      </c>
      <c r="AD400" s="2739"/>
      <c r="AG400" s="2662"/>
    </row>
    <row r="401" spans="1:33" ht="72.5" hidden="1" x14ac:dyDescent="0.35">
      <c r="A401" s="1899">
        <v>43925</v>
      </c>
      <c r="B401" s="2759">
        <v>27</v>
      </c>
      <c r="C401" s="7" t="s">
        <v>8038</v>
      </c>
      <c r="D401" s="2712" t="s">
        <v>9756</v>
      </c>
      <c r="E401" s="7" t="s">
        <v>8040</v>
      </c>
      <c r="F401" s="7">
        <v>2</v>
      </c>
      <c r="G401" s="7">
        <v>7</v>
      </c>
      <c r="H401" s="7"/>
      <c r="I401" s="7"/>
      <c r="J401" s="7"/>
      <c r="K401" s="7"/>
      <c r="L401" s="7"/>
      <c r="M401" s="7"/>
      <c r="N401" s="7"/>
      <c r="O401" s="7"/>
      <c r="P401" s="1899">
        <v>43938</v>
      </c>
      <c r="Q401" s="1899"/>
      <c r="R401" s="881" t="s">
        <v>8039</v>
      </c>
      <c r="S401" s="881" t="s">
        <v>8508</v>
      </c>
      <c r="T401" s="836" t="s">
        <v>15</v>
      </c>
      <c r="U401" s="836">
        <v>0.64027777777777783</v>
      </c>
      <c r="V401" s="836">
        <v>0.5</v>
      </c>
      <c r="W401" s="1100">
        <v>100</v>
      </c>
      <c r="X401" s="7" t="s">
        <v>10781</v>
      </c>
      <c r="Y401" s="2772"/>
      <c r="Z401" s="7"/>
      <c r="AA401" s="7"/>
      <c r="AB401" s="7" t="s">
        <v>17</v>
      </c>
      <c r="AC401" s="7" t="s">
        <v>2262</v>
      </c>
      <c r="AD401" s="2699"/>
      <c r="AG401" s="2662"/>
    </row>
    <row r="402" spans="1:33" ht="43.5" hidden="1" x14ac:dyDescent="0.35">
      <c r="A402" s="2769">
        <v>43931</v>
      </c>
      <c r="B402" s="2760">
        <v>25</v>
      </c>
      <c r="C402" s="817" t="s">
        <v>9257</v>
      </c>
      <c r="D402" s="2712" t="s">
        <v>9256</v>
      </c>
      <c r="E402" s="7" t="s">
        <v>9258</v>
      </c>
      <c r="F402" s="2682">
        <v>2</v>
      </c>
      <c r="G402" s="2682"/>
      <c r="H402" s="2682">
        <v>1</v>
      </c>
      <c r="I402" s="2682">
        <v>1</v>
      </c>
      <c r="J402" s="2682"/>
      <c r="K402" s="2682"/>
      <c r="L402" s="817"/>
      <c r="M402" s="817"/>
      <c r="N402" s="817"/>
      <c r="O402" s="817"/>
      <c r="P402" s="2769">
        <v>43938</v>
      </c>
      <c r="Q402" s="2769"/>
      <c r="R402" s="2770" t="s">
        <v>9259</v>
      </c>
      <c r="S402" s="2770"/>
      <c r="T402" s="2694" t="s">
        <v>15</v>
      </c>
      <c r="U402" s="2694">
        <v>0.57430555555555551</v>
      </c>
      <c r="V402" s="2694" t="s">
        <v>972</v>
      </c>
      <c r="W402" s="2680">
        <v>200</v>
      </c>
      <c r="X402" s="817" t="s">
        <v>2900</v>
      </c>
      <c r="Y402" s="2772"/>
      <c r="Z402" s="817"/>
      <c r="AA402" s="817"/>
      <c r="AB402" s="817" t="s">
        <v>17</v>
      </c>
      <c r="AC402" s="817" t="s">
        <v>7451</v>
      </c>
      <c r="AD402" s="2700" t="s">
        <v>9256</v>
      </c>
      <c r="AG402" s="2662"/>
    </row>
    <row r="403" spans="1:33" ht="43.5" hidden="1" x14ac:dyDescent="0.35">
      <c r="A403" s="2486">
        <v>43931</v>
      </c>
      <c r="B403" s="2718">
        <v>6</v>
      </c>
      <c r="C403" s="5" t="s">
        <v>9415</v>
      </c>
      <c r="D403" s="2700" t="s">
        <v>9414</v>
      </c>
      <c r="E403" s="5" t="s">
        <v>8107</v>
      </c>
      <c r="F403" s="5">
        <v>1</v>
      </c>
      <c r="G403" s="5"/>
      <c r="H403" s="5">
        <v>1</v>
      </c>
      <c r="I403" s="5"/>
      <c r="J403" s="5"/>
      <c r="K403" s="5"/>
      <c r="L403" s="817"/>
      <c r="M403" s="817"/>
      <c r="N403" s="817"/>
      <c r="O403" s="817"/>
      <c r="P403" s="2486">
        <v>43938</v>
      </c>
      <c r="Q403" s="2486"/>
      <c r="R403" s="2770" t="s">
        <v>9416</v>
      </c>
      <c r="S403" s="2737"/>
      <c r="T403" s="881" t="s">
        <v>15</v>
      </c>
      <c r="U403" s="2694">
        <v>0.41041666666666665</v>
      </c>
      <c r="V403" s="2694" t="s">
        <v>972</v>
      </c>
      <c r="W403" s="2680">
        <v>100</v>
      </c>
      <c r="X403" s="817" t="s">
        <v>2900</v>
      </c>
      <c r="Y403" s="2772"/>
      <c r="Z403" s="817"/>
      <c r="AA403" s="817"/>
      <c r="AB403" s="817" t="s">
        <v>17</v>
      </c>
      <c r="AC403" s="817" t="s">
        <v>7451</v>
      </c>
      <c r="AD403" s="2700" t="s">
        <v>9414</v>
      </c>
      <c r="AG403" s="2662"/>
    </row>
    <row r="404" spans="1:33" ht="43.5" hidden="1" x14ac:dyDescent="0.35">
      <c r="A404" s="2828">
        <v>43931</v>
      </c>
      <c r="B404" s="2760">
        <v>2</v>
      </c>
      <c r="C404" s="817" t="s">
        <v>9254</v>
      </c>
      <c r="D404" s="2712" t="s">
        <v>9253</v>
      </c>
      <c r="E404" s="7" t="s">
        <v>8553</v>
      </c>
      <c r="F404" s="2682">
        <v>1</v>
      </c>
      <c r="G404" s="2682">
        <v>1</v>
      </c>
      <c r="H404" s="2682"/>
      <c r="I404" s="2682"/>
      <c r="J404" s="2682"/>
      <c r="K404" s="2682"/>
      <c r="L404" s="817"/>
      <c r="M404" s="817"/>
      <c r="N404" s="817"/>
      <c r="O404" s="817"/>
      <c r="P404" s="2828">
        <v>43938</v>
      </c>
      <c r="Q404" s="2828"/>
      <c r="R404" s="2829" t="s">
        <v>9255</v>
      </c>
      <c r="S404" s="2770"/>
      <c r="T404" s="2694" t="s">
        <v>15</v>
      </c>
      <c r="U404" s="2694">
        <v>0.38263888888888892</v>
      </c>
      <c r="V404" s="2694" t="s">
        <v>972</v>
      </c>
      <c r="W404" s="2680">
        <v>100</v>
      </c>
      <c r="X404" s="817" t="s">
        <v>2900</v>
      </c>
      <c r="Y404" s="2772"/>
      <c r="Z404" s="817"/>
      <c r="AA404" s="817"/>
      <c r="AB404" s="817" t="s">
        <v>17</v>
      </c>
      <c r="AC404" s="817" t="s">
        <v>7451</v>
      </c>
      <c r="AD404" s="2700" t="s">
        <v>9253</v>
      </c>
      <c r="AG404" s="2662"/>
    </row>
    <row r="405" spans="1:33" ht="43.5" hidden="1" x14ac:dyDescent="0.35">
      <c r="A405" s="2486">
        <v>43931</v>
      </c>
      <c r="B405" s="2718">
        <v>11</v>
      </c>
      <c r="C405" s="5" t="s">
        <v>9354</v>
      </c>
      <c r="D405" s="2700" t="s">
        <v>9353</v>
      </c>
      <c r="E405" s="5" t="s">
        <v>8553</v>
      </c>
      <c r="F405" s="5">
        <v>1</v>
      </c>
      <c r="G405" s="5">
        <v>1</v>
      </c>
      <c r="H405" s="5"/>
      <c r="I405" s="5"/>
      <c r="J405" s="5"/>
      <c r="K405" s="5"/>
      <c r="L405" s="817"/>
      <c r="M405" s="817"/>
      <c r="N405" s="817"/>
      <c r="O405" s="817"/>
      <c r="P405" s="2486">
        <v>43938</v>
      </c>
      <c r="Q405" s="2486"/>
      <c r="R405" s="2829" t="s">
        <v>9359</v>
      </c>
      <c r="S405" s="2770"/>
      <c r="T405" s="881" t="s">
        <v>15</v>
      </c>
      <c r="U405" s="2694">
        <v>0.4597222222222222</v>
      </c>
      <c r="V405" s="2694" t="s">
        <v>972</v>
      </c>
      <c r="W405" s="2680">
        <v>100</v>
      </c>
      <c r="X405" s="817" t="s">
        <v>2900</v>
      </c>
      <c r="Y405" s="2772"/>
      <c r="Z405" s="817"/>
      <c r="AA405" s="817"/>
      <c r="AB405" s="817" t="s">
        <v>17</v>
      </c>
      <c r="AC405" s="817" t="s">
        <v>7451</v>
      </c>
      <c r="AD405" s="2700" t="s">
        <v>9353</v>
      </c>
      <c r="AG405" s="2662"/>
    </row>
    <row r="406" spans="1:33" ht="29" hidden="1" x14ac:dyDescent="0.35">
      <c r="A406" s="2769">
        <v>43927</v>
      </c>
      <c r="B406" s="2760">
        <v>28</v>
      </c>
      <c r="C406" s="817" t="s">
        <v>8246</v>
      </c>
      <c r="D406" s="2712" t="s">
        <v>9946</v>
      </c>
      <c r="E406" s="817" t="s">
        <v>7935</v>
      </c>
      <c r="F406" s="5">
        <v>1</v>
      </c>
      <c r="G406" s="5">
        <v>1</v>
      </c>
      <c r="H406" s="5"/>
      <c r="I406" s="5"/>
      <c r="J406" s="5"/>
      <c r="K406" s="5"/>
      <c r="L406" s="817"/>
      <c r="M406" s="817"/>
      <c r="N406" s="817"/>
      <c r="O406" s="817"/>
      <c r="P406" s="2769">
        <v>43938</v>
      </c>
      <c r="Q406" s="2769"/>
      <c r="R406" s="2770" t="s">
        <v>8338</v>
      </c>
      <c r="S406" s="2770" t="s">
        <v>8293</v>
      </c>
      <c r="T406" s="2694" t="s">
        <v>15</v>
      </c>
      <c r="U406" s="2694">
        <v>0.61875000000000002</v>
      </c>
      <c r="V406" s="2694" t="s">
        <v>3213</v>
      </c>
      <c r="W406" s="1809">
        <v>100</v>
      </c>
      <c r="X406" s="817" t="s">
        <v>257</v>
      </c>
      <c r="Y406" s="2772"/>
      <c r="Z406" s="817"/>
      <c r="AA406" s="817"/>
      <c r="AB406" s="817" t="s">
        <v>17</v>
      </c>
      <c r="AC406" s="817" t="s">
        <v>7451</v>
      </c>
      <c r="AD406" s="2699"/>
      <c r="AG406" s="2662"/>
    </row>
    <row r="407" spans="1:33" ht="58" hidden="1" x14ac:dyDescent="0.35">
      <c r="A407" s="2486">
        <v>43923</v>
      </c>
      <c r="B407" s="2718">
        <v>7</v>
      </c>
      <c r="C407" s="5" t="s">
        <v>7766</v>
      </c>
      <c r="D407" s="2712" t="s">
        <v>9913</v>
      </c>
      <c r="E407" s="5" t="s">
        <v>7506</v>
      </c>
      <c r="F407" s="5">
        <v>1</v>
      </c>
      <c r="G407" s="5">
        <v>1</v>
      </c>
      <c r="H407" s="5"/>
      <c r="I407" s="5"/>
      <c r="J407" s="5"/>
      <c r="K407" s="5"/>
      <c r="L407" s="5"/>
      <c r="M407" s="5"/>
      <c r="N407" s="5"/>
      <c r="O407" s="5"/>
      <c r="P407" s="2486">
        <v>43938</v>
      </c>
      <c r="Q407" s="2486"/>
      <c r="R407" s="824" t="s">
        <v>7767</v>
      </c>
      <c r="S407" s="824"/>
      <c r="T407" s="6" t="s">
        <v>15</v>
      </c>
      <c r="U407" s="2694">
        <v>0.41597222222222219</v>
      </c>
      <c r="V407" s="2694" t="s">
        <v>3213</v>
      </c>
      <c r="W407" s="1956">
        <v>100</v>
      </c>
      <c r="X407" s="2694" t="s">
        <v>7682</v>
      </c>
      <c r="Y407" s="2772"/>
      <c r="Z407" s="2694"/>
      <c r="AA407" s="2694"/>
      <c r="AB407" s="817" t="s">
        <v>17</v>
      </c>
      <c r="AC407" s="817" t="s">
        <v>7451</v>
      </c>
      <c r="AD407" s="2699"/>
      <c r="AG407" s="2662"/>
    </row>
    <row r="408" spans="1:33" ht="43.5" hidden="1" x14ac:dyDescent="0.35">
      <c r="A408" s="2486">
        <v>43928</v>
      </c>
      <c r="B408" s="2718">
        <v>7</v>
      </c>
      <c r="C408" s="5" t="s">
        <v>8558</v>
      </c>
      <c r="D408" s="2712" t="s">
        <v>9836</v>
      </c>
      <c r="E408" s="5" t="s">
        <v>8559</v>
      </c>
      <c r="F408" s="2718">
        <v>1</v>
      </c>
      <c r="G408" s="5">
        <v>1</v>
      </c>
      <c r="H408" s="5">
        <v>1</v>
      </c>
      <c r="I408" s="5"/>
      <c r="J408" s="5"/>
      <c r="K408" s="5"/>
      <c r="L408" s="817"/>
      <c r="M408" s="817"/>
      <c r="N408" s="817"/>
      <c r="O408" s="817"/>
      <c r="P408" s="2486">
        <v>43938</v>
      </c>
      <c r="Q408" s="2486"/>
      <c r="R408" s="824" t="s">
        <v>8591</v>
      </c>
      <c r="S408" s="824"/>
      <c r="T408" s="6" t="s">
        <v>15</v>
      </c>
      <c r="U408" s="6">
        <v>0.43541666666666662</v>
      </c>
      <c r="V408" s="6" t="s">
        <v>3213</v>
      </c>
      <c r="W408" s="1630">
        <v>165</v>
      </c>
      <c r="X408" s="5" t="s">
        <v>8592</v>
      </c>
      <c r="Y408" s="2772"/>
      <c r="Z408" s="5"/>
      <c r="AA408" s="5"/>
      <c r="AB408" s="5" t="s">
        <v>17</v>
      </c>
      <c r="AC408" s="5" t="s">
        <v>7451</v>
      </c>
      <c r="AD408" s="2699"/>
      <c r="AG408" s="2662"/>
    </row>
    <row r="409" spans="1:33" ht="58" hidden="1" x14ac:dyDescent="0.35">
      <c r="A409" s="2486">
        <v>43928</v>
      </c>
      <c r="B409" s="2718">
        <v>5</v>
      </c>
      <c r="C409" s="5" t="s">
        <v>8558</v>
      </c>
      <c r="D409" s="2712" t="s">
        <v>9836</v>
      </c>
      <c r="E409" s="5" t="s">
        <v>8559</v>
      </c>
      <c r="F409" s="2679">
        <v>1</v>
      </c>
      <c r="G409" s="5">
        <v>1</v>
      </c>
      <c r="H409" s="5">
        <v>1</v>
      </c>
      <c r="I409" s="5"/>
      <c r="J409" s="5"/>
      <c r="K409" s="5"/>
      <c r="L409" s="817"/>
      <c r="M409" s="817"/>
      <c r="N409" s="817"/>
      <c r="O409" s="817"/>
      <c r="P409" s="2486">
        <v>43938</v>
      </c>
      <c r="Q409" s="2486"/>
      <c r="R409" s="824" t="s">
        <v>8593</v>
      </c>
      <c r="S409" s="824"/>
      <c r="T409" s="6" t="s">
        <v>15</v>
      </c>
      <c r="U409" s="6">
        <v>0.39999999999999997</v>
      </c>
      <c r="V409" s="6" t="s">
        <v>3213</v>
      </c>
      <c r="W409" s="1630">
        <v>165</v>
      </c>
      <c r="X409" s="5" t="s">
        <v>8592</v>
      </c>
      <c r="Y409" s="2772"/>
      <c r="Z409" s="5"/>
      <c r="AA409" s="5"/>
      <c r="AB409" s="5" t="s">
        <v>17</v>
      </c>
      <c r="AC409" s="5" t="s">
        <v>7451</v>
      </c>
      <c r="AD409" s="2696"/>
      <c r="AG409" s="2662"/>
    </row>
    <row r="410" spans="1:33" ht="43.5" hidden="1" x14ac:dyDescent="0.35">
      <c r="A410" s="2486">
        <v>43930</v>
      </c>
      <c r="B410" s="2718">
        <v>25</v>
      </c>
      <c r="C410" s="5" t="s">
        <v>8778</v>
      </c>
      <c r="D410" s="2712" t="s">
        <v>9898</v>
      </c>
      <c r="E410" s="7" t="s">
        <v>8779</v>
      </c>
      <c r="F410" s="2686">
        <v>3</v>
      </c>
      <c r="G410" s="2682">
        <v>1</v>
      </c>
      <c r="H410" s="2682"/>
      <c r="I410" s="2682"/>
      <c r="J410" s="2682"/>
      <c r="K410" s="2682"/>
      <c r="L410" s="817"/>
      <c r="M410" s="817"/>
      <c r="N410" s="817"/>
      <c r="O410" s="817"/>
      <c r="P410" s="2486">
        <v>43938</v>
      </c>
      <c r="Q410" s="2486"/>
      <c r="R410" s="824" t="s">
        <v>8780</v>
      </c>
      <c r="S410" s="2770"/>
      <c r="T410" s="6" t="s">
        <v>15</v>
      </c>
      <c r="U410" s="2694">
        <v>0.57500000000000007</v>
      </c>
      <c r="V410" s="2694" t="s">
        <v>972</v>
      </c>
      <c r="W410" s="1809">
        <v>200</v>
      </c>
      <c r="X410" s="836" t="s">
        <v>257</v>
      </c>
      <c r="Y410" s="2772"/>
      <c r="Z410" s="817"/>
      <c r="AA410" s="817"/>
      <c r="AB410" s="7" t="s">
        <v>17</v>
      </c>
      <c r="AC410" s="817" t="s">
        <v>7451</v>
      </c>
      <c r="AD410" s="2700"/>
      <c r="AG410" s="2662"/>
    </row>
    <row r="411" spans="1:33" ht="58" hidden="1" x14ac:dyDescent="0.35">
      <c r="A411" s="2769">
        <v>43931</v>
      </c>
      <c r="B411" s="2760">
        <v>29</v>
      </c>
      <c r="C411" s="817" t="s">
        <v>9247</v>
      </c>
      <c r="D411" s="2712" t="s">
        <v>9246</v>
      </c>
      <c r="E411" s="7" t="s">
        <v>8553</v>
      </c>
      <c r="F411" s="2682">
        <v>1</v>
      </c>
      <c r="G411" s="2682">
        <v>1</v>
      </c>
      <c r="H411" s="2682"/>
      <c r="I411" s="2682"/>
      <c r="J411" s="2682"/>
      <c r="K411" s="2682"/>
      <c r="L411" s="817"/>
      <c r="M411" s="817"/>
      <c r="N411" s="817"/>
      <c r="O411" s="817"/>
      <c r="P411" s="2769">
        <v>43938</v>
      </c>
      <c r="Q411" s="2769"/>
      <c r="R411" s="2770" t="s">
        <v>9248</v>
      </c>
      <c r="S411" s="2770"/>
      <c r="T411" s="2694" t="s">
        <v>15</v>
      </c>
      <c r="U411" s="2694">
        <v>0.6020833333333333</v>
      </c>
      <c r="V411" s="2694" t="s">
        <v>972</v>
      </c>
      <c r="W411" s="1956">
        <v>100</v>
      </c>
      <c r="X411" s="817" t="s">
        <v>8625</v>
      </c>
      <c r="Y411" s="2772"/>
      <c r="Z411" s="817"/>
      <c r="AA411" s="817"/>
      <c r="AB411" s="817" t="s">
        <v>17</v>
      </c>
      <c r="AC411" s="817" t="s">
        <v>7451</v>
      </c>
      <c r="AD411" s="2700" t="s">
        <v>9246</v>
      </c>
      <c r="AG411" s="2662"/>
    </row>
    <row r="412" spans="1:33" ht="58" hidden="1" x14ac:dyDescent="0.35">
      <c r="A412" s="2486">
        <v>43924</v>
      </c>
      <c r="B412" s="2718">
        <v>9</v>
      </c>
      <c r="C412" s="5" t="s">
        <v>7904</v>
      </c>
      <c r="D412" s="2712" t="s">
        <v>10142</v>
      </c>
      <c r="E412" s="817" t="s">
        <v>7905</v>
      </c>
      <c r="F412" s="5">
        <v>2</v>
      </c>
      <c r="G412" s="5">
        <v>3</v>
      </c>
      <c r="H412" s="5"/>
      <c r="I412" s="5"/>
      <c r="J412" s="5"/>
      <c r="K412" s="5"/>
      <c r="L412" s="5"/>
      <c r="M412" s="5"/>
      <c r="N412" s="5"/>
      <c r="O412" s="5"/>
      <c r="P412" s="2486">
        <v>43938</v>
      </c>
      <c r="Q412" s="2486"/>
      <c r="R412" s="824" t="s">
        <v>7903</v>
      </c>
      <c r="S412" s="824"/>
      <c r="T412" s="6" t="s">
        <v>15</v>
      </c>
      <c r="U412" s="2694">
        <v>0.43541666666666662</v>
      </c>
      <c r="V412" s="2694" t="s">
        <v>972</v>
      </c>
      <c r="W412" s="1809">
        <v>250</v>
      </c>
      <c r="X412" s="817" t="s">
        <v>257</v>
      </c>
      <c r="Y412" s="2772"/>
      <c r="Z412" s="817"/>
      <c r="AA412" s="817"/>
      <c r="AB412" s="817" t="s">
        <v>17</v>
      </c>
      <c r="AC412" s="817" t="s">
        <v>7451</v>
      </c>
      <c r="AD412" s="2699"/>
      <c r="AG412" s="2662"/>
    </row>
    <row r="413" spans="1:33" ht="43.5" hidden="1" x14ac:dyDescent="0.35">
      <c r="A413" s="2486">
        <v>43925</v>
      </c>
      <c r="B413" s="2718">
        <v>5</v>
      </c>
      <c r="C413" s="7" t="s">
        <v>8044</v>
      </c>
      <c r="D413" s="2712" t="s">
        <v>10187</v>
      </c>
      <c r="E413" s="817" t="s">
        <v>8047</v>
      </c>
      <c r="F413" s="5">
        <v>1</v>
      </c>
      <c r="G413" s="5">
        <v>1</v>
      </c>
      <c r="H413" s="5">
        <v>1</v>
      </c>
      <c r="I413" s="5"/>
      <c r="J413" s="5"/>
      <c r="K413" s="5"/>
      <c r="L413" s="5"/>
      <c r="M413" s="5"/>
      <c r="N413" s="5"/>
      <c r="O413" s="5"/>
      <c r="P413" s="2486">
        <v>43938</v>
      </c>
      <c r="Q413" s="2486"/>
      <c r="R413" s="824" t="s">
        <v>8515</v>
      </c>
      <c r="S413" s="824" t="s">
        <v>8272</v>
      </c>
      <c r="T413" s="2694">
        <v>0.35416666666666669</v>
      </c>
      <c r="U413" s="2694">
        <v>0.39583333333333331</v>
      </c>
      <c r="V413" s="2694" t="s">
        <v>15</v>
      </c>
      <c r="W413" s="2783">
        <v>100</v>
      </c>
      <c r="X413" s="817" t="s">
        <v>10837</v>
      </c>
      <c r="Y413" s="2772"/>
      <c r="Z413" s="817"/>
      <c r="AA413" s="817"/>
      <c r="AB413" s="817" t="s">
        <v>17</v>
      </c>
      <c r="AC413" s="817" t="s">
        <v>7451</v>
      </c>
      <c r="AD413" s="2696" t="s">
        <v>8773</v>
      </c>
      <c r="AG413" s="2662"/>
    </row>
    <row r="414" spans="1:33" ht="29" hidden="1" x14ac:dyDescent="0.35">
      <c r="A414" s="2486">
        <v>43929</v>
      </c>
      <c r="B414" s="2718">
        <v>13</v>
      </c>
      <c r="C414" s="5" t="s">
        <v>8686</v>
      </c>
      <c r="D414" s="2712" t="s">
        <v>10177</v>
      </c>
      <c r="E414" s="7" t="s">
        <v>8622</v>
      </c>
      <c r="F414" s="2686">
        <v>1</v>
      </c>
      <c r="G414" s="2682">
        <v>1</v>
      </c>
      <c r="H414" s="2682"/>
      <c r="I414" s="2682"/>
      <c r="J414" s="2682"/>
      <c r="K414" s="2682"/>
      <c r="L414" s="817"/>
      <c r="M414" s="817"/>
      <c r="N414" s="817"/>
      <c r="O414" s="817"/>
      <c r="P414" s="2486">
        <v>43938</v>
      </c>
      <c r="Q414" s="2486"/>
      <c r="R414" s="824" t="s">
        <v>8685</v>
      </c>
      <c r="S414" s="2829"/>
      <c r="T414" s="6" t="s">
        <v>15</v>
      </c>
      <c r="U414" s="2694">
        <v>0.46875</v>
      </c>
      <c r="V414" s="2694" t="s">
        <v>972</v>
      </c>
      <c r="W414" s="1809">
        <v>100</v>
      </c>
      <c r="X414" s="836" t="s">
        <v>257</v>
      </c>
      <c r="Y414" s="2772"/>
      <c r="Z414" s="817"/>
      <c r="AA414" s="817"/>
      <c r="AB414" s="7" t="s">
        <v>17</v>
      </c>
      <c r="AC414" s="817" t="s">
        <v>7451</v>
      </c>
      <c r="AD414" s="2696" t="s">
        <v>1710</v>
      </c>
      <c r="AG414" s="2662"/>
    </row>
    <row r="415" spans="1:33" ht="43.5" hidden="1" x14ac:dyDescent="0.35">
      <c r="A415" s="2828">
        <v>43938</v>
      </c>
      <c r="B415" s="2759">
        <v>26</v>
      </c>
      <c r="C415" s="7" t="s">
        <v>9640</v>
      </c>
      <c r="D415" s="2707" t="s">
        <v>10798</v>
      </c>
      <c r="E415" s="2776" t="s">
        <v>10800</v>
      </c>
      <c r="F415" s="2741"/>
      <c r="G415" s="2741"/>
      <c r="H415" s="2741"/>
      <c r="I415" s="2741"/>
      <c r="J415" s="2741"/>
      <c r="K415" s="5"/>
      <c r="L415" s="817"/>
      <c r="M415" s="817"/>
      <c r="N415" s="817"/>
      <c r="O415" s="817"/>
      <c r="P415" s="1899">
        <v>43938</v>
      </c>
      <c r="Q415" s="2828"/>
      <c r="R415" s="2706" t="s">
        <v>10799</v>
      </c>
      <c r="S415" s="2829"/>
      <c r="T415" s="2694" t="s">
        <v>15</v>
      </c>
      <c r="U415" s="2771">
        <v>0.61805555555555558</v>
      </c>
      <c r="V415" s="2771"/>
      <c r="W415" s="1809">
        <v>170</v>
      </c>
      <c r="X415" s="817" t="s">
        <v>257</v>
      </c>
      <c r="Y415" s="2717"/>
      <c r="Z415" s="817"/>
      <c r="AA415" s="817"/>
      <c r="AB415" s="2744"/>
      <c r="AC415" s="2744"/>
      <c r="AD415" s="2739"/>
      <c r="AG415" s="2662"/>
    </row>
    <row r="416" spans="1:33" ht="58" hidden="1" x14ac:dyDescent="0.35">
      <c r="A416" s="1899">
        <v>43930</v>
      </c>
      <c r="B416" s="2759">
        <v>15</v>
      </c>
      <c r="C416" s="7" t="s">
        <v>8894</v>
      </c>
      <c r="D416" s="2712" t="s">
        <v>10186</v>
      </c>
      <c r="E416" s="817" t="s">
        <v>7935</v>
      </c>
      <c r="F416" s="7">
        <v>1</v>
      </c>
      <c r="G416" s="7">
        <v>1</v>
      </c>
      <c r="H416" s="7"/>
      <c r="I416" s="7"/>
      <c r="J416" s="7"/>
      <c r="K416" s="7"/>
      <c r="L416" s="817"/>
      <c r="M416" s="817"/>
      <c r="N416" s="817"/>
      <c r="O416" s="817"/>
      <c r="P416" s="1899">
        <v>43938</v>
      </c>
      <c r="Q416" s="1899"/>
      <c r="R416" s="881" t="s">
        <v>8893</v>
      </c>
      <c r="S416" s="2829"/>
      <c r="T416" s="2694" t="s">
        <v>15</v>
      </c>
      <c r="U416" s="2694">
        <v>0.4916666666666667</v>
      </c>
      <c r="V416" s="2694" t="s">
        <v>972</v>
      </c>
      <c r="W416" s="1809">
        <v>100</v>
      </c>
      <c r="X416" s="817" t="s">
        <v>257</v>
      </c>
      <c r="Y416" s="2772"/>
      <c r="Z416" s="2694"/>
      <c r="AA416" s="2694"/>
      <c r="AB416" s="817" t="s">
        <v>17</v>
      </c>
      <c r="AC416" s="817" t="s">
        <v>7451</v>
      </c>
      <c r="AD416" s="2696"/>
      <c r="AG416" s="2662"/>
    </row>
    <row r="417" spans="1:33" ht="43.5" hidden="1" x14ac:dyDescent="0.35">
      <c r="A417" s="2828">
        <v>43931</v>
      </c>
      <c r="B417" s="2760">
        <v>5</v>
      </c>
      <c r="C417" s="817" t="s">
        <v>9006</v>
      </c>
      <c r="D417" s="2712" t="s">
        <v>10168</v>
      </c>
      <c r="E417" s="7" t="s">
        <v>9007</v>
      </c>
      <c r="F417" s="5">
        <v>1</v>
      </c>
      <c r="G417" s="5">
        <v>2</v>
      </c>
      <c r="H417" s="5"/>
      <c r="I417" s="5"/>
      <c r="J417" s="5"/>
      <c r="K417" s="5"/>
      <c r="L417" s="817"/>
      <c r="M417" s="817"/>
      <c r="N417" s="817"/>
      <c r="O417" s="817"/>
      <c r="P417" s="2828">
        <v>43938</v>
      </c>
      <c r="Q417" s="2828"/>
      <c r="R417" s="2829" t="s">
        <v>9005</v>
      </c>
      <c r="S417" s="2770"/>
      <c r="T417" s="2694" t="s">
        <v>15</v>
      </c>
      <c r="U417" s="2694">
        <v>0.40486111111111112</v>
      </c>
      <c r="V417" s="2694" t="s">
        <v>972</v>
      </c>
      <c r="W417" s="2680">
        <v>150</v>
      </c>
      <c r="X417" s="817" t="s">
        <v>2900</v>
      </c>
      <c r="Y417" s="2772"/>
      <c r="Z417" s="817"/>
      <c r="AA417" s="817"/>
      <c r="AB417" s="817" t="s">
        <v>17</v>
      </c>
      <c r="AC417" s="817" t="s">
        <v>7451</v>
      </c>
      <c r="AD417" s="2696"/>
      <c r="AG417" s="2662"/>
    </row>
    <row r="418" spans="1:33" ht="43.5" hidden="1" x14ac:dyDescent="0.35">
      <c r="A418" s="1899">
        <v>43931</v>
      </c>
      <c r="B418" s="2759">
        <v>7</v>
      </c>
      <c r="C418" s="7" t="s">
        <v>9028</v>
      </c>
      <c r="D418" s="2712" t="s">
        <v>10172</v>
      </c>
      <c r="E418" s="7" t="s">
        <v>8553</v>
      </c>
      <c r="F418" s="7">
        <v>1</v>
      </c>
      <c r="G418" s="7">
        <v>1</v>
      </c>
      <c r="H418" s="7"/>
      <c r="I418" s="7"/>
      <c r="J418" s="7"/>
      <c r="K418" s="7"/>
      <c r="L418" s="817"/>
      <c r="M418" s="817"/>
      <c r="N418" s="817"/>
      <c r="O418" s="817"/>
      <c r="P418" s="1899">
        <v>43938</v>
      </c>
      <c r="Q418" s="1899"/>
      <c r="R418" s="881" t="s">
        <v>9027</v>
      </c>
      <c r="S418" s="2770"/>
      <c r="T418" s="2694">
        <v>0.35416666666666669</v>
      </c>
      <c r="U418" s="2694">
        <v>0.4152777777777778</v>
      </c>
      <c r="V418" s="2694" t="s">
        <v>972</v>
      </c>
      <c r="W418" s="1956">
        <v>100</v>
      </c>
      <c r="X418" s="817" t="s">
        <v>257</v>
      </c>
      <c r="Y418" s="2772"/>
      <c r="Z418" s="817"/>
      <c r="AA418" s="817"/>
      <c r="AB418" s="817" t="s">
        <v>17</v>
      </c>
      <c r="AC418" s="817" t="s">
        <v>7451</v>
      </c>
      <c r="AD418" s="2696"/>
      <c r="AG418" s="2711"/>
    </row>
    <row r="419" spans="1:33" ht="58" hidden="1" x14ac:dyDescent="0.35">
      <c r="A419" s="2828">
        <v>43927</v>
      </c>
      <c r="B419" s="2760">
        <v>15</v>
      </c>
      <c r="C419" s="817" t="s">
        <v>8187</v>
      </c>
      <c r="D419" s="2712" t="s">
        <v>10180</v>
      </c>
      <c r="E419" s="817" t="s">
        <v>8188</v>
      </c>
      <c r="F419" s="5">
        <v>1</v>
      </c>
      <c r="G419" s="5">
        <v>1</v>
      </c>
      <c r="H419" s="5">
        <v>1</v>
      </c>
      <c r="I419" s="5">
        <v>1</v>
      </c>
      <c r="J419" s="5"/>
      <c r="K419" s="5"/>
      <c r="L419" s="817"/>
      <c r="M419" s="817"/>
      <c r="N419" s="817"/>
      <c r="O419" s="817"/>
      <c r="P419" s="2828">
        <v>43938</v>
      </c>
      <c r="Q419" s="2828"/>
      <c r="R419" s="2829" t="s">
        <v>8287</v>
      </c>
      <c r="S419" s="2829"/>
      <c r="T419" s="2694">
        <v>0.35416666666666669</v>
      </c>
      <c r="U419" s="2694">
        <v>0.4861111111111111</v>
      </c>
      <c r="V419" s="2694" t="s">
        <v>972</v>
      </c>
      <c r="W419" s="1809">
        <v>200</v>
      </c>
      <c r="X419" s="817" t="s">
        <v>257</v>
      </c>
      <c r="Y419" s="2772"/>
      <c r="Z419" s="817"/>
      <c r="AA419" s="817"/>
      <c r="AB419" s="817" t="s">
        <v>17</v>
      </c>
      <c r="AC419" s="817" t="s">
        <v>7451</v>
      </c>
      <c r="AD419" s="2696" t="s">
        <v>8773</v>
      </c>
      <c r="AG419" s="2711"/>
    </row>
    <row r="420" spans="1:33" ht="29" hidden="1" x14ac:dyDescent="0.35">
      <c r="A420" s="2828">
        <v>43927</v>
      </c>
      <c r="B420" s="2760">
        <v>32</v>
      </c>
      <c r="C420" s="817" t="s">
        <v>8175</v>
      </c>
      <c r="D420" s="2712" t="s">
        <v>10181</v>
      </c>
      <c r="E420" s="817" t="s">
        <v>7935</v>
      </c>
      <c r="F420" s="5">
        <v>1</v>
      </c>
      <c r="G420" s="5">
        <v>1</v>
      </c>
      <c r="H420" s="5"/>
      <c r="I420" s="5"/>
      <c r="J420" s="5"/>
      <c r="K420" s="5"/>
      <c r="L420" s="817"/>
      <c r="M420" s="817"/>
      <c r="N420" s="817"/>
      <c r="O420" s="817"/>
      <c r="P420" s="2828">
        <v>43938</v>
      </c>
      <c r="Q420" s="2828"/>
      <c r="R420" s="2829" t="s">
        <v>8276</v>
      </c>
      <c r="S420" s="2829"/>
      <c r="T420" s="2694" t="s">
        <v>15</v>
      </c>
      <c r="U420" s="2694">
        <v>0.63124999999999998</v>
      </c>
      <c r="V420" s="2694" t="s">
        <v>972</v>
      </c>
      <c r="W420" s="1809">
        <v>100</v>
      </c>
      <c r="X420" s="817" t="s">
        <v>257</v>
      </c>
      <c r="Y420" s="2772"/>
      <c r="Z420" s="817"/>
      <c r="AA420" s="817"/>
      <c r="AB420" s="817" t="s">
        <v>17</v>
      </c>
      <c r="AC420" s="817" t="s">
        <v>7451</v>
      </c>
      <c r="AD420" s="2696" t="s">
        <v>1710</v>
      </c>
      <c r="AG420" s="2711"/>
    </row>
    <row r="421" spans="1:33" ht="43.5" hidden="1" x14ac:dyDescent="0.35">
      <c r="A421" s="2828">
        <v>43937</v>
      </c>
      <c r="B421" s="2760">
        <v>12</v>
      </c>
      <c r="C421" s="817" t="s">
        <v>8353</v>
      </c>
      <c r="D421" s="2712" t="s">
        <v>10178</v>
      </c>
      <c r="E421" s="817" t="s">
        <v>10765</v>
      </c>
      <c r="F421" s="5">
        <v>1</v>
      </c>
      <c r="G421" s="5">
        <v>2</v>
      </c>
      <c r="H421" s="5"/>
      <c r="I421" s="5"/>
      <c r="J421" s="5"/>
      <c r="K421" s="5"/>
      <c r="L421" s="817"/>
      <c r="M421" s="817"/>
      <c r="N421" s="817"/>
      <c r="O421" s="817"/>
      <c r="P421" s="2828">
        <v>43938</v>
      </c>
      <c r="Q421" s="2828"/>
      <c r="R421" s="2829" t="s">
        <v>8354</v>
      </c>
      <c r="S421" s="2770"/>
      <c r="T421" s="2694" t="s">
        <v>15</v>
      </c>
      <c r="U421" s="2694">
        <v>0.46180555555555558</v>
      </c>
      <c r="V421" s="2694" t="s">
        <v>3213</v>
      </c>
      <c r="W421" s="1809">
        <v>165</v>
      </c>
      <c r="X421" s="817" t="s">
        <v>257</v>
      </c>
      <c r="Y421" s="2772"/>
      <c r="Z421" s="817"/>
      <c r="AA421" s="817"/>
      <c r="AB421" s="817" t="s">
        <v>17</v>
      </c>
      <c r="AC421" s="817" t="s">
        <v>7451</v>
      </c>
      <c r="AD421" s="2696" t="s">
        <v>8773</v>
      </c>
      <c r="AG421" s="2711"/>
    </row>
    <row r="422" spans="1:33" ht="29" hidden="1" x14ac:dyDescent="0.35">
      <c r="A422" s="2769">
        <v>43927</v>
      </c>
      <c r="B422" s="2760">
        <v>2</v>
      </c>
      <c r="C422" s="817" t="s">
        <v>8189</v>
      </c>
      <c r="D422" s="2712" t="s">
        <v>10188</v>
      </c>
      <c r="E422" s="817" t="s">
        <v>8107</v>
      </c>
      <c r="F422" s="5">
        <v>1</v>
      </c>
      <c r="G422" s="5"/>
      <c r="H422" s="5">
        <v>1</v>
      </c>
      <c r="I422" s="5"/>
      <c r="J422" s="5"/>
      <c r="K422" s="5"/>
      <c r="L422" s="817"/>
      <c r="M422" s="817"/>
      <c r="N422" s="817"/>
      <c r="O422" s="817"/>
      <c r="P422" s="2828">
        <v>43938</v>
      </c>
      <c r="Q422" s="2769"/>
      <c r="R422" s="2829" t="s">
        <v>8288</v>
      </c>
      <c r="S422" s="2770" t="s">
        <v>8289</v>
      </c>
      <c r="T422" s="2694" t="s">
        <v>15</v>
      </c>
      <c r="U422" s="2694">
        <v>0.37361111111111112</v>
      </c>
      <c r="V422" s="2694" t="s">
        <v>972</v>
      </c>
      <c r="W422" s="1809">
        <v>100</v>
      </c>
      <c r="X422" s="817" t="s">
        <v>257</v>
      </c>
      <c r="Y422" s="2772"/>
      <c r="Z422" s="817"/>
      <c r="AA422" s="817"/>
      <c r="AB422" s="817" t="s">
        <v>17</v>
      </c>
      <c r="AC422" s="817" t="s">
        <v>7451</v>
      </c>
      <c r="AD422" s="2696" t="s">
        <v>8773</v>
      </c>
      <c r="AG422" s="2711"/>
    </row>
    <row r="423" spans="1:33" ht="29" hidden="1" x14ac:dyDescent="0.35">
      <c r="A423" s="2486">
        <v>43928</v>
      </c>
      <c r="B423" s="2718">
        <v>28</v>
      </c>
      <c r="C423" s="5" t="s">
        <v>8551</v>
      </c>
      <c r="D423" s="2712" t="s">
        <v>10193</v>
      </c>
      <c r="E423" s="5" t="s">
        <v>8553</v>
      </c>
      <c r="F423" s="2679">
        <v>1</v>
      </c>
      <c r="G423" s="5">
        <v>1</v>
      </c>
      <c r="H423" s="5"/>
      <c r="I423" s="5"/>
      <c r="J423" s="5"/>
      <c r="K423" s="5"/>
      <c r="L423" s="817"/>
      <c r="M423" s="817"/>
      <c r="N423" s="817"/>
      <c r="O423" s="817"/>
      <c r="P423" s="2486">
        <v>43938</v>
      </c>
      <c r="Q423" s="2486"/>
      <c r="R423" s="824" t="s">
        <v>8552</v>
      </c>
      <c r="S423" s="2770"/>
      <c r="T423" s="6" t="s">
        <v>15</v>
      </c>
      <c r="U423" s="2694">
        <v>0.64861111111111114</v>
      </c>
      <c r="V423" s="2694" t="s">
        <v>3213</v>
      </c>
      <c r="W423" s="1809">
        <v>100</v>
      </c>
      <c r="X423" s="2694" t="s">
        <v>257</v>
      </c>
      <c r="Y423" s="2772"/>
      <c r="Z423" s="2694"/>
      <c r="AA423" s="2694"/>
      <c r="AB423" s="817" t="s">
        <v>17</v>
      </c>
      <c r="AC423" s="817" t="s">
        <v>7451</v>
      </c>
      <c r="AD423" s="2696" t="s">
        <v>8773</v>
      </c>
      <c r="AG423" s="2711"/>
    </row>
    <row r="424" spans="1:33" ht="29" hidden="1" x14ac:dyDescent="0.35">
      <c r="A424" s="1899">
        <v>43931</v>
      </c>
      <c r="B424" s="2718">
        <v>14</v>
      </c>
      <c r="C424" s="7" t="s">
        <v>9389</v>
      </c>
      <c r="D424" s="2712" t="s">
        <v>10211</v>
      </c>
      <c r="E424" s="7" t="s">
        <v>8553</v>
      </c>
      <c r="F424" s="7">
        <v>1</v>
      </c>
      <c r="G424" s="7">
        <v>1</v>
      </c>
      <c r="H424" s="7"/>
      <c r="I424" s="7"/>
      <c r="J424" s="7"/>
      <c r="K424" s="7"/>
      <c r="L424" s="817"/>
      <c r="M424" s="817"/>
      <c r="N424" s="817"/>
      <c r="O424" s="817"/>
      <c r="P424" s="1899">
        <v>43938</v>
      </c>
      <c r="Q424" s="1899"/>
      <c r="R424" s="881" t="s">
        <v>9388</v>
      </c>
      <c r="S424" s="2770"/>
      <c r="T424" s="2694" t="s">
        <v>15</v>
      </c>
      <c r="U424" s="2694">
        <v>0.48888888888888887</v>
      </c>
      <c r="V424" s="2694" t="s">
        <v>972</v>
      </c>
      <c r="W424" s="2681">
        <v>100</v>
      </c>
      <c r="X424" s="817" t="s">
        <v>257</v>
      </c>
      <c r="Y424" s="2717"/>
      <c r="Z424" s="7"/>
      <c r="AA424" s="7"/>
      <c r="AB424" s="7" t="s">
        <v>17</v>
      </c>
      <c r="AC424" s="7" t="s">
        <v>7451</v>
      </c>
      <c r="AD424" s="2696"/>
      <c r="AG424" s="2711"/>
    </row>
    <row r="425" spans="1:33" ht="58" hidden="1" x14ac:dyDescent="0.35">
      <c r="A425" s="2486">
        <v>43929</v>
      </c>
      <c r="B425" s="2718">
        <v>3</v>
      </c>
      <c r="C425" s="5" t="s">
        <v>8691</v>
      </c>
      <c r="D425" s="2712" t="s">
        <v>10175</v>
      </c>
      <c r="E425" s="7" t="s">
        <v>8690</v>
      </c>
      <c r="F425" s="2686">
        <v>1</v>
      </c>
      <c r="G425" s="2682">
        <v>1</v>
      </c>
      <c r="H425" s="2682"/>
      <c r="I425" s="2682"/>
      <c r="J425" s="2682"/>
      <c r="K425" s="2682"/>
      <c r="L425" s="817"/>
      <c r="M425" s="817"/>
      <c r="N425" s="817"/>
      <c r="O425" s="817"/>
      <c r="P425" s="2486">
        <v>43938</v>
      </c>
      <c r="Q425" s="2486"/>
      <c r="R425" s="824" t="s">
        <v>8689</v>
      </c>
      <c r="S425" s="2770"/>
      <c r="T425" s="6" t="s">
        <v>15</v>
      </c>
      <c r="U425" s="2694">
        <v>0.37916666666666665</v>
      </c>
      <c r="V425" s="2694" t="s">
        <v>972</v>
      </c>
      <c r="W425" s="1809">
        <v>199</v>
      </c>
      <c r="X425" s="836" t="s">
        <v>257</v>
      </c>
      <c r="Y425" s="2772"/>
      <c r="Z425" s="817"/>
      <c r="AA425" s="817"/>
      <c r="AB425" s="7" t="s">
        <v>17</v>
      </c>
      <c r="AC425" s="817" t="s">
        <v>7451</v>
      </c>
      <c r="AD425" s="2696" t="s">
        <v>1710</v>
      </c>
      <c r="AG425" s="2711"/>
    </row>
    <row r="426" spans="1:33" ht="29" hidden="1" x14ac:dyDescent="0.35">
      <c r="A426" s="2769">
        <v>43928</v>
      </c>
      <c r="B426" s="2760">
        <v>10</v>
      </c>
      <c r="C426" s="817" t="s">
        <v>8544</v>
      </c>
      <c r="D426" s="2712" t="s">
        <v>9928</v>
      </c>
      <c r="E426" s="817" t="s">
        <v>7935</v>
      </c>
      <c r="F426" s="2678">
        <v>1</v>
      </c>
      <c r="G426" s="2669">
        <v>1</v>
      </c>
      <c r="H426" s="2669"/>
      <c r="I426" s="2669"/>
      <c r="J426" s="2669"/>
      <c r="K426" s="2669"/>
      <c r="L426" s="817"/>
      <c r="M426" s="817"/>
      <c r="N426" s="817"/>
      <c r="O426" s="817"/>
      <c r="P426" s="2769">
        <v>43938</v>
      </c>
      <c r="Q426" s="2769"/>
      <c r="R426" s="2770" t="s">
        <v>8545</v>
      </c>
      <c r="S426" s="2770" t="s">
        <v>8265</v>
      </c>
      <c r="T426" s="2694" t="s">
        <v>15</v>
      </c>
      <c r="U426" s="2694">
        <v>0.43333333333333335</v>
      </c>
      <c r="V426" s="2694" t="s">
        <v>972</v>
      </c>
      <c r="W426" s="2659">
        <v>100</v>
      </c>
      <c r="X426" s="817" t="s">
        <v>257</v>
      </c>
      <c r="Y426" s="2772"/>
      <c r="Z426" s="2694"/>
      <c r="AA426" s="2694"/>
      <c r="AB426" s="817" t="s">
        <v>22</v>
      </c>
      <c r="AC426" s="817" t="s">
        <v>7451</v>
      </c>
      <c r="AD426" s="2696" t="s">
        <v>8773</v>
      </c>
      <c r="AG426" s="2711"/>
    </row>
    <row r="427" spans="1:33" ht="29" hidden="1" x14ac:dyDescent="0.35">
      <c r="A427" s="2486">
        <v>43929</v>
      </c>
      <c r="B427" s="2718">
        <v>11</v>
      </c>
      <c r="C427" s="5" t="s">
        <v>8688</v>
      </c>
      <c r="D427" s="2712" t="s">
        <v>10189</v>
      </c>
      <c r="E427" s="7" t="s">
        <v>8622</v>
      </c>
      <c r="F427" s="2686">
        <v>1</v>
      </c>
      <c r="G427" s="2682">
        <v>1</v>
      </c>
      <c r="H427" s="2682"/>
      <c r="I427" s="2682"/>
      <c r="J427" s="2682"/>
      <c r="K427" s="2682"/>
      <c r="L427" s="817"/>
      <c r="M427" s="817"/>
      <c r="N427" s="817"/>
      <c r="O427" s="817"/>
      <c r="P427" s="2486">
        <v>43938</v>
      </c>
      <c r="Q427" s="2486"/>
      <c r="R427" s="824" t="s">
        <v>8687</v>
      </c>
      <c r="S427" s="2770"/>
      <c r="T427" s="6" t="s">
        <v>15</v>
      </c>
      <c r="U427" s="2694">
        <v>0.45833333333333331</v>
      </c>
      <c r="V427" s="2694" t="s">
        <v>972</v>
      </c>
      <c r="W427" s="1809">
        <v>100</v>
      </c>
      <c r="X427" s="836" t="s">
        <v>257</v>
      </c>
      <c r="Y427" s="2772"/>
      <c r="Z427" s="817"/>
      <c r="AA427" s="817"/>
      <c r="AB427" s="7" t="s">
        <v>17</v>
      </c>
      <c r="AC427" s="817" t="s">
        <v>7451</v>
      </c>
      <c r="AD427" s="2696" t="s">
        <v>1710</v>
      </c>
      <c r="AG427" s="2711"/>
    </row>
    <row r="428" spans="1:33" ht="29" hidden="1" x14ac:dyDescent="0.35">
      <c r="A428" s="2486">
        <v>43929</v>
      </c>
      <c r="B428" s="2718">
        <v>16</v>
      </c>
      <c r="C428" s="5" t="s">
        <v>8683</v>
      </c>
      <c r="D428" s="2712" t="s">
        <v>10182</v>
      </c>
      <c r="E428" s="7" t="s">
        <v>8622</v>
      </c>
      <c r="F428" s="2686">
        <v>1</v>
      </c>
      <c r="G428" s="2682">
        <v>1</v>
      </c>
      <c r="H428" s="2682"/>
      <c r="I428" s="2682"/>
      <c r="J428" s="2682"/>
      <c r="K428" s="2682"/>
      <c r="L428" s="817"/>
      <c r="M428" s="817"/>
      <c r="N428" s="817"/>
      <c r="O428" s="817"/>
      <c r="P428" s="2486">
        <v>43938</v>
      </c>
      <c r="Q428" s="2486"/>
      <c r="R428" s="824" t="s">
        <v>8684</v>
      </c>
      <c r="S428" s="2770"/>
      <c r="T428" s="6" t="s">
        <v>15</v>
      </c>
      <c r="U428" s="2694">
        <v>0.50486111111111109</v>
      </c>
      <c r="V428" s="2694" t="s">
        <v>972</v>
      </c>
      <c r="W428" s="1809">
        <v>100</v>
      </c>
      <c r="X428" s="836" t="s">
        <v>257</v>
      </c>
      <c r="Y428" s="2772"/>
      <c r="Z428" s="817"/>
      <c r="AA428" s="817"/>
      <c r="AB428" s="7" t="s">
        <v>17</v>
      </c>
      <c r="AC428" s="817" t="s">
        <v>7451</v>
      </c>
      <c r="AD428" s="2696" t="s">
        <v>1710</v>
      </c>
      <c r="AG428" s="2711"/>
    </row>
    <row r="429" spans="1:33" ht="29" hidden="1" x14ac:dyDescent="0.35">
      <c r="A429" s="2486">
        <v>43929</v>
      </c>
      <c r="B429" s="2718">
        <v>28</v>
      </c>
      <c r="C429" s="5" t="s">
        <v>8751</v>
      </c>
      <c r="D429" s="2712" t="s">
        <v>10174</v>
      </c>
      <c r="E429" s="7" t="s">
        <v>8622</v>
      </c>
      <c r="F429" s="2679">
        <v>1</v>
      </c>
      <c r="G429" s="5">
        <v>1</v>
      </c>
      <c r="H429" s="5"/>
      <c r="I429" s="5"/>
      <c r="J429" s="5"/>
      <c r="K429" s="5"/>
      <c r="L429" s="817"/>
      <c r="M429" s="817"/>
      <c r="N429" s="817"/>
      <c r="O429" s="817"/>
      <c r="P429" s="2486">
        <v>43938</v>
      </c>
      <c r="Q429" s="2486"/>
      <c r="R429" s="824" t="s">
        <v>8750</v>
      </c>
      <c r="S429" s="2770"/>
      <c r="T429" s="6" t="s">
        <v>15</v>
      </c>
      <c r="U429" s="2694">
        <v>0.61041666666666672</v>
      </c>
      <c r="V429" s="2694" t="s">
        <v>972</v>
      </c>
      <c r="W429" s="1809">
        <v>100</v>
      </c>
      <c r="X429" s="836" t="s">
        <v>257</v>
      </c>
      <c r="Y429" s="2772"/>
      <c r="Z429" s="817"/>
      <c r="AA429" s="817"/>
      <c r="AB429" s="7" t="s">
        <v>17</v>
      </c>
      <c r="AC429" s="817" t="s">
        <v>7451</v>
      </c>
      <c r="AD429" s="2696" t="s">
        <v>1710</v>
      </c>
      <c r="AG429" s="2711"/>
    </row>
    <row r="430" spans="1:33" ht="87" hidden="1" x14ac:dyDescent="0.35">
      <c r="A430" s="2486">
        <v>43925</v>
      </c>
      <c r="B430" s="2718">
        <v>21</v>
      </c>
      <c r="C430" s="7" t="s">
        <v>8041</v>
      </c>
      <c r="D430" s="2712" t="s">
        <v>10176</v>
      </c>
      <c r="E430" s="817" t="s">
        <v>8042</v>
      </c>
      <c r="F430" s="5">
        <v>1</v>
      </c>
      <c r="G430" s="5">
        <v>1</v>
      </c>
      <c r="H430" s="5"/>
      <c r="I430" s="5"/>
      <c r="J430" s="5"/>
      <c r="K430" s="5"/>
      <c r="L430" s="5"/>
      <c r="M430" s="5"/>
      <c r="N430" s="5"/>
      <c r="O430" s="5"/>
      <c r="P430" s="2486">
        <v>43938</v>
      </c>
      <c r="Q430" s="2486"/>
      <c r="R430" s="824" t="s">
        <v>8043</v>
      </c>
      <c r="S430" s="824" t="s">
        <v>8303</v>
      </c>
      <c r="T430" s="2694" t="s">
        <v>15</v>
      </c>
      <c r="U430" s="2694">
        <v>0.54861111111111105</v>
      </c>
      <c r="V430" s="2694" t="s">
        <v>15</v>
      </c>
      <c r="W430" s="1956">
        <v>100</v>
      </c>
      <c r="X430" s="817" t="s">
        <v>257</v>
      </c>
      <c r="Y430" s="2772"/>
      <c r="Z430" s="817"/>
      <c r="AA430" s="817"/>
      <c r="AB430" s="817" t="s">
        <v>17</v>
      </c>
      <c r="AC430" s="817" t="s">
        <v>7451</v>
      </c>
      <c r="AD430" s="2699"/>
      <c r="AG430" s="2711"/>
    </row>
    <row r="431" spans="1:33" ht="43.5" hidden="1" x14ac:dyDescent="0.35">
      <c r="A431" s="2828">
        <v>43927</v>
      </c>
      <c r="B431" s="2760">
        <v>14</v>
      </c>
      <c r="C431" s="817" t="s">
        <v>8231</v>
      </c>
      <c r="D431" s="2712" t="s">
        <v>10184</v>
      </c>
      <c r="E431" s="817" t="s">
        <v>7935</v>
      </c>
      <c r="F431" s="5">
        <v>1</v>
      </c>
      <c r="G431" s="5">
        <v>1</v>
      </c>
      <c r="H431" s="5"/>
      <c r="I431" s="5"/>
      <c r="J431" s="5"/>
      <c r="K431" s="5"/>
      <c r="L431" s="817"/>
      <c r="M431" s="817"/>
      <c r="N431" s="817"/>
      <c r="O431" s="817"/>
      <c r="P431" s="2828">
        <v>43938</v>
      </c>
      <c r="Q431" s="2828"/>
      <c r="R431" s="2829" t="s">
        <v>8326</v>
      </c>
      <c r="S431" s="2770"/>
      <c r="T431" s="2694" t="s">
        <v>15</v>
      </c>
      <c r="U431" s="2694">
        <v>0.47361111111111115</v>
      </c>
      <c r="V431" s="2694">
        <v>0.41666666666666669</v>
      </c>
      <c r="W431" s="1809">
        <v>100</v>
      </c>
      <c r="X431" s="817" t="s">
        <v>257</v>
      </c>
      <c r="Y431" s="2772"/>
      <c r="Z431" s="817"/>
      <c r="AA431" s="817"/>
      <c r="AB431" s="817" t="s">
        <v>17</v>
      </c>
      <c r="AC431" s="817" t="s">
        <v>7451</v>
      </c>
      <c r="AD431" s="2696" t="s">
        <v>8773</v>
      </c>
      <c r="AG431" s="2711"/>
    </row>
    <row r="432" spans="1:33" ht="29" hidden="1" x14ac:dyDescent="0.35">
      <c r="A432" s="2828">
        <v>43927</v>
      </c>
      <c r="B432" s="2760">
        <v>12</v>
      </c>
      <c r="C432" s="817" t="s">
        <v>8181</v>
      </c>
      <c r="D432" s="2712" t="s">
        <v>10191</v>
      </c>
      <c r="E432" s="817" t="s">
        <v>8107</v>
      </c>
      <c r="F432" s="5">
        <v>1</v>
      </c>
      <c r="G432" s="5"/>
      <c r="H432" s="5">
        <v>1</v>
      </c>
      <c r="I432" s="5"/>
      <c r="J432" s="5"/>
      <c r="K432" s="5"/>
      <c r="L432" s="817"/>
      <c r="M432" s="817"/>
      <c r="N432" s="817"/>
      <c r="O432" s="817"/>
      <c r="P432" s="2828">
        <v>43938</v>
      </c>
      <c r="Q432" s="2828"/>
      <c r="R432" s="2829" t="s">
        <v>8282</v>
      </c>
      <c r="S432" s="2770"/>
      <c r="T432" s="2694" t="s">
        <v>15</v>
      </c>
      <c r="U432" s="2694">
        <v>0.46666666666666662</v>
      </c>
      <c r="V432" s="2694" t="s">
        <v>972</v>
      </c>
      <c r="W432" s="1809">
        <v>100</v>
      </c>
      <c r="X432" s="817" t="s">
        <v>257</v>
      </c>
      <c r="Y432" s="2772"/>
      <c r="Z432" s="817"/>
      <c r="AA432" s="817"/>
      <c r="AB432" s="817" t="s">
        <v>17</v>
      </c>
      <c r="AC432" s="817" t="s">
        <v>7451</v>
      </c>
      <c r="AD432" s="2696" t="s">
        <v>8773</v>
      </c>
      <c r="AG432" s="2711"/>
    </row>
    <row r="433" spans="1:33" ht="43.5" hidden="1" x14ac:dyDescent="0.35">
      <c r="A433" s="1899">
        <v>43922</v>
      </c>
      <c r="B433" s="2759">
        <v>24</v>
      </c>
      <c r="C433" s="7" t="s">
        <v>7707</v>
      </c>
      <c r="D433" s="2712" t="s">
        <v>10143</v>
      </c>
      <c r="E433" s="7" t="s">
        <v>7673</v>
      </c>
      <c r="F433" s="7">
        <v>1</v>
      </c>
      <c r="G433" s="7">
        <v>1</v>
      </c>
      <c r="H433" s="7"/>
      <c r="I433" s="7"/>
      <c r="J433" s="7"/>
      <c r="K433" s="7"/>
      <c r="L433" s="7"/>
      <c r="M433" s="7"/>
      <c r="N433" s="7"/>
      <c r="O433" s="7"/>
      <c r="P433" s="1899">
        <v>43938</v>
      </c>
      <c r="Q433" s="1899"/>
      <c r="R433" s="881" t="s">
        <v>7706</v>
      </c>
      <c r="S433" s="881" t="s">
        <v>8289</v>
      </c>
      <c r="T433" s="836" t="s">
        <v>15</v>
      </c>
      <c r="U433" s="2694">
        <v>0.5854166666666667</v>
      </c>
      <c r="V433" s="2694" t="s">
        <v>3213</v>
      </c>
      <c r="W433" s="1809">
        <v>100</v>
      </c>
      <c r="X433" s="2694" t="s">
        <v>294</v>
      </c>
      <c r="Y433" s="2772"/>
      <c r="Z433" s="817"/>
      <c r="AA433" s="817"/>
      <c r="AB433" s="817" t="s">
        <v>17</v>
      </c>
      <c r="AC433" s="817" t="s">
        <v>7451</v>
      </c>
      <c r="AD433" s="2699"/>
      <c r="AG433" s="2711"/>
    </row>
    <row r="434" spans="1:33" ht="43.5" hidden="1" x14ac:dyDescent="0.35">
      <c r="A434" s="2486">
        <v>43928</v>
      </c>
      <c r="B434" s="2718">
        <v>17</v>
      </c>
      <c r="C434" s="5" t="s">
        <v>8587</v>
      </c>
      <c r="D434" s="2712" t="s">
        <v>9876</v>
      </c>
      <c r="E434" s="5" t="s">
        <v>8561</v>
      </c>
      <c r="F434" s="2679">
        <v>1</v>
      </c>
      <c r="G434" s="5">
        <v>1</v>
      </c>
      <c r="H434" s="5"/>
      <c r="I434" s="5"/>
      <c r="J434" s="5"/>
      <c r="K434" s="5"/>
      <c r="L434" s="817"/>
      <c r="M434" s="817"/>
      <c r="N434" s="817"/>
      <c r="O434" s="817"/>
      <c r="P434" s="2486">
        <v>43938</v>
      </c>
      <c r="Q434" s="2486"/>
      <c r="R434" s="824" t="s">
        <v>8615</v>
      </c>
      <c r="S434" s="824"/>
      <c r="T434" s="6" t="s">
        <v>15</v>
      </c>
      <c r="U434" s="6">
        <v>0.5131944444444444</v>
      </c>
      <c r="V434" s="6" t="s">
        <v>3213</v>
      </c>
      <c r="W434" s="1678">
        <v>100</v>
      </c>
      <c r="X434" s="5" t="s">
        <v>257</v>
      </c>
      <c r="Y434" s="2772"/>
      <c r="Z434" s="5"/>
      <c r="AA434" s="5"/>
      <c r="AB434" s="5" t="s">
        <v>17</v>
      </c>
      <c r="AC434" s="5" t="s">
        <v>7451</v>
      </c>
      <c r="AD434" s="2696"/>
      <c r="AG434" s="2711"/>
    </row>
    <row r="435" spans="1:33" ht="29" hidden="1" x14ac:dyDescent="0.35">
      <c r="A435" s="2828">
        <v>43926</v>
      </c>
      <c r="B435" s="2760">
        <v>23</v>
      </c>
      <c r="C435" s="2828" t="s">
        <v>8104</v>
      </c>
      <c r="D435" s="2712" t="s">
        <v>9901</v>
      </c>
      <c r="E435" s="817" t="s">
        <v>7935</v>
      </c>
      <c r="F435" s="817">
        <v>1</v>
      </c>
      <c r="G435" s="817">
        <v>1</v>
      </c>
      <c r="H435" s="817"/>
      <c r="I435" s="817"/>
      <c r="J435" s="817"/>
      <c r="K435" s="817"/>
      <c r="L435" s="817"/>
      <c r="M435" s="817"/>
      <c r="N435" s="817"/>
      <c r="O435" s="817"/>
      <c r="P435" s="2828">
        <v>43938</v>
      </c>
      <c r="Q435" s="2828"/>
      <c r="R435" s="2829" t="s">
        <v>8105</v>
      </c>
      <c r="S435" s="2770"/>
      <c r="T435" s="2694" t="s">
        <v>15</v>
      </c>
      <c r="U435" s="2694">
        <v>0.57013888888888886</v>
      </c>
      <c r="V435" s="2694" t="s">
        <v>3213</v>
      </c>
      <c r="W435" s="1956">
        <v>100</v>
      </c>
      <c r="X435" s="817" t="s">
        <v>7424</v>
      </c>
      <c r="Y435" s="2772"/>
      <c r="Z435" s="817"/>
      <c r="AA435" s="817"/>
      <c r="AB435" s="817" t="s">
        <v>17</v>
      </c>
      <c r="AC435" s="817" t="s">
        <v>7451</v>
      </c>
      <c r="AD435" s="2699"/>
      <c r="AG435" s="2711"/>
    </row>
    <row r="436" spans="1:33" ht="43.5" hidden="1" x14ac:dyDescent="0.35">
      <c r="A436" s="2486">
        <v>43928</v>
      </c>
      <c r="B436" s="2718">
        <v>4</v>
      </c>
      <c r="C436" s="7" t="s">
        <v>8458</v>
      </c>
      <c r="D436" s="2712" t="s">
        <v>9851</v>
      </c>
      <c r="E436" s="7" t="s">
        <v>8149</v>
      </c>
      <c r="F436" s="2678">
        <v>1</v>
      </c>
      <c r="G436" s="2669">
        <v>1</v>
      </c>
      <c r="H436" s="2669"/>
      <c r="I436" s="2669"/>
      <c r="J436" s="2669"/>
      <c r="K436" s="2669"/>
      <c r="L436" s="817"/>
      <c r="M436" s="817"/>
      <c r="N436" s="817"/>
      <c r="O436" s="817"/>
      <c r="P436" s="2486">
        <v>43938</v>
      </c>
      <c r="Q436" s="2486"/>
      <c r="R436" s="824" t="s">
        <v>8457</v>
      </c>
      <c r="S436" s="2770" t="s">
        <v>8289</v>
      </c>
      <c r="T436" s="6" t="s">
        <v>15</v>
      </c>
      <c r="U436" s="2694">
        <v>0.39374999999999999</v>
      </c>
      <c r="V436" s="2694" t="s">
        <v>972</v>
      </c>
      <c r="W436" s="1809">
        <v>100</v>
      </c>
      <c r="X436" s="836" t="s">
        <v>257</v>
      </c>
      <c r="Y436" s="2772"/>
      <c r="Z436" s="817"/>
      <c r="AA436" s="817"/>
      <c r="AB436" s="7" t="s">
        <v>17</v>
      </c>
      <c r="AC436" s="817" t="s">
        <v>7451</v>
      </c>
      <c r="AD436" s="2696" t="s">
        <v>1710</v>
      </c>
      <c r="AG436" s="2711"/>
    </row>
    <row r="437" spans="1:33" ht="43.5" hidden="1" x14ac:dyDescent="0.35">
      <c r="A437" s="2486">
        <v>43923</v>
      </c>
      <c r="B437" s="2718">
        <v>8</v>
      </c>
      <c r="C437" s="5" t="s">
        <v>7770</v>
      </c>
      <c r="D437" s="2712" t="s">
        <v>9885</v>
      </c>
      <c r="E437" s="5" t="s">
        <v>7506</v>
      </c>
      <c r="F437" s="5">
        <v>1</v>
      </c>
      <c r="G437" s="5">
        <v>1</v>
      </c>
      <c r="H437" s="5"/>
      <c r="I437" s="5"/>
      <c r="J437" s="5"/>
      <c r="K437" s="5"/>
      <c r="L437" s="5"/>
      <c r="M437" s="5"/>
      <c r="N437" s="5"/>
      <c r="O437" s="5"/>
      <c r="P437" s="2486">
        <v>43938</v>
      </c>
      <c r="Q437" s="2486"/>
      <c r="R437" s="824" t="s">
        <v>10356</v>
      </c>
      <c r="S437" s="824"/>
      <c r="T437" s="6" t="s">
        <v>15</v>
      </c>
      <c r="U437" s="2694">
        <v>0.42430555555555555</v>
      </c>
      <c r="V437" s="2694" t="s">
        <v>3213</v>
      </c>
      <c r="W437" s="1956">
        <v>100</v>
      </c>
      <c r="X437" s="2694" t="s">
        <v>7682</v>
      </c>
      <c r="Y437" s="2772"/>
      <c r="Z437" s="2694"/>
      <c r="AA437" s="2694"/>
      <c r="AB437" s="817" t="s">
        <v>17</v>
      </c>
      <c r="AC437" s="817" t="s">
        <v>7451</v>
      </c>
      <c r="AD437" s="2699"/>
      <c r="AG437" s="2711"/>
    </row>
    <row r="438" spans="1:33" ht="43.5" hidden="1" x14ac:dyDescent="0.35">
      <c r="A438" s="2769">
        <v>43929</v>
      </c>
      <c r="B438" s="2760">
        <v>12</v>
      </c>
      <c r="C438" s="817" t="s">
        <v>8658</v>
      </c>
      <c r="D438" s="2712" t="s">
        <v>9929</v>
      </c>
      <c r="E438" s="817" t="s">
        <v>8660</v>
      </c>
      <c r="F438" s="2682"/>
      <c r="G438" s="2682">
        <v>2</v>
      </c>
      <c r="H438" s="2682"/>
      <c r="I438" s="2682"/>
      <c r="J438" s="2682"/>
      <c r="K438" s="2682"/>
      <c r="L438" s="817"/>
      <c r="M438" s="817"/>
      <c r="N438" s="817"/>
      <c r="O438" s="817"/>
      <c r="P438" s="2769">
        <v>43938</v>
      </c>
      <c r="Q438" s="2769"/>
      <c r="R438" s="2770" t="s">
        <v>8659</v>
      </c>
      <c r="S438" s="2770"/>
      <c r="T438" s="2694" t="s">
        <v>15</v>
      </c>
      <c r="U438" s="2694">
        <v>0.45624999999999999</v>
      </c>
      <c r="V438" s="2694" t="s">
        <v>972</v>
      </c>
      <c r="W438" s="2680">
        <v>130</v>
      </c>
      <c r="X438" s="836" t="s">
        <v>257</v>
      </c>
      <c r="Y438" s="2772"/>
      <c r="Z438" s="817"/>
      <c r="AA438" s="817"/>
      <c r="AB438" s="7" t="s">
        <v>17</v>
      </c>
      <c r="AC438" s="817" t="s">
        <v>7451</v>
      </c>
      <c r="AD438" s="2700"/>
      <c r="AG438" s="2711"/>
    </row>
    <row r="439" spans="1:33" ht="58" hidden="1" x14ac:dyDescent="0.35">
      <c r="A439" s="2486">
        <v>43935</v>
      </c>
      <c r="B439" s="2718">
        <v>6</v>
      </c>
      <c r="C439" s="5" t="s">
        <v>10741</v>
      </c>
      <c r="D439" s="2700" t="s">
        <v>10697</v>
      </c>
      <c r="E439" s="817" t="s">
        <v>7935</v>
      </c>
      <c r="F439" s="2740">
        <v>1</v>
      </c>
      <c r="G439" s="2741">
        <v>1</v>
      </c>
      <c r="H439" s="2741"/>
      <c r="I439" s="2741"/>
      <c r="J439" s="2741"/>
      <c r="K439" s="2741"/>
      <c r="L439" s="817"/>
      <c r="M439" s="817"/>
      <c r="N439" s="817"/>
      <c r="O439" s="817"/>
      <c r="P439" s="2486">
        <v>43938</v>
      </c>
      <c r="Q439" s="2769"/>
      <c r="R439" s="824" t="s">
        <v>10699</v>
      </c>
      <c r="S439" s="2770"/>
      <c r="T439" s="2694" t="s">
        <v>15</v>
      </c>
      <c r="U439" s="2694">
        <v>0.4055555555555555</v>
      </c>
      <c r="V439" s="2694" t="s">
        <v>972</v>
      </c>
      <c r="W439" s="1809">
        <v>0</v>
      </c>
      <c r="X439" s="2694" t="s">
        <v>7424</v>
      </c>
      <c r="Y439" s="2772"/>
      <c r="Z439" s="817"/>
      <c r="AA439" s="817"/>
      <c r="AB439" s="817" t="s">
        <v>17</v>
      </c>
      <c r="AC439" s="817" t="s">
        <v>10698</v>
      </c>
      <c r="AD439" s="2745"/>
      <c r="AG439" s="2711"/>
    </row>
    <row r="440" spans="1:33" ht="72.5" hidden="1" x14ac:dyDescent="0.35">
      <c r="A440" s="2828">
        <v>43931</v>
      </c>
      <c r="B440" s="2760">
        <v>28</v>
      </c>
      <c r="C440" s="817" t="s">
        <v>9213</v>
      </c>
      <c r="D440" s="2712" t="s">
        <v>9212</v>
      </c>
      <c r="E440" s="7" t="s">
        <v>9465</v>
      </c>
      <c r="F440" s="2682">
        <v>2</v>
      </c>
      <c r="G440" s="2682">
        <v>2</v>
      </c>
      <c r="H440" s="2682">
        <v>1</v>
      </c>
      <c r="I440" s="2682"/>
      <c r="J440" s="2682"/>
      <c r="K440" s="2682"/>
      <c r="L440" s="817"/>
      <c r="M440" s="817"/>
      <c r="N440" s="817"/>
      <c r="O440" s="817"/>
      <c r="P440" s="2828">
        <v>43938</v>
      </c>
      <c r="Q440" s="2828"/>
      <c r="R440" s="2829" t="s">
        <v>9214</v>
      </c>
      <c r="S440" s="2829"/>
      <c r="T440" s="2694" t="s">
        <v>15</v>
      </c>
      <c r="U440" s="2694">
        <v>0.62222222222222223</v>
      </c>
      <c r="V440" s="2694" t="s">
        <v>972</v>
      </c>
      <c r="W440" s="2680">
        <v>265</v>
      </c>
      <c r="X440" s="817" t="s">
        <v>2900</v>
      </c>
      <c r="Y440" s="2772"/>
      <c r="Z440" s="817"/>
      <c r="AA440" s="817"/>
      <c r="AB440" s="817" t="s">
        <v>17</v>
      </c>
      <c r="AC440" s="817" t="s">
        <v>7451</v>
      </c>
      <c r="AD440" s="2700" t="s">
        <v>9212</v>
      </c>
      <c r="AG440" s="2711"/>
    </row>
    <row r="441" spans="1:33" ht="130.5" hidden="1" x14ac:dyDescent="0.35">
      <c r="A441" s="1899">
        <v>43930</v>
      </c>
      <c r="B441" s="2759">
        <v>2</v>
      </c>
      <c r="C441" s="7" t="s">
        <v>8886</v>
      </c>
      <c r="D441" s="2712" t="s">
        <v>9930</v>
      </c>
      <c r="E441" s="817" t="s">
        <v>7935</v>
      </c>
      <c r="F441" s="7">
        <v>1</v>
      </c>
      <c r="G441" s="7">
        <v>1</v>
      </c>
      <c r="H441" s="7"/>
      <c r="I441" s="7"/>
      <c r="J441" s="7"/>
      <c r="K441" s="7"/>
      <c r="L441" s="817"/>
      <c r="M441" s="817"/>
      <c r="N441" s="817"/>
      <c r="O441" s="817"/>
      <c r="P441" s="1899">
        <v>43938</v>
      </c>
      <c r="Q441" s="1899"/>
      <c r="R441" s="881" t="s">
        <v>8889</v>
      </c>
      <c r="S441" s="2829"/>
      <c r="T441" s="6" t="s">
        <v>15</v>
      </c>
      <c r="U441" s="2694">
        <v>0.38125000000000003</v>
      </c>
      <c r="V441" s="2694" t="s">
        <v>972</v>
      </c>
      <c r="W441" s="1809">
        <v>0</v>
      </c>
      <c r="X441" s="817" t="s">
        <v>8887</v>
      </c>
      <c r="Y441" s="2772"/>
      <c r="Z441" s="2694"/>
      <c r="AA441" s="2694"/>
      <c r="AB441" s="817" t="s">
        <v>17</v>
      </c>
      <c r="AC441" s="817" t="s">
        <v>7451</v>
      </c>
      <c r="AD441" s="2696"/>
      <c r="AG441" s="2711"/>
    </row>
    <row r="442" spans="1:33" ht="43.5" hidden="1" x14ac:dyDescent="0.35">
      <c r="A442" s="2486">
        <v>43929</v>
      </c>
      <c r="B442" s="2718">
        <v>5</v>
      </c>
      <c r="C442" s="5" t="s">
        <v>8744</v>
      </c>
      <c r="D442" s="2712" t="s">
        <v>9865</v>
      </c>
      <c r="E442" s="7" t="s">
        <v>8622</v>
      </c>
      <c r="F442" s="2679">
        <v>1</v>
      </c>
      <c r="G442" s="5">
        <v>1</v>
      </c>
      <c r="H442" s="5"/>
      <c r="I442" s="5"/>
      <c r="J442" s="5"/>
      <c r="K442" s="5"/>
      <c r="L442" s="817"/>
      <c r="M442" s="817"/>
      <c r="N442" s="817"/>
      <c r="O442" s="817"/>
      <c r="P442" s="2486">
        <v>43938</v>
      </c>
      <c r="Q442" s="2486"/>
      <c r="R442" s="824" t="s">
        <v>8743</v>
      </c>
      <c r="S442" s="2770"/>
      <c r="T442" s="6" t="s">
        <v>15</v>
      </c>
      <c r="U442" s="2694">
        <v>0.39097222222222222</v>
      </c>
      <c r="V442" s="2694" t="s">
        <v>972</v>
      </c>
      <c r="W442" s="1809">
        <v>100</v>
      </c>
      <c r="X442" s="836" t="s">
        <v>257</v>
      </c>
      <c r="Y442" s="2772"/>
      <c r="Z442" s="817"/>
      <c r="AA442" s="817"/>
      <c r="AB442" s="7" t="s">
        <v>17</v>
      </c>
      <c r="AC442" s="817" t="s">
        <v>7451</v>
      </c>
      <c r="AD442" s="2700"/>
      <c r="AG442" s="2711"/>
    </row>
    <row r="443" spans="1:33" ht="58" hidden="1" x14ac:dyDescent="0.35">
      <c r="A443" s="2828">
        <v>43926</v>
      </c>
      <c r="B443" s="2760">
        <v>5</v>
      </c>
      <c r="C443" s="2828" t="s">
        <v>8066</v>
      </c>
      <c r="D443" s="2712" t="s">
        <v>9820</v>
      </c>
      <c r="E443" s="817" t="s">
        <v>8067</v>
      </c>
      <c r="F443" s="817">
        <v>1</v>
      </c>
      <c r="G443" s="817">
        <v>1</v>
      </c>
      <c r="H443" s="817">
        <v>1</v>
      </c>
      <c r="I443" s="817"/>
      <c r="J443" s="817"/>
      <c r="K443" s="817"/>
      <c r="L443" s="817"/>
      <c r="M443" s="817"/>
      <c r="N443" s="817"/>
      <c r="O443" s="817"/>
      <c r="P443" s="2828">
        <v>43938</v>
      </c>
      <c r="Q443" s="2828"/>
      <c r="R443" s="2829" t="s">
        <v>8068</v>
      </c>
      <c r="S443" s="2770"/>
      <c r="T443" s="2694" t="s">
        <v>15</v>
      </c>
      <c r="U443" s="2694">
        <v>0.40416666666666662</v>
      </c>
      <c r="V443" s="2694" t="s">
        <v>972</v>
      </c>
      <c r="W443" s="1956">
        <v>165</v>
      </c>
      <c r="X443" s="817" t="s">
        <v>7424</v>
      </c>
      <c r="Y443" s="2772"/>
      <c r="Z443" s="817"/>
      <c r="AA443" s="817"/>
      <c r="AB443" s="817" t="s">
        <v>17</v>
      </c>
      <c r="AC443" s="817" t="s">
        <v>7451</v>
      </c>
      <c r="AD443" s="2699"/>
      <c r="AG443" s="2711"/>
    </row>
    <row r="444" spans="1:33" ht="43.5" hidden="1" x14ac:dyDescent="0.35">
      <c r="A444" s="2486">
        <v>43928</v>
      </c>
      <c r="B444" s="2718">
        <v>16</v>
      </c>
      <c r="C444" s="7" t="s">
        <v>8441</v>
      </c>
      <c r="D444" s="2712" t="s">
        <v>9788</v>
      </c>
      <c r="E444" s="7" t="s">
        <v>8149</v>
      </c>
      <c r="F444" s="2678">
        <v>1</v>
      </c>
      <c r="G444" s="2669">
        <v>1</v>
      </c>
      <c r="H444" s="2669"/>
      <c r="I444" s="2669"/>
      <c r="J444" s="2669"/>
      <c r="K444" s="2669"/>
      <c r="L444" s="817"/>
      <c r="M444" s="817"/>
      <c r="N444" s="817"/>
      <c r="O444" s="817"/>
      <c r="P444" s="2486">
        <v>43938</v>
      </c>
      <c r="Q444" s="2486"/>
      <c r="R444" s="824" t="s">
        <v>8442</v>
      </c>
      <c r="S444" s="2829" t="s">
        <v>8265</v>
      </c>
      <c r="T444" s="6" t="s">
        <v>15</v>
      </c>
      <c r="U444" s="2694">
        <v>0.4993055555555555</v>
      </c>
      <c r="V444" s="2694" t="s">
        <v>972</v>
      </c>
      <c r="W444" s="1809">
        <v>100</v>
      </c>
      <c r="X444" s="836" t="s">
        <v>257</v>
      </c>
      <c r="Y444" s="2772"/>
      <c r="Z444" s="817"/>
      <c r="AA444" s="817"/>
      <c r="AB444" s="7" t="s">
        <v>17</v>
      </c>
      <c r="AC444" s="817" t="s">
        <v>7451</v>
      </c>
      <c r="AD444" s="2696" t="s">
        <v>1710</v>
      </c>
      <c r="AG444" s="2711"/>
    </row>
    <row r="445" spans="1:33" ht="29" hidden="1" x14ac:dyDescent="0.35">
      <c r="A445" s="2769">
        <v>43927</v>
      </c>
      <c r="B445" s="2760">
        <v>7</v>
      </c>
      <c r="C445" s="817" t="s">
        <v>8206</v>
      </c>
      <c r="D445" s="2712" t="s">
        <v>9792</v>
      </c>
      <c r="E445" s="817" t="s">
        <v>8207</v>
      </c>
      <c r="F445" s="5">
        <v>3</v>
      </c>
      <c r="G445" s="5">
        <v>3</v>
      </c>
      <c r="H445" s="5"/>
      <c r="I445" s="5"/>
      <c r="J445" s="5"/>
      <c r="K445" s="5"/>
      <c r="L445" s="817"/>
      <c r="M445" s="817"/>
      <c r="N445" s="817"/>
      <c r="O445" s="817"/>
      <c r="P445" s="2769">
        <v>43938</v>
      </c>
      <c r="Q445" s="2769"/>
      <c r="R445" s="2770" t="s">
        <v>8308</v>
      </c>
      <c r="S445" s="2770" t="s">
        <v>8289</v>
      </c>
      <c r="T445" s="2694" t="s">
        <v>15</v>
      </c>
      <c r="U445" s="2694">
        <v>0.42430555555555555</v>
      </c>
      <c r="V445" s="2694" t="s">
        <v>972</v>
      </c>
      <c r="W445" s="1956">
        <v>100</v>
      </c>
      <c r="X445" s="817" t="s">
        <v>8268</v>
      </c>
      <c r="Y445" s="2717"/>
      <c r="Z445" s="817"/>
      <c r="AA445" s="817"/>
      <c r="AB445" s="817" t="s">
        <v>17</v>
      </c>
      <c r="AC445" s="817" t="s">
        <v>7451</v>
      </c>
      <c r="AD445" s="2699"/>
      <c r="AG445" s="2711"/>
    </row>
    <row r="446" spans="1:33" ht="29" hidden="1" x14ac:dyDescent="0.35">
      <c r="A446" s="1899">
        <v>43932</v>
      </c>
      <c r="B446" s="2759">
        <v>26</v>
      </c>
      <c r="C446" s="7" t="s">
        <v>9511</v>
      </c>
      <c r="D446" s="2707" t="s">
        <v>9512</v>
      </c>
      <c r="E446" s="7" t="s">
        <v>8553</v>
      </c>
      <c r="F446" s="5">
        <v>1</v>
      </c>
      <c r="G446" s="5">
        <v>1</v>
      </c>
      <c r="H446" s="5"/>
      <c r="I446" s="5"/>
      <c r="J446" s="5"/>
      <c r="K446" s="5"/>
      <c r="L446" s="817"/>
      <c r="M446" s="817"/>
      <c r="N446" s="817"/>
      <c r="O446" s="817"/>
      <c r="P446" s="1899">
        <v>43938</v>
      </c>
      <c r="Q446" s="2769"/>
      <c r="R446" s="881" t="s">
        <v>9513</v>
      </c>
      <c r="S446" s="2770"/>
      <c r="T446" s="836" t="s">
        <v>15</v>
      </c>
      <c r="U446" s="836">
        <v>0.625</v>
      </c>
      <c r="V446" s="836" t="s">
        <v>972</v>
      </c>
      <c r="W446" s="2680">
        <v>100</v>
      </c>
      <c r="X446" s="817" t="s">
        <v>2900</v>
      </c>
      <c r="Y446" s="2772"/>
      <c r="Z446" s="817"/>
      <c r="AA446" s="817"/>
      <c r="AB446" s="817" t="s">
        <v>17</v>
      </c>
      <c r="AC446" s="817" t="s">
        <v>7451</v>
      </c>
      <c r="AD446" s="2696"/>
      <c r="AG446" s="2711"/>
    </row>
    <row r="447" spans="1:33" ht="58" hidden="1" x14ac:dyDescent="0.35">
      <c r="A447" s="1899">
        <v>43922</v>
      </c>
      <c r="B447" s="2759">
        <v>19</v>
      </c>
      <c r="C447" s="7" t="s">
        <v>7683</v>
      </c>
      <c r="D447" s="2712" t="s">
        <v>9822</v>
      </c>
      <c r="E447" s="7" t="s">
        <v>7680</v>
      </c>
      <c r="F447" s="7">
        <v>1</v>
      </c>
      <c r="G447" s="7">
        <v>1</v>
      </c>
      <c r="H447" s="7"/>
      <c r="I447" s="7"/>
      <c r="J447" s="7"/>
      <c r="K447" s="7"/>
      <c r="L447" s="7"/>
      <c r="M447" s="7"/>
      <c r="N447" s="7"/>
      <c r="O447" s="7"/>
      <c r="P447" s="1899">
        <v>43938</v>
      </c>
      <c r="Q447" s="1899"/>
      <c r="R447" s="881" t="s">
        <v>7684</v>
      </c>
      <c r="S447" s="881"/>
      <c r="T447" s="836" t="s">
        <v>15</v>
      </c>
      <c r="U447" s="836">
        <v>0.53402777777777777</v>
      </c>
      <c r="V447" s="836" t="s">
        <v>972</v>
      </c>
      <c r="W447" s="1100">
        <v>100</v>
      </c>
      <c r="X447" s="836" t="s">
        <v>257</v>
      </c>
      <c r="Y447" s="2772"/>
      <c r="Z447" s="7"/>
      <c r="AA447" s="7"/>
      <c r="AB447" s="7" t="s">
        <v>17</v>
      </c>
      <c r="AC447" s="7" t="s">
        <v>7451</v>
      </c>
      <c r="AD447" s="2699"/>
      <c r="AG447" s="2711"/>
    </row>
    <row r="448" spans="1:33" ht="43.5" hidden="1" x14ac:dyDescent="0.35">
      <c r="A448" s="2828">
        <v>43926</v>
      </c>
      <c r="B448" s="2760">
        <v>12</v>
      </c>
      <c r="C448" s="2828" t="s">
        <v>8131</v>
      </c>
      <c r="D448" s="2712" t="s">
        <v>9786</v>
      </c>
      <c r="E448" s="817" t="s">
        <v>7935</v>
      </c>
      <c r="F448" s="817">
        <v>1</v>
      </c>
      <c r="G448" s="817">
        <v>1</v>
      </c>
      <c r="H448" s="817"/>
      <c r="I448" s="817"/>
      <c r="J448" s="817"/>
      <c r="K448" s="817"/>
      <c r="L448" s="817"/>
      <c r="M448" s="817"/>
      <c r="N448" s="817"/>
      <c r="O448" s="817"/>
      <c r="P448" s="2828">
        <v>43938</v>
      </c>
      <c r="Q448" s="2828"/>
      <c r="R448" s="817" t="s">
        <v>8132</v>
      </c>
      <c r="S448" s="817"/>
      <c r="T448" s="2694" t="s">
        <v>15</v>
      </c>
      <c r="U448" s="2694">
        <v>0.45416666666666666</v>
      </c>
      <c r="V448" s="2694" t="s">
        <v>972</v>
      </c>
      <c r="W448" s="1809">
        <v>100</v>
      </c>
      <c r="X448" s="2694" t="s">
        <v>257</v>
      </c>
      <c r="Y448" s="2772"/>
      <c r="Z448" s="817"/>
      <c r="AA448" s="817"/>
      <c r="AB448" s="817" t="s">
        <v>17</v>
      </c>
      <c r="AC448" s="817" t="s">
        <v>7451</v>
      </c>
      <c r="AD448" s="2699"/>
      <c r="AG448" s="2711"/>
    </row>
    <row r="449" spans="1:33" ht="101.5" hidden="1" x14ac:dyDescent="0.35">
      <c r="A449" s="1899">
        <v>43922</v>
      </c>
      <c r="B449" s="2759">
        <v>8</v>
      </c>
      <c r="C449" s="7" t="s">
        <v>7704</v>
      </c>
      <c r="D449" s="2712" t="s">
        <v>9860</v>
      </c>
      <c r="E449" s="7" t="s">
        <v>7705</v>
      </c>
      <c r="F449" s="7">
        <v>1</v>
      </c>
      <c r="G449" s="7"/>
      <c r="H449" s="7">
        <v>1</v>
      </c>
      <c r="I449" s="7"/>
      <c r="J449" s="7"/>
      <c r="K449" s="7"/>
      <c r="L449" s="7"/>
      <c r="M449" s="7"/>
      <c r="N449" s="7"/>
      <c r="O449" s="7"/>
      <c r="P449" s="1899">
        <v>43938</v>
      </c>
      <c r="Q449" s="1899"/>
      <c r="R449" s="881" t="s">
        <v>7703</v>
      </c>
      <c r="S449" s="881" t="s">
        <v>8303</v>
      </c>
      <c r="T449" s="836" t="s">
        <v>15</v>
      </c>
      <c r="U449" s="2694">
        <v>0.43402777777777773</v>
      </c>
      <c r="V449" s="2694" t="s">
        <v>3213</v>
      </c>
      <c r="W449" s="1809">
        <v>100</v>
      </c>
      <c r="X449" s="2694" t="s">
        <v>294</v>
      </c>
      <c r="Y449" s="2772"/>
      <c r="Z449" s="817"/>
      <c r="AA449" s="817"/>
      <c r="AB449" s="817" t="s">
        <v>17</v>
      </c>
      <c r="AC449" s="817" t="s">
        <v>7451</v>
      </c>
      <c r="AD449" s="2699"/>
      <c r="AG449" s="2711"/>
    </row>
    <row r="450" spans="1:33" ht="29" hidden="1" x14ac:dyDescent="0.35">
      <c r="A450" s="2769">
        <v>43927</v>
      </c>
      <c r="B450" s="2760">
        <v>8</v>
      </c>
      <c r="C450" s="817" t="s">
        <v>8237</v>
      </c>
      <c r="D450" s="2712" t="s">
        <v>9907</v>
      </c>
      <c r="E450" s="817" t="s">
        <v>8073</v>
      </c>
      <c r="F450" s="5">
        <v>1</v>
      </c>
      <c r="G450" s="5"/>
      <c r="H450" s="5"/>
      <c r="I450" s="5">
        <v>1</v>
      </c>
      <c r="J450" s="5"/>
      <c r="K450" s="5"/>
      <c r="L450" s="817"/>
      <c r="M450" s="817"/>
      <c r="N450" s="817"/>
      <c r="O450" s="817"/>
      <c r="P450" s="2769">
        <v>43938</v>
      </c>
      <c r="Q450" s="2769"/>
      <c r="R450" s="2770" t="s">
        <v>8331</v>
      </c>
      <c r="S450" s="2747" t="s">
        <v>8154</v>
      </c>
      <c r="T450" s="2694" t="s">
        <v>15</v>
      </c>
      <c r="U450" s="2694">
        <v>0.4375</v>
      </c>
      <c r="V450" s="2694" t="s">
        <v>3213</v>
      </c>
      <c r="W450" s="1809">
        <v>100</v>
      </c>
      <c r="X450" s="817" t="s">
        <v>257</v>
      </c>
      <c r="Y450" s="2772"/>
      <c r="Z450" s="817"/>
      <c r="AA450" s="817"/>
      <c r="AB450" s="817" t="s">
        <v>17</v>
      </c>
      <c r="AC450" s="817" t="s">
        <v>7451</v>
      </c>
      <c r="AD450" s="2699"/>
      <c r="AG450" s="2711"/>
    </row>
    <row r="451" spans="1:33" ht="43.5" hidden="1" x14ac:dyDescent="0.35">
      <c r="A451" s="2828">
        <v>43927</v>
      </c>
      <c r="B451" s="2760">
        <v>22</v>
      </c>
      <c r="C451" s="817" t="s">
        <v>8166</v>
      </c>
      <c r="D451" s="2712" t="s">
        <v>9853</v>
      </c>
      <c r="E451" s="817" t="s">
        <v>7935</v>
      </c>
      <c r="F451" s="5">
        <v>1</v>
      </c>
      <c r="G451" s="5">
        <v>1</v>
      </c>
      <c r="H451" s="5"/>
      <c r="I451" s="5"/>
      <c r="J451" s="5"/>
      <c r="K451" s="5"/>
      <c r="L451" s="817"/>
      <c r="M451" s="817"/>
      <c r="N451" s="817"/>
      <c r="O451" s="817"/>
      <c r="P451" s="2828">
        <v>43938</v>
      </c>
      <c r="Q451" s="2828"/>
      <c r="R451" s="2829" t="s">
        <v>8270</v>
      </c>
      <c r="S451" s="2770"/>
      <c r="T451" s="2694" t="s">
        <v>15</v>
      </c>
      <c r="U451" s="2694">
        <v>0.56736111111111109</v>
      </c>
      <c r="V451" s="2694" t="s">
        <v>972</v>
      </c>
      <c r="W451" s="1809">
        <v>100</v>
      </c>
      <c r="X451" s="817" t="s">
        <v>257</v>
      </c>
      <c r="Y451" s="2772"/>
      <c r="Z451" s="817"/>
      <c r="AA451" s="817"/>
      <c r="AB451" s="817" t="s">
        <v>17</v>
      </c>
      <c r="AC451" s="817" t="s">
        <v>7451</v>
      </c>
      <c r="AD451" s="2699"/>
      <c r="AG451" s="2711"/>
    </row>
    <row r="452" spans="1:33" ht="58" hidden="1" x14ac:dyDescent="0.35">
      <c r="A452" s="2769">
        <v>43927</v>
      </c>
      <c r="B452" s="2760">
        <v>5</v>
      </c>
      <c r="C452" s="817" t="s">
        <v>8227</v>
      </c>
      <c r="D452" s="2712" t="s">
        <v>9845</v>
      </c>
      <c r="E452" s="817" t="s">
        <v>8107</v>
      </c>
      <c r="F452" s="5">
        <v>1</v>
      </c>
      <c r="G452" s="5"/>
      <c r="H452" s="5">
        <v>1</v>
      </c>
      <c r="I452" s="5"/>
      <c r="J452" s="5"/>
      <c r="K452" s="5"/>
      <c r="L452" s="817"/>
      <c r="M452" s="817"/>
      <c r="N452" s="817"/>
      <c r="O452" s="817"/>
      <c r="P452" s="2769">
        <v>43938</v>
      </c>
      <c r="Q452" s="2769"/>
      <c r="R452" s="2770" t="s">
        <v>8323</v>
      </c>
      <c r="S452" s="2770" t="s">
        <v>8265</v>
      </c>
      <c r="T452" s="2694" t="s">
        <v>15</v>
      </c>
      <c r="U452" s="2694">
        <v>0.40277777777777773</v>
      </c>
      <c r="V452" s="2694" t="s">
        <v>3213</v>
      </c>
      <c r="W452" s="1956">
        <v>100</v>
      </c>
      <c r="X452" s="817" t="s">
        <v>8268</v>
      </c>
      <c r="Y452" s="2772"/>
      <c r="Z452" s="817"/>
      <c r="AA452" s="817"/>
      <c r="AB452" s="817" t="s">
        <v>17</v>
      </c>
      <c r="AC452" s="817" t="s">
        <v>7451</v>
      </c>
      <c r="AD452" s="2699"/>
      <c r="AG452" s="2711"/>
    </row>
    <row r="453" spans="1:33" ht="43.5" hidden="1" x14ac:dyDescent="0.35">
      <c r="A453" s="1899">
        <v>43931</v>
      </c>
      <c r="B453" s="2759">
        <v>2</v>
      </c>
      <c r="C453" s="7" t="s">
        <v>9045</v>
      </c>
      <c r="D453" s="2712" t="s">
        <v>9778</v>
      </c>
      <c r="E453" s="7" t="s">
        <v>8553</v>
      </c>
      <c r="F453" s="7">
        <v>1</v>
      </c>
      <c r="G453" s="7">
        <v>1</v>
      </c>
      <c r="H453" s="7"/>
      <c r="I453" s="7"/>
      <c r="J453" s="7"/>
      <c r="K453" s="7"/>
      <c r="L453" s="817"/>
      <c r="M453" s="817"/>
      <c r="N453" s="817"/>
      <c r="O453" s="817"/>
      <c r="P453" s="1899">
        <v>43938</v>
      </c>
      <c r="Q453" s="1899"/>
      <c r="R453" s="881" t="s">
        <v>9047</v>
      </c>
      <c r="S453" s="2770"/>
      <c r="T453" s="836" t="s">
        <v>15</v>
      </c>
      <c r="U453" s="836">
        <v>0.37013888888888885</v>
      </c>
      <c r="V453" s="836" t="s">
        <v>972</v>
      </c>
      <c r="W453" s="1630">
        <v>100</v>
      </c>
      <c r="X453" s="836" t="s">
        <v>9046</v>
      </c>
      <c r="Y453" s="2717"/>
      <c r="Z453" s="7"/>
      <c r="AA453" s="7"/>
      <c r="AB453" s="7" t="s">
        <v>17</v>
      </c>
      <c r="AC453" s="7" t="s">
        <v>7451</v>
      </c>
      <c r="AD453" s="2696"/>
      <c r="AG453" s="2711"/>
    </row>
    <row r="454" spans="1:33" ht="43.5" hidden="1" x14ac:dyDescent="0.35">
      <c r="A454" s="2828">
        <v>43927</v>
      </c>
      <c r="B454" s="2760">
        <v>5</v>
      </c>
      <c r="C454" s="817" t="s">
        <v>8256</v>
      </c>
      <c r="D454" s="2712" t="s">
        <v>9798</v>
      </c>
      <c r="E454" s="817" t="s">
        <v>7935</v>
      </c>
      <c r="F454" s="5">
        <v>1</v>
      </c>
      <c r="G454" s="5">
        <v>1</v>
      </c>
      <c r="H454" s="5"/>
      <c r="I454" s="5"/>
      <c r="J454" s="5"/>
      <c r="K454" s="5"/>
      <c r="L454" s="817"/>
      <c r="M454" s="817"/>
      <c r="N454" s="817"/>
      <c r="O454" s="817"/>
      <c r="P454" s="2828">
        <v>43938</v>
      </c>
      <c r="Q454" s="2828"/>
      <c r="R454" s="2829" t="s">
        <v>8347</v>
      </c>
      <c r="S454" s="2829" t="s">
        <v>8289</v>
      </c>
      <c r="T454" s="2694" t="s">
        <v>15</v>
      </c>
      <c r="U454" s="2694">
        <v>0.40833333333333338</v>
      </c>
      <c r="V454" s="2694" t="s">
        <v>3213</v>
      </c>
      <c r="W454" s="1956">
        <v>100</v>
      </c>
      <c r="X454" s="817" t="s">
        <v>8268</v>
      </c>
      <c r="Y454" s="2717"/>
      <c r="Z454" s="817"/>
      <c r="AA454" s="817"/>
      <c r="AB454" s="817" t="s">
        <v>17</v>
      </c>
      <c r="AC454" s="817" t="s">
        <v>7451</v>
      </c>
      <c r="AD454" s="2699"/>
      <c r="AG454" s="2711"/>
    </row>
    <row r="455" spans="1:33" ht="72.5" hidden="1" x14ac:dyDescent="0.35">
      <c r="A455" s="2486">
        <v>43926</v>
      </c>
      <c r="B455" s="2718">
        <v>7</v>
      </c>
      <c r="C455" s="5" t="s">
        <v>8063</v>
      </c>
      <c r="D455" s="2712" t="s">
        <v>9932</v>
      </c>
      <c r="E455" s="5" t="s">
        <v>8064</v>
      </c>
      <c r="F455" s="817"/>
      <c r="G455" s="817">
        <v>1</v>
      </c>
      <c r="H455" s="817"/>
      <c r="I455" s="817"/>
      <c r="J455" s="817"/>
      <c r="K455" s="817">
        <v>1</v>
      </c>
      <c r="L455" s="817"/>
      <c r="M455" s="817"/>
      <c r="N455" s="817"/>
      <c r="O455" s="817"/>
      <c r="P455" s="2486">
        <v>43938</v>
      </c>
      <c r="Q455" s="2486"/>
      <c r="R455" s="824" t="s">
        <v>8065</v>
      </c>
      <c r="S455" s="824"/>
      <c r="T455" s="6" t="s">
        <v>15</v>
      </c>
      <c r="U455" s="2694">
        <v>0.42638888888888887</v>
      </c>
      <c r="V455" s="2694" t="s">
        <v>972</v>
      </c>
      <c r="W455" s="1809">
        <v>100</v>
      </c>
      <c r="X455" s="2694" t="s">
        <v>257</v>
      </c>
      <c r="Y455" s="2772"/>
      <c r="Z455" s="817"/>
      <c r="AA455" s="817"/>
      <c r="AB455" s="817" t="s">
        <v>17</v>
      </c>
      <c r="AC455" s="817" t="s">
        <v>7451</v>
      </c>
      <c r="AD455" s="2699"/>
      <c r="AG455" s="2711"/>
    </row>
    <row r="456" spans="1:33" ht="58" hidden="1" x14ac:dyDescent="0.35">
      <c r="A456" s="2828">
        <v>43924</v>
      </c>
      <c r="B456" s="2760">
        <v>17</v>
      </c>
      <c r="C456" s="817" t="s">
        <v>7833</v>
      </c>
      <c r="D456" s="2712" t="s">
        <v>9811</v>
      </c>
      <c r="E456" s="817" t="s">
        <v>7829</v>
      </c>
      <c r="F456" s="817">
        <v>1</v>
      </c>
      <c r="G456" s="817">
        <v>1</v>
      </c>
      <c r="H456" s="817"/>
      <c r="I456" s="817"/>
      <c r="J456" s="817"/>
      <c r="K456" s="817"/>
      <c r="L456" s="817"/>
      <c r="M456" s="817"/>
      <c r="N456" s="817"/>
      <c r="O456" s="817"/>
      <c r="P456" s="2828">
        <v>43938</v>
      </c>
      <c r="Q456" s="2828"/>
      <c r="R456" s="2829" t="s">
        <v>7830</v>
      </c>
      <c r="S456" s="2829" t="s">
        <v>8303</v>
      </c>
      <c r="T456" s="2694" t="s">
        <v>15</v>
      </c>
      <c r="U456" s="2694">
        <v>0.51388888888888895</v>
      </c>
      <c r="V456" s="2694" t="s">
        <v>972</v>
      </c>
      <c r="W456" s="1809">
        <v>100</v>
      </c>
      <c r="X456" s="817" t="s">
        <v>257</v>
      </c>
      <c r="Y456" s="2772"/>
      <c r="Z456" s="817"/>
      <c r="AA456" s="817"/>
      <c r="AB456" s="817" t="s">
        <v>17</v>
      </c>
      <c r="AC456" s="817" t="s">
        <v>7451</v>
      </c>
      <c r="AD456" s="2699"/>
      <c r="AG456" s="2711"/>
    </row>
    <row r="457" spans="1:33" ht="43.5" hidden="1" x14ac:dyDescent="0.35">
      <c r="A457" s="2486">
        <v>43928</v>
      </c>
      <c r="B457" s="2718">
        <v>3</v>
      </c>
      <c r="C457" s="7" t="s">
        <v>8469</v>
      </c>
      <c r="D457" s="2712" t="s">
        <v>9849</v>
      </c>
      <c r="E457" s="7" t="s">
        <v>8073</v>
      </c>
      <c r="F457" s="2678"/>
      <c r="G457" s="2669">
        <v>1</v>
      </c>
      <c r="H457" s="2669"/>
      <c r="I457" s="2669">
        <v>1</v>
      </c>
      <c r="J457" s="2669"/>
      <c r="K457" s="2669"/>
      <c r="L457" s="817"/>
      <c r="M457" s="817"/>
      <c r="N457" s="817"/>
      <c r="O457" s="817"/>
      <c r="P457" s="2486">
        <v>43938</v>
      </c>
      <c r="Q457" s="2486"/>
      <c r="R457" s="824" t="s">
        <v>8468</v>
      </c>
      <c r="S457" s="2770" t="s">
        <v>8289</v>
      </c>
      <c r="T457" s="6" t="s">
        <v>15</v>
      </c>
      <c r="U457" s="2694">
        <v>0.3840277777777778</v>
      </c>
      <c r="V457" s="2694" t="s">
        <v>972</v>
      </c>
      <c r="W457" s="1809">
        <v>100</v>
      </c>
      <c r="X457" s="836" t="s">
        <v>257</v>
      </c>
      <c r="Y457" s="2772"/>
      <c r="Z457" s="817"/>
      <c r="AA457" s="817"/>
      <c r="AB457" s="7" t="s">
        <v>17</v>
      </c>
      <c r="AC457" s="817" t="s">
        <v>7451</v>
      </c>
      <c r="AD457" s="2699"/>
      <c r="AG457" s="2711"/>
    </row>
    <row r="458" spans="1:33" ht="72.5" hidden="1" x14ac:dyDescent="0.35">
      <c r="A458" s="2486">
        <v>43924</v>
      </c>
      <c r="B458" s="2718">
        <v>18</v>
      </c>
      <c r="C458" s="5" t="s">
        <v>7900</v>
      </c>
      <c r="D458" s="2712" t="s">
        <v>9957</v>
      </c>
      <c r="E458" s="817" t="s">
        <v>7901</v>
      </c>
      <c r="F458" s="5">
        <v>1</v>
      </c>
      <c r="G458" s="5">
        <v>1</v>
      </c>
      <c r="H458" s="5">
        <v>1</v>
      </c>
      <c r="I458" s="5"/>
      <c r="J458" s="5"/>
      <c r="K458" s="5"/>
      <c r="L458" s="5"/>
      <c r="M458" s="5"/>
      <c r="N458" s="5"/>
      <c r="O458" s="5"/>
      <c r="P458" s="2486">
        <v>43938</v>
      </c>
      <c r="Q458" s="2486"/>
      <c r="R458" s="824" t="s">
        <v>7902</v>
      </c>
      <c r="S458" s="824"/>
      <c r="T458" s="6" t="s">
        <v>15</v>
      </c>
      <c r="U458" s="2694">
        <v>0.51388888888888895</v>
      </c>
      <c r="V458" s="2694" t="s">
        <v>972</v>
      </c>
      <c r="W458" s="1956">
        <v>165</v>
      </c>
      <c r="X458" s="817" t="s">
        <v>7634</v>
      </c>
      <c r="Y458" s="2772"/>
      <c r="Z458" s="817"/>
      <c r="AA458" s="817"/>
      <c r="AB458" s="817" t="s">
        <v>17</v>
      </c>
      <c r="AC458" s="817" t="s">
        <v>7451</v>
      </c>
      <c r="AD458" s="2699"/>
      <c r="AG458" s="2711"/>
    </row>
    <row r="459" spans="1:33" ht="29" hidden="1" x14ac:dyDescent="0.35">
      <c r="A459" s="2769">
        <v>43929</v>
      </c>
      <c r="B459" s="2760">
        <v>18</v>
      </c>
      <c r="C459" s="817" t="s">
        <v>8646</v>
      </c>
      <c r="D459" s="2712" t="s">
        <v>9934</v>
      </c>
      <c r="E459" s="7" t="s">
        <v>8648</v>
      </c>
      <c r="F459" s="2682"/>
      <c r="G459" s="2682">
        <v>1</v>
      </c>
      <c r="H459" s="2682"/>
      <c r="I459" s="2682">
        <v>1</v>
      </c>
      <c r="J459" s="2682"/>
      <c r="K459" s="2682"/>
      <c r="L459" s="817"/>
      <c r="M459" s="817"/>
      <c r="N459" s="817"/>
      <c r="O459" s="817"/>
      <c r="P459" s="2769">
        <v>43938</v>
      </c>
      <c r="Q459" s="2769"/>
      <c r="R459" s="2770" t="s">
        <v>8647</v>
      </c>
      <c r="S459" s="2770"/>
      <c r="T459" s="2694">
        <v>0.35416666666666669</v>
      </c>
      <c r="U459" s="2694">
        <v>0.51736111111111105</v>
      </c>
      <c r="V459" s="2694" t="s">
        <v>972</v>
      </c>
      <c r="W459" s="2785">
        <v>130</v>
      </c>
      <c r="X459" s="836" t="s">
        <v>10839</v>
      </c>
      <c r="Y459" s="2772"/>
      <c r="Z459" s="817"/>
      <c r="AA459" s="817"/>
      <c r="AB459" s="7" t="s">
        <v>17</v>
      </c>
      <c r="AC459" s="817" t="s">
        <v>7451</v>
      </c>
      <c r="AD459" s="2700"/>
      <c r="AG459" s="2711"/>
    </row>
    <row r="460" spans="1:33" ht="43.5" hidden="1" x14ac:dyDescent="0.35">
      <c r="A460" s="2828">
        <v>43929</v>
      </c>
      <c r="B460" s="2760">
        <v>18</v>
      </c>
      <c r="C460" s="817" t="s">
        <v>8705</v>
      </c>
      <c r="D460" s="2712" t="s">
        <v>9942</v>
      </c>
      <c r="E460" s="5" t="s">
        <v>8703</v>
      </c>
      <c r="F460" s="2682"/>
      <c r="G460" s="2682">
        <v>1</v>
      </c>
      <c r="H460" s="2682"/>
      <c r="I460" s="2682"/>
      <c r="J460" s="2682"/>
      <c r="K460" s="2682">
        <v>1</v>
      </c>
      <c r="L460" s="817"/>
      <c r="M460" s="817"/>
      <c r="N460" s="817"/>
      <c r="O460" s="817"/>
      <c r="P460" s="2828">
        <v>43938</v>
      </c>
      <c r="Q460" s="2828"/>
      <c r="R460" s="2829" t="s">
        <v>8704</v>
      </c>
      <c r="S460" s="2770"/>
      <c r="T460" s="2694" t="s">
        <v>15</v>
      </c>
      <c r="U460" s="2694">
        <v>0.50972222222222219</v>
      </c>
      <c r="V460" s="2694" t="s">
        <v>3213</v>
      </c>
      <c r="W460" s="1809">
        <v>100</v>
      </c>
      <c r="X460" s="817" t="s">
        <v>257</v>
      </c>
      <c r="Y460" s="2772"/>
      <c r="Z460" s="817"/>
      <c r="AA460" s="817"/>
      <c r="AB460" s="817" t="s">
        <v>17</v>
      </c>
      <c r="AC460" s="817" t="s">
        <v>7451</v>
      </c>
      <c r="AD460" s="2695"/>
      <c r="AG460" s="2711"/>
    </row>
    <row r="461" spans="1:33" ht="29" hidden="1" x14ac:dyDescent="0.35">
      <c r="A461" s="2769">
        <v>43929</v>
      </c>
      <c r="B461" s="2760">
        <v>30</v>
      </c>
      <c r="C461" s="817" t="s">
        <v>8628</v>
      </c>
      <c r="D461" s="2712" t="s">
        <v>9831</v>
      </c>
      <c r="E461" s="7" t="s">
        <v>8629</v>
      </c>
      <c r="F461" s="2682">
        <v>1</v>
      </c>
      <c r="G461" s="2682"/>
      <c r="H461" s="2682"/>
      <c r="I461" s="2682">
        <v>1</v>
      </c>
      <c r="J461" s="2682"/>
      <c r="K461" s="2682"/>
      <c r="L461" s="817"/>
      <c r="M461" s="817"/>
      <c r="N461" s="817"/>
      <c r="O461" s="817"/>
      <c r="P461" s="2769">
        <v>43938</v>
      </c>
      <c r="Q461" s="2769"/>
      <c r="R461" s="2770" t="s">
        <v>10355</v>
      </c>
      <c r="S461" s="2770"/>
      <c r="T461" s="6" t="s">
        <v>15</v>
      </c>
      <c r="U461" s="2694">
        <v>0.61111111111111105</v>
      </c>
      <c r="V461" s="2694" t="s">
        <v>972</v>
      </c>
      <c r="W461" s="1956">
        <v>100</v>
      </c>
      <c r="X461" s="836" t="s">
        <v>8625</v>
      </c>
      <c r="Y461" s="2772"/>
      <c r="Z461" s="817"/>
      <c r="AA461" s="817"/>
      <c r="AB461" s="7" t="s">
        <v>17</v>
      </c>
      <c r="AC461" s="817" t="s">
        <v>7451</v>
      </c>
      <c r="AD461" s="2700"/>
      <c r="AG461" s="2711"/>
    </row>
    <row r="462" spans="1:33" ht="43.5" hidden="1" x14ac:dyDescent="0.35">
      <c r="A462" s="2486">
        <v>43923</v>
      </c>
      <c r="B462" s="2718">
        <v>16</v>
      </c>
      <c r="C462" s="5" t="s">
        <v>7745</v>
      </c>
      <c r="D462" s="2712" t="s">
        <v>9854</v>
      </c>
      <c r="E462" s="5" t="s">
        <v>7506</v>
      </c>
      <c r="F462" s="5">
        <v>1</v>
      </c>
      <c r="G462" s="5">
        <v>1</v>
      </c>
      <c r="H462" s="5"/>
      <c r="I462" s="5"/>
      <c r="J462" s="5"/>
      <c r="K462" s="5"/>
      <c r="L462" s="5"/>
      <c r="M462" s="5"/>
      <c r="N462" s="5"/>
      <c r="O462" s="5"/>
      <c r="P462" s="2486">
        <v>43938</v>
      </c>
      <c r="Q462" s="2486"/>
      <c r="R462" s="824" t="s">
        <v>7744</v>
      </c>
      <c r="S462" s="824"/>
      <c r="T462" s="6" t="s">
        <v>15</v>
      </c>
      <c r="U462" s="2694">
        <v>0.51250000000000007</v>
      </c>
      <c r="V462" s="2694" t="s">
        <v>3213</v>
      </c>
      <c r="W462" s="1956">
        <v>100</v>
      </c>
      <c r="X462" s="2694" t="s">
        <v>7682</v>
      </c>
      <c r="Y462" s="2772"/>
      <c r="Z462" s="2694"/>
      <c r="AA462" s="2694"/>
      <c r="AB462" s="817" t="s">
        <v>17</v>
      </c>
      <c r="AC462" s="817" t="s">
        <v>7451</v>
      </c>
      <c r="AD462" s="2699"/>
      <c r="AG462" s="2711"/>
    </row>
    <row r="463" spans="1:33" ht="87" hidden="1" x14ac:dyDescent="0.35">
      <c r="A463" s="1899">
        <v>43930</v>
      </c>
      <c r="B463" s="2718">
        <v>22</v>
      </c>
      <c r="C463" s="5" t="s">
        <v>8952</v>
      </c>
      <c r="D463" s="2712" t="s">
        <v>9722</v>
      </c>
      <c r="E463" s="5" t="s">
        <v>8954</v>
      </c>
      <c r="F463" s="2686">
        <v>1</v>
      </c>
      <c r="G463" s="2682"/>
      <c r="H463" s="2682"/>
      <c r="I463" s="2682"/>
      <c r="J463" s="2682">
        <v>1</v>
      </c>
      <c r="K463" s="2682"/>
      <c r="L463" s="817"/>
      <c r="M463" s="817"/>
      <c r="N463" s="817"/>
      <c r="O463" s="817"/>
      <c r="P463" s="2486">
        <v>43938</v>
      </c>
      <c r="Q463" s="2486"/>
      <c r="R463" s="824" t="s">
        <v>8953</v>
      </c>
      <c r="S463" s="2770"/>
      <c r="T463" s="2694" t="s">
        <v>15</v>
      </c>
      <c r="U463" s="2694">
        <v>0.57847222222222217</v>
      </c>
      <c r="V463" s="2694" t="s">
        <v>972</v>
      </c>
      <c r="W463" s="1956">
        <v>300</v>
      </c>
      <c r="X463" s="836" t="s">
        <v>8625</v>
      </c>
      <c r="Y463" s="2717"/>
      <c r="Z463" s="817"/>
      <c r="AA463" s="817"/>
      <c r="AB463" s="7" t="s">
        <v>17</v>
      </c>
      <c r="AC463" s="817" t="s">
        <v>7451</v>
      </c>
      <c r="AD463" s="2702"/>
      <c r="AG463" s="2711"/>
    </row>
    <row r="464" spans="1:33" ht="29" hidden="1" x14ac:dyDescent="0.35">
      <c r="A464" s="1899">
        <v>43929</v>
      </c>
      <c r="B464" s="2759">
        <v>20</v>
      </c>
      <c r="C464" s="7" t="s">
        <v>8761</v>
      </c>
      <c r="D464" s="2712" t="s">
        <v>9867</v>
      </c>
      <c r="E464" s="817" t="s">
        <v>7935</v>
      </c>
      <c r="F464" s="2682">
        <v>1</v>
      </c>
      <c r="G464" s="2682">
        <v>1</v>
      </c>
      <c r="H464" s="2682"/>
      <c r="I464" s="2682"/>
      <c r="J464" s="2682"/>
      <c r="K464" s="2682"/>
      <c r="L464" s="817"/>
      <c r="M464" s="817"/>
      <c r="N464" s="817"/>
      <c r="O464" s="817"/>
      <c r="P464" s="1899">
        <v>43938</v>
      </c>
      <c r="Q464" s="1899"/>
      <c r="R464" s="881" t="s">
        <v>8762</v>
      </c>
      <c r="S464" s="2770"/>
      <c r="T464" s="6" t="s">
        <v>15</v>
      </c>
      <c r="U464" s="2694">
        <v>0.5444444444444444</v>
      </c>
      <c r="V464" s="2694" t="s">
        <v>972</v>
      </c>
      <c r="W464" s="1956">
        <v>100</v>
      </c>
      <c r="X464" s="836" t="s">
        <v>8753</v>
      </c>
      <c r="Y464" s="2772"/>
      <c r="Z464" s="817"/>
      <c r="AA464" s="817"/>
      <c r="AB464" s="7" t="s">
        <v>17</v>
      </c>
      <c r="AC464" s="817" t="s">
        <v>7451</v>
      </c>
      <c r="AD464" s="2700"/>
      <c r="AG464" s="2711"/>
    </row>
    <row r="465" spans="1:33" ht="43.5" hidden="1" x14ac:dyDescent="0.35">
      <c r="A465" s="2486">
        <v>43937</v>
      </c>
      <c r="B465" s="2759">
        <v>11</v>
      </c>
      <c r="C465" s="7" t="s">
        <v>10788</v>
      </c>
      <c r="D465" s="2707" t="s">
        <v>10789</v>
      </c>
      <c r="E465" s="2776" t="s">
        <v>8769</v>
      </c>
      <c r="F465" s="2740"/>
      <c r="G465" s="2741"/>
      <c r="H465" s="2741"/>
      <c r="I465" s="2741"/>
      <c r="J465" s="2741"/>
      <c r="K465" s="2682"/>
      <c r="L465" s="817"/>
      <c r="M465" s="817"/>
      <c r="N465" s="817"/>
      <c r="O465" s="817"/>
      <c r="P465" s="1899">
        <v>43938</v>
      </c>
      <c r="Q465" s="2828"/>
      <c r="R465" s="2722" t="s">
        <v>10790</v>
      </c>
      <c r="S465" s="2829"/>
      <c r="T465" s="2694" t="s">
        <v>15</v>
      </c>
      <c r="U465" s="2771">
        <v>0.46319444444444446</v>
      </c>
      <c r="V465" s="2771"/>
      <c r="W465" s="2742">
        <v>170</v>
      </c>
      <c r="X465" s="817" t="s">
        <v>257</v>
      </c>
      <c r="Y465" s="2717"/>
      <c r="Z465" s="817"/>
      <c r="AA465" s="817"/>
      <c r="AB465" s="2744"/>
      <c r="AC465" s="2744"/>
      <c r="AD465" s="2739"/>
      <c r="AG465" s="2711"/>
    </row>
    <row r="466" spans="1:33" ht="43.5" hidden="1" x14ac:dyDescent="0.35">
      <c r="A466" s="2486">
        <v>43923</v>
      </c>
      <c r="B466" s="2718">
        <v>25</v>
      </c>
      <c r="C466" s="5" t="s">
        <v>7781</v>
      </c>
      <c r="D466" s="2712" t="s">
        <v>9951</v>
      </c>
      <c r="E466" s="5" t="s">
        <v>7506</v>
      </c>
      <c r="F466" s="5">
        <v>1</v>
      </c>
      <c r="G466" s="5"/>
      <c r="H466" s="5"/>
      <c r="I466" s="5">
        <v>1</v>
      </c>
      <c r="J466" s="5"/>
      <c r="K466" s="5"/>
      <c r="L466" s="5"/>
      <c r="M466" s="5"/>
      <c r="N466" s="5"/>
      <c r="O466" s="5"/>
      <c r="P466" s="2486">
        <v>43938</v>
      </c>
      <c r="Q466" s="2486"/>
      <c r="R466" s="824" t="s">
        <v>7782</v>
      </c>
      <c r="S466" s="824"/>
      <c r="T466" s="2694" t="s">
        <v>15</v>
      </c>
      <c r="U466" s="2694">
        <v>0.61041666666666672</v>
      </c>
      <c r="V466" s="2694" t="s">
        <v>3213</v>
      </c>
      <c r="W466" s="1809">
        <v>100</v>
      </c>
      <c r="X466" s="2694" t="s">
        <v>257</v>
      </c>
      <c r="Y466" s="2717"/>
      <c r="Z466" s="2694"/>
      <c r="AA466" s="2694"/>
      <c r="AB466" s="817" t="s">
        <v>17</v>
      </c>
      <c r="AC466" s="817" t="s">
        <v>7451</v>
      </c>
      <c r="AD466" s="2699"/>
      <c r="AG466" s="2711"/>
    </row>
    <row r="467" spans="1:33" ht="43.5" hidden="1" x14ac:dyDescent="0.35">
      <c r="A467" s="1899">
        <v>43928</v>
      </c>
      <c r="B467" s="2759">
        <v>19</v>
      </c>
      <c r="C467" s="7" t="s">
        <v>8478</v>
      </c>
      <c r="D467" s="2712" t="s">
        <v>9912</v>
      </c>
      <c r="E467" s="7" t="s">
        <v>8149</v>
      </c>
      <c r="F467" s="2684">
        <v>1</v>
      </c>
      <c r="G467" s="2661">
        <v>1</v>
      </c>
      <c r="H467" s="2661"/>
      <c r="I467" s="2661"/>
      <c r="J467" s="2661"/>
      <c r="K467" s="2661"/>
      <c r="L467" s="817"/>
      <c r="M467" s="817"/>
      <c r="N467" s="817"/>
      <c r="O467" s="817"/>
      <c r="P467" s="1899">
        <v>43938</v>
      </c>
      <c r="Q467" s="1899"/>
      <c r="R467" s="881" t="s">
        <v>8477</v>
      </c>
      <c r="S467" s="2770" t="s">
        <v>8509</v>
      </c>
      <c r="T467" s="2694" t="s">
        <v>15</v>
      </c>
      <c r="U467" s="2694">
        <v>0.54305555555555551</v>
      </c>
      <c r="V467" s="2694" t="s">
        <v>972</v>
      </c>
      <c r="W467" s="2660">
        <v>100</v>
      </c>
      <c r="X467" s="836" t="s">
        <v>257</v>
      </c>
      <c r="Y467" s="2717"/>
      <c r="Z467" s="817"/>
      <c r="AA467" s="817"/>
      <c r="AB467" s="7" t="s">
        <v>17</v>
      </c>
      <c r="AC467" s="817" t="s">
        <v>7451</v>
      </c>
      <c r="AD467" s="2699"/>
      <c r="AG467" s="2711"/>
    </row>
    <row r="468" spans="1:33" ht="43.5" hidden="1" x14ac:dyDescent="0.35">
      <c r="A468" s="1899">
        <v>43928</v>
      </c>
      <c r="B468" s="2759">
        <v>19</v>
      </c>
      <c r="C468" s="7" t="s">
        <v>8376</v>
      </c>
      <c r="D468" s="2712" t="s">
        <v>9856</v>
      </c>
      <c r="E468" s="7" t="s">
        <v>8149</v>
      </c>
      <c r="F468" s="2684">
        <v>1</v>
      </c>
      <c r="G468" s="2661">
        <v>1</v>
      </c>
      <c r="H468" s="2661"/>
      <c r="I468" s="2661"/>
      <c r="J468" s="2661"/>
      <c r="K468" s="2661"/>
      <c r="L468" s="817"/>
      <c r="M468" s="817"/>
      <c r="N468" s="817"/>
      <c r="O468" s="817"/>
      <c r="P468" s="1899">
        <v>43938</v>
      </c>
      <c r="Q468" s="1899"/>
      <c r="R468" s="881" t="s">
        <v>8375</v>
      </c>
      <c r="S468" s="2770" t="s">
        <v>8272</v>
      </c>
      <c r="T468" s="836" t="s">
        <v>15</v>
      </c>
      <c r="U468" s="2694">
        <v>0.51597222222222217</v>
      </c>
      <c r="V468" s="2694" t="s">
        <v>972</v>
      </c>
      <c r="W468" s="2660">
        <v>100</v>
      </c>
      <c r="X468" s="2694" t="s">
        <v>8381</v>
      </c>
      <c r="Y468" s="2772"/>
      <c r="Z468" s="817"/>
      <c r="AA468" s="817"/>
      <c r="AB468" s="817" t="s">
        <v>17</v>
      </c>
      <c r="AC468" s="817" t="s">
        <v>7451</v>
      </c>
      <c r="AD468" s="2699"/>
      <c r="AG468" s="2711"/>
    </row>
    <row r="469" spans="1:33" ht="58" hidden="1" x14ac:dyDescent="0.35">
      <c r="A469" s="2828">
        <v>43927</v>
      </c>
      <c r="B469" s="2760">
        <v>1</v>
      </c>
      <c r="C469" s="817" t="s">
        <v>8235</v>
      </c>
      <c r="D469" s="2712" t="s">
        <v>9893</v>
      </c>
      <c r="E469" s="817" t="s">
        <v>7935</v>
      </c>
      <c r="F469" s="5">
        <v>1</v>
      </c>
      <c r="G469" s="5">
        <v>1</v>
      </c>
      <c r="H469" s="5"/>
      <c r="I469" s="5"/>
      <c r="J469" s="5"/>
      <c r="K469" s="5"/>
      <c r="L469" s="817"/>
      <c r="M469" s="817"/>
      <c r="N469" s="817"/>
      <c r="O469" s="817"/>
      <c r="P469" s="2828">
        <v>43938</v>
      </c>
      <c r="Q469" s="2828"/>
      <c r="R469" s="2829" t="s">
        <v>8329</v>
      </c>
      <c r="S469" s="2829" t="s">
        <v>8285</v>
      </c>
      <c r="T469" s="2694" t="s">
        <v>15</v>
      </c>
      <c r="U469" s="2694">
        <v>0.36874999999999997</v>
      </c>
      <c r="V469" s="2694" t="s">
        <v>3213</v>
      </c>
      <c r="W469" s="1956">
        <v>100</v>
      </c>
      <c r="X469" s="817" t="s">
        <v>8268</v>
      </c>
      <c r="Y469" s="2772"/>
      <c r="Z469" s="817"/>
      <c r="AA469" s="817"/>
      <c r="AB469" s="817" t="s">
        <v>17</v>
      </c>
      <c r="AC469" s="817" t="s">
        <v>7451</v>
      </c>
      <c r="AD469" s="2699"/>
      <c r="AG469" s="2711"/>
    </row>
    <row r="470" spans="1:33" ht="101.5" hidden="1" x14ac:dyDescent="0.35">
      <c r="A470" s="2486">
        <v>43929</v>
      </c>
      <c r="B470" s="2718">
        <v>2</v>
      </c>
      <c r="C470" s="5" t="s">
        <v>8734</v>
      </c>
      <c r="D470" s="2712" t="s">
        <v>9870</v>
      </c>
      <c r="E470" s="5" t="s">
        <v>8735</v>
      </c>
      <c r="F470" s="2679">
        <v>1</v>
      </c>
      <c r="G470" s="5">
        <v>1</v>
      </c>
      <c r="H470" s="5"/>
      <c r="I470" s="5"/>
      <c r="J470" s="5"/>
      <c r="K470" s="5"/>
      <c r="L470" s="817"/>
      <c r="M470" s="817"/>
      <c r="N470" s="817"/>
      <c r="O470" s="817"/>
      <c r="P470" s="2486">
        <v>43938</v>
      </c>
      <c r="Q470" s="2486"/>
      <c r="R470" s="824" t="s">
        <v>8736</v>
      </c>
      <c r="S470" s="2770"/>
      <c r="T470" s="6" t="s">
        <v>15</v>
      </c>
      <c r="U470" s="2694">
        <v>0.37986111111111115</v>
      </c>
      <c r="V470" s="2694" t="s">
        <v>972</v>
      </c>
      <c r="W470" s="1809">
        <v>100</v>
      </c>
      <c r="X470" s="836" t="s">
        <v>257</v>
      </c>
      <c r="Y470" s="2772"/>
      <c r="Z470" s="817"/>
      <c r="AA470" s="817"/>
      <c r="AB470" s="7" t="s">
        <v>17</v>
      </c>
      <c r="AC470" s="817" t="s">
        <v>7451</v>
      </c>
      <c r="AD470" s="2700"/>
      <c r="AG470" s="2711"/>
    </row>
    <row r="471" spans="1:33" ht="29" hidden="1" x14ac:dyDescent="0.35">
      <c r="A471" s="2828">
        <v>43927</v>
      </c>
      <c r="B471" s="2760">
        <v>17</v>
      </c>
      <c r="C471" s="817" t="s">
        <v>8363</v>
      </c>
      <c r="D471" s="2712" t="s">
        <v>9910</v>
      </c>
      <c r="E471" s="817" t="s">
        <v>8207</v>
      </c>
      <c r="F471" s="5">
        <v>3</v>
      </c>
      <c r="G471" s="5">
        <v>3</v>
      </c>
      <c r="H471" s="5"/>
      <c r="I471" s="5"/>
      <c r="J471" s="5"/>
      <c r="K471" s="5"/>
      <c r="L471" s="817"/>
      <c r="M471" s="817"/>
      <c r="N471" s="817"/>
      <c r="O471" s="817"/>
      <c r="P471" s="2828">
        <v>43938</v>
      </c>
      <c r="Q471" s="2828"/>
      <c r="R471" s="2829" t="s">
        <v>8364</v>
      </c>
      <c r="S471" s="2770"/>
      <c r="T471" s="2694" t="s">
        <v>15</v>
      </c>
      <c r="U471" s="2694">
        <v>0.51666666666666672</v>
      </c>
      <c r="V471" s="2694" t="s">
        <v>972</v>
      </c>
      <c r="W471" s="1809">
        <v>300</v>
      </c>
      <c r="X471" s="817" t="s">
        <v>257</v>
      </c>
      <c r="Y471" s="2772"/>
      <c r="Z471" s="2694"/>
      <c r="AA471" s="2694"/>
      <c r="AB471" s="817" t="s">
        <v>17</v>
      </c>
      <c r="AC471" s="817" t="s">
        <v>7451</v>
      </c>
      <c r="AD471" s="2699"/>
      <c r="AG471" s="2711"/>
    </row>
    <row r="472" spans="1:33" ht="29" hidden="1" x14ac:dyDescent="0.35">
      <c r="A472" s="1899">
        <v>43932</v>
      </c>
      <c r="B472" s="2759">
        <v>34</v>
      </c>
      <c r="C472" s="817" t="s">
        <v>9632</v>
      </c>
      <c r="D472" s="2700" t="s">
        <v>9633</v>
      </c>
      <c r="E472" s="817" t="s">
        <v>10742</v>
      </c>
      <c r="F472" s="5">
        <v>1</v>
      </c>
      <c r="G472" s="5">
        <v>3</v>
      </c>
      <c r="H472" s="5"/>
      <c r="I472" s="5"/>
      <c r="J472" s="5"/>
      <c r="K472" s="5"/>
      <c r="L472" s="817"/>
      <c r="M472" s="817"/>
      <c r="N472" s="817"/>
      <c r="O472" s="817"/>
      <c r="P472" s="2828">
        <v>43938</v>
      </c>
      <c r="Q472" s="2769"/>
      <c r="R472" s="2706" t="s">
        <v>9634</v>
      </c>
      <c r="S472" s="2721"/>
      <c r="T472" s="836" t="s">
        <v>15</v>
      </c>
      <c r="U472" s="836">
        <v>0.68333333333333324</v>
      </c>
      <c r="V472" s="836" t="s">
        <v>972</v>
      </c>
      <c r="W472" s="1956">
        <v>260</v>
      </c>
      <c r="X472" s="817" t="s">
        <v>8625</v>
      </c>
      <c r="Y472" s="2772"/>
      <c r="Z472" s="817"/>
      <c r="AA472" s="817"/>
      <c r="AB472" s="817" t="s">
        <v>17</v>
      </c>
      <c r="AC472" s="817" t="s">
        <v>7451</v>
      </c>
      <c r="AD472" s="2696"/>
      <c r="AG472" s="2711"/>
    </row>
    <row r="473" spans="1:33" ht="29" hidden="1" x14ac:dyDescent="0.35">
      <c r="A473" s="2828">
        <v>43927</v>
      </c>
      <c r="B473" s="2760">
        <v>17</v>
      </c>
      <c r="C473" s="817" t="s">
        <v>8358</v>
      </c>
      <c r="D473" s="2712" t="s">
        <v>10141</v>
      </c>
      <c r="E473" s="817" t="s">
        <v>7935</v>
      </c>
      <c r="F473" s="5">
        <v>1</v>
      </c>
      <c r="G473" s="5">
        <v>1</v>
      </c>
      <c r="H473" s="5"/>
      <c r="I473" s="5"/>
      <c r="J473" s="5"/>
      <c r="K473" s="5"/>
      <c r="L473" s="817"/>
      <c r="M473" s="817"/>
      <c r="N473" s="817"/>
      <c r="O473" s="817"/>
      <c r="P473" s="2828">
        <v>43938</v>
      </c>
      <c r="Q473" s="2828"/>
      <c r="R473" s="2829" t="s">
        <v>8359</v>
      </c>
      <c r="S473" s="2829"/>
      <c r="T473" s="2694" t="s">
        <v>15</v>
      </c>
      <c r="U473" s="2694">
        <v>0.4993055555555555</v>
      </c>
      <c r="V473" s="2694" t="s">
        <v>3213</v>
      </c>
      <c r="W473" s="1809">
        <v>100</v>
      </c>
      <c r="X473" s="817" t="s">
        <v>257</v>
      </c>
      <c r="Y473" s="2772"/>
      <c r="Z473" s="817"/>
      <c r="AA473" s="817"/>
      <c r="AB473" s="817" t="s">
        <v>17</v>
      </c>
      <c r="AC473" s="817" t="s">
        <v>7451</v>
      </c>
      <c r="AD473" s="2699"/>
      <c r="AG473" s="2711"/>
    </row>
    <row r="474" spans="1:33" ht="43.5" hidden="1" x14ac:dyDescent="0.35">
      <c r="A474" s="2486">
        <v>43928</v>
      </c>
      <c r="B474" s="2718">
        <v>6</v>
      </c>
      <c r="C474" s="5" t="s">
        <v>8562</v>
      </c>
      <c r="D474" s="2712" t="s">
        <v>9812</v>
      </c>
      <c r="E474" s="5" t="s">
        <v>8563</v>
      </c>
      <c r="F474" s="2679">
        <v>1</v>
      </c>
      <c r="G474" s="5"/>
      <c r="H474" s="5"/>
      <c r="I474" s="5">
        <v>1</v>
      </c>
      <c r="J474" s="5"/>
      <c r="K474" s="5"/>
      <c r="L474" s="817"/>
      <c r="M474" s="817"/>
      <c r="N474" s="817"/>
      <c r="O474" s="817"/>
      <c r="P474" s="2486">
        <v>43938</v>
      </c>
      <c r="Q474" s="2486"/>
      <c r="R474" s="824" t="s">
        <v>8595</v>
      </c>
      <c r="S474" s="824"/>
      <c r="T474" s="6" t="s">
        <v>15</v>
      </c>
      <c r="U474" s="6">
        <v>0.39930555555555558</v>
      </c>
      <c r="V474" s="6" t="s">
        <v>3213</v>
      </c>
      <c r="W474" s="1678">
        <v>100</v>
      </c>
      <c r="X474" s="5" t="s">
        <v>257</v>
      </c>
      <c r="Y474" s="2679"/>
      <c r="Z474" s="5"/>
      <c r="AA474" s="5"/>
      <c r="AB474" s="5" t="s">
        <v>17</v>
      </c>
      <c r="AC474" s="5" t="s">
        <v>7451</v>
      </c>
      <c r="AD474" s="2696"/>
      <c r="AG474" s="2711"/>
    </row>
    <row r="475" spans="1:33" ht="43.5" hidden="1" x14ac:dyDescent="0.35">
      <c r="A475" s="2486">
        <v>43929</v>
      </c>
      <c r="B475" s="2718">
        <v>10</v>
      </c>
      <c r="C475" s="5" t="s">
        <v>8730</v>
      </c>
      <c r="D475" s="2712" t="s">
        <v>9926</v>
      </c>
      <c r="E475" s="7" t="s">
        <v>8622</v>
      </c>
      <c r="F475" s="2679">
        <v>1</v>
      </c>
      <c r="G475" s="5">
        <v>1</v>
      </c>
      <c r="H475" s="5"/>
      <c r="I475" s="5"/>
      <c r="J475" s="5"/>
      <c r="K475" s="5"/>
      <c r="L475" s="817"/>
      <c r="M475" s="817"/>
      <c r="N475" s="817"/>
      <c r="O475" s="817"/>
      <c r="P475" s="2486">
        <v>43938</v>
      </c>
      <c r="Q475" s="2486"/>
      <c r="R475" s="824" t="s">
        <v>8731</v>
      </c>
      <c r="S475" s="2770"/>
      <c r="T475" s="6" t="s">
        <v>15</v>
      </c>
      <c r="U475" s="2694">
        <v>0.44722222222222219</v>
      </c>
      <c r="V475" s="2694" t="s">
        <v>972</v>
      </c>
      <c r="W475" s="1956">
        <v>100</v>
      </c>
      <c r="X475" s="836" t="s">
        <v>8625</v>
      </c>
      <c r="Y475" s="2772"/>
      <c r="Z475" s="817"/>
      <c r="AA475" s="817"/>
      <c r="AB475" s="7" t="s">
        <v>17</v>
      </c>
      <c r="AC475" s="817" t="s">
        <v>7451</v>
      </c>
      <c r="AD475" s="2700"/>
      <c r="AG475" s="2711"/>
    </row>
    <row r="476" spans="1:33" ht="58" hidden="1" x14ac:dyDescent="0.35">
      <c r="A476" s="2486">
        <v>43930</v>
      </c>
      <c r="B476" s="2759">
        <v>13</v>
      </c>
      <c r="C476" s="5" t="s">
        <v>8856</v>
      </c>
      <c r="D476" s="2712" t="s">
        <v>9871</v>
      </c>
      <c r="E476" s="7" t="s">
        <v>8857</v>
      </c>
      <c r="F476" s="2679">
        <v>3</v>
      </c>
      <c r="G476" s="5">
        <v>3</v>
      </c>
      <c r="H476" s="5"/>
      <c r="I476" s="5"/>
      <c r="J476" s="5"/>
      <c r="K476" s="5"/>
      <c r="L476" s="817"/>
      <c r="M476" s="817"/>
      <c r="N476" s="817"/>
      <c r="O476" s="817"/>
      <c r="P476" s="2486">
        <v>43938</v>
      </c>
      <c r="Q476" s="2486"/>
      <c r="R476" s="824" t="s">
        <v>8858</v>
      </c>
      <c r="S476" s="2770"/>
      <c r="T476" s="2694" t="s">
        <v>15</v>
      </c>
      <c r="U476" s="2694">
        <v>0.47916666666666669</v>
      </c>
      <c r="V476" s="2694" t="s">
        <v>972</v>
      </c>
      <c r="W476" s="1956">
        <v>300</v>
      </c>
      <c r="X476" s="836" t="s">
        <v>257</v>
      </c>
      <c r="Y476" s="2717"/>
      <c r="Z476" s="817"/>
      <c r="AA476" s="817"/>
      <c r="AB476" s="7" t="s">
        <v>17</v>
      </c>
      <c r="AC476" s="817" t="s">
        <v>7451</v>
      </c>
      <c r="AD476" s="2700"/>
      <c r="AG476" s="2711"/>
    </row>
    <row r="477" spans="1:33" ht="43.5" hidden="1" x14ac:dyDescent="0.35">
      <c r="A477" s="2486">
        <v>43930</v>
      </c>
      <c r="B477" s="2718">
        <v>21</v>
      </c>
      <c r="C477" s="5" t="s">
        <v>8819</v>
      </c>
      <c r="D477" s="2712" t="s">
        <v>9920</v>
      </c>
      <c r="E477" s="7" t="s">
        <v>8622</v>
      </c>
      <c r="F477" s="2686">
        <v>1</v>
      </c>
      <c r="G477" s="2682">
        <v>1</v>
      </c>
      <c r="H477" s="2682"/>
      <c r="I477" s="2682"/>
      <c r="J477" s="2682"/>
      <c r="K477" s="2682"/>
      <c r="L477" s="817"/>
      <c r="M477" s="817"/>
      <c r="N477" s="817"/>
      <c r="O477" s="817"/>
      <c r="P477" s="2486">
        <v>43938</v>
      </c>
      <c r="Q477" s="2486"/>
      <c r="R477" s="824" t="s">
        <v>8820</v>
      </c>
      <c r="S477" s="2770"/>
      <c r="T477" s="2694">
        <v>0.35416666666666669</v>
      </c>
      <c r="U477" s="2694">
        <v>0.55625000000000002</v>
      </c>
      <c r="V477" s="2694" t="s">
        <v>972</v>
      </c>
      <c r="W477" s="1956">
        <v>100</v>
      </c>
      <c r="X477" s="836" t="s">
        <v>8625</v>
      </c>
      <c r="Y477" s="2772"/>
      <c r="Z477" s="817"/>
      <c r="AA477" s="817"/>
      <c r="AB477" s="7" t="s">
        <v>17</v>
      </c>
      <c r="AC477" s="817" t="s">
        <v>7451</v>
      </c>
      <c r="AD477" s="2700"/>
      <c r="AG477" s="2711"/>
    </row>
    <row r="478" spans="1:33" ht="29" hidden="1" x14ac:dyDescent="0.35">
      <c r="A478" s="2769">
        <v>43931</v>
      </c>
      <c r="B478" s="2760">
        <v>32</v>
      </c>
      <c r="C478" s="817" t="s">
        <v>9229</v>
      </c>
      <c r="D478" s="2712" t="s">
        <v>9228</v>
      </c>
      <c r="E478" s="7" t="s">
        <v>8553</v>
      </c>
      <c r="F478" s="2682">
        <v>1</v>
      </c>
      <c r="G478" s="2682">
        <v>1</v>
      </c>
      <c r="H478" s="2682"/>
      <c r="I478" s="2682"/>
      <c r="J478" s="2682"/>
      <c r="K478" s="2682"/>
      <c r="L478" s="817"/>
      <c r="M478" s="817"/>
      <c r="N478" s="817"/>
      <c r="O478" s="817"/>
      <c r="P478" s="2769">
        <v>43938</v>
      </c>
      <c r="Q478" s="2769"/>
      <c r="R478" s="2770" t="s">
        <v>9230</v>
      </c>
      <c r="S478" s="2770"/>
      <c r="T478" s="2694" t="s">
        <v>15</v>
      </c>
      <c r="U478" s="2694">
        <v>0.6645833333333333</v>
      </c>
      <c r="V478" s="2694" t="s">
        <v>972</v>
      </c>
      <c r="W478" s="2680">
        <v>100</v>
      </c>
      <c r="X478" s="817" t="s">
        <v>2900</v>
      </c>
      <c r="Y478" s="2772"/>
      <c r="Z478" s="817"/>
      <c r="AA478" s="817"/>
      <c r="AB478" s="817" t="s">
        <v>17</v>
      </c>
      <c r="AC478" s="817" t="s">
        <v>7451</v>
      </c>
      <c r="AD478" s="2700" t="s">
        <v>9228</v>
      </c>
      <c r="AG478" s="2711"/>
    </row>
    <row r="479" spans="1:33" ht="43.5" hidden="1" x14ac:dyDescent="0.35">
      <c r="A479" s="2486">
        <v>43931</v>
      </c>
      <c r="B479" s="2718">
        <v>18</v>
      </c>
      <c r="C479" s="5" t="s">
        <v>9331</v>
      </c>
      <c r="D479" s="2700" t="s">
        <v>9330</v>
      </c>
      <c r="E479" s="5" t="s">
        <v>8553</v>
      </c>
      <c r="F479" s="5">
        <v>1</v>
      </c>
      <c r="G479" s="5">
        <v>1</v>
      </c>
      <c r="H479" s="5"/>
      <c r="I479" s="5"/>
      <c r="J479" s="5"/>
      <c r="K479" s="5"/>
      <c r="L479" s="817"/>
      <c r="M479" s="817"/>
      <c r="N479" s="817"/>
      <c r="O479" s="817"/>
      <c r="P479" s="2486">
        <v>43938</v>
      </c>
      <c r="Q479" s="2486"/>
      <c r="R479" s="2829" t="s">
        <v>9332</v>
      </c>
      <c r="S479" s="2770"/>
      <c r="T479" s="2694" t="s">
        <v>15</v>
      </c>
      <c r="U479" s="2694">
        <v>0.53263888888888888</v>
      </c>
      <c r="V479" s="2694" t="s">
        <v>972</v>
      </c>
      <c r="W479" s="1956">
        <v>100</v>
      </c>
      <c r="X479" s="817" t="s">
        <v>8625</v>
      </c>
      <c r="Y479" s="2772"/>
      <c r="Z479" s="817"/>
      <c r="AA479" s="817"/>
      <c r="AB479" s="817" t="s">
        <v>17</v>
      </c>
      <c r="AC479" s="817" t="s">
        <v>7451</v>
      </c>
      <c r="AD479" s="2700" t="s">
        <v>9330</v>
      </c>
      <c r="AG479" s="2711"/>
    </row>
    <row r="480" spans="1:33" ht="101.5" hidden="1" x14ac:dyDescent="0.35">
      <c r="A480" s="2769">
        <v>43927</v>
      </c>
      <c r="B480" s="2760">
        <v>29</v>
      </c>
      <c r="C480" s="817" t="s">
        <v>8192</v>
      </c>
      <c r="D480" s="2712" t="s">
        <v>9828</v>
      </c>
      <c r="E480" s="817" t="s">
        <v>8193</v>
      </c>
      <c r="F480" s="5">
        <v>1</v>
      </c>
      <c r="G480" s="5"/>
      <c r="H480" s="5"/>
      <c r="I480" s="5"/>
      <c r="J480" s="5">
        <v>1</v>
      </c>
      <c r="K480" s="5"/>
      <c r="L480" s="817"/>
      <c r="M480" s="817"/>
      <c r="N480" s="817"/>
      <c r="O480" s="817"/>
      <c r="P480" s="2769">
        <v>43938</v>
      </c>
      <c r="Q480" s="2769"/>
      <c r="R480" s="2770" t="s">
        <v>8292</v>
      </c>
      <c r="S480" s="2770" t="s">
        <v>8293</v>
      </c>
      <c r="T480" s="2694" t="s">
        <v>15</v>
      </c>
      <c r="U480" s="2694">
        <v>0.63124999999999998</v>
      </c>
      <c r="V480" s="2694" t="s">
        <v>972</v>
      </c>
      <c r="W480" s="1809">
        <v>100</v>
      </c>
      <c r="X480" s="817" t="s">
        <v>257</v>
      </c>
      <c r="Y480" s="2772"/>
      <c r="Z480" s="817"/>
      <c r="AA480" s="817"/>
      <c r="AB480" s="817" t="s">
        <v>17</v>
      </c>
      <c r="AC480" s="817" t="s">
        <v>7451</v>
      </c>
      <c r="AD480" s="2699"/>
      <c r="AG480" s="2711"/>
    </row>
    <row r="481" spans="1:33" ht="43.5" hidden="1" x14ac:dyDescent="0.35">
      <c r="A481" s="2486">
        <v>43928</v>
      </c>
      <c r="B481" s="2718">
        <v>30</v>
      </c>
      <c r="C481" s="5" t="s">
        <v>8568</v>
      </c>
      <c r="D481" s="2712" t="s">
        <v>9801</v>
      </c>
      <c r="E481" s="5" t="s">
        <v>8561</v>
      </c>
      <c r="F481" s="2679">
        <v>1</v>
      </c>
      <c r="G481" s="5">
        <v>1</v>
      </c>
      <c r="H481" s="5"/>
      <c r="I481" s="5"/>
      <c r="J481" s="5"/>
      <c r="K481" s="5"/>
      <c r="L481" s="817"/>
      <c r="M481" s="817"/>
      <c r="N481" s="817"/>
      <c r="O481" s="817"/>
      <c r="P481" s="2486">
        <v>43938</v>
      </c>
      <c r="Q481" s="2486"/>
      <c r="R481" s="824" t="s">
        <v>8599</v>
      </c>
      <c r="S481" s="824"/>
      <c r="T481" s="6" t="s">
        <v>15</v>
      </c>
      <c r="U481" s="6">
        <v>0.62777777777777777</v>
      </c>
      <c r="V481" s="6" t="s">
        <v>3213</v>
      </c>
      <c r="W481" s="1630">
        <v>100</v>
      </c>
      <c r="X481" s="5" t="s">
        <v>8592</v>
      </c>
      <c r="Y481" s="2772"/>
      <c r="Z481" s="5"/>
      <c r="AA481" s="5"/>
      <c r="AB481" s="5" t="s">
        <v>17</v>
      </c>
      <c r="AC481" s="5" t="s">
        <v>7451</v>
      </c>
      <c r="AD481" s="2696"/>
      <c r="AG481" s="2711"/>
    </row>
    <row r="482" spans="1:33" ht="43.5" hidden="1" x14ac:dyDescent="0.35">
      <c r="A482" s="2828">
        <v>43926</v>
      </c>
      <c r="B482" s="2760">
        <v>17</v>
      </c>
      <c r="C482" s="2828" t="s">
        <v>8072</v>
      </c>
      <c r="D482" s="2712" t="s">
        <v>9863</v>
      </c>
      <c r="E482" s="817" t="s">
        <v>8073</v>
      </c>
      <c r="F482" s="817">
        <v>1</v>
      </c>
      <c r="G482" s="817"/>
      <c r="H482" s="817"/>
      <c r="I482" s="817">
        <v>1</v>
      </c>
      <c r="J482" s="817"/>
      <c r="K482" s="817"/>
      <c r="L482" s="817"/>
      <c r="M482" s="817"/>
      <c r="N482" s="817"/>
      <c r="O482" s="817"/>
      <c r="P482" s="2828">
        <v>43938</v>
      </c>
      <c r="Q482" s="2828"/>
      <c r="R482" s="2829" t="s">
        <v>8074</v>
      </c>
      <c r="S482" s="2770"/>
      <c r="T482" s="2694" t="s">
        <v>15</v>
      </c>
      <c r="U482" s="2694">
        <v>0.50902777777777775</v>
      </c>
      <c r="V482" s="2694" t="s">
        <v>3213</v>
      </c>
      <c r="W482" s="1956">
        <v>100</v>
      </c>
      <c r="X482" s="817" t="s">
        <v>7424</v>
      </c>
      <c r="Y482" s="2772"/>
      <c r="Z482" s="817"/>
      <c r="AA482" s="817"/>
      <c r="AB482" s="817" t="s">
        <v>17</v>
      </c>
      <c r="AC482" s="817" t="s">
        <v>7451</v>
      </c>
      <c r="AD482" s="2699"/>
      <c r="AG482" s="2711"/>
    </row>
    <row r="483" spans="1:33" ht="43.5" hidden="1" x14ac:dyDescent="0.35">
      <c r="A483" s="2486">
        <v>43928</v>
      </c>
      <c r="B483" s="2718">
        <v>6</v>
      </c>
      <c r="C483" s="5" t="s">
        <v>8574</v>
      </c>
      <c r="D483" s="2712" t="s">
        <v>9796</v>
      </c>
      <c r="E483" s="5" t="s">
        <v>8575</v>
      </c>
      <c r="F483" s="2679">
        <v>2</v>
      </c>
      <c r="G483" s="5">
        <v>2</v>
      </c>
      <c r="H483" s="5"/>
      <c r="I483" s="5"/>
      <c r="J483" s="5"/>
      <c r="K483" s="5"/>
      <c r="L483" s="817"/>
      <c r="M483" s="817"/>
      <c r="N483" s="817"/>
      <c r="O483" s="817"/>
      <c r="P483" s="2486">
        <v>43938</v>
      </c>
      <c r="Q483" s="2486"/>
      <c r="R483" s="824" t="s">
        <v>8604</v>
      </c>
      <c r="S483" s="824"/>
      <c r="T483" s="2694">
        <v>0.35416666666666669</v>
      </c>
      <c r="U483" s="6">
        <v>0.4055555555555555</v>
      </c>
      <c r="V483" s="6" t="s">
        <v>3213</v>
      </c>
      <c r="W483" s="1630">
        <v>200</v>
      </c>
      <c r="X483" s="5" t="s">
        <v>257</v>
      </c>
      <c r="Y483" s="2772"/>
      <c r="Z483" s="5"/>
      <c r="AA483" s="5"/>
      <c r="AB483" s="5" t="s">
        <v>17</v>
      </c>
      <c r="AC483" s="5" t="s">
        <v>7451</v>
      </c>
      <c r="AD483" s="2696"/>
      <c r="AG483" s="2711"/>
    </row>
    <row r="484" spans="1:33" ht="72.5" hidden="1" x14ac:dyDescent="0.35">
      <c r="A484" s="1899">
        <v>43917</v>
      </c>
      <c r="B484" s="2759">
        <v>12</v>
      </c>
      <c r="C484" s="7" t="s">
        <v>7487</v>
      </c>
      <c r="D484" s="2712" t="s">
        <v>9916</v>
      </c>
      <c r="E484" s="7" t="s">
        <v>7473</v>
      </c>
      <c r="F484" s="7">
        <v>1</v>
      </c>
      <c r="G484" s="7">
        <v>1</v>
      </c>
      <c r="H484" s="7"/>
      <c r="I484" s="7"/>
      <c r="J484" s="7"/>
      <c r="K484" s="7"/>
      <c r="L484" s="7"/>
      <c r="M484" s="7"/>
      <c r="N484" s="7"/>
      <c r="O484" s="7"/>
      <c r="P484" s="1899">
        <v>43938</v>
      </c>
      <c r="Q484" s="1899"/>
      <c r="R484" s="881" t="s">
        <v>7488</v>
      </c>
      <c r="S484" s="881"/>
      <c r="T484" s="836" t="s">
        <v>15</v>
      </c>
      <c r="U484" s="836">
        <v>0.4680555555555555</v>
      </c>
      <c r="V484" s="836" t="s">
        <v>972</v>
      </c>
      <c r="W484" s="1956">
        <v>100</v>
      </c>
      <c r="X484" s="7" t="s">
        <v>7458</v>
      </c>
      <c r="Y484" s="2772"/>
      <c r="Z484" s="7"/>
      <c r="AA484" s="7"/>
      <c r="AB484" s="7" t="s">
        <v>17</v>
      </c>
      <c r="AC484" s="7" t="s">
        <v>7451</v>
      </c>
      <c r="AD484" s="2699"/>
      <c r="AG484" s="2711"/>
    </row>
    <row r="485" spans="1:33" ht="43.5" hidden="1" x14ac:dyDescent="0.35">
      <c r="A485" s="2486">
        <v>43928</v>
      </c>
      <c r="B485" s="2718">
        <v>12</v>
      </c>
      <c r="C485" s="5" t="s">
        <v>8583</v>
      </c>
      <c r="D485" s="2712" t="s">
        <v>9852</v>
      </c>
      <c r="E485" s="5" t="s">
        <v>8561</v>
      </c>
      <c r="F485" s="2679">
        <v>1</v>
      </c>
      <c r="G485" s="5">
        <v>1</v>
      </c>
      <c r="H485" s="5"/>
      <c r="I485" s="5"/>
      <c r="J485" s="5"/>
      <c r="K485" s="5"/>
      <c r="L485" s="817"/>
      <c r="M485" s="817"/>
      <c r="N485" s="817"/>
      <c r="O485" s="817"/>
      <c r="P485" s="2486">
        <v>43938</v>
      </c>
      <c r="Q485" s="2486"/>
      <c r="R485" s="824" t="s">
        <v>8611</v>
      </c>
      <c r="S485" s="824"/>
      <c r="T485" s="6" t="s">
        <v>15</v>
      </c>
      <c r="U485" s="6">
        <v>0.46875</v>
      </c>
      <c r="V485" s="6" t="s">
        <v>3213</v>
      </c>
      <c r="W485" s="1630">
        <v>100</v>
      </c>
      <c r="X485" s="5" t="s">
        <v>8592</v>
      </c>
      <c r="Y485" s="2772"/>
      <c r="Z485" s="5"/>
      <c r="AA485" s="5"/>
      <c r="AB485" s="5" t="s">
        <v>17</v>
      </c>
      <c r="AC485" s="5" t="s">
        <v>7451</v>
      </c>
      <c r="AD485" s="2696"/>
      <c r="AG485" s="2711"/>
    </row>
    <row r="486" spans="1:33" ht="43.5" hidden="1" x14ac:dyDescent="0.35">
      <c r="A486" s="1899">
        <v>43922</v>
      </c>
      <c r="B486" s="2759">
        <v>16</v>
      </c>
      <c r="C486" s="7" t="s">
        <v>7672</v>
      </c>
      <c r="D486" s="2712" t="s">
        <v>9950</v>
      </c>
      <c r="E486" s="7" t="s">
        <v>7673</v>
      </c>
      <c r="F486" s="7">
        <v>1</v>
      </c>
      <c r="G486" s="7">
        <v>1</v>
      </c>
      <c r="H486" s="7"/>
      <c r="I486" s="7"/>
      <c r="J486" s="7"/>
      <c r="K486" s="7"/>
      <c r="L486" s="7"/>
      <c r="M486" s="7"/>
      <c r="N486" s="7"/>
      <c r="O486" s="7"/>
      <c r="P486" s="1899">
        <v>43938</v>
      </c>
      <c r="Q486" s="1899"/>
      <c r="R486" s="881" t="s">
        <v>7674</v>
      </c>
      <c r="S486" s="881"/>
      <c r="T486" s="836" t="s">
        <v>15</v>
      </c>
      <c r="U486" s="2694">
        <v>0.4916666666666667</v>
      </c>
      <c r="V486" s="2694" t="s">
        <v>3213</v>
      </c>
      <c r="W486" s="1809">
        <v>100</v>
      </c>
      <c r="X486" s="2694" t="s">
        <v>257</v>
      </c>
      <c r="Y486" s="2772"/>
      <c r="Z486" s="817"/>
      <c r="AA486" s="817"/>
      <c r="AB486" s="817" t="s">
        <v>17</v>
      </c>
      <c r="AC486" s="817" t="s">
        <v>7451</v>
      </c>
      <c r="AD486" s="2699"/>
      <c r="AG486" s="2711"/>
    </row>
    <row r="487" spans="1:33" ht="72.5" hidden="1" x14ac:dyDescent="0.35">
      <c r="A487" s="2486">
        <v>43928</v>
      </c>
      <c r="B487" s="2718">
        <v>23</v>
      </c>
      <c r="C487" s="7" t="s">
        <v>8428</v>
      </c>
      <c r="D487" s="2712" t="s">
        <v>9829</v>
      </c>
      <c r="E487" s="7" t="s">
        <v>8149</v>
      </c>
      <c r="F487" s="2679">
        <v>1</v>
      </c>
      <c r="G487" s="5">
        <v>1</v>
      </c>
      <c r="H487" s="5"/>
      <c r="I487" s="5"/>
      <c r="J487" s="5"/>
      <c r="K487" s="5"/>
      <c r="L487" s="817"/>
      <c r="M487" s="817"/>
      <c r="N487" s="817"/>
      <c r="O487" s="817"/>
      <c r="P487" s="2486">
        <v>43938</v>
      </c>
      <c r="Q487" s="2486"/>
      <c r="R487" s="824" t="s">
        <v>8433</v>
      </c>
      <c r="S487" s="2770" t="s">
        <v>8511</v>
      </c>
      <c r="T487" s="2694">
        <v>0.35416666666666669</v>
      </c>
      <c r="U487" s="2694">
        <v>0.57152777777777775</v>
      </c>
      <c r="V487" s="2694" t="s">
        <v>972</v>
      </c>
      <c r="W487" s="2660">
        <v>100</v>
      </c>
      <c r="X487" s="2694" t="s">
        <v>8381</v>
      </c>
      <c r="Y487" s="2772"/>
      <c r="Z487" s="817"/>
      <c r="AA487" s="817"/>
      <c r="AB487" s="817" t="s">
        <v>17</v>
      </c>
      <c r="AC487" s="817" t="s">
        <v>7451</v>
      </c>
      <c r="AD487" s="2699"/>
      <c r="AG487" s="2711"/>
    </row>
    <row r="488" spans="1:33" ht="43.5" hidden="1" x14ac:dyDescent="0.35">
      <c r="A488" s="2486">
        <v>43925</v>
      </c>
      <c r="B488" s="2718">
        <v>5</v>
      </c>
      <c r="C488" s="7" t="s">
        <v>8009</v>
      </c>
      <c r="D488" s="2712" t="s">
        <v>9873</v>
      </c>
      <c r="E488" s="817" t="s">
        <v>7972</v>
      </c>
      <c r="F488" s="5">
        <v>1</v>
      </c>
      <c r="G488" s="5">
        <v>1</v>
      </c>
      <c r="H488" s="5"/>
      <c r="I488" s="5"/>
      <c r="J488" s="5"/>
      <c r="K488" s="5"/>
      <c r="L488" s="5"/>
      <c r="M488" s="5"/>
      <c r="N488" s="5"/>
      <c r="O488" s="5"/>
      <c r="P488" s="2486">
        <v>43938</v>
      </c>
      <c r="Q488" s="2486"/>
      <c r="R488" s="824" t="s">
        <v>8008</v>
      </c>
      <c r="S488" s="824" t="s">
        <v>8285</v>
      </c>
      <c r="T488" s="6" t="s">
        <v>15</v>
      </c>
      <c r="U488" s="2694">
        <v>0.40486111111111112</v>
      </c>
      <c r="V488" s="2694" t="s">
        <v>972</v>
      </c>
      <c r="W488" s="1956">
        <v>100</v>
      </c>
      <c r="X488" s="817" t="s">
        <v>7634</v>
      </c>
      <c r="Y488" s="2772"/>
      <c r="Z488" s="817"/>
      <c r="AA488" s="817"/>
      <c r="AB488" s="817" t="s">
        <v>17</v>
      </c>
      <c r="AC488" s="817" t="s">
        <v>7451</v>
      </c>
      <c r="AD488" s="2699"/>
      <c r="AG488" s="2711"/>
    </row>
    <row r="489" spans="1:33" ht="43.5" hidden="1" x14ac:dyDescent="0.35">
      <c r="A489" s="2769">
        <v>43930</v>
      </c>
      <c r="B489" s="2760">
        <v>18</v>
      </c>
      <c r="C489" s="817" t="s">
        <v>8941</v>
      </c>
      <c r="D489" s="2712" t="s">
        <v>9861</v>
      </c>
      <c r="E489" s="817" t="s">
        <v>8931</v>
      </c>
      <c r="F489" s="2682">
        <v>1</v>
      </c>
      <c r="G489" s="2682">
        <v>1</v>
      </c>
      <c r="H489" s="2682"/>
      <c r="I489" s="2682"/>
      <c r="J489" s="2682"/>
      <c r="K489" s="2682"/>
      <c r="L489" s="817"/>
      <c r="M489" s="817"/>
      <c r="N489" s="817"/>
      <c r="O489" s="817"/>
      <c r="P489" s="2769">
        <v>43938</v>
      </c>
      <c r="Q489" s="2769"/>
      <c r="R489" s="2770" t="s">
        <v>8929</v>
      </c>
      <c r="S489" s="2770"/>
      <c r="T489" s="2694" t="s">
        <v>15</v>
      </c>
      <c r="U489" s="2694">
        <v>0.50763888888888886</v>
      </c>
      <c r="V489" s="2694" t="s">
        <v>972</v>
      </c>
      <c r="W489" s="2680">
        <v>0</v>
      </c>
      <c r="X489" s="817" t="s">
        <v>8917</v>
      </c>
      <c r="Y489" s="2772"/>
      <c r="Z489" s="817"/>
      <c r="AA489" s="817"/>
      <c r="AB489" s="817" t="s">
        <v>974</v>
      </c>
      <c r="AC489" s="817" t="s">
        <v>7451</v>
      </c>
      <c r="AD489" s="2695"/>
      <c r="AG489" s="2711"/>
    </row>
    <row r="490" spans="1:33" ht="29" hidden="1" x14ac:dyDescent="0.35">
      <c r="A490" s="2486">
        <v>43928</v>
      </c>
      <c r="B490" s="2718">
        <v>31</v>
      </c>
      <c r="C490" s="5" t="s">
        <v>8586</v>
      </c>
      <c r="D490" s="2712" t="s">
        <v>9906</v>
      </c>
      <c r="E490" s="5" t="s">
        <v>8561</v>
      </c>
      <c r="F490" s="2679">
        <v>1</v>
      </c>
      <c r="G490" s="5"/>
      <c r="H490" s="5"/>
      <c r="I490" s="5"/>
      <c r="J490" s="5"/>
      <c r="K490" s="5">
        <v>1</v>
      </c>
      <c r="L490" s="817"/>
      <c r="M490" s="817"/>
      <c r="N490" s="817"/>
      <c r="O490" s="817"/>
      <c r="P490" s="2486">
        <v>43938</v>
      </c>
      <c r="Q490" s="2486"/>
      <c r="R490" s="824" t="s">
        <v>8614</v>
      </c>
      <c r="S490" s="824"/>
      <c r="T490" s="6" t="s">
        <v>15</v>
      </c>
      <c r="U490" s="6">
        <v>0.62083333333333335</v>
      </c>
      <c r="V490" s="6" t="s">
        <v>3213</v>
      </c>
      <c r="W490" s="1630">
        <v>100</v>
      </c>
      <c r="X490" s="5" t="s">
        <v>8592</v>
      </c>
      <c r="Y490" s="2679"/>
      <c r="Z490" s="5"/>
      <c r="AA490" s="5"/>
      <c r="AB490" s="5" t="s">
        <v>17</v>
      </c>
      <c r="AC490" s="5" t="s">
        <v>7451</v>
      </c>
      <c r="AD490" s="2696"/>
      <c r="AG490" s="2711"/>
    </row>
    <row r="491" spans="1:33" ht="87" hidden="1" x14ac:dyDescent="0.35">
      <c r="A491" s="1899">
        <v>43918</v>
      </c>
      <c r="B491" s="2759">
        <v>8</v>
      </c>
      <c r="C491" s="7" t="s">
        <v>7524</v>
      </c>
      <c r="D491" s="2712" t="s">
        <v>9959</v>
      </c>
      <c r="E491" s="7" t="s">
        <v>7506</v>
      </c>
      <c r="F491" s="7">
        <v>1</v>
      </c>
      <c r="G491" s="7">
        <v>1</v>
      </c>
      <c r="H491" s="7"/>
      <c r="I491" s="7"/>
      <c r="J491" s="7"/>
      <c r="K491" s="7"/>
      <c r="L491" s="7"/>
      <c r="M491" s="7"/>
      <c r="N491" s="7"/>
      <c r="O491" s="7"/>
      <c r="P491" s="1899">
        <v>43938</v>
      </c>
      <c r="Q491" s="1899"/>
      <c r="R491" s="881" t="s">
        <v>10357</v>
      </c>
      <c r="S491" s="881"/>
      <c r="T491" s="836" t="s">
        <v>15</v>
      </c>
      <c r="U491" s="836">
        <v>0.41597222222222219</v>
      </c>
      <c r="V491" s="836" t="s">
        <v>972</v>
      </c>
      <c r="W491" s="1809">
        <v>100</v>
      </c>
      <c r="X491" s="836" t="s">
        <v>257</v>
      </c>
      <c r="Y491" s="2717"/>
      <c r="Z491" s="836"/>
      <c r="AA491" s="836"/>
      <c r="AB491" s="7" t="s">
        <v>17</v>
      </c>
      <c r="AC491" s="7" t="s">
        <v>7451</v>
      </c>
      <c r="AD491" s="2699"/>
      <c r="AG491" s="2711"/>
    </row>
    <row r="492" spans="1:33" ht="58" hidden="1" x14ac:dyDescent="0.35">
      <c r="A492" s="2828">
        <v>43931</v>
      </c>
      <c r="B492" s="2760">
        <v>29</v>
      </c>
      <c r="C492" s="817" t="s">
        <v>9129</v>
      </c>
      <c r="D492" s="2712" t="s">
        <v>9128</v>
      </c>
      <c r="E492" s="7" t="s">
        <v>8107</v>
      </c>
      <c r="F492" s="2682">
        <v>1</v>
      </c>
      <c r="G492" s="2682"/>
      <c r="H492" s="2682">
        <v>1</v>
      </c>
      <c r="I492" s="2682"/>
      <c r="J492" s="2682"/>
      <c r="K492" s="2682"/>
      <c r="L492" s="817"/>
      <c r="M492" s="817"/>
      <c r="N492" s="817"/>
      <c r="O492" s="817"/>
      <c r="P492" s="2828">
        <v>43938</v>
      </c>
      <c r="Q492" s="2828"/>
      <c r="R492" s="2829" t="s">
        <v>9127</v>
      </c>
      <c r="S492" s="2829"/>
      <c r="T492" s="2694" t="s">
        <v>15</v>
      </c>
      <c r="U492" s="2694">
        <v>0.66249999999999998</v>
      </c>
      <c r="V492" s="2694" t="s">
        <v>972</v>
      </c>
      <c r="W492" s="2680">
        <v>100</v>
      </c>
      <c r="X492" s="817" t="s">
        <v>2900</v>
      </c>
      <c r="Y492" s="2772"/>
      <c r="Z492" s="817"/>
      <c r="AA492" s="817"/>
      <c r="AB492" s="817" t="s">
        <v>17</v>
      </c>
      <c r="AC492" s="817" t="s">
        <v>7451</v>
      </c>
      <c r="AD492" s="2700" t="s">
        <v>9128</v>
      </c>
      <c r="AG492" s="2711"/>
    </row>
    <row r="493" spans="1:33" ht="43.5" hidden="1" x14ac:dyDescent="0.35">
      <c r="A493" s="2486">
        <v>43930</v>
      </c>
      <c r="B493" s="2718">
        <v>8</v>
      </c>
      <c r="C493" s="5" t="s">
        <v>8801</v>
      </c>
      <c r="D493" s="2712" t="s">
        <v>9799</v>
      </c>
      <c r="E493" s="7" t="s">
        <v>8622</v>
      </c>
      <c r="F493" s="2686">
        <v>1</v>
      </c>
      <c r="G493" s="2682">
        <v>1</v>
      </c>
      <c r="H493" s="2682"/>
      <c r="I493" s="2682"/>
      <c r="J493" s="2682"/>
      <c r="K493" s="2682"/>
      <c r="L493" s="817"/>
      <c r="M493" s="817"/>
      <c r="N493" s="817"/>
      <c r="O493" s="817"/>
      <c r="P493" s="2486">
        <v>43938</v>
      </c>
      <c r="Q493" s="2486"/>
      <c r="R493" s="2486" t="s">
        <v>8800</v>
      </c>
      <c r="S493" s="2829"/>
      <c r="T493" s="6" t="s">
        <v>15</v>
      </c>
      <c r="U493" s="2694">
        <v>0.43124999999999997</v>
      </c>
      <c r="V493" s="2694" t="s">
        <v>972</v>
      </c>
      <c r="W493" s="1809">
        <v>100</v>
      </c>
      <c r="X493" s="836" t="s">
        <v>257</v>
      </c>
      <c r="Y493" s="2772"/>
      <c r="Z493" s="817"/>
      <c r="AA493" s="817"/>
      <c r="AB493" s="7" t="s">
        <v>17</v>
      </c>
      <c r="AC493" s="817" t="s">
        <v>7451</v>
      </c>
      <c r="AD493" s="2700"/>
      <c r="AG493" s="2711"/>
    </row>
    <row r="494" spans="1:33" ht="29" hidden="1" x14ac:dyDescent="0.35">
      <c r="A494" s="2828">
        <v>43931</v>
      </c>
      <c r="B494" s="2760">
        <v>1</v>
      </c>
      <c r="C494" s="817" t="s">
        <v>9145</v>
      </c>
      <c r="D494" s="2712" t="s">
        <v>9147</v>
      </c>
      <c r="E494" s="7" t="s">
        <v>8553</v>
      </c>
      <c r="F494" s="2682">
        <v>1</v>
      </c>
      <c r="G494" s="2682">
        <v>1</v>
      </c>
      <c r="H494" s="2682"/>
      <c r="I494" s="2682"/>
      <c r="J494" s="2682"/>
      <c r="K494" s="2682"/>
      <c r="L494" s="817"/>
      <c r="M494" s="817"/>
      <c r="N494" s="817"/>
      <c r="O494" s="817"/>
      <c r="P494" s="2828">
        <v>43938</v>
      </c>
      <c r="Q494" s="2828"/>
      <c r="R494" s="2829" t="s">
        <v>9146</v>
      </c>
      <c r="S494" s="2770"/>
      <c r="T494" s="2694" t="s">
        <v>15</v>
      </c>
      <c r="U494" s="2694">
        <v>0.35972222222222222</v>
      </c>
      <c r="V494" s="2694" t="s">
        <v>972</v>
      </c>
      <c r="W494" s="2680">
        <v>100</v>
      </c>
      <c r="X494" s="817" t="s">
        <v>2900</v>
      </c>
      <c r="Y494" s="2772"/>
      <c r="Z494" s="817"/>
      <c r="AA494" s="817"/>
      <c r="AB494" s="817" t="s">
        <v>17</v>
      </c>
      <c r="AC494" s="817" t="s">
        <v>7451</v>
      </c>
      <c r="AD494" s="2700" t="s">
        <v>9147</v>
      </c>
      <c r="AG494" s="2711"/>
    </row>
    <row r="495" spans="1:33" ht="43.5" hidden="1" x14ac:dyDescent="0.35">
      <c r="A495" s="2828">
        <v>43931</v>
      </c>
      <c r="B495" s="2760">
        <v>20</v>
      </c>
      <c r="C495" s="817" t="s">
        <v>9264</v>
      </c>
      <c r="D495" s="2712" t="s">
        <v>9263</v>
      </c>
      <c r="E495" s="7" t="s">
        <v>8553</v>
      </c>
      <c r="F495" s="2682">
        <v>1</v>
      </c>
      <c r="G495" s="2682">
        <v>1</v>
      </c>
      <c r="H495" s="2682"/>
      <c r="I495" s="2682"/>
      <c r="J495" s="2682"/>
      <c r="K495" s="2682"/>
      <c r="L495" s="817"/>
      <c r="M495" s="817"/>
      <c r="N495" s="817"/>
      <c r="O495" s="817"/>
      <c r="P495" s="2828">
        <v>43938</v>
      </c>
      <c r="Q495" s="2828"/>
      <c r="R495" s="2829" t="s">
        <v>9265</v>
      </c>
      <c r="S495" s="2829"/>
      <c r="T495" s="2694">
        <v>0.35416666666666669</v>
      </c>
      <c r="U495" s="2694">
        <v>0.54583333333333328</v>
      </c>
      <c r="V495" s="2694" t="s">
        <v>972</v>
      </c>
      <c r="W495" s="2681">
        <v>100</v>
      </c>
      <c r="X495" s="817" t="s">
        <v>2900</v>
      </c>
      <c r="Y495" s="2772"/>
      <c r="Z495" s="817"/>
      <c r="AA495" s="817"/>
      <c r="AB495" s="817" t="s">
        <v>17</v>
      </c>
      <c r="AC495" s="817" t="s">
        <v>7451</v>
      </c>
      <c r="AD495" s="2700" t="s">
        <v>9263</v>
      </c>
      <c r="AG495" s="2711"/>
    </row>
    <row r="496" spans="1:33" ht="43.5" hidden="1" x14ac:dyDescent="0.35">
      <c r="A496" s="2486">
        <v>43931</v>
      </c>
      <c r="B496" s="2718">
        <v>5</v>
      </c>
      <c r="C496" s="2700" t="s">
        <v>9293</v>
      </c>
      <c r="D496" s="2712" t="s">
        <v>9291</v>
      </c>
      <c r="E496" s="5" t="s">
        <v>9294</v>
      </c>
      <c r="F496" s="2682">
        <v>1</v>
      </c>
      <c r="G496" s="2682">
        <v>1</v>
      </c>
      <c r="H496" s="2682"/>
      <c r="I496" s="2682">
        <v>1</v>
      </c>
      <c r="J496" s="2682"/>
      <c r="K496" s="2682"/>
      <c r="L496" s="817"/>
      <c r="M496" s="817"/>
      <c r="N496" s="817"/>
      <c r="O496" s="817"/>
      <c r="P496" s="2486">
        <v>43938</v>
      </c>
      <c r="Q496" s="2486"/>
      <c r="R496" s="2770" t="s">
        <v>9292</v>
      </c>
      <c r="S496" s="2770"/>
      <c r="T496" s="2694" t="s">
        <v>15</v>
      </c>
      <c r="U496" s="2694">
        <v>0.40625</v>
      </c>
      <c r="V496" s="2694" t="s">
        <v>972</v>
      </c>
      <c r="W496" s="2680">
        <v>100</v>
      </c>
      <c r="X496" s="817" t="s">
        <v>2900</v>
      </c>
      <c r="Y496" s="2772"/>
      <c r="Z496" s="817"/>
      <c r="AA496" s="817"/>
      <c r="AB496" s="817" t="s">
        <v>17</v>
      </c>
      <c r="AC496" s="817" t="s">
        <v>7451</v>
      </c>
      <c r="AD496" s="2700" t="s">
        <v>9291</v>
      </c>
      <c r="AG496" s="2711"/>
    </row>
    <row r="497" spans="1:33" ht="29" hidden="1" x14ac:dyDescent="0.35">
      <c r="A497" s="1899">
        <v>43932</v>
      </c>
      <c r="B497" s="2759">
        <v>4</v>
      </c>
      <c r="C497" s="7" t="s">
        <v>9508</v>
      </c>
      <c r="D497" s="2707" t="s">
        <v>9509</v>
      </c>
      <c r="E497" s="7" t="s">
        <v>8553</v>
      </c>
      <c r="F497" s="5">
        <v>1</v>
      </c>
      <c r="G497" s="5">
        <v>1</v>
      </c>
      <c r="H497" s="5"/>
      <c r="I497" s="5"/>
      <c r="J497" s="5"/>
      <c r="K497" s="5"/>
      <c r="L497" s="817"/>
      <c r="M497" s="817"/>
      <c r="N497" s="817"/>
      <c r="O497" s="817"/>
      <c r="P497" s="1899">
        <v>43938</v>
      </c>
      <c r="Q497" s="2828"/>
      <c r="R497" s="2708" t="s">
        <v>9510</v>
      </c>
      <c r="S497" s="2829"/>
      <c r="T497" s="836" t="s">
        <v>15</v>
      </c>
      <c r="U497" s="836">
        <v>0.3972222222222222</v>
      </c>
      <c r="V497" s="836" t="s">
        <v>972</v>
      </c>
      <c r="W497" s="2680">
        <v>100</v>
      </c>
      <c r="X497" s="817" t="s">
        <v>2900</v>
      </c>
      <c r="Y497" s="2772"/>
      <c r="Z497" s="817"/>
      <c r="AA497" s="817"/>
      <c r="AB497" s="817" t="s">
        <v>17</v>
      </c>
      <c r="AC497" s="817" t="s">
        <v>7451</v>
      </c>
      <c r="AD497" s="2696"/>
      <c r="AG497" s="2711"/>
    </row>
    <row r="498" spans="1:33" ht="43.5" hidden="1" x14ac:dyDescent="0.35">
      <c r="A498" s="2486">
        <v>43923</v>
      </c>
      <c r="B498" s="2718">
        <v>22</v>
      </c>
      <c r="C498" s="5" t="s">
        <v>7773</v>
      </c>
      <c r="D498" s="2712" t="s">
        <v>9894</v>
      </c>
      <c r="E498" s="5" t="s">
        <v>7506</v>
      </c>
      <c r="F498" s="5">
        <v>1</v>
      </c>
      <c r="G498" s="5">
        <v>1</v>
      </c>
      <c r="H498" s="5"/>
      <c r="I498" s="5"/>
      <c r="J498" s="5"/>
      <c r="K498" s="5"/>
      <c r="L498" s="5"/>
      <c r="M498" s="5"/>
      <c r="N498" s="5"/>
      <c r="O498" s="5"/>
      <c r="P498" s="2486">
        <v>43938</v>
      </c>
      <c r="Q498" s="2486"/>
      <c r="R498" s="824" t="s">
        <v>7774</v>
      </c>
      <c r="S498" s="824"/>
      <c r="T498" s="6" t="s">
        <v>15</v>
      </c>
      <c r="U498" s="2694">
        <v>0.54305555555555551</v>
      </c>
      <c r="V498" s="2694" t="s">
        <v>3213</v>
      </c>
      <c r="W498" s="1956">
        <v>100</v>
      </c>
      <c r="X498" s="2694" t="s">
        <v>7682</v>
      </c>
      <c r="Y498" s="2772"/>
      <c r="Z498" s="2694"/>
      <c r="AA498" s="2694"/>
      <c r="AB498" s="817" t="s">
        <v>17</v>
      </c>
      <c r="AC498" s="817" t="s">
        <v>7451</v>
      </c>
      <c r="AD498" s="2699"/>
      <c r="AG498" s="2711"/>
    </row>
    <row r="499" spans="1:33" ht="58" hidden="1" x14ac:dyDescent="0.35">
      <c r="A499" s="2769">
        <v>43931</v>
      </c>
      <c r="B499" s="2760">
        <v>1</v>
      </c>
      <c r="C499" s="817" t="s">
        <v>9191</v>
      </c>
      <c r="D499" s="2712" t="s">
        <v>9190</v>
      </c>
      <c r="E499" s="7" t="s">
        <v>8553</v>
      </c>
      <c r="F499" s="2682">
        <v>1</v>
      </c>
      <c r="G499" s="2682">
        <v>1</v>
      </c>
      <c r="H499" s="2682"/>
      <c r="I499" s="2682"/>
      <c r="J499" s="2682"/>
      <c r="K499" s="2682"/>
      <c r="L499" s="817"/>
      <c r="M499" s="817"/>
      <c r="N499" s="817"/>
      <c r="O499" s="817"/>
      <c r="P499" s="2769">
        <v>43938</v>
      </c>
      <c r="Q499" s="2769"/>
      <c r="R499" s="2706" t="s">
        <v>9189</v>
      </c>
      <c r="S499" s="2770"/>
      <c r="T499" s="2694" t="s">
        <v>15</v>
      </c>
      <c r="U499" s="2694">
        <v>0.37083333333333335</v>
      </c>
      <c r="V499" s="2694" t="s">
        <v>972</v>
      </c>
      <c r="W499" s="1956">
        <v>100</v>
      </c>
      <c r="X499" s="817" t="s">
        <v>8625</v>
      </c>
      <c r="Y499" s="2772"/>
      <c r="Z499" s="817"/>
      <c r="AA499" s="817"/>
      <c r="AB499" s="817" t="s">
        <v>17</v>
      </c>
      <c r="AC499" s="817" t="s">
        <v>7451</v>
      </c>
      <c r="AD499" s="2700" t="s">
        <v>9190</v>
      </c>
      <c r="AG499" s="2711"/>
    </row>
    <row r="500" spans="1:33" ht="29" hidden="1" x14ac:dyDescent="0.35">
      <c r="A500" s="2486">
        <v>43931</v>
      </c>
      <c r="B500" s="2718">
        <v>5</v>
      </c>
      <c r="C500" s="5" t="s">
        <v>9342</v>
      </c>
      <c r="D500" s="2700" t="s">
        <v>9341</v>
      </c>
      <c r="E500" s="5" t="s">
        <v>8553</v>
      </c>
      <c r="F500" s="5">
        <v>1</v>
      </c>
      <c r="G500" s="5">
        <v>1</v>
      </c>
      <c r="H500" s="5"/>
      <c r="I500" s="5"/>
      <c r="J500" s="5"/>
      <c r="K500" s="5"/>
      <c r="L500" s="817"/>
      <c r="M500" s="817"/>
      <c r="N500" s="817"/>
      <c r="O500" s="817"/>
      <c r="P500" s="2486">
        <v>43938</v>
      </c>
      <c r="Q500" s="2486"/>
      <c r="R500" s="2829" t="s">
        <v>9343</v>
      </c>
      <c r="S500" s="2770"/>
      <c r="T500" s="881" t="s">
        <v>15</v>
      </c>
      <c r="U500" s="2694">
        <v>0.39861111111111108</v>
      </c>
      <c r="V500" s="2694" t="s">
        <v>972</v>
      </c>
      <c r="W500" s="2680">
        <v>100</v>
      </c>
      <c r="X500" s="817" t="s">
        <v>2900</v>
      </c>
      <c r="Y500" s="2772"/>
      <c r="Z500" s="817"/>
      <c r="AA500" s="817"/>
      <c r="AB500" s="817" t="s">
        <v>17</v>
      </c>
      <c r="AC500" s="817" t="s">
        <v>7451</v>
      </c>
      <c r="AD500" s="2700" t="s">
        <v>9341</v>
      </c>
      <c r="AG500" s="2711"/>
    </row>
    <row r="501" spans="1:33" ht="29" hidden="1" x14ac:dyDescent="0.35">
      <c r="A501" s="2486">
        <v>43930</v>
      </c>
      <c r="B501" s="2718">
        <v>21</v>
      </c>
      <c r="C501" s="5" t="s">
        <v>8845</v>
      </c>
      <c r="D501" s="2712" t="s">
        <v>9857</v>
      </c>
      <c r="E501" s="7" t="s">
        <v>8553</v>
      </c>
      <c r="F501" s="2679">
        <v>1</v>
      </c>
      <c r="G501" s="5">
        <v>1</v>
      </c>
      <c r="H501" s="5"/>
      <c r="I501" s="5"/>
      <c r="J501" s="5"/>
      <c r="K501" s="5"/>
      <c r="L501" s="817"/>
      <c r="M501" s="817"/>
      <c r="N501" s="817"/>
      <c r="O501" s="817"/>
      <c r="P501" s="2486">
        <v>43938</v>
      </c>
      <c r="Q501" s="2486"/>
      <c r="R501" s="824" t="s">
        <v>8846</v>
      </c>
      <c r="S501" s="2770"/>
      <c r="T501" s="6" t="s">
        <v>15</v>
      </c>
      <c r="U501" s="2694">
        <v>0.56041666666666667</v>
      </c>
      <c r="V501" s="2694" t="s">
        <v>972</v>
      </c>
      <c r="W501" s="1956">
        <v>100</v>
      </c>
      <c r="X501" s="836" t="s">
        <v>257</v>
      </c>
      <c r="Y501" s="2772"/>
      <c r="Z501" s="817"/>
      <c r="AA501" s="817"/>
      <c r="AB501" s="7" t="s">
        <v>17</v>
      </c>
      <c r="AC501" s="817" t="s">
        <v>7451</v>
      </c>
      <c r="AD501" s="2700"/>
      <c r="AG501" s="2711"/>
    </row>
    <row r="502" spans="1:33" ht="43.5" hidden="1" x14ac:dyDescent="0.35">
      <c r="A502" s="2769">
        <v>43926</v>
      </c>
      <c r="B502" s="2760">
        <v>6</v>
      </c>
      <c r="C502" s="2828" t="s">
        <v>8108</v>
      </c>
      <c r="D502" s="2712" t="s">
        <v>9954</v>
      </c>
      <c r="E502" s="817" t="s">
        <v>8107</v>
      </c>
      <c r="F502" s="817"/>
      <c r="G502" s="817">
        <v>1</v>
      </c>
      <c r="H502" s="817">
        <v>1</v>
      </c>
      <c r="I502" s="817"/>
      <c r="J502" s="817"/>
      <c r="K502" s="817"/>
      <c r="L502" s="817"/>
      <c r="M502" s="817"/>
      <c r="N502" s="817"/>
      <c r="O502" s="817"/>
      <c r="P502" s="2769">
        <v>43938</v>
      </c>
      <c r="Q502" s="2769"/>
      <c r="R502" s="2770" t="s">
        <v>8106</v>
      </c>
      <c r="S502" s="2770"/>
      <c r="T502" s="2694" t="s">
        <v>15</v>
      </c>
      <c r="U502" s="2694">
        <v>0.40902777777777777</v>
      </c>
      <c r="V502" s="2694" t="s">
        <v>972</v>
      </c>
      <c r="W502" s="1809">
        <v>100</v>
      </c>
      <c r="X502" s="2694" t="s">
        <v>257</v>
      </c>
      <c r="Y502" s="2772"/>
      <c r="Z502" s="817"/>
      <c r="AA502" s="817"/>
      <c r="AB502" s="817" t="s">
        <v>17</v>
      </c>
      <c r="AC502" s="817" t="s">
        <v>7451</v>
      </c>
      <c r="AD502" s="2699"/>
      <c r="AG502" s="2711"/>
    </row>
    <row r="503" spans="1:33" ht="29" hidden="1" x14ac:dyDescent="0.35">
      <c r="A503" s="2486">
        <v>43929</v>
      </c>
      <c r="B503" s="2718">
        <v>8</v>
      </c>
      <c r="C503" s="5" t="s">
        <v>8739</v>
      </c>
      <c r="D503" s="2712" t="s">
        <v>9862</v>
      </c>
      <c r="E503" s="7" t="s">
        <v>8622</v>
      </c>
      <c r="F503" s="2679">
        <v>1</v>
      </c>
      <c r="G503" s="5">
        <v>1</v>
      </c>
      <c r="H503" s="5"/>
      <c r="I503" s="5"/>
      <c r="J503" s="5"/>
      <c r="K503" s="5"/>
      <c r="L503" s="817"/>
      <c r="M503" s="817"/>
      <c r="N503" s="817"/>
      <c r="O503" s="817"/>
      <c r="P503" s="2486">
        <v>43938</v>
      </c>
      <c r="Q503" s="2486"/>
      <c r="R503" s="5" t="s">
        <v>8740</v>
      </c>
      <c r="S503" s="2770"/>
      <c r="T503" s="6" t="s">
        <v>15</v>
      </c>
      <c r="U503" s="2694">
        <v>0.42708333333333331</v>
      </c>
      <c r="V503" s="2694" t="s">
        <v>972</v>
      </c>
      <c r="W503" s="1809">
        <v>100</v>
      </c>
      <c r="X503" s="836" t="s">
        <v>257</v>
      </c>
      <c r="Y503" s="2772"/>
      <c r="Z503" s="817"/>
      <c r="AA503" s="817"/>
      <c r="AB503" s="7" t="s">
        <v>17</v>
      </c>
      <c r="AC503" s="817" t="s">
        <v>7451</v>
      </c>
      <c r="AD503" s="2700"/>
      <c r="AG503" s="2711"/>
    </row>
    <row r="504" spans="1:33" ht="43.5" hidden="1" x14ac:dyDescent="0.35">
      <c r="A504" s="2486">
        <v>43928</v>
      </c>
      <c r="B504" s="2718">
        <v>20</v>
      </c>
      <c r="C504" s="5" t="s">
        <v>8560</v>
      </c>
      <c r="D504" s="2712" t="s">
        <v>9833</v>
      </c>
      <c r="E504" s="5" t="s">
        <v>8561</v>
      </c>
      <c r="F504" s="2679">
        <v>1</v>
      </c>
      <c r="G504" s="5">
        <v>1</v>
      </c>
      <c r="H504" s="5"/>
      <c r="I504" s="5"/>
      <c r="J504" s="5"/>
      <c r="K504" s="5"/>
      <c r="L504" s="817"/>
      <c r="M504" s="817"/>
      <c r="N504" s="817"/>
      <c r="O504" s="817"/>
      <c r="P504" s="2486">
        <v>43938</v>
      </c>
      <c r="Q504" s="2486"/>
      <c r="R504" s="824" t="s">
        <v>8594</v>
      </c>
      <c r="S504" s="824"/>
      <c r="T504" s="6" t="s">
        <v>15</v>
      </c>
      <c r="U504" s="6">
        <v>0.54027777777777775</v>
      </c>
      <c r="V504" s="6" t="s">
        <v>3213</v>
      </c>
      <c r="W504" s="1678">
        <v>100</v>
      </c>
      <c r="X504" s="5" t="s">
        <v>257</v>
      </c>
      <c r="Y504" s="2772"/>
      <c r="Z504" s="5"/>
      <c r="AA504" s="5"/>
      <c r="AB504" s="5" t="s">
        <v>17</v>
      </c>
      <c r="AC504" s="5" t="s">
        <v>7451</v>
      </c>
      <c r="AD504" s="2696"/>
      <c r="AG504" s="2711"/>
    </row>
    <row r="505" spans="1:33" ht="29" hidden="1" x14ac:dyDescent="0.35">
      <c r="A505" s="2486">
        <v>43931</v>
      </c>
      <c r="B505" s="2718">
        <v>4</v>
      </c>
      <c r="C505" s="5" t="s">
        <v>9310</v>
      </c>
      <c r="D505" s="2700" t="s">
        <v>9309</v>
      </c>
      <c r="E505" s="5" t="s">
        <v>8553</v>
      </c>
      <c r="F505" s="2682">
        <v>1</v>
      </c>
      <c r="G505" s="2682">
        <v>1</v>
      </c>
      <c r="H505" s="2682"/>
      <c r="I505" s="2682"/>
      <c r="J505" s="2682"/>
      <c r="K505" s="2682"/>
      <c r="L505" s="817"/>
      <c r="M505" s="817"/>
      <c r="N505" s="817"/>
      <c r="O505" s="817"/>
      <c r="P505" s="2486">
        <v>43938</v>
      </c>
      <c r="Q505" s="2486"/>
      <c r="R505" s="5" t="s">
        <v>9311</v>
      </c>
      <c r="S505" s="2829"/>
      <c r="T505" s="2694" t="s">
        <v>15</v>
      </c>
      <c r="U505" s="2694">
        <v>0.40138888888888885</v>
      </c>
      <c r="V505" s="2694" t="s">
        <v>972</v>
      </c>
      <c r="W505" s="1956">
        <v>100</v>
      </c>
      <c r="X505" s="817" t="s">
        <v>8625</v>
      </c>
      <c r="Y505" s="2772"/>
      <c r="Z505" s="817"/>
      <c r="AA505" s="817"/>
      <c r="AB505" s="817" t="s">
        <v>17</v>
      </c>
      <c r="AC505" s="817" t="s">
        <v>7451</v>
      </c>
      <c r="AD505" s="2700" t="s">
        <v>9309</v>
      </c>
      <c r="AG505" s="2711"/>
    </row>
    <row r="506" spans="1:33" ht="43.5" hidden="1" x14ac:dyDescent="0.35">
      <c r="A506" s="2486">
        <v>43923</v>
      </c>
      <c r="B506" s="2718">
        <v>30</v>
      </c>
      <c r="C506" s="5" t="s">
        <v>7733</v>
      </c>
      <c r="D506" s="2712" t="s">
        <v>9914</v>
      </c>
      <c r="E506" s="5" t="s">
        <v>7734</v>
      </c>
      <c r="F506" s="5">
        <v>1</v>
      </c>
      <c r="G506" s="5">
        <v>1</v>
      </c>
      <c r="H506" s="5"/>
      <c r="I506" s="5"/>
      <c r="J506" s="5"/>
      <c r="K506" s="5"/>
      <c r="L506" s="5"/>
      <c r="M506" s="5"/>
      <c r="N506" s="5"/>
      <c r="O506" s="5"/>
      <c r="P506" s="2486">
        <v>43938</v>
      </c>
      <c r="Q506" s="2486"/>
      <c r="R506" s="824" t="s">
        <v>7735</v>
      </c>
      <c r="S506" s="824"/>
      <c r="T506" s="6" t="s">
        <v>15</v>
      </c>
      <c r="U506" s="2694">
        <v>0.64027777777777783</v>
      </c>
      <c r="V506" s="2694" t="s">
        <v>3213</v>
      </c>
      <c r="W506" s="1809">
        <v>100</v>
      </c>
      <c r="X506" s="2694" t="s">
        <v>257</v>
      </c>
      <c r="Y506" s="2772"/>
      <c r="Z506" s="2694"/>
      <c r="AA506" s="2694"/>
      <c r="AB506" s="817" t="s">
        <v>17</v>
      </c>
      <c r="AC506" s="817" t="s">
        <v>7451</v>
      </c>
      <c r="AD506" s="2699"/>
      <c r="AG506" s="2711"/>
    </row>
    <row r="507" spans="1:33" ht="58" hidden="1" x14ac:dyDescent="0.35">
      <c r="A507" s="2486">
        <v>43928</v>
      </c>
      <c r="B507" s="2718">
        <v>19</v>
      </c>
      <c r="C507" s="5" t="s">
        <v>8577</v>
      </c>
      <c r="D507" s="2712" t="s">
        <v>9953</v>
      </c>
      <c r="E507" s="5" t="s">
        <v>8561</v>
      </c>
      <c r="F507" s="2679">
        <v>1</v>
      </c>
      <c r="G507" s="5">
        <v>1</v>
      </c>
      <c r="H507" s="5"/>
      <c r="I507" s="5"/>
      <c r="J507" s="5"/>
      <c r="K507" s="5"/>
      <c r="L507" s="817"/>
      <c r="M507" s="817"/>
      <c r="N507" s="817"/>
      <c r="O507" s="817"/>
      <c r="P507" s="2486">
        <v>43938</v>
      </c>
      <c r="Q507" s="2486"/>
      <c r="R507" s="824" t="s">
        <v>8606</v>
      </c>
      <c r="S507" s="824"/>
      <c r="T507" s="6" t="s">
        <v>15</v>
      </c>
      <c r="U507" s="6">
        <v>0.52500000000000002</v>
      </c>
      <c r="V507" s="6" t="s">
        <v>3213</v>
      </c>
      <c r="W507" s="1678">
        <v>100</v>
      </c>
      <c r="X507" s="5" t="s">
        <v>257</v>
      </c>
      <c r="Y507" s="2679"/>
      <c r="Z507" s="5"/>
      <c r="AA507" s="5"/>
      <c r="AB507" s="5" t="s">
        <v>17</v>
      </c>
      <c r="AC507" s="5" t="s">
        <v>7451</v>
      </c>
      <c r="AD507" s="2696"/>
      <c r="AG507" s="2711"/>
    </row>
    <row r="508" spans="1:33" ht="58" hidden="1" x14ac:dyDescent="0.35">
      <c r="A508" s="1899">
        <v>43921</v>
      </c>
      <c r="B508" s="2759">
        <v>31</v>
      </c>
      <c r="C508" s="7" t="s">
        <v>7623</v>
      </c>
      <c r="D508" s="2712" t="s">
        <v>9931</v>
      </c>
      <c r="E508" s="817" t="s">
        <v>7627</v>
      </c>
      <c r="F508" s="817">
        <v>2</v>
      </c>
      <c r="G508" s="817"/>
      <c r="H508" s="817"/>
      <c r="I508" s="817">
        <v>1</v>
      </c>
      <c r="J508" s="817">
        <v>1</v>
      </c>
      <c r="K508" s="817"/>
      <c r="L508" s="817"/>
      <c r="M508" s="817"/>
      <c r="N508" s="817"/>
      <c r="O508" s="817"/>
      <c r="P508" s="1899">
        <v>43938</v>
      </c>
      <c r="Q508" s="1899"/>
      <c r="R508" s="881" t="s">
        <v>7624</v>
      </c>
      <c r="S508" s="881"/>
      <c r="T508" s="2829" t="s">
        <v>15</v>
      </c>
      <c r="U508" s="2694">
        <v>0.64097222222222217</v>
      </c>
      <c r="V508" s="2694" t="s">
        <v>3213</v>
      </c>
      <c r="W508" s="1809">
        <v>200</v>
      </c>
      <c r="X508" s="2829" t="s">
        <v>257</v>
      </c>
      <c r="Y508" s="2772"/>
      <c r="Z508" s="2829"/>
      <c r="AA508" s="2829"/>
      <c r="AB508" s="2829" t="s">
        <v>17</v>
      </c>
      <c r="AC508" s="2829" t="s">
        <v>7451</v>
      </c>
      <c r="AD508" s="2699"/>
      <c r="AG508" s="2711"/>
    </row>
    <row r="509" spans="1:33" ht="29" hidden="1" x14ac:dyDescent="0.35">
      <c r="A509" s="2769">
        <v>43932</v>
      </c>
      <c r="B509" s="2760">
        <v>18</v>
      </c>
      <c r="C509" s="817" t="s">
        <v>9683</v>
      </c>
      <c r="D509" s="2700" t="s">
        <v>9684</v>
      </c>
      <c r="E509" s="7" t="s">
        <v>8553</v>
      </c>
      <c r="F509" s="5">
        <v>1</v>
      </c>
      <c r="G509" s="5">
        <v>1</v>
      </c>
      <c r="H509" s="5"/>
      <c r="I509" s="5"/>
      <c r="J509" s="5"/>
      <c r="K509" s="5"/>
      <c r="L509" s="817"/>
      <c r="M509" s="817"/>
      <c r="N509" s="817"/>
      <c r="O509" s="817"/>
      <c r="P509" s="2769">
        <v>43938</v>
      </c>
      <c r="Q509" s="2769"/>
      <c r="R509" s="2706" t="s">
        <v>10221</v>
      </c>
      <c r="S509" s="2770"/>
      <c r="T509" s="836" t="s">
        <v>15</v>
      </c>
      <c r="U509" s="836">
        <v>0.51874999999999993</v>
      </c>
      <c r="V509" s="836" t="s">
        <v>9685</v>
      </c>
      <c r="W509" s="2681">
        <v>0</v>
      </c>
      <c r="X509" s="817" t="s">
        <v>9680</v>
      </c>
      <c r="Y509" s="2772"/>
      <c r="Z509" s="817"/>
      <c r="AA509" s="817"/>
      <c r="AB509" s="817" t="s">
        <v>17</v>
      </c>
      <c r="AC509" s="817" t="s">
        <v>7451</v>
      </c>
      <c r="AD509" s="2696"/>
      <c r="AG509" s="2711"/>
    </row>
    <row r="510" spans="1:33" ht="58" hidden="1" x14ac:dyDescent="0.35">
      <c r="A510" s="1899">
        <v>43932</v>
      </c>
      <c r="B510" s="2759">
        <v>8</v>
      </c>
      <c r="C510" s="817" t="s">
        <v>9620</v>
      </c>
      <c r="D510" s="2700" t="s">
        <v>9621</v>
      </c>
      <c r="E510" s="7" t="s">
        <v>8553</v>
      </c>
      <c r="F510" s="5">
        <v>1</v>
      </c>
      <c r="G510" s="5">
        <v>1</v>
      </c>
      <c r="H510" s="5"/>
      <c r="I510" s="5"/>
      <c r="J510" s="5"/>
      <c r="K510" s="5"/>
      <c r="L510" s="817"/>
      <c r="M510" s="817"/>
      <c r="N510" s="817"/>
      <c r="O510" s="817"/>
      <c r="P510" s="2828">
        <v>43938</v>
      </c>
      <c r="Q510" s="2828"/>
      <c r="R510" s="2706" t="s">
        <v>9622</v>
      </c>
      <c r="S510" s="2770"/>
      <c r="T510" s="836" t="s">
        <v>15</v>
      </c>
      <c r="U510" s="836">
        <v>0.42986111111111108</v>
      </c>
      <c r="V510" s="836" t="s">
        <v>972</v>
      </c>
      <c r="W510" s="2680">
        <v>100</v>
      </c>
      <c r="X510" s="817" t="s">
        <v>2900</v>
      </c>
      <c r="Y510" s="2772"/>
      <c r="Z510" s="817"/>
      <c r="AA510" s="817"/>
      <c r="AB510" s="817" t="s">
        <v>17</v>
      </c>
      <c r="AC510" s="817" t="s">
        <v>7451</v>
      </c>
      <c r="AD510" s="2696"/>
      <c r="AG510" s="2711"/>
    </row>
    <row r="511" spans="1:33" ht="43.5" hidden="1" x14ac:dyDescent="0.35">
      <c r="A511" s="2828">
        <v>43929</v>
      </c>
      <c r="B511" s="2760">
        <v>19</v>
      </c>
      <c r="C511" s="2828" t="s">
        <v>8701</v>
      </c>
      <c r="D511" s="2712" t="s">
        <v>9927</v>
      </c>
      <c r="E511" s="817" t="s">
        <v>8172</v>
      </c>
      <c r="F511" s="2692">
        <v>4</v>
      </c>
      <c r="G511" s="2692">
        <v>4</v>
      </c>
      <c r="H511" s="2692"/>
      <c r="I511" s="2692"/>
      <c r="J511" s="2692"/>
      <c r="K511" s="2692"/>
      <c r="L511" s="817"/>
      <c r="M511" s="817"/>
      <c r="N511" s="817"/>
      <c r="O511" s="817"/>
      <c r="P511" s="2828">
        <v>43938</v>
      </c>
      <c r="Q511" s="2828"/>
      <c r="R511" s="2829" t="s">
        <v>8702</v>
      </c>
      <c r="S511" s="2829"/>
      <c r="T511" s="2694" t="s">
        <v>15</v>
      </c>
      <c r="U511" s="2694">
        <v>0.5180555555555556</v>
      </c>
      <c r="V511" s="2694" t="s">
        <v>972</v>
      </c>
      <c r="W511" s="2680">
        <v>400</v>
      </c>
      <c r="X511" s="2694" t="s">
        <v>257</v>
      </c>
      <c r="Y511" s="2772"/>
      <c r="Z511" s="817"/>
      <c r="AA511" s="817"/>
      <c r="AB511" s="817" t="s">
        <v>17</v>
      </c>
      <c r="AC511" s="817" t="s">
        <v>7451</v>
      </c>
      <c r="AD511" s="2695"/>
      <c r="AG511" s="2711"/>
    </row>
    <row r="512" spans="1:33" ht="43.5" hidden="1" x14ac:dyDescent="0.35">
      <c r="A512" s="2486">
        <v>43925</v>
      </c>
      <c r="B512" s="2718">
        <v>25</v>
      </c>
      <c r="C512" s="7" t="s">
        <v>8003</v>
      </c>
      <c r="D512" s="2712" t="s">
        <v>9887</v>
      </c>
      <c r="E512" s="817" t="s">
        <v>7972</v>
      </c>
      <c r="F512" s="5">
        <v>1</v>
      </c>
      <c r="G512" s="5">
        <v>1</v>
      </c>
      <c r="H512" s="5"/>
      <c r="I512" s="5"/>
      <c r="J512" s="5"/>
      <c r="K512" s="5"/>
      <c r="L512" s="5"/>
      <c r="M512" s="5"/>
      <c r="N512" s="5"/>
      <c r="O512" s="5"/>
      <c r="P512" s="2486">
        <v>43938</v>
      </c>
      <c r="Q512" s="2486"/>
      <c r="R512" s="824" t="s">
        <v>8004</v>
      </c>
      <c r="S512" s="824" t="s">
        <v>8303</v>
      </c>
      <c r="T512" s="6" t="s">
        <v>15</v>
      </c>
      <c r="U512" s="2694">
        <v>0.59791666666666665</v>
      </c>
      <c r="V512" s="2694" t="s">
        <v>972</v>
      </c>
      <c r="W512" s="2648">
        <v>100</v>
      </c>
      <c r="X512" s="817" t="s">
        <v>257</v>
      </c>
      <c r="Y512" s="2772"/>
      <c r="Z512" s="817"/>
      <c r="AA512" s="817"/>
      <c r="AB512" s="817" t="s">
        <v>17</v>
      </c>
      <c r="AC512" s="817" t="s">
        <v>7451</v>
      </c>
      <c r="AD512" s="2699"/>
      <c r="AG512" s="2711"/>
    </row>
    <row r="513" spans="1:33" ht="29" hidden="1" x14ac:dyDescent="0.35">
      <c r="A513" s="1899">
        <v>43929</v>
      </c>
      <c r="B513" s="2759">
        <v>5</v>
      </c>
      <c r="C513" s="7" t="s">
        <v>8765</v>
      </c>
      <c r="D513" s="2712" t="s">
        <v>10144</v>
      </c>
      <c r="E513" s="817" t="s">
        <v>7935</v>
      </c>
      <c r="F513" s="2685">
        <v>1</v>
      </c>
      <c r="G513" s="2685">
        <v>1</v>
      </c>
      <c r="H513" s="2685"/>
      <c r="I513" s="2685"/>
      <c r="J513" s="2685"/>
      <c r="K513" s="2685"/>
      <c r="L513" s="817"/>
      <c r="M513" s="817"/>
      <c r="N513" s="817"/>
      <c r="O513" s="817"/>
      <c r="P513" s="1899">
        <v>43938</v>
      </c>
      <c r="Q513" s="1899"/>
      <c r="R513" s="881" t="s">
        <v>8767</v>
      </c>
      <c r="S513" s="2829"/>
      <c r="T513" s="6" t="s">
        <v>15</v>
      </c>
      <c r="U513" s="2694">
        <v>0.41041666666666665</v>
      </c>
      <c r="V513" s="2694" t="s">
        <v>3213</v>
      </c>
      <c r="W513" s="2681">
        <v>100</v>
      </c>
      <c r="X513" s="1430" t="s">
        <v>8770</v>
      </c>
      <c r="Y513" s="2772"/>
      <c r="Z513" s="2694"/>
      <c r="AA513" s="2694"/>
      <c r="AB513" s="817" t="s">
        <v>974</v>
      </c>
      <c r="AC513" s="7" t="s">
        <v>7451</v>
      </c>
      <c r="AD513" s="2695"/>
      <c r="AG513" s="2711"/>
    </row>
    <row r="514" spans="1:33" ht="43.5" hidden="1" x14ac:dyDescent="0.35">
      <c r="A514" s="2828">
        <v>43926</v>
      </c>
      <c r="B514" s="2760">
        <v>8</v>
      </c>
      <c r="C514" s="2828" t="s">
        <v>8085</v>
      </c>
      <c r="D514" s="2712" t="s">
        <v>9897</v>
      </c>
      <c r="E514" s="817" t="s">
        <v>7935</v>
      </c>
      <c r="F514" s="817">
        <v>1</v>
      </c>
      <c r="G514" s="817">
        <v>1</v>
      </c>
      <c r="H514" s="817"/>
      <c r="I514" s="817"/>
      <c r="J514" s="817"/>
      <c r="K514" s="817"/>
      <c r="L514" s="817"/>
      <c r="M514" s="817"/>
      <c r="N514" s="817"/>
      <c r="O514" s="817"/>
      <c r="P514" s="2828">
        <v>43938</v>
      </c>
      <c r="Q514" s="2828"/>
      <c r="R514" s="2829" t="s">
        <v>8084</v>
      </c>
      <c r="S514" s="2829"/>
      <c r="T514" s="2694" t="s">
        <v>15</v>
      </c>
      <c r="U514" s="2694">
        <v>0.43263888888888885</v>
      </c>
      <c r="V514" s="2694" t="s">
        <v>972</v>
      </c>
      <c r="W514" s="1956">
        <v>100</v>
      </c>
      <c r="X514" s="2694" t="s">
        <v>257</v>
      </c>
      <c r="Y514" s="2717"/>
      <c r="Z514" s="817"/>
      <c r="AA514" s="817"/>
      <c r="AB514" s="817" t="s">
        <v>17</v>
      </c>
      <c r="AC514" s="817" t="s">
        <v>7451</v>
      </c>
      <c r="AD514" s="2699"/>
      <c r="AG514" s="2711"/>
    </row>
    <row r="515" spans="1:33" ht="29" hidden="1" x14ac:dyDescent="0.35">
      <c r="A515" s="2828">
        <v>43932</v>
      </c>
      <c r="B515" s="2760">
        <v>14</v>
      </c>
      <c r="C515" s="817" t="s">
        <v>9653</v>
      </c>
      <c r="D515" s="2700" t="s">
        <v>9654</v>
      </c>
      <c r="E515" s="7" t="s">
        <v>9007</v>
      </c>
      <c r="F515" s="5">
        <v>1</v>
      </c>
      <c r="G515" s="5">
        <v>2</v>
      </c>
      <c r="H515" s="5"/>
      <c r="I515" s="5"/>
      <c r="J515" s="5"/>
      <c r="K515" s="5"/>
      <c r="L515" s="817"/>
      <c r="M515" s="817"/>
      <c r="N515" s="817"/>
      <c r="O515" s="817"/>
      <c r="P515" s="2828">
        <v>43938</v>
      </c>
      <c r="Q515" s="2828"/>
      <c r="R515" s="2706" t="s">
        <v>9652</v>
      </c>
      <c r="S515" s="2829"/>
      <c r="T515" s="836" t="s">
        <v>15</v>
      </c>
      <c r="U515" s="836">
        <v>0.48958333333333331</v>
      </c>
      <c r="V515" s="836" t="s">
        <v>972</v>
      </c>
      <c r="W515" s="2680">
        <v>165</v>
      </c>
      <c r="X515" s="817" t="s">
        <v>2900</v>
      </c>
      <c r="Y515" s="2772"/>
      <c r="Z515" s="817"/>
      <c r="AA515" s="817"/>
      <c r="AB515" s="817" t="s">
        <v>17</v>
      </c>
      <c r="AC515" s="817" t="s">
        <v>7451</v>
      </c>
      <c r="AD515" s="2696"/>
      <c r="AG515" s="2711"/>
    </row>
    <row r="516" spans="1:33" ht="43.5" hidden="1" x14ac:dyDescent="0.35">
      <c r="A516" s="1899">
        <v>43921</v>
      </c>
      <c r="B516" s="2759">
        <v>9</v>
      </c>
      <c r="C516" s="7" t="s">
        <v>7653</v>
      </c>
      <c r="D516" s="2712" t="s">
        <v>9858</v>
      </c>
      <c r="E516" s="817" t="s">
        <v>7619</v>
      </c>
      <c r="F516" s="817">
        <v>1</v>
      </c>
      <c r="G516" s="817">
        <v>1</v>
      </c>
      <c r="H516" s="817"/>
      <c r="I516" s="817"/>
      <c r="J516" s="817"/>
      <c r="K516" s="817"/>
      <c r="L516" s="817"/>
      <c r="M516" s="817"/>
      <c r="N516" s="817"/>
      <c r="O516" s="817"/>
      <c r="P516" s="1899">
        <v>43938</v>
      </c>
      <c r="Q516" s="1899"/>
      <c r="R516" s="881" t="s">
        <v>7654</v>
      </c>
      <c r="S516" s="881"/>
      <c r="T516" s="2694">
        <v>0.35416666666666669</v>
      </c>
      <c r="U516" s="2694">
        <v>0.43263888888888885</v>
      </c>
      <c r="V516" s="2694" t="s">
        <v>3213</v>
      </c>
      <c r="W516" s="2784">
        <v>100</v>
      </c>
      <c r="X516" s="2829" t="s">
        <v>10838</v>
      </c>
      <c r="Y516" s="2772"/>
      <c r="Z516" s="2829"/>
      <c r="AA516" s="2829"/>
      <c r="AB516" s="2829" t="s">
        <v>17</v>
      </c>
      <c r="AC516" s="2829" t="s">
        <v>7451</v>
      </c>
      <c r="AD516" s="2699"/>
      <c r="AG516" s="2711"/>
    </row>
    <row r="517" spans="1:33" ht="29" hidden="1" x14ac:dyDescent="0.35">
      <c r="A517" s="2828">
        <v>43926</v>
      </c>
      <c r="B517" s="2760">
        <v>12</v>
      </c>
      <c r="C517" s="2828" t="s">
        <v>8093</v>
      </c>
      <c r="D517" s="2712" t="s">
        <v>9884</v>
      </c>
      <c r="E517" s="817" t="s">
        <v>7935</v>
      </c>
      <c r="F517" s="5">
        <v>1</v>
      </c>
      <c r="G517" s="5">
        <v>1</v>
      </c>
      <c r="H517" s="5"/>
      <c r="I517" s="5"/>
      <c r="J517" s="5"/>
      <c r="K517" s="5"/>
      <c r="L517" s="5"/>
      <c r="M517" s="5"/>
      <c r="N517" s="5"/>
      <c r="O517" s="5"/>
      <c r="P517" s="2769">
        <v>43938</v>
      </c>
      <c r="Q517" s="2769"/>
      <c r="R517" s="2829" t="s">
        <v>8098</v>
      </c>
      <c r="S517" s="2770"/>
      <c r="T517" s="2694" t="s">
        <v>15</v>
      </c>
      <c r="U517" s="2694">
        <v>0.4597222222222222</v>
      </c>
      <c r="V517" s="2694" t="s">
        <v>3213</v>
      </c>
      <c r="W517" s="1809">
        <v>100</v>
      </c>
      <c r="X517" s="817" t="s">
        <v>257</v>
      </c>
      <c r="Y517" s="2772"/>
      <c r="Z517" s="817"/>
      <c r="AA517" s="817"/>
      <c r="AB517" s="817" t="s">
        <v>17</v>
      </c>
      <c r="AC517" s="817" t="s">
        <v>7451</v>
      </c>
      <c r="AD517" s="2699"/>
      <c r="AG517" s="2711"/>
    </row>
    <row r="518" spans="1:33" ht="174" hidden="1" x14ac:dyDescent="0.35">
      <c r="A518" s="2769">
        <v>43924</v>
      </c>
      <c r="B518" s="2760">
        <v>16</v>
      </c>
      <c r="C518" s="817" t="s">
        <v>7840</v>
      </c>
      <c r="D518" s="2712" t="s">
        <v>9716</v>
      </c>
      <c r="E518" s="817" t="s">
        <v>7829</v>
      </c>
      <c r="F518" s="817">
        <v>1</v>
      </c>
      <c r="G518" s="817">
        <v>1</v>
      </c>
      <c r="H518" s="817"/>
      <c r="I518" s="817"/>
      <c r="J518" s="817"/>
      <c r="K518" s="817"/>
      <c r="L518" s="817"/>
      <c r="M518" s="817"/>
      <c r="N518" s="817"/>
      <c r="O518" s="817"/>
      <c r="P518" s="2769">
        <v>43938</v>
      </c>
      <c r="Q518" s="2769"/>
      <c r="R518" s="2770" t="s">
        <v>7839</v>
      </c>
      <c r="S518" s="2770" t="s">
        <v>8265</v>
      </c>
      <c r="T518" s="2694" t="s">
        <v>15</v>
      </c>
      <c r="U518" s="2694">
        <v>0.49236111111111108</v>
      </c>
      <c r="V518" s="2694" t="s">
        <v>972</v>
      </c>
      <c r="W518" s="1956">
        <v>100</v>
      </c>
      <c r="X518" s="817" t="s">
        <v>7634</v>
      </c>
      <c r="Y518" s="2772"/>
      <c r="Z518" s="817"/>
      <c r="AA518" s="817"/>
      <c r="AB518" s="817" t="s">
        <v>17</v>
      </c>
      <c r="AC518" s="817" t="s">
        <v>7451</v>
      </c>
      <c r="AD518" s="2699"/>
      <c r="AG518" s="2711"/>
    </row>
    <row r="519" spans="1:33" ht="174" hidden="1" x14ac:dyDescent="0.35">
      <c r="A519" s="2828">
        <v>43924</v>
      </c>
      <c r="B519" s="2760">
        <v>14</v>
      </c>
      <c r="C519" s="817" t="s">
        <v>7840</v>
      </c>
      <c r="D519" s="2712" t="s">
        <v>9716</v>
      </c>
      <c r="E519" s="817" t="s">
        <v>7829</v>
      </c>
      <c r="F519" s="817">
        <v>1</v>
      </c>
      <c r="G519" s="817">
        <v>1</v>
      </c>
      <c r="H519" s="817"/>
      <c r="I519" s="817"/>
      <c r="J519" s="817"/>
      <c r="K519" s="817"/>
      <c r="L519" s="817"/>
      <c r="M519" s="817"/>
      <c r="N519" s="817"/>
      <c r="O519" s="817"/>
      <c r="P519" s="2828">
        <v>43938</v>
      </c>
      <c r="Q519" s="2828"/>
      <c r="R519" s="2829" t="s">
        <v>7841</v>
      </c>
      <c r="S519" s="2829" t="s">
        <v>8265</v>
      </c>
      <c r="T519" s="2694" t="s">
        <v>15</v>
      </c>
      <c r="U519" s="2694">
        <v>0.47916666666666669</v>
      </c>
      <c r="V519" s="2694" t="s">
        <v>972</v>
      </c>
      <c r="W519" s="1956">
        <v>100</v>
      </c>
      <c r="X519" s="817" t="s">
        <v>7634</v>
      </c>
      <c r="Y519" s="2772"/>
      <c r="Z519" s="817"/>
      <c r="AA519" s="817"/>
      <c r="AB519" s="817" t="s">
        <v>17</v>
      </c>
      <c r="AC519" s="817" t="s">
        <v>7451</v>
      </c>
      <c r="AD519" s="2699"/>
      <c r="AG519" s="2711"/>
    </row>
    <row r="520" spans="1:33" ht="72.5" hidden="1" x14ac:dyDescent="0.35">
      <c r="A520" s="2486">
        <v>43924</v>
      </c>
      <c r="B520" s="2718">
        <v>23</v>
      </c>
      <c r="C520" s="5" t="s">
        <v>7893</v>
      </c>
      <c r="D520" s="2712" t="s">
        <v>9882</v>
      </c>
      <c r="E520" s="817" t="s">
        <v>7894</v>
      </c>
      <c r="F520" s="5">
        <v>2</v>
      </c>
      <c r="G520" s="5">
        <v>3</v>
      </c>
      <c r="H520" s="5"/>
      <c r="I520" s="5"/>
      <c r="J520" s="5"/>
      <c r="K520" s="5"/>
      <c r="L520" s="5"/>
      <c r="M520" s="5"/>
      <c r="N520" s="5"/>
      <c r="O520" s="5"/>
      <c r="P520" s="2486">
        <v>43938</v>
      </c>
      <c r="Q520" s="2486"/>
      <c r="R520" s="824" t="s">
        <v>7895</v>
      </c>
      <c r="S520" s="824"/>
      <c r="T520" s="6" t="s">
        <v>15</v>
      </c>
      <c r="U520" s="2694">
        <v>0.55069444444444449</v>
      </c>
      <c r="V520" s="2694" t="s">
        <v>972</v>
      </c>
      <c r="W520" s="1809">
        <v>265</v>
      </c>
      <c r="X520" s="817" t="s">
        <v>257</v>
      </c>
      <c r="Y520" s="2772"/>
      <c r="Z520" s="817"/>
      <c r="AA520" s="817"/>
      <c r="AB520" s="817" t="s">
        <v>17</v>
      </c>
      <c r="AC520" s="817" t="s">
        <v>7451</v>
      </c>
      <c r="AD520" s="2699"/>
      <c r="AG520" s="2711"/>
    </row>
    <row r="521" spans="1:33" ht="43.5" hidden="1" x14ac:dyDescent="0.35">
      <c r="A521" s="2486">
        <v>43925</v>
      </c>
      <c r="B521" s="2718">
        <v>23</v>
      </c>
      <c r="C521" s="7" t="s">
        <v>7974</v>
      </c>
      <c r="D521" s="2712" t="s">
        <v>9890</v>
      </c>
      <c r="E521" s="817" t="s">
        <v>7972</v>
      </c>
      <c r="F521" s="2710">
        <v>1</v>
      </c>
      <c r="G521" s="2710">
        <v>1</v>
      </c>
      <c r="H521" s="2710"/>
      <c r="I521" s="2710"/>
      <c r="J521" s="2710"/>
      <c r="K521" s="2710"/>
      <c r="L521" s="2710"/>
      <c r="M521" s="2710"/>
      <c r="N521" s="2710"/>
      <c r="O521" s="2710"/>
      <c r="P521" s="2486">
        <v>43938</v>
      </c>
      <c r="Q521" s="2486"/>
      <c r="R521" s="824" t="s">
        <v>7975</v>
      </c>
      <c r="S521" s="824" t="s">
        <v>8303</v>
      </c>
      <c r="T521" s="6" t="s">
        <v>15</v>
      </c>
      <c r="U521" s="2694">
        <v>0.56666666666666665</v>
      </c>
      <c r="V521" s="2694" t="s">
        <v>972</v>
      </c>
      <c r="W521" s="2648">
        <v>100</v>
      </c>
      <c r="X521" s="817" t="s">
        <v>257</v>
      </c>
      <c r="Y521" s="2772"/>
      <c r="Z521" s="817"/>
      <c r="AA521" s="817"/>
      <c r="AB521" s="817" t="s">
        <v>17</v>
      </c>
      <c r="AC521" s="817" t="s">
        <v>7451</v>
      </c>
      <c r="AD521" s="2699"/>
      <c r="AG521" s="2711"/>
    </row>
    <row r="522" spans="1:33" ht="58" hidden="1" x14ac:dyDescent="0.35">
      <c r="A522" s="2769">
        <v>43931</v>
      </c>
      <c r="B522" s="2760">
        <v>23</v>
      </c>
      <c r="C522" s="817" t="s">
        <v>9203</v>
      </c>
      <c r="D522" s="2712" t="s">
        <v>9202</v>
      </c>
      <c r="E522" s="7" t="s">
        <v>8073</v>
      </c>
      <c r="F522" s="2682">
        <v>1</v>
      </c>
      <c r="G522" s="2682"/>
      <c r="H522" s="2682"/>
      <c r="I522" s="2682">
        <v>1</v>
      </c>
      <c r="J522" s="2682"/>
      <c r="K522" s="2682"/>
      <c r="L522" s="817"/>
      <c r="M522" s="817"/>
      <c r="N522" s="817"/>
      <c r="O522" s="817"/>
      <c r="P522" s="2769">
        <v>43938</v>
      </c>
      <c r="Q522" s="2769"/>
      <c r="R522" s="2829" t="s">
        <v>9204</v>
      </c>
      <c r="S522" s="2770"/>
      <c r="T522" s="2694" t="s">
        <v>15</v>
      </c>
      <c r="U522" s="2694">
        <v>0.55972222222222223</v>
      </c>
      <c r="V522" s="2694" t="s">
        <v>972</v>
      </c>
      <c r="W522" s="2680">
        <v>100</v>
      </c>
      <c r="X522" s="817" t="s">
        <v>2900</v>
      </c>
      <c r="Y522" s="2772"/>
      <c r="Z522" s="817"/>
      <c r="AA522" s="817"/>
      <c r="AB522" s="817" t="s">
        <v>17</v>
      </c>
      <c r="AC522" s="817" t="s">
        <v>7451</v>
      </c>
      <c r="AD522" s="2700" t="s">
        <v>9202</v>
      </c>
      <c r="AG522" s="2711"/>
    </row>
    <row r="523" spans="1:33" ht="29" hidden="1" x14ac:dyDescent="0.35">
      <c r="A523" s="2828">
        <v>43931</v>
      </c>
      <c r="B523" s="2760">
        <v>11</v>
      </c>
      <c r="C523" s="817" t="s">
        <v>9240</v>
      </c>
      <c r="D523" s="2712" t="s">
        <v>9239</v>
      </c>
      <c r="E523" s="7" t="s">
        <v>8553</v>
      </c>
      <c r="F523" s="2682">
        <v>1</v>
      </c>
      <c r="G523" s="2682">
        <v>1</v>
      </c>
      <c r="H523" s="2682"/>
      <c r="I523" s="2682"/>
      <c r="J523" s="2682"/>
      <c r="K523" s="2682"/>
      <c r="L523" s="817"/>
      <c r="M523" s="817"/>
      <c r="N523" s="817"/>
      <c r="O523" s="817"/>
      <c r="P523" s="2828">
        <v>43938</v>
      </c>
      <c r="Q523" s="2828"/>
      <c r="R523" s="2829" t="s">
        <v>9241</v>
      </c>
      <c r="S523" s="2829"/>
      <c r="T523" s="2694">
        <v>0.35416666666666669</v>
      </c>
      <c r="U523" s="2694">
        <v>0.45277777777777778</v>
      </c>
      <c r="V523" s="2694" t="s">
        <v>972</v>
      </c>
      <c r="W523" s="1956">
        <v>100</v>
      </c>
      <c r="X523" s="817" t="s">
        <v>8625</v>
      </c>
      <c r="Y523" s="2772"/>
      <c r="Z523" s="817"/>
      <c r="AA523" s="817"/>
      <c r="AB523" s="817" t="s">
        <v>17</v>
      </c>
      <c r="AC523" s="817" t="s">
        <v>7451</v>
      </c>
      <c r="AD523" s="2700" t="s">
        <v>9239</v>
      </c>
      <c r="AG523" s="2711"/>
    </row>
    <row r="524" spans="1:33" ht="43.5" hidden="1" x14ac:dyDescent="0.35">
      <c r="A524" s="2769">
        <v>43927</v>
      </c>
      <c r="B524" s="2760">
        <v>25</v>
      </c>
      <c r="C524" s="817" t="s">
        <v>8204</v>
      </c>
      <c r="D524" s="2712" t="s">
        <v>9840</v>
      </c>
      <c r="E524" s="817" t="s">
        <v>7935</v>
      </c>
      <c r="F524" s="5">
        <v>1</v>
      </c>
      <c r="G524" s="5">
        <v>1</v>
      </c>
      <c r="H524" s="5"/>
      <c r="I524" s="5"/>
      <c r="J524" s="5"/>
      <c r="K524" s="5"/>
      <c r="L524" s="817"/>
      <c r="M524" s="817"/>
      <c r="N524" s="817"/>
      <c r="O524" s="817"/>
      <c r="P524" s="2769">
        <v>43938</v>
      </c>
      <c r="Q524" s="2769"/>
      <c r="R524" s="2770" t="s">
        <v>8306</v>
      </c>
      <c r="S524" s="2770" t="s">
        <v>8289</v>
      </c>
      <c r="T524" s="2694" t="s">
        <v>15</v>
      </c>
      <c r="U524" s="2694">
        <v>0.59444444444444444</v>
      </c>
      <c r="V524" s="2694" t="s">
        <v>972</v>
      </c>
      <c r="W524" s="1809">
        <v>100</v>
      </c>
      <c r="X524" s="817" t="s">
        <v>257</v>
      </c>
      <c r="Y524" s="2772"/>
      <c r="Z524" s="817"/>
      <c r="AA524" s="817"/>
      <c r="AB524" s="817" t="s">
        <v>17</v>
      </c>
      <c r="AC524" s="817" t="s">
        <v>7451</v>
      </c>
      <c r="AD524" s="2699"/>
      <c r="AG524" s="2711"/>
    </row>
    <row r="525" spans="1:33" ht="29" hidden="1" x14ac:dyDescent="0.35">
      <c r="A525" s="2769">
        <v>43932</v>
      </c>
      <c r="B525" s="2760">
        <v>12</v>
      </c>
      <c r="C525" s="817" t="s">
        <v>2057</v>
      </c>
      <c r="D525" s="2696" t="s">
        <v>1950</v>
      </c>
      <c r="E525" s="7" t="s">
        <v>8857</v>
      </c>
      <c r="F525" s="5">
        <v>3</v>
      </c>
      <c r="G525" s="5">
        <v>3</v>
      </c>
      <c r="H525" s="5"/>
      <c r="I525" s="5"/>
      <c r="J525" s="5"/>
      <c r="K525" s="5"/>
      <c r="L525" s="817"/>
      <c r="M525" s="817"/>
      <c r="N525" s="817"/>
      <c r="O525" s="817"/>
      <c r="P525" s="2769">
        <v>43938</v>
      </c>
      <c r="Q525" s="2769"/>
      <c r="R525" s="2770" t="s">
        <v>9686</v>
      </c>
      <c r="S525" s="2770"/>
      <c r="T525" s="836" t="s">
        <v>15</v>
      </c>
      <c r="U525" s="836">
        <v>0.46388888888888885</v>
      </c>
      <c r="V525" s="836" t="s">
        <v>9685</v>
      </c>
      <c r="W525" s="2681">
        <v>0</v>
      </c>
      <c r="X525" s="817" t="s">
        <v>9680</v>
      </c>
      <c r="Y525" s="2772"/>
      <c r="Z525" s="817"/>
      <c r="AA525" s="817"/>
      <c r="AB525" s="817" t="s">
        <v>17</v>
      </c>
      <c r="AC525" s="817" t="s">
        <v>7451</v>
      </c>
      <c r="AD525" s="2696"/>
      <c r="AG525" s="2711"/>
    </row>
    <row r="526" spans="1:33" ht="43.5" hidden="1" x14ac:dyDescent="0.35">
      <c r="A526" s="2486">
        <v>43928</v>
      </c>
      <c r="B526" s="2718">
        <v>10</v>
      </c>
      <c r="C526" s="7" t="s">
        <v>8466</v>
      </c>
      <c r="D526" s="2712" t="s">
        <v>9883</v>
      </c>
      <c r="E526" s="7" t="s">
        <v>8073</v>
      </c>
      <c r="F526" s="2679">
        <v>1</v>
      </c>
      <c r="G526" s="5"/>
      <c r="H526" s="5"/>
      <c r="I526" s="5">
        <v>1</v>
      </c>
      <c r="J526" s="5"/>
      <c r="K526" s="5"/>
      <c r="L526" s="817"/>
      <c r="M526" s="817"/>
      <c r="N526" s="817"/>
      <c r="O526" s="817"/>
      <c r="P526" s="2486">
        <v>43938</v>
      </c>
      <c r="Q526" s="2486"/>
      <c r="R526" s="824" t="s">
        <v>8467</v>
      </c>
      <c r="S526" s="2770" t="s">
        <v>8265</v>
      </c>
      <c r="T526" s="6" t="s">
        <v>15</v>
      </c>
      <c r="U526" s="2694">
        <v>0.44305555555555554</v>
      </c>
      <c r="V526" s="2694" t="s">
        <v>972</v>
      </c>
      <c r="W526" s="1809">
        <v>100</v>
      </c>
      <c r="X526" s="836" t="s">
        <v>257</v>
      </c>
      <c r="Y526" s="2772"/>
      <c r="Z526" s="817"/>
      <c r="AA526" s="817"/>
      <c r="AB526" s="7" t="s">
        <v>17</v>
      </c>
      <c r="AC526" s="817" t="s">
        <v>7451</v>
      </c>
      <c r="AD526" s="2699"/>
      <c r="AG526" s="2711"/>
    </row>
    <row r="527" spans="1:33" ht="58" hidden="1" x14ac:dyDescent="0.35">
      <c r="A527" s="2486">
        <v>43924</v>
      </c>
      <c r="B527" s="2718">
        <v>9</v>
      </c>
      <c r="C527" s="5" t="s">
        <v>7881</v>
      </c>
      <c r="D527" s="2712" t="s">
        <v>9827</v>
      </c>
      <c r="E527" s="817" t="s">
        <v>7829</v>
      </c>
      <c r="F527" s="5">
        <v>1</v>
      </c>
      <c r="G527" s="5">
        <v>1</v>
      </c>
      <c r="H527" s="5"/>
      <c r="I527" s="5"/>
      <c r="J527" s="5"/>
      <c r="K527" s="5"/>
      <c r="L527" s="5"/>
      <c r="M527" s="5"/>
      <c r="N527" s="5"/>
      <c r="O527" s="5"/>
      <c r="P527" s="2486">
        <v>43938</v>
      </c>
      <c r="Q527" s="2486"/>
      <c r="R527" s="824" t="s">
        <v>7880</v>
      </c>
      <c r="S527" s="824"/>
      <c r="T527" s="6" t="s">
        <v>15</v>
      </c>
      <c r="U527" s="2694">
        <v>0.44027777777777777</v>
      </c>
      <c r="V527" s="2694" t="s">
        <v>972</v>
      </c>
      <c r="W527" s="1956">
        <v>100</v>
      </c>
      <c r="X527" s="817" t="s">
        <v>7634</v>
      </c>
      <c r="Y527" s="2772"/>
      <c r="Z527" s="817"/>
      <c r="AA527" s="817"/>
      <c r="AB527" s="817" t="s">
        <v>17</v>
      </c>
      <c r="AC527" s="817" t="s">
        <v>7451</v>
      </c>
      <c r="AD527" s="2699"/>
      <c r="AG527" s="2711"/>
    </row>
    <row r="528" spans="1:33" ht="29" hidden="1" x14ac:dyDescent="0.35">
      <c r="A528" s="2486">
        <v>43928</v>
      </c>
      <c r="B528" s="2718">
        <v>1</v>
      </c>
      <c r="C528" s="7" t="s">
        <v>8439</v>
      </c>
      <c r="D528" s="2712" t="s">
        <v>9869</v>
      </c>
      <c r="E528" s="7" t="s">
        <v>8149</v>
      </c>
      <c r="F528" s="2678">
        <v>1</v>
      </c>
      <c r="G528" s="2669">
        <v>1</v>
      </c>
      <c r="H528" s="2669"/>
      <c r="I528" s="2669"/>
      <c r="J528" s="2669"/>
      <c r="K528" s="2669"/>
      <c r="L528" s="817"/>
      <c r="M528" s="817"/>
      <c r="N528" s="817"/>
      <c r="O528" s="817"/>
      <c r="P528" s="2486">
        <v>43938</v>
      </c>
      <c r="Q528" s="2486"/>
      <c r="R528" s="824" t="s">
        <v>8440</v>
      </c>
      <c r="S528" s="2829" t="s">
        <v>8154</v>
      </c>
      <c r="T528" s="836" t="s">
        <v>15</v>
      </c>
      <c r="U528" s="2694">
        <v>0.37291666666666662</v>
      </c>
      <c r="V528" s="2694" t="s">
        <v>972</v>
      </c>
      <c r="W528" s="2660">
        <v>100</v>
      </c>
      <c r="X528" s="2694" t="s">
        <v>8381</v>
      </c>
      <c r="Y528" s="2772"/>
      <c r="Z528" s="817"/>
      <c r="AA528" s="817"/>
      <c r="AB528" s="817" t="s">
        <v>17</v>
      </c>
      <c r="AC528" s="817" t="s">
        <v>7451</v>
      </c>
      <c r="AD528" s="2696" t="s">
        <v>1710</v>
      </c>
      <c r="AG528" s="2711"/>
    </row>
    <row r="529" spans="1:33" ht="43.5" hidden="1" x14ac:dyDescent="0.35">
      <c r="A529" s="2486">
        <v>43929</v>
      </c>
      <c r="B529" s="2718">
        <v>15</v>
      </c>
      <c r="C529" s="5" t="s">
        <v>8737</v>
      </c>
      <c r="D529" s="2712" t="s">
        <v>9835</v>
      </c>
      <c r="E529" s="7" t="s">
        <v>8622</v>
      </c>
      <c r="F529" s="2679">
        <v>1</v>
      </c>
      <c r="G529" s="5">
        <v>1</v>
      </c>
      <c r="H529" s="5"/>
      <c r="I529" s="5"/>
      <c r="J529" s="5"/>
      <c r="K529" s="5"/>
      <c r="L529" s="817"/>
      <c r="M529" s="817"/>
      <c r="N529" s="817"/>
      <c r="O529" s="817"/>
      <c r="P529" s="2486">
        <v>43938</v>
      </c>
      <c r="Q529" s="2486"/>
      <c r="R529" s="824" t="s">
        <v>8738</v>
      </c>
      <c r="S529" s="2747"/>
      <c r="T529" s="6" t="s">
        <v>15</v>
      </c>
      <c r="U529" s="2694">
        <v>0.48958333333333331</v>
      </c>
      <c r="V529" s="2694" t="s">
        <v>972</v>
      </c>
      <c r="W529" s="1956">
        <v>100</v>
      </c>
      <c r="X529" s="836" t="s">
        <v>8625</v>
      </c>
      <c r="Y529" s="2772"/>
      <c r="Z529" s="817"/>
      <c r="AA529" s="817"/>
      <c r="AB529" s="7" t="s">
        <v>17</v>
      </c>
      <c r="AC529" s="817" t="s">
        <v>7451</v>
      </c>
      <c r="AD529" s="2700"/>
      <c r="AG529" s="2711"/>
    </row>
    <row r="530" spans="1:33" ht="43.5" hidden="1" x14ac:dyDescent="0.35">
      <c r="A530" s="2486">
        <v>43925</v>
      </c>
      <c r="B530" s="2718">
        <v>4</v>
      </c>
      <c r="C530" s="7" t="s">
        <v>7971</v>
      </c>
      <c r="D530" s="2712" t="s">
        <v>9937</v>
      </c>
      <c r="E530" s="817" t="s">
        <v>7972</v>
      </c>
      <c r="F530" s="2710">
        <v>1</v>
      </c>
      <c r="G530" s="2710">
        <v>1</v>
      </c>
      <c r="H530" s="2710"/>
      <c r="I530" s="2710"/>
      <c r="J530" s="2710"/>
      <c r="K530" s="2710"/>
      <c r="L530" s="2710"/>
      <c r="M530" s="2710"/>
      <c r="N530" s="2710"/>
      <c r="O530" s="2710"/>
      <c r="P530" s="2486">
        <v>43938</v>
      </c>
      <c r="Q530" s="2486"/>
      <c r="R530" s="824" t="s">
        <v>7973</v>
      </c>
      <c r="S530" s="824" t="s">
        <v>8154</v>
      </c>
      <c r="T530" s="6" t="s">
        <v>15</v>
      </c>
      <c r="U530" s="2694">
        <v>0.4055555555555555</v>
      </c>
      <c r="V530" s="2694" t="s">
        <v>972</v>
      </c>
      <c r="W530" s="2648">
        <v>100</v>
      </c>
      <c r="X530" s="817" t="s">
        <v>257</v>
      </c>
      <c r="Y530" s="2772"/>
      <c r="Z530" s="817"/>
      <c r="AA530" s="817"/>
      <c r="AB530" s="817" t="s">
        <v>17</v>
      </c>
      <c r="AC530" s="817" t="s">
        <v>7451</v>
      </c>
      <c r="AD530" s="2699"/>
      <c r="AG530" s="2711"/>
    </row>
    <row r="531" spans="1:33" ht="43.5" hidden="1" x14ac:dyDescent="0.35">
      <c r="A531" s="2486">
        <v>43928</v>
      </c>
      <c r="B531" s="2718">
        <v>18</v>
      </c>
      <c r="C531" s="5" t="s">
        <v>8565</v>
      </c>
      <c r="D531" s="2712" t="s">
        <v>9842</v>
      </c>
      <c r="E531" s="5" t="s">
        <v>8561</v>
      </c>
      <c r="F531" s="2679">
        <v>1</v>
      </c>
      <c r="G531" s="5">
        <v>1</v>
      </c>
      <c r="H531" s="5"/>
      <c r="I531" s="5"/>
      <c r="J531" s="5"/>
      <c r="K531" s="5"/>
      <c r="L531" s="817"/>
      <c r="M531" s="817"/>
      <c r="N531" s="817"/>
      <c r="O531" s="817"/>
      <c r="P531" s="2486">
        <v>43938</v>
      </c>
      <c r="Q531" s="2486"/>
      <c r="R531" s="824" t="s">
        <v>8597</v>
      </c>
      <c r="S531" s="824"/>
      <c r="T531" s="6" t="s">
        <v>15</v>
      </c>
      <c r="U531" s="6">
        <v>0.52430555555555558</v>
      </c>
      <c r="V531" s="6" t="s">
        <v>3213</v>
      </c>
      <c r="W531" s="1630">
        <v>100</v>
      </c>
      <c r="X531" s="5" t="s">
        <v>8592</v>
      </c>
      <c r="Y531" s="2772"/>
      <c r="Z531" s="5"/>
      <c r="AA531" s="5"/>
      <c r="AB531" s="5" t="s">
        <v>17</v>
      </c>
      <c r="AC531" s="5" t="s">
        <v>7451</v>
      </c>
      <c r="AD531" s="2696"/>
      <c r="AG531" s="2711"/>
    </row>
    <row r="532" spans="1:33" ht="43.5" hidden="1" x14ac:dyDescent="0.35">
      <c r="A532" s="2486">
        <v>43925</v>
      </c>
      <c r="B532" s="2718">
        <v>29</v>
      </c>
      <c r="C532" s="7" t="s">
        <v>8012</v>
      </c>
      <c r="D532" s="2712" t="s">
        <v>9899</v>
      </c>
      <c r="E532" s="817" t="s">
        <v>7972</v>
      </c>
      <c r="F532" s="5">
        <v>1</v>
      </c>
      <c r="G532" s="5">
        <v>1</v>
      </c>
      <c r="H532" s="5"/>
      <c r="I532" s="5"/>
      <c r="J532" s="5"/>
      <c r="K532" s="5"/>
      <c r="L532" s="5"/>
      <c r="M532" s="5"/>
      <c r="N532" s="5"/>
      <c r="O532" s="5"/>
      <c r="P532" s="2486">
        <v>43938</v>
      </c>
      <c r="Q532" s="2486"/>
      <c r="R532" s="824" t="s">
        <v>8013</v>
      </c>
      <c r="S532" s="824" t="s">
        <v>8303</v>
      </c>
      <c r="T532" s="6" t="s">
        <v>15</v>
      </c>
      <c r="U532" s="2694">
        <v>0.62013888888888891</v>
      </c>
      <c r="V532" s="2694" t="s">
        <v>972</v>
      </c>
      <c r="W532" s="1956">
        <v>100</v>
      </c>
      <c r="X532" s="817" t="s">
        <v>7634</v>
      </c>
      <c r="Y532" s="2772"/>
      <c r="Z532" s="817"/>
      <c r="AA532" s="817"/>
      <c r="AB532" s="817" t="s">
        <v>17</v>
      </c>
      <c r="AC532" s="817" t="s">
        <v>7451</v>
      </c>
      <c r="AD532" s="2699"/>
      <c r="AG532" s="2711"/>
    </row>
    <row r="533" spans="1:33" ht="29" hidden="1" x14ac:dyDescent="0.35">
      <c r="A533" s="2828">
        <v>43931</v>
      </c>
      <c r="B533" s="2760">
        <v>4</v>
      </c>
      <c r="C533" s="817" t="s">
        <v>9160</v>
      </c>
      <c r="D533" s="2712" t="s">
        <v>9159</v>
      </c>
      <c r="E533" s="7" t="s">
        <v>7935</v>
      </c>
      <c r="F533" s="2682">
        <v>1</v>
      </c>
      <c r="G533" s="2682">
        <v>1</v>
      </c>
      <c r="H533" s="2682"/>
      <c r="I533" s="2682"/>
      <c r="J533" s="2682"/>
      <c r="K533" s="2682"/>
      <c r="L533" s="817"/>
      <c r="M533" s="817"/>
      <c r="N533" s="817"/>
      <c r="O533" s="817"/>
      <c r="P533" s="2828">
        <v>43938</v>
      </c>
      <c r="Q533" s="2828"/>
      <c r="R533" s="2829" t="s">
        <v>9161</v>
      </c>
      <c r="S533" s="2770"/>
      <c r="T533" s="2694" t="s">
        <v>15</v>
      </c>
      <c r="U533" s="2694">
        <v>0.38750000000000001</v>
      </c>
      <c r="V533" s="2694" t="s">
        <v>972</v>
      </c>
      <c r="W533" s="1956">
        <v>100</v>
      </c>
      <c r="X533" s="817" t="s">
        <v>8625</v>
      </c>
      <c r="Y533" s="2772"/>
      <c r="Z533" s="817"/>
      <c r="AA533" s="817"/>
      <c r="AB533" s="817" t="s">
        <v>17</v>
      </c>
      <c r="AC533" s="817" t="s">
        <v>7451</v>
      </c>
      <c r="AD533" s="2700" t="s">
        <v>9159</v>
      </c>
      <c r="AG533" s="2711"/>
    </row>
    <row r="534" spans="1:33" ht="43.5" hidden="1" x14ac:dyDescent="0.35">
      <c r="A534" s="1899">
        <v>43932</v>
      </c>
      <c r="B534" s="2759">
        <v>3</v>
      </c>
      <c r="C534" s="817" t="s">
        <v>9595</v>
      </c>
      <c r="D534" s="2700" t="s">
        <v>9596</v>
      </c>
      <c r="E534" s="7" t="s">
        <v>8553</v>
      </c>
      <c r="F534" s="5">
        <v>1</v>
      </c>
      <c r="G534" s="5">
        <v>1</v>
      </c>
      <c r="H534" s="5"/>
      <c r="I534" s="5"/>
      <c r="J534" s="5"/>
      <c r="K534" s="5"/>
      <c r="L534" s="817"/>
      <c r="M534" s="817"/>
      <c r="N534" s="817"/>
      <c r="O534" s="817"/>
      <c r="P534" s="2828">
        <v>43938</v>
      </c>
      <c r="Q534" s="2828"/>
      <c r="R534" s="2706" t="s">
        <v>9597</v>
      </c>
      <c r="S534" s="2829"/>
      <c r="T534" s="836" t="s">
        <v>15</v>
      </c>
      <c r="U534" s="836">
        <v>0.39097222222222222</v>
      </c>
      <c r="V534" s="836" t="s">
        <v>972</v>
      </c>
      <c r="W534" s="1956">
        <v>100</v>
      </c>
      <c r="X534" s="817" t="s">
        <v>8625</v>
      </c>
      <c r="Y534" s="2772"/>
      <c r="Z534" s="817"/>
      <c r="AA534" s="817"/>
      <c r="AB534" s="817" t="s">
        <v>17</v>
      </c>
      <c r="AC534" s="817" t="s">
        <v>7451</v>
      </c>
      <c r="AD534" s="2696"/>
      <c r="AG534" s="2711"/>
    </row>
    <row r="535" spans="1:33" ht="29" hidden="1" x14ac:dyDescent="0.35">
      <c r="A535" s="2486">
        <v>43931</v>
      </c>
      <c r="B535" s="2718">
        <v>12</v>
      </c>
      <c r="C535" s="5" t="s">
        <v>9400</v>
      </c>
      <c r="D535" s="2700" t="s">
        <v>9399</v>
      </c>
      <c r="E535" s="5" t="s">
        <v>8553</v>
      </c>
      <c r="F535" s="5">
        <v>1</v>
      </c>
      <c r="G535" s="5">
        <v>1</v>
      </c>
      <c r="H535" s="5"/>
      <c r="I535" s="5"/>
      <c r="J535" s="5"/>
      <c r="K535" s="5"/>
      <c r="L535" s="817"/>
      <c r="M535" s="817"/>
      <c r="N535" s="817"/>
      <c r="O535" s="817"/>
      <c r="P535" s="2486">
        <v>43938</v>
      </c>
      <c r="Q535" s="2486"/>
      <c r="R535" s="2829" t="s">
        <v>9401</v>
      </c>
      <c r="S535" s="2770"/>
      <c r="T535" s="2694">
        <v>0.35416666666666669</v>
      </c>
      <c r="U535" s="2694">
        <v>0.46111111111111108</v>
      </c>
      <c r="V535" s="2694" t="s">
        <v>972</v>
      </c>
      <c r="W535" s="2681">
        <v>100</v>
      </c>
      <c r="X535" s="817" t="s">
        <v>2900</v>
      </c>
      <c r="Y535" s="2772"/>
      <c r="Z535" s="817"/>
      <c r="AA535" s="817"/>
      <c r="AB535" s="817" t="s">
        <v>17</v>
      </c>
      <c r="AC535" s="817" t="s">
        <v>7451</v>
      </c>
      <c r="AD535" s="2700" t="s">
        <v>9399</v>
      </c>
      <c r="AG535" s="2711"/>
    </row>
    <row r="536" spans="1:33" ht="58" hidden="1" x14ac:dyDescent="0.35">
      <c r="A536" s="1899">
        <v>43922</v>
      </c>
      <c r="B536" s="2759">
        <v>3</v>
      </c>
      <c r="C536" s="7" t="s">
        <v>7698</v>
      </c>
      <c r="D536" s="2712" t="s">
        <v>9813</v>
      </c>
      <c r="E536" s="7" t="s">
        <v>7693</v>
      </c>
      <c r="F536" s="7">
        <v>1</v>
      </c>
      <c r="G536" s="7">
        <v>1</v>
      </c>
      <c r="H536" s="7"/>
      <c r="I536" s="7"/>
      <c r="J536" s="7"/>
      <c r="K536" s="7"/>
      <c r="L536" s="7"/>
      <c r="M536" s="7"/>
      <c r="N536" s="7"/>
      <c r="O536" s="7"/>
      <c r="P536" s="1899">
        <v>43938</v>
      </c>
      <c r="Q536" s="1899"/>
      <c r="R536" s="881" t="s">
        <v>7699</v>
      </c>
      <c r="S536" s="881" t="s">
        <v>8289</v>
      </c>
      <c r="T536" s="2694" t="s">
        <v>15</v>
      </c>
      <c r="U536" s="2694">
        <v>0.39097222222222222</v>
      </c>
      <c r="V536" s="2694" t="s">
        <v>3213</v>
      </c>
      <c r="W536" s="1956">
        <v>100</v>
      </c>
      <c r="X536" s="2694" t="s">
        <v>294</v>
      </c>
      <c r="Y536" s="2717"/>
      <c r="Z536" s="817"/>
      <c r="AA536" s="817"/>
      <c r="AB536" s="817" t="s">
        <v>17</v>
      </c>
      <c r="AC536" s="817" t="s">
        <v>7451</v>
      </c>
      <c r="AD536" s="2699"/>
      <c r="AG536" s="2711"/>
    </row>
    <row r="537" spans="1:33" ht="43.5" hidden="1" x14ac:dyDescent="0.35">
      <c r="A537" s="2486">
        <v>43928</v>
      </c>
      <c r="B537" s="2718">
        <v>16</v>
      </c>
      <c r="C537" s="7" t="s">
        <v>8422</v>
      </c>
      <c r="D537" s="2712" t="s">
        <v>9794</v>
      </c>
      <c r="E537" s="7" t="s">
        <v>8149</v>
      </c>
      <c r="F537" s="2679">
        <v>1</v>
      </c>
      <c r="G537" s="5">
        <v>1</v>
      </c>
      <c r="H537" s="5"/>
      <c r="I537" s="5"/>
      <c r="J537" s="5"/>
      <c r="K537" s="5"/>
      <c r="L537" s="817"/>
      <c r="M537" s="817"/>
      <c r="N537" s="817"/>
      <c r="O537" s="817"/>
      <c r="P537" s="2486">
        <v>43938</v>
      </c>
      <c r="Q537" s="2486"/>
      <c r="R537" s="824" t="s">
        <v>8423</v>
      </c>
      <c r="S537" s="2829" t="s">
        <v>8154</v>
      </c>
      <c r="T537" s="836" t="s">
        <v>15</v>
      </c>
      <c r="U537" s="2694">
        <v>0.51111111111111118</v>
      </c>
      <c r="V537" s="2694" t="s">
        <v>972</v>
      </c>
      <c r="W537" s="2660">
        <v>100</v>
      </c>
      <c r="X537" s="2694" t="s">
        <v>8381</v>
      </c>
      <c r="Y537" s="2772"/>
      <c r="Z537" s="817"/>
      <c r="AA537" s="817"/>
      <c r="AB537" s="817" t="s">
        <v>17</v>
      </c>
      <c r="AC537" s="817" t="s">
        <v>7451</v>
      </c>
      <c r="AD537" s="2699"/>
      <c r="AG537" s="2711"/>
    </row>
    <row r="538" spans="1:33" ht="43.5" hidden="1" x14ac:dyDescent="0.35">
      <c r="A538" s="2486">
        <v>43925</v>
      </c>
      <c r="B538" s="2718">
        <v>10</v>
      </c>
      <c r="C538" s="7" t="s">
        <v>8022</v>
      </c>
      <c r="D538" s="2712" t="s">
        <v>9921</v>
      </c>
      <c r="E538" s="817" t="s">
        <v>7972</v>
      </c>
      <c r="F538" s="5">
        <v>1</v>
      </c>
      <c r="G538" s="5">
        <v>1</v>
      </c>
      <c r="H538" s="5"/>
      <c r="I538" s="5"/>
      <c r="J538" s="5"/>
      <c r="K538" s="5"/>
      <c r="L538" s="5"/>
      <c r="M538" s="5"/>
      <c r="N538" s="5"/>
      <c r="O538" s="5"/>
      <c r="P538" s="2486">
        <v>43938</v>
      </c>
      <c r="Q538" s="2486"/>
      <c r="R538" s="824" t="s">
        <v>8021</v>
      </c>
      <c r="S538" s="824" t="s">
        <v>8265</v>
      </c>
      <c r="T538" s="2694">
        <v>0.35416666666666669</v>
      </c>
      <c r="U538" s="2694">
        <v>0.44166666666666665</v>
      </c>
      <c r="V538" s="2694" t="s">
        <v>972</v>
      </c>
      <c r="W538" s="1956">
        <v>100</v>
      </c>
      <c r="X538" s="817" t="s">
        <v>7634</v>
      </c>
      <c r="Y538" s="2772"/>
      <c r="Z538" s="817"/>
      <c r="AA538" s="817"/>
      <c r="AB538" s="817" t="s">
        <v>17</v>
      </c>
      <c r="AC538" s="817" t="s">
        <v>7451</v>
      </c>
      <c r="AD538" s="2699"/>
      <c r="AG538" s="2711"/>
    </row>
    <row r="539" spans="1:33" ht="29" hidden="1" x14ac:dyDescent="0.35">
      <c r="A539" s="1899">
        <v>43932</v>
      </c>
      <c r="B539" s="2759">
        <v>13</v>
      </c>
      <c r="C539" s="817" t="s">
        <v>9611</v>
      </c>
      <c r="D539" s="2700" t="s">
        <v>9612</v>
      </c>
      <c r="E539" s="7" t="s">
        <v>8553</v>
      </c>
      <c r="F539" s="5">
        <v>1</v>
      </c>
      <c r="G539" s="5">
        <v>1</v>
      </c>
      <c r="H539" s="5"/>
      <c r="I539" s="5"/>
      <c r="J539" s="5"/>
      <c r="K539" s="5"/>
      <c r="L539" s="817"/>
      <c r="M539" s="817"/>
      <c r="N539" s="817"/>
      <c r="O539" s="817"/>
      <c r="P539" s="2828">
        <v>43938</v>
      </c>
      <c r="Q539" s="2828"/>
      <c r="R539" s="2706" t="s">
        <v>9613</v>
      </c>
      <c r="S539" s="2829"/>
      <c r="T539" s="836" t="s">
        <v>15</v>
      </c>
      <c r="U539" s="836">
        <v>0.46736111111111112</v>
      </c>
      <c r="V539" s="836" t="s">
        <v>972</v>
      </c>
      <c r="W539" s="2680">
        <v>100</v>
      </c>
      <c r="X539" s="817" t="s">
        <v>2900</v>
      </c>
      <c r="Y539" s="2772"/>
      <c r="Z539" s="817"/>
      <c r="AA539" s="817"/>
      <c r="AB539" s="817" t="s">
        <v>17</v>
      </c>
      <c r="AC539" s="817" t="s">
        <v>7451</v>
      </c>
      <c r="AD539" s="2696"/>
      <c r="AG539" s="2711"/>
    </row>
    <row r="540" spans="1:33" ht="72.5" hidden="1" x14ac:dyDescent="0.35">
      <c r="A540" s="2486">
        <v>43928</v>
      </c>
      <c r="B540" s="2718">
        <v>4</v>
      </c>
      <c r="C540" s="7" t="s">
        <v>8434</v>
      </c>
      <c r="D540" s="2712" t="s">
        <v>9938</v>
      </c>
      <c r="E540" s="7" t="s">
        <v>8415</v>
      </c>
      <c r="F540" s="2679">
        <v>2</v>
      </c>
      <c r="G540" s="5">
        <v>2</v>
      </c>
      <c r="H540" s="5"/>
      <c r="I540" s="5"/>
      <c r="J540" s="5"/>
      <c r="K540" s="5"/>
      <c r="L540" s="817"/>
      <c r="M540" s="817"/>
      <c r="N540" s="817"/>
      <c r="O540" s="817"/>
      <c r="P540" s="2486">
        <v>43938</v>
      </c>
      <c r="Q540" s="2486"/>
      <c r="R540" s="824" t="s">
        <v>8435</v>
      </c>
      <c r="S540" s="2770" t="s">
        <v>8285</v>
      </c>
      <c r="T540" s="6" t="s">
        <v>15</v>
      </c>
      <c r="U540" s="2694">
        <v>0.39374999999999999</v>
      </c>
      <c r="V540" s="2694" t="s">
        <v>972</v>
      </c>
      <c r="W540" s="1809">
        <v>100</v>
      </c>
      <c r="X540" s="836" t="s">
        <v>257</v>
      </c>
      <c r="Y540" s="2772"/>
      <c r="Z540" s="817"/>
      <c r="AA540" s="817"/>
      <c r="AB540" s="7" t="s">
        <v>17</v>
      </c>
      <c r="AC540" s="817" t="s">
        <v>7451</v>
      </c>
      <c r="AD540" s="2696" t="s">
        <v>1387</v>
      </c>
      <c r="AG540" s="2711"/>
    </row>
    <row r="541" spans="1:33" ht="43.5" hidden="1" x14ac:dyDescent="0.35">
      <c r="A541" s="2486">
        <v>43928</v>
      </c>
      <c r="B541" s="2718">
        <v>17</v>
      </c>
      <c r="C541" s="5" t="s">
        <v>8570</v>
      </c>
      <c r="D541" s="2712" t="s">
        <v>9900</v>
      </c>
      <c r="E541" s="5" t="s">
        <v>8561</v>
      </c>
      <c r="F541" s="2679">
        <v>1</v>
      </c>
      <c r="G541" s="5">
        <v>1</v>
      </c>
      <c r="H541" s="5"/>
      <c r="I541" s="5"/>
      <c r="J541" s="5"/>
      <c r="K541" s="5"/>
      <c r="L541" s="817"/>
      <c r="M541" s="817"/>
      <c r="N541" s="817"/>
      <c r="O541" s="817"/>
      <c r="P541" s="2486">
        <v>43938</v>
      </c>
      <c r="Q541" s="2486"/>
      <c r="R541" s="824" t="s">
        <v>8601</v>
      </c>
      <c r="S541" s="824"/>
      <c r="T541" s="6" t="s">
        <v>15</v>
      </c>
      <c r="U541" s="6">
        <v>0.52361111111111114</v>
      </c>
      <c r="V541" s="6" t="s">
        <v>3213</v>
      </c>
      <c r="W541" s="1630">
        <v>100</v>
      </c>
      <c r="X541" s="5" t="s">
        <v>8592</v>
      </c>
      <c r="Y541" s="2679"/>
      <c r="Z541" s="5"/>
      <c r="AA541" s="5"/>
      <c r="AB541" s="5" t="s">
        <v>17</v>
      </c>
      <c r="AC541" s="5" t="s">
        <v>7451</v>
      </c>
      <c r="AD541" s="2696"/>
      <c r="AG541" s="2711"/>
    </row>
    <row r="542" spans="1:33" ht="58" hidden="1" x14ac:dyDescent="0.35">
      <c r="A542" s="2486">
        <v>43924</v>
      </c>
      <c r="B542" s="2718">
        <v>27</v>
      </c>
      <c r="C542" s="5" t="s">
        <v>7896</v>
      </c>
      <c r="D542" s="2712" t="s">
        <v>9818</v>
      </c>
      <c r="E542" s="817" t="s">
        <v>7854</v>
      </c>
      <c r="F542" s="5">
        <v>1</v>
      </c>
      <c r="G542" s="5"/>
      <c r="H542" s="5"/>
      <c r="I542" s="5">
        <v>1</v>
      </c>
      <c r="J542" s="5"/>
      <c r="K542" s="5"/>
      <c r="L542" s="5"/>
      <c r="M542" s="5"/>
      <c r="N542" s="5"/>
      <c r="O542" s="5"/>
      <c r="P542" s="2486">
        <v>43938</v>
      </c>
      <c r="Q542" s="2486"/>
      <c r="R542" s="824" t="s">
        <v>7897</v>
      </c>
      <c r="S542" s="824"/>
      <c r="T542" s="6" t="s">
        <v>15</v>
      </c>
      <c r="U542" s="2694">
        <v>0.58472222222222225</v>
      </c>
      <c r="V542" s="2694" t="s">
        <v>972</v>
      </c>
      <c r="W542" s="1956">
        <v>100</v>
      </c>
      <c r="X542" s="817" t="s">
        <v>7634</v>
      </c>
      <c r="Y542" s="2772"/>
      <c r="Z542" s="817"/>
      <c r="AA542" s="817"/>
      <c r="AB542" s="817" t="s">
        <v>17</v>
      </c>
      <c r="AC542" s="817" t="s">
        <v>7451</v>
      </c>
      <c r="AD542" s="2699"/>
      <c r="AG542" s="2711"/>
    </row>
    <row r="543" spans="1:33" ht="29" hidden="1" x14ac:dyDescent="0.35">
      <c r="A543" s="1899">
        <v>43932</v>
      </c>
      <c r="B543" s="2759">
        <v>8</v>
      </c>
      <c r="C543" s="817" t="s">
        <v>9608</v>
      </c>
      <c r="D543" s="2700" t="s">
        <v>9609</v>
      </c>
      <c r="E543" s="7" t="s">
        <v>8177</v>
      </c>
      <c r="F543" s="5">
        <v>2</v>
      </c>
      <c r="G543" s="5">
        <v>2</v>
      </c>
      <c r="H543" s="5"/>
      <c r="I543" s="5"/>
      <c r="J543" s="5"/>
      <c r="K543" s="5"/>
      <c r="L543" s="817"/>
      <c r="M543" s="817"/>
      <c r="N543" s="817"/>
      <c r="O543" s="817"/>
      <c r="P543" s="2828">
        <v>43938</v>
      </c>
      <c r="Q543" s="2828"/>
      <c r="R543" s="2706" t="s">
        <v>9610</v>
      </c>
      <c r="S543" s="2829"/>
      <c r="T543" s="836" t="s">
        <v>15</v>
      </c>
      <c r="U543" s="836">
        <v>0.43402777777777773</v>
      </c>
      <c r="V543" s="836" t="s">
        <v>972</v>
      </c>
      <c r="W543" s="2680">
        <v>100</v>
      </c>
      <c r="X543" s="817" t="s">
        <v>2900</v>
      </c>
      <c r="Y543" s="2772"/>
      <c r="Z543" s="817"/>
      <c r="AA543" s="817"/>
      <c r="AB543" s="817" t="s">
        <v>17</v>
      </c>
      <c r="AC543" s="817" t="s">
        <v>7451</v>
      </c>
      <c r="AD543" s="2696"/>
      <c r="AG543" s="2711"/>
    </row>
    <row r="544" spans="1:33" ht="43.5" hidden="1" x14ac:dyDescent="0.35">
      <c r="A544" s="1899">
        <v>43929</v>
      </c>
      <c r="B544" s="2759">
        <v>24</v>
      </c>
      <c r="C544" s="7" t="s">
        <v>8757</v>
      </c>
      <c r="D544" s="2712" t="s">
        <v>9834</v>
      </c>
      <c r="E544" s="817" t="s">
        <v>7935</v>
      </c>
      <c r="F544" s="2682">
        <v>1</v>
      </c>
      <c r="G544" s="2682">
        <v>1</v>
      </c>
      <c r="H544" s="2682"/>
      <c r="I544" s="2682"/>
      <c r="J544" s="2682"/>
      <c r="K544" s="2682"/>
      <c r="L544" s="817"/>
      <c r="M544" s="817"/>
      <c r="N544" s="817"/>
      <c r="O544" s="817"/>
      <c r="P544" s="1899">
        <v>43938</v>
      </c>
      <c r="Q544" s="1899"/>
      <c r="R544" s="881" t="s">
        <v>8758</v>
      </c>
      <c r="S544" s="2770"/>
      <c r="T544" s="2694" t="s">
        <v>15</v>
      </c>
      <c r="U544" s="2694">
        <v>0.55902777777777779</v>
      </c>
      <c r="V544" s="2694" t="s">
        <v>972</v>
      </c>
      <c r="W544" s="1809">
        <v>100</v>
      </c>
      <c r="X544" s="817" t="s">
        <v>257</v>
      </c>
      <c r="Y544" s="2772"/>
      <c r="Z544" s="817"/>
      <c r="AA544" s="817"/>
      <c r="AB544" s="817" t="s">
        <v>17</v>
      </c>
      <c r="AC544" s="817" t="s">
        <v>7451</v>
      </c>
      <c r="AD544" s="2700"/>
      <c r="AG544" s="2711"/>
    </row>
    <row r="545" spans="1:34" ht="43.5" hidden="1" x14ac:dyDescent="0.35">
      <c r="A545" s="2486">
        <v>43925</v>
      </c>
      <c r="B545" s="2718">
        <v>25</v>
      </c>
      <c r="C545" s="7" t="s">
        <v>7981</v>
      </c>
      <c r="D545" s="2712" t="s">
        <v>9825</v>
      </c>
      <c r="E545" s="817" t="s">
        <v>7972</v>
      </c>
      <c r="F545" s="5">
        <v>1</v>
      </c>
      <c r="G545" s="5">
        <v>1</v>
      </c>
      <c r="H545" s="5"/>
      <c r="I545" s="5"/>
      <c r="J545" s="5"/>
      <c r="K545" s="5"/>
      <c r="L545" s="5"/>
      <c r="M545" s="5"/>
      <c r="N545" s="5"/>
      <c r="O545" s="5"/>
      <c r="P545" s="2486">
        <v>43938</v>
      </c>
      <c r="Q545" s="2486"/>
      <c r="R545" s="824" t="s">
        <v>7982</v>
      </c>
      <c r="S545" s="824" t="s">
        <v>8508</v>
      </c>
      <c r="T545" s="6" t="s">
        <v>15</v>
      </c>
      <c r="U545" s="2694">
        <v>0.61527777777777781</v>
      </c>
      <c r="V545" s="2694" t="s">
        <v>972</v>
      </c>
      <c r="W545" s="2648">
        <v>100</v>
      </c>
      <c r="X545" s="817" t="s">
        <v>257</v>
      </c>
      <c r="Y545" s="2772"/>
      <c r="Z545" s="817"/>
      <c r="AA545" s="817"/>
      <c r="AB545" s="817" t="s">
        <v>17</v>
      </c>
      <c r="AC545" s="817" t="s">
        <v>7451</v>
      </c>
      <c r="AD545" s="2699"/>
      <c r="AG545" s="2711"/>
    </row>
    <row r="546" spans="1:34" ht="43.5" hidden="1" x14ac:dyDescent="0.35">
      <c r="A546" s="1899">
        <v>43933</v>
      </c>
      <c r="B546" s="2759">
        <v>11</v>
      </c>
      <c r="C546" s="817" t="s">
        <v>10280</v>
      </c>
      <c r="D546" s="2700" t="s">
        <v>10281</v>
      </c>
      <c r="E546" s="7" t="s">
        <v>8107</v>
      </c>
      <c r="F546" s="817"/>
      <c r="G546" s="817">
        <v>1</v>
      </c>
      <c r="H546" s="817">
        <v>1</v>
      </c>
      <c r="I546" s="817"/>
      <c r="J546" s="817"/>
      <c r="K546" s="817"/>
      <c r="L546" s="817"/>
      <c r="M546" s="817"/>
      <c r="N546" s="817"/>
      <c r="O546" s="817"/>
      <c r="P546" s="2769">
        <v>43938</v>
      </c>
      <c r="Q546" s="2769"/>
      <c r="R546" s="2706" t="s">
        <v>10282</v>
      </c>
      <c r="S546" s="2770"/>
      <c r="T546" s="6" t="s">
        <v>15</v>
      </c>
      <c r="U546" s="836">
        <v>0.4548611111111111</v>
      </c>
      <c r="V546" s="836" t="s">
        <v>972</v>
      </c>
      <c r="W546" s="1956">
        <v>100</v>
      </c>
      <c r="X546" s="817" t="s">
        <v>8625</v>
      </c>
      <c r="Y546" s="2772"/>
      <c r="Z546" s="817"/>
      <c r="AA546" s="817"/>
      <c r="AB546" s="817" t="s">
        <v>17</v>
      </c>
      <c r="AC546" s="817" t="s">
        <v>7451</v>
      </c>
      <c r="AD546" s="2696"/>
      <c r="AG546" s="2711"/>
    </row>
    <row r="547" spans="1:34" ht="43.5" hidden="1" x14ac:dyDescent="0.35">
      <c r="A547" s="1899">
        <v>43933</v>
      </c>
      <c r="B547" s="2759">
        <v>3</v>
      </c>
      <c r="C547" s="817" t="s">
        <v>10288</v>
      </c>
      <c r="D547" s="2700" t="s">
        <v>10289</v>
      </c>
      <c r="E547" s="7" t="s">
        <v>8553</v>
      </c>
      <c r="F547" s="817">
        <v>1</v>
      </c>
      <c r="G547" s="817">
        <v>1</v>
      </c>
      <c r="H547" s="817"/>
      <c r="I547" s="817"/>
      <c r="J547" s="817"/>
      <c r="K547" s="817"/>
      <c r="L547" s="817"/>
      <c r="M547" s="817"/>
      <c r="N547" s="817"/>
      <c r="O547" s="817"/>
      <c r="P547" s="2828">
        <v>43938</v>
      </c>
      <c r="Q547" s="2828"/>
      <c r="R547" s="2706" t="s">
        <v>10290</v>
      </c>
      <c r="S547" s="2770"/>
      <c r="T547" s="6" t="s">
        <v>15</v>
      </c>
      <c r="U547" s="836">
        <v>0.38750000000000001</v>
      </c>
      <c r="V547" s="836" t="s">
        <v>972</v>
      </c>
      <c r="W547" s="1956">
        <v>100</v>
      </c>
      <c r="X547" s="817" t="s">
        <v>8625</v>
      </c>
      <c r="Y547" s="2772"/>
      <c r="Z547" s="817"/>
      <c r="AA547" s="817"/>
      <c r="AB547" s="817" t="s">
        <v>17</v>
      </c>
      <c r="AC547" s="817" t="s">
        <v>7451</v>
      </c>
      <c r="AD547" s="2696"/>
      <c r="AG547" s="2711"/>
    </row>
    <row r="548" spans="1:34" ht="43.5" hidden="1" x14ac:dyDescent="0.35">
      <c r="A548" s="2486">
        <v>43925</v>
      </c>
      <c r="B548" s="2718">
        <v>17</v>
      </c>
      <c r="C548" s="1090" t="s">
        <v>8062</v>
      </c>
      <c r="D548" s="2712" t="s">
        <v>9952</v>
      </c>
      <c r="E548" s="817" t="s">
        <v>7972</v>
      </c>
      <c r="F548" s="5">
        <v>1</v>
      </c>
      <c r="G548" s="5">
        <v>1</v>
      </c>
      <c r="H548" s="5"/>
      <c r="I548" s="5"/>
      <c r="J548" s="5"/>
      <c r="K548" s="5"/>
      <c r="L548" s="5"/>
      <c r="M548" s="5"/>
      <c r="N548" s="5"/>
      <c r="O548" s="5"/>
      <c r="P548" s="2486">
        <v>43938</v>
      </c>
      <c r="Q548" s="2486"/>
      <c r="R548" s="824" t="s">
        <v>7985</v>
      </c>
      <c r="S548" s="824" t="s">
        <v>8509</v>
      </c>
      <c r="T548" s="2694" t="s">
        <v>15</v>
      </c>
      <c r="U548" s="2694">
        <v>0.52430555555555558</v>
      </c>
      <c r="V548" s="2694" t="s">
        <v>972</v>
      </c>
      <c r="W548" s="2724">
        <v>100</v>
      </c>
      <c r="X548" s="817" t="s">
        <v>257</v>
      </c>
      <c r="Y548" s="2717"/>
      <c r="Z548" s="817"/>
      <c r="AA548" s="817"/>
      <c r="AB548" s="817" t="s">
        <v>17</v>
      </c>
      <c r="AC548" s="817" t="s">
        <v>7451</v>
      </c>
      <c r="AD548" s="2699"/>
      <c r="AG548" s="2711"/>
    </row>
    <row r="549" spans="1:34" ht="29" hidden="1" x14ac:dyDescent="0.35">
      <c r="A549" s="2486">
        <v>43928</v>
      </c>
      <c r="B549" s="2718">
        <v>22</v>
      </c>
      <c r="C549" s="5" t="s">
        <v>8590</v>
      </c>
      <c r="D549" s="2712" t="s">
        <v>9817</v>
      </c>
      <c r="E549" s="5" t="s">
        <v>8561</v>
      </c>
      <c r="F549" s="2679">
        <v>1</v>
      </c>
      <c r="G549" s="5">
        <v>1</v>
      </c>
      <c r="H549" s="5"/>
      <c r="I549" s="5"/>
      <c r="J549" s="5"/>
      <c r="K549" s="5"/>
      <c r="L549" s="817"/>
      <c r="M549" s="817"/>
      <c r="N549" s="817"/>
      <c r="O549" s="817"/>
      <c r="P549" s="2486">
        <v>43938</v>
      </c>
      <c r="Q549" s="2486"/>
      <c r="R549" s="5" t="s">
        <v>8618</v>
      </c>
      <c r="S549" s="5"/>
      <c r="T549" s="6" t="s">
        <v>15</v>
      </c>
      <c r="U549" s="6">
        <v>0.54236111111111118</v>
      </c>
      <c r="V549" s="6" t="s">
        <v>3213</v>
      </c>
      <c r="W549" s="1678">
        <v>100</v>
      </c>
      <c r="X549" s="5" t="s">
        <v>257</v>
      </c>
      <c r="Y549" s="2679"/>
      <c r="Z549" s="5"/>
      <c r="AA549" s="5"/>
      <c r="AB549" s="5" t="s">
        <v>17</v>
      </c>
      <c r="AC549" s="5" t="s">
        <v>7451</v>
      </c>
      <c r="AD549" s="2696"/>
      <c r="AG549" s="2711"/>
    </row>
    <row r="550" spans="1:34" ht="72.5" hidden="1" x14ac:dyDescent="0.35">
      <c r="A550" s="2828">
        <v>43924</v>
      </c>
      <c r="B550" s="2760">
        <v>4</v>
      </c>
      <c r="C550" s="817" t="s">
        <v>7862</v>
      </c>
      <c r="D550" s="2712" t="s">
        <v>9810</v>
      </c>
      <c r="E550" s="817" t="s">
        <v>7863</v>
      </c>
      <c r="F550" s="817">
        <v>2</v>
      </c>
      <c r="G550" s="817">
        <v>1</v>
      </c>
      <c r="H550" s="817"/>
      <c r="I550" s="817">
        <v>1</v>
      </c>
      <c r="J550" s="817"/>
      <c r="K550" s="817"/>
      <c r="L550" s="817"/>
      <c r="M550" s="817"/>
      <c r="N550" s="817"/>
      <c r="O550" s="817"/>
      <c r="P550" s="2769">
        <v>43938</v>
      </c>
      <c r="Q550" s="2769"/>
      <c r="R550" s="2829" t="s">
        <v>7864</v>
      </c>
      <c r="S550" s="2770" t="s">
        <v>8272</v>
      </c>
      <c r="T550" s="2694">
        <v>0.35416666666666669</v>
      </c>
      <c r="U550" s="2694">
        <v>0.38611111111111113</v>
      </c>
      <c r="V550" s="2694" t="s">
        <v>972</v>
      </c>
      <c r="W550" s="1956">
        <v>200</v>
      </c>
      <c r="X550" s="817" t="s">
        <v>7634</v>
      </c>
      <c r="Y550" s="2772"/>
      <c r="Z550" s="817"/>
      <c r="AA550" s="817"/>
      <c r="AB550" s="817" t="s">
        <v>17</v>
      </c>
      <c r="AC550" s="817" t="s">
        <v>7451</v>
      </c>
      <c r="AD550" s="2699"/>
      <c r="AG550" s="2711"/>
    </row>
    <row r="551" spans="1:34" ht="58" hidden="1" x14ac:dyDescent="0.35">
      <c r="A551" s="2486">
        <v>43924</v>
      </c>
      <c r="B551" s="2718">
        <v>2</v>
      </c>
      <c r="C551" s="5" t="s">
        <v>7891</v>
      </c>
      <c r="D551" s="2712" t="s">
        <v>9948</v>
      </c>
      <c r="E551" s="817" t="s">
        <v>7829</v>
      </c>
      <c r="F551" s="5">
        <v>1</v>
      </c>
      <c r="G551" s="5">
        <v>1</v>
      </c>
      <c r="H551" s="5"/>
      <c r="I551" s="5"/>
      <c r="J551" s="5"/>
      <c r="K551" s="5"/>
      <c r="L551" s="5"/>
      <c r="M551" s="5"/>
      <c r="N551" s="5"/>
      <c r="O551" s="5"/>
      <c r="P551" s="2486">
        <v>43938</v>
      </c>
      <c r="Q551" s="2486"/>
      <c r="R551" s="824" t="s">
        <v>7892</v>
      </c>
      <c r="S551" s="824"/>
      <c r="T551" s="6" t="s">
        <v>15</v>
      </c>
      <c r="U551" s="2694">
        <v>0.37152777777777773</v>
      </c>
      <c r="V551" s="2694" t="s">
        <v>972</v>
      </c>
      <c r="W551" s="1956">
        <v>100</v>
      </c>
      <c r="X551" s="817" t="s">
        <v>7634</v>
      </c>
      <c r="Y551" s="2772"/>
      <c r="Z551" s="817"/>
      <c r="AA551" s="817"/>
      <c r="AB551" s="817" t="s">
        <v>17</v>
      </c>
      <c r="AC551" s="817" t="s">
        <v>7451</v>
      </c>
      <c r="AD551" s="2699"/>
      <c r="AG551" s="2711"/>
    </row>
    <row r="552" spans="1:34" ht="72.5" hidden="1" x14ac:dyDescent="0.35">
      <c r="A552" s="1899">
        <v>43932</v>
      </c>
      <c r="B552" s="2759">
        <v>14</v>
      </c>
      <c r="C552" s="7" t="s">
        <v>9531</v>
      </c>
      <c r="D552" s="2707" t="s">
        <v>9532</v>
      </c>
      <c r="E552" s="7" t="s">
        <v>9533</v>
      </c>
      <c r="F552" s="5"/>
      <c r="G552" s="5">
        <v>1</v>
      </c>
      <c r="H552" s="5"/>
      <c r="I552" s="5"/>
      <c r="J552" s="5"/>
      <c r="K552" s="5"/>
      <c r="L552" s="817"/>
      <c r="M552" s="817"/>
      <c r="N552" s="817"/>
      <c r="O552" s="817"/>
      <c r="P552" s="1899">
        <v>43938</v>
      </c>
      <c r="Q552" s="2828"/>
      <c r="R552" s="2708" t="s">
        <v>9534</v>
      </c>
      <c r="S552" s="2829"/>
      <c r="T552" s="836" t="s">
        <v>15</v>
      </c>
      <c r="U552" s="836">
        <v>0.4770833333333333</v>
      </c>
      <c r="V552" s="836" t="s">
        <v>972</v>
      </c>
      <c r="W552" s="1956">
        <v>125</v>
      </c>
      <c r="X552" s="817" t="s">
        <v>8625</v>
      </c>
      <c r="Y552" s="2772"/>
      <c r="Z552" s="817"/>
      <c r="AA552" s="817"/>
      <c r="AB552" s="817" t="s">
        <v>17</v>
      </c>
      <c r="AC552" s="817" t="s">
        <v>7451</v>
      </c>
      <c r="AD552" s="2696"/>
      <c r="AG552" s="2711"/>
    </row>
    <row r="553" spans="1:34" ht="43.5" hidden="1" x14ac:dyDescent="0.35">
      <c r="A553" s="2486">
        <v>43923</v>
      </c>
      <c r="B553" s="2718">
        <v>20</v>
      </c>
      <c r="C553" s="5" t="s">
        <v>7753</v>
      </c>
      <c r="D553" s="2712" t="s">
        <v>9872</v>
      </c>
      <c r="E553" s="5" t="s">
        <v>7506</v>
      </c>
      <c r="F553" s="5">
        <v>1</v>
      </c>
      <c r="G553" s="5">
        <v>1</v>
      </c>
      <c r="H553" s="5"/>
      <c r="I553" s="5"/>
      <c r="J553" s="5"/>
      <c r="K553" s="5"/>
      <c r="L553" s="5"/>
      <c r="M553" s="5"/>
      <c r="N553" s="5"/>
      <c r="O553" s="5"/>
      <c r="P553" s="2486">
        <v>43938</v>
      </c>
      <c r="Q553" s="2486"/>
      <c r="R553" s="824" t="s">
        <v>7752</v>
      </c>
      <c r="S553" s="824"/>
      <c r="T553" s="6" t="s">
        <v>15</v>
      </c>
      <c r="U553" s="2694">
        <v>0.5395833333333333</v>
      </c>
      <c r="V553" s="2694" t="s">
        <v>3213</v>
      </c>
      <c r="W553" s="1956">
        <v>100</v>
      </c>
      <c r="X553" s="2694" t="s">
        <v>7682</v>
      </c>
      <c r="Y553" s="2772"/>
      <c r="Z553" s="2694"/>
      <c r="AA553" s="2694"/>
      <c r="AB553" s="817" t="s">
        <v>17</v>
      </c>
      <c r="AC553" s="817" t="s">
        <v>7451</v>
      </c>
      <c r="AD553" s="2699"/>
      <c r="AG553" s="2711"/>
    </row>
    <row r="554" spans="1:34" ht="43.5" hidden="1" x14ac:dyDescent="0.35">
      <c r="A554" s="2486">
        <v>43931</v>
      </c>
      <c r="B554" s="2718">
        <v>35</v>
      </c>
      <c r="C554" s="5" t="s">
        <v>9306</v>
      </c>
      <c r="D554" s="2700" t="s">
        <v>9305</v>
      </c>
      <c r="E554" s="5" t="s">
        <v>9307</v>
      </c>
      <c r="F554" s="2682">
        <v>2</v>
      </c>
      <c r="G554" s="2682">
        <v>1</v>
      </c>
      <c r="H554" s="2682">
        <v>1</v>
      </c>
      <c r="I554" s="2682"/>
      <c r="J554" s="2682"/>
      <c r="K554" s="2682"/>
      <c r="L554" s="817"/>
      <c r="M554" s="817"/>
      <c r="N554" s="817"/>
      <c r="O554" s="817"/>
      <c r="P554" s="2486">
        <v>43938</v>
      </c>
      <c r="Q554" s="2486"/>
      <c r="R554" s="2829" t="s">
        <v>9308</v>
      </c>
      <c r="S554" s="2770"/>
      <c r="T554" s="2694" t="s">
        <v>15</v>
      </c>
      <c r="U554" s="2694">
        <v>0.69027777777777777</v>
      </c>
      <c r="V554" s="2694" t="s">
        <v>972</v>
      </c>
      <c r="W554" s="2680">
        <v>200</v>
      </c>
      <c r="X554" s="817" t="s">
        <v>2900</v>
      </c>
      <c r="Y554" s="2772"/>
      <c r="Z554" s="817"/>
      <c r="AA554" s="817"/>
      <c r="AB554" s="817" t="s">
        <v>17</v>
      </c>
      <c r="AC554" s="817" t="s">
        <v>7451</v>
      </c>
      <c r="AD554" s="2700" t="s">
        <v>9305</v>
      </c>
      <c r="AG554" s="2711"/>
    </row>
    <row r="555" spans="1:34" ht="43.5" hidden="1" x14ac:dyDescent="0.35">
      <c r="A555" s="2486">
        <v>43931</v>
      </c>
      <c r="B555" s="2718">
        <v>19</v>
      </c>
      <c r="C555" s="5" t="s">
        <v>9361</v>
      </c>
      <c r="D555" s="2712" t="s">
        <v>10140</v>
      </c>
      <c r="E555" s="7" t="s">
        <v>9294</v>
      </c>
      <c r="F555" s="5">
        <v>1</v>
      </c>
      <c r="G555" s="5">
        <v>1</v>
      </c>
      <c r="H555" s="5"/>
      <c r="I555" s="5">
        <v>1</v>
      </c>
      <c r="J555" s="5"/>
      <c r="K555" s="5"/>
      <c r="L555" s="817"/>
      <c r="M555" s="817"/>
      <c r="N555" s="817"/>
      <c r="O555" s="817"/>
      <c r="P555" s="2486">
        <v>43938</v>
      </c>
      <c r="Q555" s="2486"/>
      <c r="R555" s="2829" t="s">
        <v>9360</v>
      </c>
      <c r="S555" s="2829"/>
      <c r="T555" s="2694" t="s">
        <v>15</v>
      </c>
      <c r="U555" s="2694">
        <v>0.52777777777777779</v>
      </c>
      <c r="V555" s="2694" t="s">
        <v>972</v>
      </c>
      <c r="W555" s="1956">
        <v>150</v>
      </c>
      <c r="X555" s="817" t="s">
        <v>8625</v>
      </c>
      <c r="Y555" s="2772"/>
      <c r="Z555" s="817"/>
      <c r="AA555" s="817"/>
      <c r="AB555" s="817" t="s">
        <v>17</v>
      </c>
      <c r="AC555" s="817" t="s">
        <v>7451</v>
      </c>
      <c r="AD555" s="2700"/>
      <c r="AG555" s="2711"/>
    </row>
    <row r="556" spans="1:34" ht="58" hidden="1" x14ac:dyDescent="0.35">
      <c r="A556" s="2486">
        <v>43934</v>
      </c>
      <c r="B556" s="2718">
        <v>10</v>
      </c>
      <c r="C556" s="5" t="s">
        <v>10319</v>
      </c>
      <c r="D556" s="2700" t="s">
        <v>10320</v>
      </c>
      <c r="E556" s="7" t="s">
        <v>8553</v>
      </c>
      <c r="F556" s="2686">
        <v>1</v>
      </c>
      <c r="G556" s="2682">
        <v>1</v>
      </c>
      <c r="H556" s="2682"/>
      <c r="I556" s="2682"/>
      <c r="J556" s="2682"/>
      <c r="K556" s="2682"/>
      <c r="L556" s="817"/>
      <c r="M556" s="817"/>
      <c r="N556" s="817"/>
      <c r="O556" s="817"/>
      <c r="P556" s="2486">
        <v>43938</v>
      </c>
      <c r="Q556" s="2828"/>
      <c r="R556" s="2722" t="s">
        <v>10321</v>
      </c>
      <c r="S556" s="2829"/>
      <c r="T556" s="2694" t="s">
        <v>15</v>
      </c>
      <c r="U556" s="836">
        <v>0.45902777777777781</v>
      </c>
      <c r="V556" s="836" t="s">
        <v>972</v>
      </c>
      <c r="W556" s="1956">
        <v>100</v>
      </c>
      <c r="X556" s="817" t="s">
        <v>8625</v>
      </c>
      <c r="Y556" s="2717"/>
      <c r="Z556" s="817"/>
      <c r="AA556" s="817"/>
      <c r="AB556" s="817" t="s">
        <v>17</v>
      </c>
      <c r="AC556" s="817" t="s">
        <v>7451</v>
      </c>
      <c r="AD556" s="2726"/>
      <c r="AG556" s="2711"/>
    </row>
    <row r="557" spans="1:34" ht="43.5" hidden="1" x14ac:dyDescent="0.35">
      <c r="A557" s="2769">
        <v>43927</v>
      </c>
      <c r="B557" s="2760">
        <v>13</v>
      </c>
      <c r="C557" s="817" t="s">
        <v>8252</v>
      </c>
      <c r="D557" s="2712" t="s">
        <v>9806</v>
      </c>
      <c r="E557" s="817" t="s">
        <v>7935</v>
      </c>
      <c r="F557" s="5">
        <v>1</v>
      </c>
      <c r="G557" s="5">
        <v>1</v>
      </c>
      <c r="H557" s="5"/>
      <c r="I557" s="5"/>
      <c r="J557" s="5"/>
      <c r="K557" s="5"/>
      <c r="L557" s="817"/>
      <c r="M557" s="817"/>
      <c r="N557" s="817"/>
      <c r="O557" s="817"/>
      <c r="P557" s="2769">
        <v>43938</v>
      </c>
      <c r="Q557" s="2769"/>
      <c r="R557" s="2770" t="s">
        <v>8343</v>
      </c>
      <c r="S557" s="2770" t="s">
        <v>8303</v>
      </c>
      <c r="T557" s="2694" t="s">
        <v>15</v>
      </c>
      <c r="U557" s="2694">
        <v>0.47916666666666669</v>
      </c>
      <c r="V557" s="2694" t="s">
        <v>3213</v>
      </c>
      <c r="W557" s="1809">
        <v>100</v>
      </c>
      <c r="X557" s="817" t="s">
        <v>257</v>
      </c>
      <c r="Y557" s="2772"/>
      <c r="Z557" s="817"/>
      <c r="AA557" s="817"/>
      <c r="AB557" s="817" t="s">
        <v>17</v>
      </c>
      <c r="AC557" s="817" t="s">
        <v>7451</v>
      </c>
      <c r="AD557" s="2816"/>
      <c r="AG557" s="2711"/>
    </row>
    <row r="558" spans="1:34" ht="58" hidden="1" x14ac:dyDescent="0.35">
      <c r="A558" s="1899">
        <v>43928</v>
      </c>
      <c r="B558" s="2759">
        <v>29</v>
      </c>
      <c r="C558" s="7" t="s">
        <v>8385</v>
      </c>
      <c r="D558" s="2712" t="s">
        <v>9939</v>
      </c>
      <c r="E558" s="7" t="s">
        <v>8386</v>
      </c>
      <c r="F558" s="2684">
        <v>1</v>
      </c>
      <c r="G558" s="2661">
        <v>1</v>
      </c>
      <c r="H558" s="2661"/>
      <c r="I558" s="2661"/>
      <c r="J558" s="2661"/>
      <c r="K558" s="2661"/>
      <c r="L558" s="817"/>
      <c r="M558" s="817"/>
      <c r="N558" s="817"/>
      <c r="O558" s="817"/>
      <c r="P558" s="1899">
        <v>43938</v>
      </c>
      <c r="Q558" s="1899"/>
      <c r="R558" s="881" t="s">
        <v>8387</v>
      </c>
      <c r="S558" s="2829" t="s">
        <v>8512</v>
      </c>
      <c r="T558" s="836" t="s">
        <v>15</v>
      </c>
      <c r="U558" s="2694">
        <v>0.62847222222222221</v>
      </c>
      <c r="V558" s="2694" t="s">
        <v>972</v>
      </c>
      <c r="W558" s="2660">
        <v>300</v>
      </c>
      <c r="X558" s="2694" t="s">
        <v>8381</v>
      </c>
      <c r="Y558" s="2772"/>
      <c r="Z558" s="817"/>
      <c r="AA558" s="817"/>
      <c r="AB558" s="817" t="s">
        <v>17</v>
      </c>
      <c r="AC558" s="817" t="s">
        <v>7451</v>
      </c>
      <c r="AD558" s="2699"/>
      <c r="AG558" s="2711"/>
    </row>
    <row r="559" spans="1:34" ht="43.5" hidden="1" x14ac:dyDescent="0.35">
      <c r="A559" s="1899">
        <v>43932</v>
      </c>
      <c r="B559" s="2759">
        <v>38</v>
      </c>
      <c r="C559" s="7" t="s">
        <v>9471</v>
      </c>
      <c r="D559" s="2707" t="s">
        <v>9472</v>
      </c>
      <c r="E559" s="7" t="s">
        <v>8553</v>
      </c>
      <c r="F559" s="2682">
        <v>1</v>
      </c>
      <c r="G559" s="2682">
        <v>1</v>
      </c>
      <c r="H559" s="2682"/>
      <c r="I559" s="2682"/>
      <c r="J559" s="2682"/>
      <c r="K559" s="2682"/>
      <c r="L559" s="817"/>
      <c r="M559" s="817"/>
      <c r="N559" s="817"/>
      <c r="O559" s="817"/>
      <c r="P559" s="1899">
        <v>43938</v>
      </c>
      <c r="Q559" s="2769"/>
      <c r="R559" s="881" t="s">
        <v>9473</v>
      </c>
      <c r="S559" s="2747"/>
      <c r="T559" s="836" t="s">
        <v>15</v>
      </c>
      <c r="U559" s="836">
        <v>0.69652777777777775</v>
      </c>
      <c r="V559" s="836" t="s">
        <v>972</v>
      </c>
      <c r="W559" s="1956">
        <v>100</v>
      </c>
      <c r="X559" s="817" t="s">
        <v>8625</v>
      </c>
      <c r="Y559" s="2772"/>
      <c r="Z559" s="817"/>
      <c r="AA559" s="817"/>
      <c r="AB559" s="817" t="s">
        <v>17</v>
      </c>
      <c r="AC559" s="817" t="s">
        <v>7451</v>
      </c>
      <c r="AD559" s="2695"/>
      <c r="AG559" s="2711"/>
      <c r="AH559" s="1" t="s">
        <v>9708</v>
      </c>
    </row>
    <row r="560" spans="1:34" ht="72.5" hidden="1" x14ac:dyDescent="0.35">
      <c r="A560" s="2486">
        <v>43928</v>
      </c>
      <c r="B560" s="2718">
        <v>7</v>
      </c>
      <c r="C560" s="7" t="s">
        <v>8582</v>
      </c>
      <c r="D560" s="2712" t="s">
        <v>9787</v>
      </c>
      <c r="E560" s="7" t="s">
        <v>8471</v>
      </c>
      <c r="F560" s="2678">
        <v>1</v>
      </c>
      <c r="G560" s="2669">
        <v>3</v>
      </c>
      <c r="H560" s="2669"/>
      <c r="I560" s="2669"/>
      <c r="J560" s="2669"/>
      <c r="K560" s="2669"/>
      <c r="L560" s="817"/>
      <c r="M560" s="817"/>
      <c r="N560" s="817"/>
      <c r="O560" s="817"/>
      <c r="P560" s="2486">
        <v>43938</v>
      </c>
      <c r="Q560" s="2486"/>
      <c r="R560" s="824" t="s">
        <v>8470</v>
      </c>
      <c r="S560" s="2829" t="s">
        <v>8289</v>
      </c>
      <c r="T560" s="6" t="s">
        <v>15</v>
      </c>
      <c r="U560" s="2694">
        <v>0.4236111111111111</v>
      </c>
      <c r="V560" s="2694" t="s">
        <v>972</v>
      </c>
      <c r="W560" s="1809">
        <f>230+230</f>
        <v>460</v>
      </c>
      <c r="X560" s="836" t="s">
        <v>10783</v>
      </c>
      <c r="Y560" s="2772"/>
      <c r="Z560" s="817"/>
      <c r="AA560" s="817"/>
      <c r="AB560" s="7" t="s">
        <v>17</v>
      </c>
      <c r="AC560" s="817" t="s">
        <v>7451</v>
      </c>
      <c r="AD560" s="2699"/>
      <c r="AG560" s="2711"/>
    </row>
    <row r="561" spans="1:33" ht="29" hidden="1" x14ac:dyDescent="0.35">
      <c r="A561" s="2486">
        <v>43929</v>
      </c>
      <c r="B561" s="2718">
        <v>20</v>
      </c>
      <c r="C561" s="5" t="s">
        <v>8582</v>
      </c>
      <c r="D561" s="2712" t="s">
        <v>9787</v>
      </c>
      <c r="E561" s="7" t="s">
        <v>8471</v>
      </c>
      <c r="F561" s="2679">
        <v>1</v>
      </c>
      <c r="G561" s="5">
        <v>3</v>
      </c>
      <c r="H561" s="5"/>
      <c r="I561" s="5"/>
      <c r="J561" s="5"/>
      <c r="K561" s="5"/>
      <c r="L561" s="817"/>
      <c r="M561" s="817"/>
      <c r="N561" s="817"/>
      <c r="O561" s="817"/>
      <c r="P561" s="2486">
        <v>43938</v>
      </c>
      <c r="Q561" s="2486"/>
      <c r="R561" s="824" t="s">
        <v>8610</v>
      </c>
      <c r="S561" s="824"/>
      <c r="T561" s="6" t="s">
        <v>15</v>
      </c>
      <c r="U561" s="6">
        <v>0.52638888888888891</v>
      </c>
      <c r="V561" s="6" t="s">
        <v>3213</v>
      </c>
      <c r="W561" s="1678">
        <v>0</v>
      </c>
      <c r="X561" s="5" t="s">
        <v>8714</v>
      </c>
      <c r="Y561" s="2679"/>
      <c r="Z561" s="5"/>
      <c r="AA561" s="5"/>
      <c r="AB561" s="5" t="s">
        <v>17</v>
      </c>
      <c r="AC561" s="5" t="s">
        <v>7451</v>
      </c>
      <c r="AD561" s="2696"/>
      <c r="AG561" s="2711"/>
    </row>
    <row r="562" spans="1:33" ht="29" hidden="1" x14ac:dyDescent="0.35">
      <c r="A562" s="1899">
        <v>43930</v>
      </c>
      <c r="B562" s="2759">
        <v>15</v>
      </c>
      <c r="C562" s="7" t="s">
        <v>8968</v>
      </c>
      <c r="D562" s="2712" t="s">
        <v>10173</v>
      </c>
      <c r="E562" s="7" t="s">
        <v>8622</v>
      </c>
      <c r="F562" s="5">
        <v>1</v>
      </c>
      <c r="G562" s="5">
        <v>1</v>
      </c>
      <c r="H562" s="5"/>
      <c r="I562" s="5"/>
      <c r="J562" s="5"/>
      <c r="K562" s="5"/>
      <c r="L562" s="817"/>
      <c r="M562" s="817"/>
      <c r="N562" s="817"/>
      <c r="O562" s="817"/>
      <c r="P562" s="1899">
        <v>43938</v>
      </c>
      <c r="Q562" s="1899"/>
      <c r="R562" s="881" t="s">
        <v>8969</v>
      </c>
      <c r="S562" s="2770"/>
      <c r="T562" s="836" t="s">
        <v>15</v>
      </c>
      <c r="U562" s="2694">
        <v>0.49583333333333335</v>
      </c>
      <c r="V562" s="2694" t="s">
        <v>972</v>
      </c>
      <c r="W562" s="1809">
        <v>0</v>
      </c>
      <c r="X562" s="817" t="s">
        <v>8970</v>
      </c>
      <c r="Y562" s="2772"/>
      <c r="Z562" s="817"/>
      <c r="AA562" s="817"/>
      <c r="AB562" s="817" t="s">
        <v>17</v>
      </c>
      <c r="AC562" s="817" t="s">
        <v>7451</v>
      </c>
      <c r="AD562" s="2696"/>
      <c r="AG562" s="2711"/>
    </row>
    <row r="563" spans="1:33" ht="43.5" hidden="1" x14ac:dyDescent="0.35">
      <c r="A563" s="2486">
        <v>43928</v>
      </c>
      <c r="B563" s="2718">
        <v>8</v>
      </c>
      <c r="C563" s="7" t="s">
        <v>8490</v>
      </c>
      <c r="D563" s="2712" t="s">
        <v>9891</v>
      </c>
      <c r="E563" s="7" t="s">
        <v>8149</v>
      </c>
      <c r="F563" s="2678">
        <v>1</v>
      </c>
      <c r="G563" s="2669">
        <v>1</v>
      </c>
      <c r="H563" s="2669"/>
      <c r="I563" s="2669"/>
      <c r="J563" s="2669"/>
      <c r="K563" s="2669"/>
      <c r="L563" s="817"/>
      <c r="M563" s="817"/>
      <c r="N563" s="817"/>
      <c r="O563" s="817"/>
      <c r="P563" s="2486">
        <v>43938</v>
      </c>
      <c r="Q563" s="2486"/>
      <c r="R563" s="824" t="s">
        <v>8491</v>
      </c>
      <c r="S563" s="2770" t="s">
        <v>8265</v>
      </c>
      <c r="T563" s="6" t="s">
        <v>15</v>
      </c>
      <c r="U563" s="2694">
        <v>0.42708333333333331</v>
      </c>
      <c r="V563" s="2694" t="s">
        <v>972</v>
      </c>
      <c r="W563" s="2660">
        <v>100</v>
      </c>
      <c r="X563" s="2694" t="s">
        <v>8381</v>
      </c>
      <c r="Y563" s="2772"/>
      <c r="Z563" s="817"/>
      <c r="AA563" s="817"/>
      <c r="AB563" s="7" t="s">
        <v>17</v>
      </c>
      <c r="AC563" s="817" t="s">
        <v>7451</v>
      </c>
      <c r="AD563" s="2699"/>
      <c r="AG563" s="2711"/>
    </row>
    <row r="564" spans="1:33" ht="101.5" hidden="1" x14ac:dyDescent="0.35">
      <c r="A564" s="2486">
        <v>43925</v>
      </c>
      <c r="B564" s="2718">
        <v>10</v>
      </c>
      <c r="C564" s="7" t="s">
        <v>8033</v>
      </c>
      <c r="D564" s="2712" t="s">
        <v>10206</v>
      </c>
      <c r="E564" s="817" t="s">
        <v>7972</v>
      </c>
      <c r="F564" s="5">
        <v>1</v>
      </c>
      <c r="G564" s="5">
        <v>1</v>
      </c>
      <c r="H564" s="5"/>
      <c r="I564" s="5"/>
      <c r="J564" s="5"/>
      <c r="K564" s="5"/>
      <c r="L564" s="5"/>
      <c r="M564" s="5"/>
      <c r="N564" s="5"/>
      <c r="O564" s="5"/>
      <c r="P564" s="2486">
        <v>43938</v>
      </c>
      <c r="Q564" s="2486"/>
      <c r="R564" s="824" t="s">
        <v>8034</v>
      </c>
      <c r="S564" s="824"/>
      <c r="T564" s="6" t="s">
        <v>15</v>
      </c>
      <c r="U564" s="2694">
        <v>0.46111111111111108</v>
      </c>
      <c r="V564" s="2694" t="s">
        <v>972</v>
      </c>
      <c r="W564" s="2648">
        <v>0</v>
      </c>
      <c r="X564" s="817" t="s">
        <v>257</v>
      </c>
      <c r="Y564" s="2772"/>
      <c r="Z564" s="817"/>
      <c r="AA564" s="817"/>
      <c r="AB564" s="817" t="s">
        <v>17</v>
      </c>
      <c r="AC564" s="817" t="s">
        <v>7451</v>
      </c>
      <c r="AD564" s="2696" t="s">
        <v>8773</v>
      </c>
      <c r="AG564" s="2711"/>
    </row>
    <row r="565" spans="1:33" ht="29" hidden="1" x14ac:dyDescent="0.35">
      <c r="A565" s="1899">
        <v>43932</v>
      </c>
      <c r="B565" s="2759">
        <v>23</v>
      </c>
      <c r="C565" s="817" t="s">
        <v>9582</v>
      </c>
      <c r="D565" s="2700" t="s">
        <v>9583</v>
      </c>
      <c r="E565" s="7" t="s">
        <v>8553</v>
      </c>
      <c r="F565" s="5">
        <v>1</v>
      </c>
      <c r="G565" s="5">
        <v>1</v>
      </c>
      <c r="H565" s="5"/>
      <c r="I565" s="5"/>
      <c r="J565" s="5"/>
      <c r="K565" s="5"/>
      <c r="L565" s="817"/>
      <c r="M565" s="817"/>
      <c r="N565" s="817"/>
      <c r="O565" s="817"/>
      <c r="P565" s="2828">
        <v>43938</v>
      </c>
      <c r="Q565" s="2828"/>
      <c r="R565" s="2706" t="s">
        <v>9584</v>
      </c>
      <c r="S565" s="2770"/>
      <c r="T565" s="836" t="s">
        <v>15</v>
      </c>
      <c r="U565" s="836">
        <v>0.56874999999999998</v>
      </c>
      <c r="V565" s="836" t="s">
        <v>972</v>
      </c>
      <c r="W565" s="1956">
        <v>100</v>
      </c>
      <c r="X565" s="817" t="s">
        <v>8625</v>
      </c>
      <c r="Y565" s="2772"/>
      <c r="Z565" s="817"/>
      <c r="AA565" s="817"/>
      <c r="AB565" s="817" t="s">
        <v>17</v>
      </c>
      <c r="AC565" s="817" t="s">
        <v>7451</v>
      </c>
      <c r="AD565" s="2696"/>
      <c r="AG565" s="2711"/>
    </row>
    <row r="566" spans="1:33" ht="29" hidden="1" x14ac:dyDescent="0.35">
      <c r="A566" s="1899">
        <v>43933</v>
      </c>
      <c r="B566" s="2759">
        <v>14</v>
      </c>
      <c r="C566" s="817" t="s">
        <v>10297</v>
      </c>
      <c r="D566" s="2700" t="s">
        <v>10298</v>
      </c>
      <c r="E566" s="7" t="s">
        <v>8553</v>
      </c>
      <c r="F566" s="817">
        <v>1</v>
      </c>
      <c r="G566" s="817">
        <v>1</v>
      </c>
      <c r="H566" s="817"/>
      <c r="I566" s="817"/>
      <c r="J566" s="817"/>
      <c r="K566" s="817"/>
      <c r="L566" s="817"/>
      <c r="M566" s="817"/>
      <c r="N566" s="817"/>
      <c r="O566" s="817"/>
      <c r="P566" s="2828">
        <v>43938</v>
      </c>
      <c r="Q566" s="2769"/>
      <c r="R566" s="2706" t="s">
        <v>10299</v>
      </c>
      <c r="S566" s="2770"/>
      <c r="T566" s="6" t="s">
        <v>15</v>
      </c>
      <c r="U566" s="836">
        <v>0.48888888888888887</v>
      </c>
      <c r="V566" s="836" t="s">
        <v>972</v>
      </c>
      <c r="W566" s="1956">
        <v>100</v>
      </c>
      <c r="X566" s="817" t="s">
        <v>8625</v>
      </c>
      <c r="Y566" s="2772"/>
      <c r="Z566" s="817"/>
      <c r="AA566" s="817"/>
      <c r="AB566" s="817" t="s">
        <v>17</v>
      </c>
      <c r="AC566" s="817" t="s">
        <v>7451</v>
      </c>
      <c r="AD566" s="2696"/>
      <c r="AG566" s="2711"/>
    </row>
    <row r="567" spans="1:33" ht="43.5" hidden="1" x14ac:dyDescent="0.35">
      <c r="A567" s="2486">
        <v>43923</v>
      </c>
      <c r="B567" s="2718">
        <v>13</v>
      </c>
      <c r="C567" s="5" t="s">
        <v>7741</v>
      </c>
      <c r="D567" s="2712" t="s">
        <v>9715</v>
      </c>
      <c r="E567" s="5" t="s">
        <v>7743</v>
      </c>
      <c r="F567" s="5">
        <v>2</v>
      </c>
      <c r="G567" s="5">
        <v>2</v>
      </c>
      <c r="H567" s="5"/>
      <c r="I567" s="5"/>
      <c r="J567" s="5"/>
      <c r="K567" s="5"/>
      <c r="L567" s="5"/>
      <c r="M567" s="5"/>
      <c r="N567" s="5"/>
      <c r="O567" s="5"/>
      <c r="P567" s="2486">
        <v>43938</v>
      </c>
      <c r="Q567" s="2486"/>
      <c r="R567" s="824" t="s">
        <v>7742</v>
      </c>
      <c r="S567" s="824"/>
      <c r="T567" s="6" t="s">
        <v>15</v>
      </c>
      <c r="U567" s="2694">
        <v>0.46319444444444446</v>
      </c>
      <c r="V567" s="2694" t="s">
        <v>3213</v>
      </c>
      <c r="W567" s="1809">
        <v>200</v>
      </c>
      <c r="X567" s="2694" t="s">
        <v>257</v>
      </c>
      <c r="Y567" s="2772"/>
      <c r="Z567" s="2694"/>
      <c r="AA567" s="2694"/>
      <c r="AB567" s="817" t="s">
        <v>17</v>
      </c>
      <c r="AC567" s="817" t="s">
        <v>7451</v>
      </c>
      <c r="AD567" s="2699"/>
      <c r="AG567" s="2711"/>
    </row>
    <row r="568" spans="1:33" ht="58" hidden="1" x14ac:dyDescent="0.35">
      <c r="A568" s="2486">
        <v>43924</v>
      </c>
      <c r="B568" s="2718">
        <v>14</v>
      </c>
      <c r="C568" s="7" t="s">
        <v>7917</v>
      </c>
      <c r="D568" s="2712" t="s">
        <v>9850</v>
      </c>
      <c r="E568" s="817" t="s">
        <v>7829</v>
      </c>
      <c r="F568" s="5">
        <v>1</v>
      </c>
      <c r="G568" s="5">
        <v>1</v>
      </c>
      <c r="H568" s="5"/>
      <c r="I568" s="5"/>
      <c r="J568" s="5"/>
      <c r="K568" s="5"/>
      <c r="L568" s="5"/>
      <c r="M568" s="5"/>
      <c r="N568" s="5"/>
      <c r="O568" s="5"/>
      <c r="P568" s="2486">
        <v>43938</v>
      </c>
      <c r="Q568" s="2486"/>
      <c r="R568" s="824" t="s">
        <v>7918</v>
      </c>
      <c r="S568" s="824"/>
      <c r="T568" s="6" t="s">
        <v>15</v>
      </c>
      <c r="U568" s="2694">
        <v>0.49444444444444446</v>
      </c>
      <c r="V568" s="2694" t="s">
        <v>3213</v>
      </c>
      <c r="W568" s="1809">
        <v>200</v>
      </c>
      <c r="X568" s="817" t="s">
        <v>257</v>
      </c>
      <c r="Y568" s="2772"/>
      <c r="Z568" s="817"/>
      <c r="AA568" s="817"/>
      <c r="AB568" s="817" t="s">
        <v>17</v>
      </c>
      <c r="AC568" s="817" t="s">
        <v>7451</v>
      </c>
      <c r="AD568" s="2699"/>
      <c r="AG568" s="2711"/>
    </row>
    <row r="569" spans="1:33" ht="58" hidden="1" x14ac:dyDescent="0.35">
      <c r="A569" s="2486">
        <v>43935</v>
      </c>
      <c r="B569" s="2718">
        <v>1</v>
      </c>
      <c r="C569" s="5" t="s">
        <v>10695</v>
      </c>
      <c r="D569" s="2700" t="s">
        <v>10697</v>
      </c>
      <c r="E569" s="817" t="s">
        <v>7935</v>
      </c>
      <c r="F569" s="2740">
        <v>1</v>
      </c>
      <c r="G569" s="2741">
        <v>1</v>
      </c>
      <c r="H569" s="2741"/>
      <c r="I569" s="2741"/>
      <c r="J569" s="2741"/>
      <c r="K569" s="2741"/>
      <c r="L569" s="817"/>
      <c r="M569" s="817"/>
      <c r="N569" s="817"/>
      <c r="O569" s="817"/>
      <c r="P569" s="2486">
        <v>43938</v>
      </c>
      <c r="Q569" s="2828"/>
      <c r="R569" s="824" t="s">
        <v>10696</v>
      </c>
      <c r="S569" s="2770"/>
      <c r="T569" s="2694" t="s">
        <v>15</v>
      </c>
      <c r="U569" s="2694">
        <v>0.3666666666666667</v>
      </c>
      <c r="V569" s="2694" t="s">
        <v>972</v>
      </c>
      <c r="W569" s="2738">
        <v>200</v>
      </c>
      <c r="X569" s="2694" t="s">
        <v>10733</v>
      </c>
      <c r="Y569" s="2772"/>
      <c r="Z569" s="817"/>
      <c r="AA569" s="817"/>
      <c r="AB569" s="817" t="s">
        <v>17</v>
      </c>
      <c r="AC569" s="817" t="s">
        <v>10698</v>
      </c>
      <c r="AD569" s="2745"/>
      <c r="AG569" s="2711"/>
    </row>
    <row r="570" spans="1:33" ht="29" hidden="1" x14ac:dyDescent="0.35">
      <c r="A570" s="2486">
        <v>43931</v>
      </c>
      <c r="B570" s="2718">
        <v>23</v>
      </c>
      <c r="C570" s="5" t="s">
        <v>9321</v>
      </c>
      <c r="D570" s="2700" t="s">
        <v>9320</v>
      </c>
      <c r="E570" s="5" t="s">
        <v>8553</v>
      </c>
      <c r="F570" s="2682">
        <v>1</v>
      </c>
      <c r="G570" s="2682">
        <v>1</v>
      </c>
      <c r="H570" s="2682"/>
      <c r="I570" s="2682"/>
      <c r="J570" s="2682"/>
      <c r="K570" s="2682"/>
      <c r="L570" s="817"/>
      <c r="M570" s="817"/>
      <c r="N570" s="817"/>
      <c r="O570" s="817"/>
      <c r="P570" s="2486">
        <v>43938</v>
      </c>
      <c r="Q570" s="2486"/>
      <c r="R570" s="2829" t="s">
        <v>9322</v>
      </c>
      <c r="S570" s="2770"/>
      <c r="T570" s="2694" t="s">
        <v>15</v>
      </c>
      <c r="U570" s="2694">
        <v>0.59513888888888888</v>
      </c>
      <c r="V570" s="2694" t="s">
        <v>972</v>
      </c>
      <c r="W570" s="1956">
        <v>100</v>
      </c>
      <c r="X570" s="817" t="s">
        <v>8625</v>
      </c>
      <c r="Y570" s="2717"/>
      <c r="Z570" s="817"/>
      <c r="AA570" s="817"/>
      <c r="AB570" s="817" t="s">
        <v>17</v>
      </c>
      <c r="AC570" s="817" t="s">
        <v>7451</v>
      </c>
      <c r="AD570" s="2700" t="s">
        <v>9320</v>
      </c>
      <c r="AG570" s="2711"/>
    </row>
    <row r="571" spans="1:33" ht="43.5" hidden="1" x14ac:dyDescent="0.35">
      <c r="A571" s="2486">
        <v>43923</v>
      </c>
      <c r="B571" s="2718">
        <v>27</v>
      </c>
      <c r="C571" s="5" t="s">
        <v>7776</v>
      </c>
      <c r="D571" s="2712" t="s">
        <v>9949</v>
      </c>
      <c r="E571" s="5" t="s">
        <v>7777</v>
      </c>
      <c r="F571" s="5">
        <v>1</v>
      </c>
      <c r="G571" s="5">
        <v>1</v>
      </c>
      <c r="H571" s="5"/>
      <c r="I571" s="5"/>
      <c r="J571" s="5"/>
      <c r="K571" s="5"/>
      <c r="L571" s="5"/>
      <c r="M571" s="5"/>
      <c r="N571" s="5"/>
      <c r="O571" s="5"/>
      <c r="P571" s="2486">
        <v>43938</v>
      </c>
      <c r="Q571" s="2486"/>
      <c r="R571" s="824" t="s">
        <v>7778</v>
      </c>
      <c r="S571" s="824"/>
      <c r="T571" s="6" t="s">
        <v>15</v>
      </c>
      <c r="U571" s="2694">
        <v>0.625</v>
      </c>
      <c r="V571" s="2694" t="s">
        <v>3213</v>
      </c>
      <c r="W571" s="1809">
        <v>140</v>
      </c>
      <c r="X571" s="2694" t="s">
        <v>6984</v>
      </c>
      <c r="Y571" s="2772"/>
      <c r="Z571" s="2694"/>
      <c r="AA571" s="2694"/>
      <c r="AB571" s="817" t="s">
        <v>17</v>
      </c>
      <c r="AC571" s="817" t="s">
        <v>7451</v>
      </c>
      <c r="AD571" s="2699"/>
      <c r="AG571" s="2711"/>
    </row>
    <row r="572" spans="1:33" ht="43.5" hidden="1" x14ac:dyDescent="0.35">
      <c r="A572" s="2828">
        <v>43921</v>
      </c>
      <c r="B572" s="2760">
        <v>8</v>
      </c>
      <c r="C572" s="817" t="s">
        <v>7618</v>
      </c>
      <c r="D572" s="2712" t="s">
        <v>9962</v>
      </c>
      <c r="E572" s="817" t="s">
        <v>7619</v>
      </c>
      <c r="F572" s="817">
        <v>1</v>
      </c>
      <c r="G572" s="817">
        <v>1</v>
      </c>
      <c r="H572" s="817"/>
      <c r="I572" s="817"/>
      <c r="J572" s="817"/>
      <c r="K572" s="817"/>
      <c r="L572" s="817"/>
      <c r="M572" s="817"/>
      <c r="N572" s="817"/>
      <c r="O572" s="817"/>
      <c r="P572" s="2769">
        <v>43938</v>
      </c>
      <c r="Q572" s="2769"/>
      <c r="R572" s="2829" t="s">
        <v>7620</v>
      </c>
      <c r="S572" s="2770"/>
      <c r="T572" s="2694">
        <v>0.35416666666666669</v>
      </c>
      <c r="U572" s="2694">
        <v>0.42430555555555555</v>
      </c>
      <c r="V572" s="2694" t="s">
        <v>3213</v>
      </c>
      <c r="W572" s="1956">
        <v>100</v>
      </c>
      <c r="X572" s="2829" t="s">
        <v>257</v>
      </c>
      <c r="Y572" s="2772"/>
      <c r="Z572" s="2829"/>
      <c r="AA572" s="2829"/>
      <c r="AB572" s="2829" t="s">
        <v>17</v>
      </c>
      <c r="AC572" s="2829" t="s">
        <v>7451</v>
      </c>
      <c r="AD572" s="2699"/>
      <c r="AG572" s="2711"/>
    </row>
    <row r="573" spans="1:33" ht="43.5" hidden="1" x14ac:dyDescent="0.35">
      <c r="A573" s="2828">
        <v>43921</v>
      </c>
      <c r="B573" s="2760">
        <v>7</v>
      </c>
      <c r="C573" s="817" t="s">
        <v>10389</v>
      </c>
      <c r="D573" s="2712" t="s">
        <v>9925</v>
      </c>
      <c r="E573" s="817" t="s">
        <v>7473</v>
      </c>
      <c r="F573" s="817">
        <v>1</v>
      </c>
      <c r="G573" s="817">
        <v>1</v>
      </c>
      <c r="H573" s="817"/>
      <c r="I573" s="817"/>
      <c r="J573" s="817"/>
      <c r="K573" s="817"/>
      <c r="L573" s="817"/>
      <c r="M573" s="817"/>
      <c r="N573" s="817"/>
      <c r="O573" s="817"/>
      <c r="P573" s="2769">
        <v>43938</v>
      </c>
      <c r="Q573" s="2769"/>
      <c r="R573" s="2829" t="s">
        <v>7638</v>
      </c>
      <c r="S573" s="2770"/>
      <c r="T573" s="2694" t="s">
        <v>15</v>
      </c>
      <c r="U573" s="2694">
        <v>0.42638888888888887</v>
      </c>
      <c r="V573" s="2694" t="s">
        <v>3213</v>
      </c>
      <c r="W573" s="1809">
        <v>100</v>
      </c>
      <c r="X573" s="817" t="s">
        <v>257</v>
      </c>
      <c r="Y573" s="2772"/>
      <c r="Z573" s="817"/>
      <c r="AA573" s="817"/>
      <c r="AB573" s="817" t="s">
        <v>17</v>
      </c>
      <c r="AC573" s="2829" t="s">
        <v>7451</v>
      </c>
      <c r="AD573" s="2699"/>
      <c r="AG573" s="2711"/>
    </row>
    <row r="574" spans="1:33" ht="43.5" hidden="1" x14ac:dyDescent="0.35">
      <c r="A574" s="2486">
        <v>43930</v>
      </c>
      <c r="B574" s="2718">
        <v>1</v>
      </c>
      <c r="C574" s="5" t="s">
        <v>8821</v>
      </c>
      <c r="D574" s="2712" t="s">
        <v>9866</v>
      </c>
      <c r="E574" s="7" t="s">
        <v>8107</v>
      </c>
      <c r="F574" s="2686">
        <v>1</v>
      </c>
      <c r="G574" s="2682"/>
      <c r="H574" s="2682">
        <v>1</v>
      </c>
      <c r="I574" s="2682"/>
      <c r="J574" s="2682"/>
      <c r="K574" s="2682"/>
      <c r="L574" s="817"/>
      <c r="M574" s="817"/>
      <c r="N574" s="817"/>
      <c r="O574" s="817"/>
      <c r="P574" s="2486">
        <v>43938</v>
      </c>
      <c r="Q574" s="2486"/>
      <c r="R574" s="824" t="s">
        <v>8822</v>
      </c>
      <c r="S574" s="2829"/>
      <c r="T574" s="6" t="s">
        <v>15</v>
      </c>
      <c r="U574" s="2694">
        <v>0.36249999999999999</v>
      </c>
      <c r="V574" s="2694" t="s">
        <v>972</v>
      </c>
      <c r="W574" s="1809">
        <v>100</v>
      </c>
      <c r="X574" s="836" t="s">
        <v>257</v>
      </c>
      <c r="Y574" s="2772"/>
      <c r="Z574" s="817"/>
      <c r="AA574" s="817"/>
      <c r="AB574" s="7" t="s">
        <v>17</v>
      </c>
      <c r="AC574" s="817" t="s">
        <v>7451</v>
      </c>
      <c r="AD574" s="2700"/>
      <c r="AG574" s="2711"/>
    </row>
    <row r="575" spans="1:33" ht="43.5" hidden="1" x14ac:dyDescent="0.35">
      <c r="A575" s="2486">
        <v>43929</v>
      </c>
      <c r="B575" s="2718">
        <v>20</v>
      </c>
      <c r="C575" s="5" t="s">
        <v>6949</v>
      </c>
      <c r="D575" s="2712" t="s">
        <v>9889</v>
      </c>
      <c r="E575" s="7" t="s">
        <v>8732</v>
      </c>
      <c r="F575" s="2679">
        <v>1</v>
      </c>
      <c r="G575" s="5">
        <v>1</v>
      </c>
      <c r="H575" s="5">
        <v>1</v>
      </c>
      <c r="I575" s="5"/>
      <c r="J575" s="5"/>
      <c r="K575" s="5"/>
      <c r="L575" s="817"/>
      <c r="M575" s="817"/>
      <c r="N575" s="817"/>
      <c r="O575" s="817"/>
      <c r="P575" s="2486">
        <v>43938</v>
      </c>
      <c r="Q575" s="2486"/>
      <c r="R575" s="824" t="s">
        <v>8733</v>
      </c>
      <c r="S575" s="2829"/>
      <c r="T575" s="6" t="s">
        <v>15</v>
      </c>
      <c r="U575" s="2694">
        <v>0.55555555555555558</v>
      </c>
      <c r="V575" s="2694" t="s">
        <v>972</v>
      </c>
      <c r="W575" s="1809">
        <v>165</v>
      </c>
      <c r="X575" s="836" t="s">
        <v>257</v>
      </c>
      <c r="Y575" s="2772"/>
      <c r="Z575" s="817"/>
      <c r="AA575" s="817"/>
      <c r="AB575" s="7" t="s">
        <v>17</v>
      </c>
      <c r="AC575" s="817" t="s">
        <v>7451</v>
      </c>
      <c r="AD575" s="2700"/>
      <c r="AG575" s="2711"/>
    </row>
    <row r="576" spans="1:33" ht="29" hidden="1" x14ac:dyDescent="0.35">
      <c r="A576" s="2486">
        <v>43928</v>
      </c>
      <c r="B576" s="2759">
        <v>18</v>
      </c>
      <c r="C576" s="7" t="s">
        <v>8424</v>
      </c>
      <c r="D576" s="2712" t="s">
        <v>9895</v>
      </c>
      <c r="E576" s="7" t="s">
        <v>8149</v>
      </c>
      <c r="F576" s="2679">
        <v>1</v>
      </c>
      <c r="G576" s="5">
        <v>1</v>
      </c>
      <c r="H576" s="5"/>
      <c r="I576" s="5"/>
      <c r="J576" s="5"/>
      <c r="K576" s="5"/>
      <c r="L576" s="817"/>
      <c r="M576" s="817"/>
      <c r="N576" s="817"/>
      <c r="O576" s="817"/>
      <c r="P576" s="2486">
        <v>43938</v>
      </c>
      <c r="Q576" s="2486"/>
      <c r="R576" s="824" t="s">
        <v>8425</v>
      </c>
      <c r="S576" s="2770" t="s">
        <v>8509</v>
      </c>
      <c r="T576" s="2694" t="s">
        <v>15</v>
      </c>
      <c r="U576" s="2694">
        <v>0.53333333333333333</v>
      </c>
      <c r="V576" s="2694" t="s">
        <v>972</v>
      </c>
      <c r="W576" s="2660">
        <v>100</v>
      </c>
      <c r="X576" s="2694" t="s">
        <v>8381</v>
      </c>
      <c r="Y576" s="2717"/>
      <c r="Z576" s="817"/>
      <c r="AA576" s="817"/>
      <c r="AB576" s="817" t="s">
        <v>17</v>
      </c>
      <c r="AC576" s="817" t="s">
        <v>7451</v>
      </c>
      <c r="AD576" s="2699"/>
      <c r="AG576" s="2711"/>
    </row>
    <row r="577" spans="1:33" ht="29" hidden="1" x14ac:dyDescent="0.35">
      <c r="A577" s="2828">
        <v>43927</v>
      </c>
      <c r="B577" s="2760">
        <v>4</v>
      </c>
      <c r="C577" s="817" t="s">
        <v>8243</v>
      </c>
      <c r="D577" s="2712" t="s">
        <v>9911</v>
      </c>
      <c r="E577" s="817" t="s">
        <v>7935</v>
      </c>
      <c r="F577" s="5">
        <v>1</v>
      </c>
      <c r="G577" s="5">
        <v>1</v>
      </c>
      <c r="H577" s="5"/>
      <c r="I577" s="5"/>
      <c r="J577" s="5"/>
      <c r="K577" s="5"/>
      <c r="L577" s="817"/>
      <c r="M577" s="817"/>
      <c r="N577" s="817"/>
      <c r="O577" s="817"/>
      <c r="P577" s="2828">
        <v>43938</v>
      </c>
      <c r="Q577" s="2828"/>
      <c r="R577" s="2770" t="s">
        <v>8336</v>
      </c>
      <c r="S577" s="2770" t="s">
        <v>8285</v>
      </c>
      <c r="T577" s="2694" t="s">
        <v>15</v>
      </c>
      <c r="U577" s="2694">
        <v>0.39166666666666666</v>
      </c>
      <c r="V577" s="2694" t="s">
        <v>3213</v>
      </c>
      <c r="W577" s="1809">
        <v>100</v>
      </c>
      <c r="X577" s="817" t="s">
        <v>257</v>
      </c>
      <c r="Y577" s="2772"/>
      <c r="Z577" s="817"/>
      <c r="AA577" s="817"/>
      <c r="AB577" s="817" t="s">
        <v>17</v>
      </c>
      <c r="AC577" s="817" t="s">
        <v>7451</v>
      </c>
      <c r="AD577" s="2699"/>
      <c r="AG577" s="2711"/>
    </row>
    <row r="578" spans="1:33" ht="58" hidden="1" x14ac:dyDescent="0.35">
      <c r="A578" s="1899">
        <v>43922</v>
      </c>
      <c r="B578" s="2759">
        <v>22</v>
      </c>
      <c r="C578" s="7" t="s">
        <v>7731</v>
      </c>
      <c r="D578" s="2712" t="s">
        <v>9958</v>
      </c>
      <c r="E578" s="7" t="s">
        <v>7693</v>
      </c>
      <c r="F578" s="7">
        <v>1</v>
      </c>
      <c r="G578" s="7">
        <v>1</v>
      </c>
      <c r="H578" s="7"/>
      <c r="I578" s="7"/>
      <c r="J578" s="7"/>
      <c r="K578" s="7"/>
      <c r="L578" s="7"/>
      <c r="M578" s="7"/>
      <c r="N578" s="7"/>
      <c r="O578" s="7"/>
      <c r="P578" s="1899">
        <v>43938</v>
      </c>
      <c r="Q578" s="1899"/>
      <c r="R578" s="881" t="s">
        <v>7732</v>
      </c>
      <c r="S578" s="881" t="s">
        <v>8265</v>
      </c>
      <c r="T578" s="836" t="s">
        <v>15</v>
      </c>
      <c r="U578" s="2694">
        <v>0.55069444444444449</v>
      </c>
      <c r="V578" s="2694" t="s">
        <v>972</v>
      </c>
      <c r="W578" s="1809">
        <v>100</v>
      </c>
      <c r="X578" s="2694" t="s">
        <v>257</v>
      </c>
      <c r="Y578" s="2772"/>
      <c r="Z578" s="817"/>
      <c r="AA578" s="817"/>
      <c r="AB578" s="7" t="s">
        <v>17</v>
      </c>
      <c r="AC578" s="7" t="s">
        <v>7451</v>
      </c>
      <c r="AD578" s="2699"/>
      <c r="AG578" s="2711"/>
    </row>
    <row r="579" spans="1:33" ht="43.5" hidden="1" x14ac:dyDescent="0.35">
      <c r="A579" s="2486">
        <v>43935</v>
      </c>
      <c r="B579" s="2718">
        <v>25</v>
      </c>
      <c r="C579" s="7" t="s">
        <v>10614</v>
      </c>
      <c r="D579" s="2700" t="s">
        <v>10615</v>
      </c>
      <c r="E579" s="7" t="s">
        <v>8149</v>
      </c>
      <c r="F579" s="2740">
        <v>1</v>
      </c>
      <c r="G579" s="2741">
        <v>1</v>
      </c>
      <c r="H579" s="2741"/>
      <c r="I579" s="2741"/>
      <c r="J579" s="2741"/>
      <c r="K579" s="2741"/>
      <c r="L579" s="817"/>
      <c r="M579" s="817"/>
      <c r="N579" s="817"/>
      <c r="O579" s="817"/>
      <c r="P579" s="2486">
        <v>43938</v>
      </c>
      <c r="Q579" s="2769"/>
      <c r="R579" s="824" t="s">
        <v>10616</v>
      </c>
      <c r="S579" s="2770"/>
      <c r="T579" s="6" t="s">
        <v>15</v>
      </c>
      <c r="U579" s="2694">
        <v>0.56805555555555554</v>
      </c>
      <c r="V579" s="2694" t="s">
        <v>972</v>
      </c>
      <c r="W579" s="1809">
        <v>100</v>
      </c>
      <c r="X579" s="2694" t="s">
        <v>257</v>
      </c>
      <c r="Y579" s="2772"/>
      <c r="Z579" s="817"/>
      <c r="AA579" s="817"/>
      <c r="AB579" s="817" t="s">
        <v>17</v>
      </c>
      <c r="AC579" s="817" t="s">
        <v>7451</v>
      </c>
      <c r="AD579" s="2739"/>
      <c r="AG579" s="2711"/>
    </row>
    <row r="580" spans="1:33" ht="58" hidden="1" x14ac:dyDescent="0.35">
      <c r="A580" s="2769">
        <v>43924</v>
      </c>
      <c r="B580" s="2760">
        <v>1</v>
      </c>
      <c r="C580" s="817" t="s">
        <v>7847</v>
      </c>
      <c r="D580" s="2712" t="s">
        <v>9859</v>
      </c>
      <c r="E580" s="817" t="s">
        <v>7829</v>
      </c>
      <c r="F580" s="817">
        <v>1</v>
      </c>
      <c r="G580" s="817">
        <v>1</v>
      </c>
      <c r="H580" s="817"/>
      <c r="I580" s="817"/>
      <c r="J580" s="817"/>
      <c r="K580" s="817"/>
      <c r="L580" s="817"/>
      <c r="M580" s="817"/>
      <c r="N580" s="817"/>
      <c r="O580" s="817"/>
      <c r="P580" s="2769">
        <v>43938</v>
      </c>
      <c r="Q580" s="2769"/>
      <c r="R580" s="2770" t="s">
        <v>10353</v>
      </c>
      <c r="S580" s="2770" t="s">
        <v>8154</v>
      </c>
      <c r="T580" s="2694" t="s">
        <v>15</v>
      </c>
      <c r="U580" s="2694">
        <v>0.37291666666666662</v>
      </c>
      <c r="V580" s="2694" t="s">
        <v>972</v>
      </c>
      <c r="W580" s="1956">
        <v>100</v>
      </c>
      <c r="X580" s="817" t="s">
        <v>7634</v>
      </c>
      <c r="Y580" s="2772"/>
      <c r="Z580" s="817"/>
      <c r="AA580" s="817"/>
      <c r="AB580" s="817" t="s">
        <v>17</v>
      </c>
      <c r="AC580" s="817" t="s">
        <v>7451</v>
      </c>
      <c r="AD580" s="2699"/>
      <c r="AG580" s="2711"/>
    </row>
    <row r="581" spans="1:33" ht="43.5" hidden="1" x14ac:dyDescent="0.35">
      <c r="A581" s="2486">
        <v>43931</v>
      </c>
      <c r="B581" s="2718">
        <v>6</v>
      </c>
      <c r="C581" s="5" t="s">
        <v>9403</v>
      </c>
      <c r="D581" s="2700" t="s">
        <v>9402</v>
      </c>
      <c r="E581" s="5" t="s">
        <v>8553</v>
      </c>
      <c r="F581" s="5">
        <v>1</v>
      </c>
      <c r="G581" s="5">
        <v>1</v>
      </c>
      <c r="H581" s="5"/>
      <c r="I581" s="5"/>
      <c r="J581" s="5"/>
      <c r="K581" s="5"/>
      <c r="L581" s="817"/>
      <c r="M581" s="817"/>
      <c r="N581" s="817"/>
      <c r="O581" s="817"/>
      <c r="P581" s="2486">
        <v>43938</v>
      </c>
      <c r="Q581" s="2486"/>
      <c r="R581" s="2829" t="s">
        <v>9404</v>
      </c>
      <c r="S581" s="2770"/>
      <c r="T581" s="881" t="s">
        <v>15</v>
      </c>
      <c r="U581" s="2694">
        <v>0.41805555555555557</v>
      </c>
      <c r="V581" s="2694" t="s">
        <v>972</v>
      </c>
      <c r="W581" s="2680">
        <v>100</v>
      </c>
      <c r="X581" s="817" t="s">
        <v>2900</v>
      </c>
      <c r="Y581" s="2772"/>
      <c r="Z581" s="817"/>
      <c r="AA581" s="817"/>
      <c r="AB581" s="817" t="s">
        <v>17</v>
      </c>
      <c r="AC581" s="817" t="s">
        <v>7451</v>
      </c>
      <c r="AD581" s="2700" t="s">
        <v>9402</v>
      </c>
      <c r="AG581" s="2711"/>
    </row>
    <row r="582" spans="1:33" ht="58" hidden="1" x14ac:dyDescent="0.35">
      <c r="A582" s="2486">
        <v>43931</v>
      </c>
      <c r="B582" s="2718">
        <v>11</v>
      </c>
      <c r="C582" s="5" t="s">
        <v>9356</v>
      </c>
      <c r="D582" s="2700" t="s">
        <v>9355</v>
      </c>
      <c r="E582" s="5" t="s">
        <v>9358</v>
      </c>
      <c r="F582" s="5">
        <v>2</v>
      </c>
      <c r="G582" s="5">
        <v>1</v>
      </c>
      <c r="H582" s="5"/>
      <c r="I582" s="5">
        <v>1</v>
      </c>
      <c r="J582" s="5"/>
      <c r="K582" s="5"/>
      <c r="L582" s="817"/>
      <c r="M582" s="817"/>
      <c r="N582" s="817"/>
      <c r="O582" s="817"/>
      <c r="P582" s="2486">
        <v>43938</v>
      </c>
      <c r="Q582" s="2486"/>
      <c r="R582" s="2829" t="s">
        <v>9357</v>
      </c>
      <c r="S582" s="2770"/>
      <c r="T582" s="881" t="s">
        <v>15</v>
      </c>
      <c r="U582" s="2694">
        <v>0.45416666666666666</v>
      </c>
      <c r="V582" s="2694" t="s">
        <v>972</v>
      </c>
      <c r="W582" s="2680">
        <v>200</v>
      </c>
      <c r="X582" s="817" t="s">
        <v>2900</v>
      </c>
      <c r="Y582" s="2772"/>
      <c r="Z582" s="817"/>
      <c r="AA582" s="817"/>
      <c r="AB582" s="817" t="s">
        <v>17</v>
      </c>
      <c r="AC582" s="817" t="s">
        <v>7451</v>
      </c>
      <c r="AD582" s="2700" t="s">
        <v>9355</v>
      </c>
      <c r="AG582" s="2711"/>
    </row>
    <row r="583" spans="1:33" ht="29" hidden="1" x14ac:dyDescent="0.35">
      <c r="A583" s="2828">
        <v>43934</v>
      </c>
      <c r="B583" s="2760">
        <v>21</v>
      </c>
      <c r="C583" s="5" t="s">
        <v>10535</v>
      </c>
      <c r="D583" s="2700" t="s">
        <v>10536</v>
      </c>
      <c r="E583" s="7" t="s">
        <v>8073</v>
      </c>
      <c r="F583" s="2679">
        <v>1</v>
      </c>
      <c r="G583" s="5"/>
      <c r="H583" s="5"/>
      <c r="I583" s="5">
        <v>1</v>
      </c>
      <c r="J583" s="5"/>
      <c r="K583" s="5"/>
      <c r="L583" s="817"/>
      <c r="M583" s="817"/>
      <c r="N583" s="817"/>
      <c r="O583" s="817"/>
      <c r="P583" s="2486">
        <v>43938</v>
      </c>
      <c r="Q583" s="2828"/>
      <c r="R583" s="824" t="s">
        <v>10537</v>
      </c>
      <c r="S583" s="2770"/>
      <c r="T583" s="836" t="s">
        <v>15</v>
      </c>
      <c r="U583" s="836">
        <v>0.57013888888888886</v>
      </c>
      <c r="V583" s="836" t="s">
        <v>972</v>
      </c>
      <c r="W583" s="1956">
        <v>100</v>
      </c>
      <c r="X583" s="817" t="s">
        <v>8625</v>
      </c>
      <c r="Y583" s="2772"/>
      <c r="Z583" s="7"/>
      <c r="AA583" s="7"/>
      <c r="AB583" s="7" t="s">
        <v>17</v>
      </c>
      <c r="AC583" s="7" t="s">
        <v>7451</v>
      </c>
      <c r="AD583" s="2696"/>
      <c r="AG583" s="2711"/>
    </row>
    <row r="584" spans="1:33" ht="29" hidden="1" x14ac:dyDescent="0.35">
      <c r="A584" s="2486">
        <v>43931</v>
      </c>
      <c r="B584" s="2718">
        <v>24</v>
      </c>
      <c r="C584" s="5" t="s">
        <v>9324</v>
      </c>
      <c r="D584" s="2700" t="s">
        <v>9323</v>
      </c>
      <c r="E584" s="5" t="s">
        <v>8553</v>
      </c>
      <c r="F584" s="2682">
        <v>1</v>
      </c>
      <c r="G584" s="2682">
        <v>1</v>
      </c>
      <c r="H584" s="2682"/>
      <c r="I584" s="2682"/>
      <c r="J584" s="2682"/>
      <c r="K584" s="2682"/>
      <c r="L584" s="817"/>
      <c r="M584" s="817"/>
      <c r="N584" s="817"/>
      <c r="O584" s="817"/>
      <c r="P584" s="2486">
        <v>43938</v>
      </c>
      <c r="Q584" s="2486"/>
      <c r="R584" s="2770" t="s">
        <v>9325</v>
      </c>
      <c r="S584" s="2770"/>
      <c r="T584" s="881" t="s">
        <v>15</v>
      </c>
      <c r="U584" s="2694">
        <v>0.57916666666666672</v>
      </c>
      <c r="V584" s="2694" t="s">
        <v>972</v>
      </c>
      <c r="W584" s="2680">
        <v>100</v>
      </c>
      <c r="X584" s="817" t="s">
        <v>2900</v>
      </c>
      <c r="Y584" s="2772"/>
      <c r="Z584" s="817"/>
      <c r="AA584" s="817"/>
      <c r="AB584" s="817" t="s">
        <v>17</v>
      </c>
      <c r="AC584" s="817" t="s">
        <v>7451</v>
      </c>
      <c r="AD584" s="2700" t="s">
        <v>9323</v>
      </c>
      <c r="AG584" s="2711"/>
    </row>
    <row r="585" spans="1:33" ht="43.5" hidden="1" x14ac:dyDescent="0.35">
      <c r="A585" s="2828">
        <v>43921</v>
      </c>
      <c r="B585" s="2760">
        <v>3</v>
      </c>
      <c r="C585" s="817" t="s">
        <v>7635</v>
      </c>
      <c r="D585" s="2712" t="s">
        <v>9808</v>
      </c>
      <c r="E585" s="817" t="s">
        <v>7473</v>
      </c>
      <c r="F585" s="817">
        <v>1</v>
      </c>
      <c r="G585" s="817">
        <v>1</v>
      </c>
      <c r="H585" s="817"/>
      <c r="I585" s="817"/>
      <c r="J585" s="817"/>
      <c r="K585" s="817"/>
      <c r="L585" s="817"/>
      <c r="M585" s="817"/>
      <c r="N585" s="817"/>
      <c r="O585" s="817"/>
      <c r="P585" s="2828">
        <v>43938</v>
      </c>
      <c r="Q585" s="2828"/>
      <c r="R585" s="2829" t="s">
        <v>7636</v>
      </c>
      <c r="S585" s="2829"/>
      <c r="T585" s="2694">
        <v>0.35416666666666669</v>
      </c>
      <c r="U585" s="2694">
        <v>0.37638888888888888</v>
      </c>
      <c r="V585" s="2694" t="s">
        <v>3213</v>
      </c>
      <c r="W585" s="1956">
        <v>100</v>
      </c>
      <c r="X585" s="817" t="s">
        <v>7634</v>
      </c>
      <c r="Y585" s="2772"/>
      <c r="Z585" s="817"/>
      <c r="AA585" s="817"/>
      <c r="AB585" s="817" t="s">
        <v>17</v>
      </c>
      <c r="AC585" s="2829" t="s">
        <v>7451</v>
      </c>
      <c r="AD585" s="2699"/>
      <c r="AG585" s="2711"/>
    </row>
    <row r="586" spans="1:33" ht="58" hidden="1" x14ac:dyDescent="0.35">
      <c r="A586" s="1899">
        <v>43922</v>
      </c>
      <c r="B586" s="2759">
        <v>10</v>
      </c>
      <c r="C586" s="7" t="s">
        <v>7690</v>
      </c>
      <c r="D586" s="2712" t="s">
        <v>9905</v>
      </c>
      <c r="E586" s="7" t="s">
        <v>7689</v>
      </c>
      <c r="F586" s="7">
        <v>1</v>
      </c>
      <c r="G586" s="7"/>
      <c r="H586" s="7"/>
      <c r="I586" s="7">
        <v>1</v>
      </c>
      <c r="J586" s="7"/>
      <c r="K586" s="7"/>
      <c r="L586" s="7"/>
      <c r="M586" s="7"/>
      <c r="N586" s="7"/>
      <c r="O586" s="7"/>
      <c r="P586" s="1899">
        <v>43938</v>
      </c>
      <c r="Q586" s="1899"/>
      <c r="R586" s="881" t="s">
        <v>7691</v>
      </c>
      <c r="S586" s="881"/>
      <c r="T586" s="836" t="s">
        <v>15</v>
      </c>
      <c r="U586" s="836">
        <v>0.4597222222222222</v>
      </c>
      <c r="V586" s="836" t="s">
        <v>972</v>
      </c>
      <c r="W586" s="1630">
        <v>100</v>
      </c>
      <c r="X586" s="836" t="s">
        <v>7682</v>
      </c>
      <c r="Y586" s="2772"/>
      <c r="Z586" s="7"/>
      <c r="AA586" s="7"/>
      <c r="AB586" s="7" t="s">
        <v>17</v>
      </c>
      <c r="AC586" s="7" t="s">
        <v>7451</v>
      </c>
      <c r="AD586" s="2699"/>
      <c r="AG586" s="2711"/>
    </row>
    <row r="587" spans="1:33" ht="43.5" hidden="1" x14ac:dyDescent="0.35">
      <c r="A587" s="2769">
        <v>43934</v>
      </c>
      <c r="B587" s="2760">
        <v>35</v>
      </c>
      <c r="C587" s="5" t="s">
        <v>10538</v>
      </c>
      <c r="D587" s="2700" t="s">
        <v>10539</v>
      </c>
      <c r="E587" s="7" t="s">
        <v>8553</v>
      </c>
      <c r="F587" s="2679">
        <v>1</v>
      </c>
      <c r="G587" s="5">
        <v>1</v>
      </c>
      <c r="H587" s="5"/>
      <c r="I587" s="5"/>
      <c r="J587" s="5"/>
      <c r="K587" s="5"/>
      <c r="L587" s="817"/>
      <c r="M587" s="817"/>
      <c r="N587" s="817"/>
      <c r="O587" s="817"/>
      <c r="P587" s="2486">
        <v>43938</v>
      </c>
      <c r="Q587" s="2769"/>
      <c r="R587" s="824" t="s">
        <v>10540</v>
      </c>
      <c r="S587" s="2770"/>
      <c r="T587" s="2694" t="s">
        <v>15</v>
      </c>
      <c r="U587" s="2694">
        <v>0.66319444444444442</v>
      </c>
      <c r="V587" s="2694" t="s">
        <v>972</v>
      </c>
      <c r="W587" s="1809">
        <v>100</v>
      </c>
      <c r="X587" s="817" t="s">
        <v>257</v>
      </c>
      <c r="Y587" s="2772"/>
      <c r="Z587" s="817"/>
      <c r="AA587" s="817"/>
      <c r="AB587" s="817" t="s">
        <v>17</v>
      </c>
      <c r="AC587" s="817" t="s">
        <v>7451</v>
      </c>
      <c r="AD587" s="2696"/>
      <c r="AG587" s="2711"/>
    </row>
    <row r="588" spans="1:33" ht="43.5" hidden="1" x14ac:dyDescent="0.35">
      <c r="A588" s="2589">
        <v>43938</v>
      </c>
      <c r="B588" s="2759">
        <v>0</v>
      </c>
      <c r="C588" s="7" t="s">
        <v>10795</v>
      </c>
      <c r="D588" s="2707" t="s">
        <v>2955</v>
      </c>
      <c r="E588" s="2776" t="s">
        <v>10796</v>
      </c>
      <c r="F588" s="2741"/>
      <c r="G588" s="2741"/>
      <c r="H588" s="2741"/>
      <c r="I588" s="2741"/>
      <c r="J588" s="2741"/>
      <c r="K588" s="2682"/>
      <c r="L588" s="817"/>
      <c r="M588" s="817"/>
      <c r="N588" s="817"/>
      <c r="O588" s="817"/>
      <c r="P588" s="1899">
        <v>43938</v>
      </c>
      <c r="Q588" s="2828"/>
      <c r="R588" s="881" t="s">
        <v>8366</v>
      </c>
      <c r="S588" s="2770"/>
      <c r="T588" s="836" t="s">
        <v>15</v>
      </c>
      <c r="U588" s="2774">
        <v>0.3576388888888889</v>
      </c>
      <c r="V588" s="2771"/>
      <c r="W588" s="2823">
        <f>300+14*12</f>
        <v>468</v>
      </c>
      <c r="X588" s="7" t="s">
        <v>257</v>
      </c>
      <c r="Y588" s="2717"/>
      <c r="Z588" s="817"/>
      <c r="AA588" s="817"/>
      <c r="AB588" s="2744"/>
      <c r="AC588" s="2744"/>
      <c r="AD588" s="2745"/>
      <c r="AG588" s="2711"/>
    </row>
    <row r="589" spans="1:33" ht="29" hidden="1" x14ac:dyDescent="0.35">
      <c r="A589" s="2828">
        <v>43934</v>
      </c>
      <c r="B589" s="2760">
        <v>1</v>
      </c>
      <c r="C589" s="5" t="s">
        <v>10526</v>
      </c>
      <c r="D589" s="2700" t="s">
        <v>10527</v>
      </c>
      <c r="E589" s="7" t="s">
        <v>8553</v>
      </c>
      <c r="F589" s="2679">
        <v>1</v>
      </c>
      <c r="G589" s="5">
        <v>1</v>
      </c>
      <c r="H589" s="5"/>
      <c r="I589" s="5"/>
      <c r="J589" s="5"/>
      <c r="K589" s="5"/>
      <c r="L589" s="817"/>
      <c r="M589" s="817"/>
      <c r="N589" s="817"/>
      <c r="O589" s="817"/>
      <c r="P589" s="2486">
        <v>43938</v>
      </c>
      <c r="Q589" s="2828"/>
      <c r="R589" s="2722" t="s">
        <v>10528</v>
      </c>
      <c r="S589" s="2770"/>
      <c r="T589" s="836" t="s">
        <v>15</v>
      </c>
      <c r="U589" s="836">
        <v>0.3666666666666667</v>
      </c>
      <c r="V589" s="836" t="s">
        <v>972</v>
      </c>
      <c r="W589" s="1956">
        <v>100</v>
      </c>
      <c r="X589" s="817" t="s">
        <v>8625</v>
      </c>
      <c r="Y589" s="2717"/>
      <c r="Z589" s="7"/>
      <c r="AA589" s="7"/>
      <c r="AB589" s="7" t="s">
        <v>17</v>
      </c>
      <c r="AC589" s="7" t="s">
        <v>7451</v>
      </c>
      <c r="AD589" s="2696"/>
      <c r="AG589" s="2711"/>
    </row>
    <row r="590" spans="1:33" ht="72.5" hidden="1" x14ac:dyDescent="0.35">
      <c r="A590" s="1899">
        <v>43917</v>
      </c>
      <c r="B590" s="2759">
        <v>21</v>
      </c>
      <c r="C590" s="7" t="s">
        <v>7486</v>
      </c>
      <c r="D590" s="2712" t="s">
        <v>9802</v>
      </c>
      <c r="E590" s="7" t="s">
        <v>7473</v>
      </c>
      <c r="F590" s="7">
        <v>1</v>
      </c>
      <c r="G590" s="7">
        <v>1</v>
      </c>
      <c r="H590" s="7"/>
      <c r="I590" s="7"/>
      <c r="J590" s="7"/>
      <c r="K590" s="7"/>
      <c r="L590" s="7"/>
      <c r="M590" s="7"/>
      <c r="N590" s="7"/>
      <c r="O590" s="7"/>
      <c r="P590" s="1899">
        <v>43938</v>
      </c>
      <c r="Q590" s="1899"/>
      <c r="R590" s="881" t="s">
        <v>7482</v>
      </c>
      <c r="S590" s="881"/>
      <c r="T590" s="836" t="s">
        <v>15</v>
      </c>
      <c r="U590" s="836">
        <v>0.54375000000000007</v>
      </c>
      <c r="V590" s="836" t="s">
        <v>972</v>
      </c>
      <c r="W590" s="1956">
        <v>100</v>
      </c>
      <c r="X590" s="7" t="s">
        <v>7458</v>
      </c>
      <c r="Y590" s="2717"/>
      <c r="Z590" s="7"/>
      <c r="AA590" s="7"/>
      <c r="AB590" s="7" t="s">
        <v>17</v>
      </c>
      <c r="AC590" s="7" t="s">
        <v>7451</v>
      </c>
      <c r="AD590" s="2699"/>
      <c r="AG590" s="2711"/>
    </row>
    <row r="591" spans="1:33" ht="29" hidden="1" x14ac:dyDescent="0.35">
      <c r="A591" s="2828">
        <v>43932</v>
      </c>
      <c r="B591" s="2760">
        <v>33</v>
      </c>
      <c r="C591" s="817" t="s">
        <v>9690</v>
      </c>
      <c r="D591" s="2700" t="s">
        <v>9691</v>
      </c>
      <c r="E591" s="7" t="s">
        <v>8553</v>
      </c>
      <c r="F591" s="5">
        <v>1</v>
      </c>
      <c r="G591" s="5">
        <v>1</v>
      </c>
      <c r="H591" s="5"/>
      <c r="I591" s="5"/>
      <c r="J591" s="5"/>
      <c r="K591" s="5"/>
      <c r="L591" s="817"/>
      <c r="M591" s="817"/>
      <c r="N591" s="817"/>
      <c r="O591" s="817"/>
      <c r="P591" s="2828">
        <v>43938</v>
      </c>
      <c r="Q591" s="2828"/>
      <c r="R591" s="2706" t="s">
        <v>10354</v>
      </c>
      <c r="S591" s="2737"/>
      <c r="T591" s="836" t="s">
        <v>15</v>
      </c>
      <c r="U591" s="836">
        <v>0.64374999999999993</v>
      </c>
      <c r="V591" s="836" t="s">
        <v>972</v>
      </c>
      <c r="W591" s="1956">
        <v>100</v>
      </c>
      <c r="X591" s="817" t="s">
        <v>8625</v>
      </c>
      <c r="Y591" s="2772"/>
      <c r="Z591" s="817"/>
      <c r="AA591" s="817"/>
      <c r="AB591" s="817" t="s">
        <v>17</v>
      </c>
      <c r="AC591" s="817" t="s">
        <v>7451</v>
      </c>
      <c r="AD591" s="2696"/>
      <c r="AG591" s="2711"/>
    </row>
    <row r="592" spans="1:33" ht="58" hidden="1" x14ac:dyDescent="0.35">
      <c r="A592" s="2486">
        <v>43923</v>
      </c>
      <c r="B592" s="2718">
        <v>24</v>
      </c>
      <c r="C592" s="5" t="s">
        <v>7788</v>
      </c>
      <c r="D592" s="2712" t="s">
        <v>9805</v>
      </c>
      <c r="E592" s="5" t="s">
        <v>7789</v>
      </c>
      <c r="F592" s="5">
        <v>2</v>
      </c>
      <c r="G592" s="5">
        <v>1</v>
      </c>
      <c r="H592" s="5"/>
      <c r="I592" s="5">
        <v>1</v>
      </c>
      <c r="J592" s="5"/>
      <c r="K592" s="5"/>
      <c r="L592" s="5"/>
      <c r="M592" s="5"/>
      <c r="N592" s="5"/>
      <c r="O592" s="5"/>
      <c r="P592" s="2486">
        <v>43938</v>
      </c>
      <c r="Q592" s="2486"/>
      <c r="R592" s="824" t="s">
        <v>7790</v>
      </c>
      <c r="S592" s="824"/>
      <c r="T592" s="2694" t="s">
        <v>15</v>
      </c>
      <c r="U592" s="2694">
        <v>0.60277777777777775</v>
      </c>
      <c r="V592" s="2694" t="s">
        <v>3213</v>
      </c>
      <c r="W592" s="1809">
        <v>200</v>
      </c>
      <c r="X592" s="2694" t="s">
        <v>257</v>
      </c>
      <c r="Y592" s="2717"/>
      <c r="Z592" s="2694"/>
      <c r="AA592" s="2694"/>
      <c r="AB592" s="817" t="s">
        <v>17</v>
      </c>
      <c r="AC592" s="817" t="s">
        <v>7451</v>
      </c>
      <c r="AD592" s="2699"/>
      <c r="AG592" s="2711"/>
    </row>
    <row r="593" spans="1:33" ht="58" hidden="1" x14ac:dyDescent="0.35">
      <c r="A593" s="2486">
        <v>43928</v>
      </c>
      <c r="B593" s="2718">
        <v>8</v>
      </c>
      <c r="C593" s="5" t="s">
        <v>8576</v>
      </c>
      <c r="D593" s="2712" t="s">
        <v>9944</v>
      </c>
      <c r="E593" s="5" t="s">
        <v>8561</v>
      </c>
      <c r="F593" s="2679">
        <v>1</v>
      </c>
      <c r="G593" s="5">
        <v>1</v>
      </c>
      <c r="H593" s="5"/>
      <c r="I593" s="5"/>
      <c r="J593" s="5"/>
      <c r="K593" s="5"/>
      <c r="L593" s="817"/>
      <c r="M593" s="817"/>
      <c r="N593" s="817"/>
      <c r="O593" s="817"/>
      <c r="P593" s="2486">
        <v>43938</v>
      </c>
      <c r="Q593" s="2486"/>
      <c r="R593" s="824" t="s">
        <v>8605</v>
      </c>
      <c r="S593" s="824"/>
      <c r="T593" s="6" t="s">
        <v>15</v>
      </c>
      <c r="U593" s="6">
        <v>0.44444444444444442</v>
      </c>
      <c r="V593" s="6" t="s">
        <v>3213</v>
      </c>
      <c r="W593" s="1630">
        <v>100</v>
      </c>
      <c r="X593" s="5" t="s">
        <v>8592</v>
      </c>
      <c r="Y593" s="2772"/>
      <c r="Z593" s="5"/>
      <c r="AA593" s="5"/>
      <c r="AB593" s="5" t="s">
        <v>17</v>
      </c>
      <c r="AC593" s="5" t="s">
        <v>7451</v>
      </c>
      <c r="AD593" s="2696"/>
      <c r="AG593" s="2711"/>
    </row>
    <row r="594" spans="1:33" ht="43.5" hidden="1" x14ac:dyDescent="0.35">
      <c r="A594" s="2486">
        <v>43929</v>
      </c>
      <c r="B594" s="2718">
        <v>20</v>
      </c>
      <c r="C594" s="5" t="s">
        <v>8741</v>
      </c>
      <c r="D594" s="2712" t="s">
        <v>9824</v>
      </c>
      <c r="E594" s="7" t="s">
        <v>8622</v>
      </c>
      <c r="F594" s="2679">
        <v>1</v>
      </c>
      <c r="G594" s="5">
        <v>1</v>
      </c>
      <c r="H594" s="5"/>
      <c r="I594" s="5"/>
      <c r="J594" s="5"/>
      <c r="K594" s="5"/>
      <c r="L594" s="817"/>
      <c r="M594" s="817"/>
      <c r="N594" s="817"/>
      <c r="O594" s="817"/>
      <c r="P594" s="2486">
        <v>43938</v>
      </c>
      <c r="Q594" s="2486"/>
      <c r="R594" s="824" t="s">
        <v>8742</v>
      </c>
      <c r="S594" s="2770"/>
      <c r="T594" s="6" t="s">
        <v>15</v>
      </c>
      <c r="U594" s="2694">
        <v>0.55625000000000002</v>
      </c>
      <c r="V594" s="2694" t="s">
        <v>972</v>
      </c>
      <c r="W594" s="1956">
        <v>100</v>
      </c>
      <c r="X594" s="836" t="s">
        <v>8753</v>
      </c>
      <c r="Y594" s="2772"/>
      <c r="Z594" s="817"/>
      <c r="AA594" s="817"/>
      <c r="AB594" s="7" t="s">
        <v>17</v>
      </c>
      <c r="AC594" s="817" t="s">
        <v>7451</v>
      </c>
      <c r="AD594" s="2700"/>
      <c r="AG594" s="2711"/>
    </row>
    <row r="595" spans="1:33" ht="58" hidden="1" x14ac:dyDescent="0.35">
      <c r="A595" s="1899">
        <v>43933</v>
      </c>
      <c r="B595" s="2759">
        <v>7</v>
      </c>
      <c r="C595" s="7" t="s">
        <v>10259</v>
      </c>
      <c r="D595" s="2707" t="s">
        <v>10260</v>
      </c>
      <c r="E595" s="7" t="s">
        <v>8073</v>
      </c>
      <c r="F595" s="2692">
        <v>1</v>
      </c>
      <c r="G595" s="2692"/>
      <c r="H595" s="2692"/>
      <c r="I595" s="2692">
        <v>1</v>
      </c>
      <c r="J595" s="2692"/>
      <c r="K595" s="2692"/>
      <c r="L595" s="817"/>
      <c r="M595" s="817"/>
      <c r="N595" s="817"/>
      <c r="O595" s="817"/>
      <c r="P595" s="1899">
        <v>43938</v>
      </c>
      <c r="Q595" s="2769"/>
      <c r="R595" s="2708" t="s">
        <v>10261</v>
      </c>
      <c r="S595" s="2770"/>
      <c r="T595" s="836" t="s">
        <v>15</v>
      </c>
      <c r="U595" s="836">
        <v>0.40902777777777777</v>
      </c>
      <c r="V595" s="836" t="s">
        <v>972</v>
      </c>
      <c r="W595" s="1956">
        <v>100</v>
      </c>
      <c r="X595" s="817" t="s">
        <v>8625</v>
      </c>
      <c r="Y595" s="2772"/>
      <c r="Z595" s="817"/>
      <c r="AA595" s="817"/>
      <c r="AB595" s="817" t="s">
        <v>17</v>
      </c>
      <c r="AC595" s="817" t="s">
        <v>7451</v>
      </c>
      <c r="AD595" s="2695"/>
      <c r="AG595" s="2711"/>
    </row>
    <row r="596" spans="1:33" ht="29" hidden="1" x14ac:dyDescent="0.35">
      <c r="A596" s="2769">
        <v>43931</v>
      </c>
      <c r="B596" s="2760">
        <v>9</v>
      </c>
      <c r="C596" s="817" t="s">
        <v>9196</v>
      </c>
      <c r="D596" s="2712" t="s">
        <v>9195</v>
      </c>
      <c r="E596" s="7" t="s">
        <v>8553</v>
      </c>
      <c r="F596" s="2682">
        <v>1</v>
      </c>
      <c r="G596" s="2682">
        <v>1</v>
      </c>
      <c r="H596" s="2682"/>
      <c r="I596" s="2682"/>
      <c r="J596" s="2682"/>
      <c r="K596" s="2682"/>
      <c r="L596" s="817"/>
      <c r="M596" s="817"/>
      <c r="N596" s="817"/>
      <c r="O596" s="817"/>
      <c r="P596" s="2828">
        <v>43938</v>
      </c>
      <c r="Q596" s="2769"/>
      <c r="R596" s="2829" t="s">
        <v>9197</v>
      </c>
      <c r="S596" s="2770"/>
      <c r="T596" s="2694" t="s">
        <v>15</v>
      </c>
      <c r="U596" s="2694">
        <v>0.43611111111111112</v>
      </c>
      <c r="V596" s="2694" t="s">
        <v>972</v>
      </c>
      <c r="W596" s="1956">
        <v>100</v>
      </c>
      <c r="X596" s="817" t="s">
        <v>8625</v>
      </c>
      <c r="Y596" s="2772"/>
      <c r="Z596" s="817"/>
      <c r="AA596" s="817"/>
      <c r="AB596" s="817" t="s">
        <v>17</v>
      </c>
      <c r="AC596" s="817" t="s">
        <v>7451</v>
      </c>
      <c r="AD596" s="2700" t="s">
        <v>9195</v>
      </c>
      <c r="AG596" s="2711"/>
    </row>
    <row r="597" spans="1:33" ht="43.5" hidden="1" x14ac:dyDescent="0.35">
      <c r="A597" s="2486">
        <v>43928</v>
      </c>
      <c r="B597" s="2718">
        <v>2</v>
      </c>
      <c r="C597" s="7" t="s">
        <v>8426</v>
      </c>
      <c r="D597" s="2712" t="s">
        <v>9864</v>
      </c>
      <c r="E597" s="7" t="s">
        <v>8149</v>
      </c>
      <c r="F597" s="2679">
        <v>1</v>
      </c>
      <c r="G597" s="5">
        <v>1</v>
      </c>
      <c r="H597" s="5"/>
      <c r="I597" s="5"/>
      <c r="J597" s="5"/>
      <c r="K597" s="5"/>
      <c r="L597" s="817"/>
      <c r="M597" s="817"/>
      <c r="N597" s="817"/>
      <c r="O597" s="817"/>
      <c r="P597" s="2486">
        <v>43938</v>
      </c>
      <c r="Q597" s="2486"/>
      <c r="R597" s="824" t="s">
        <v>8427</v>
      </c>
      <c r="S597" s="2829" t="s">
        <v>8265</v>
      </c>
      <c r="T597" s="6" t="s">
        <v>15</v>
      </c>
      <c r="U597" s="2694">
        <v>0.36874999999999997</v>
      </c>
      <c r="V597" s="2694" t="s">
        <v>972</v>
      </c>
      <c r="W597" s="1809">
        <v>100</v>
      </c>
      <c r="X597" s="836" t="s">
        <v>257</v>
      </c>
      <c r="Y597" s="2772"/>
      <c r="Z597" s="817"/>
      <c r="AA597" s="817"/>
      <c r="AB597" s="7" t="s">
        <v>17</v>
      </c>
      <c r="AC597" s="817" t="s">
        <v>7451</v>
      </c>
      <c r="AD597" s="2699"/>
      <c r="AG597" s="2711"/>
    </row>
    <row r="598" spans="1:33" ht="87" hidden="1" x14ac:dyDescent="0.35">
      <c r="A598" s="2486">
        <v>43918</v>
      </c>
      <c r="B598" s="2718">
        <v>9</v>
      </c>
      <c r="C598" s="5" t="s">
        <v>7527</v>
      </c>
      <c r="D598" s="2712" t="s">
        <v>9880</v>
      </c>
      <c r="E598" s="7" t="s">
        <v>7453</v>
      </c>
      <c r="F598" s="7">
        <v>1</v>
      </c>
      <c r="G598" s="7">
        <v>1</v>
      </c>
      <c r="H598" s="7"/>
      <c r="I598" s="7"/>
      <c r="J598" s="7"/>
      <c r="K598" s="7"/>
      <c r="L598" s="7"/>
      <c r="M598" s="7"/>
      <c r="N598" s="7"/>
      <c r="O598" s="7"/>
      <c r="P598" s="2486">
        <v>43938</v>
      </c>
      <c r="Q598" s="2486"/>
      <c r="R598" s="824" t="s">
        <v>7526</v>
      </c>
      <c r="S598" s="824"/>
      <c r="T598" s="6" t="s">
        <v>15</v>
      </c>
      <c r="U598" s="2694">
        <v>0.43263888888888885</v>
      </c>
      <c r="V598" s="836" t="s">
        <v>3213</v>
      </c>
      <c r="W598" s="1100">
        <v>100</v>
      </c>
      <c r="X598" s="7" t="s">
        <v>257</v>
      </c>
      <c r="Y598" s="2772"/>
      <c r="Z598" s="7"/>
      <c r="AA598" s="7"/>
      <c r="AB598" s="7" t="s">
        <v>17</v>
      </c>
      <c r="AC598" s="7" t="s">
        <v>7451</v>
      </c>
      <c r="AD598" s="2699"/>
      <c r="AG598" s="2711"/>
    </row>
    <row r="599" spans="1:33" ht="58" hidden="1" x14ac:dyDescent="0.35">
      <c r="A599" s="1899">
        <v>43922</v>
      </c>
      <c r="B599" s="2759">
        <v>27</v>
      </c>
      <c r="C599" s="7" t="s">
        <v>7716</v>
      </c>
      <c r="D599" s="2712" t="s">
        <v>9956</v>
      </c>
      <c r="E599" s="7" t="s">
        <v>7717</v>
      </c>
      <c r="F599" s="7">
        <v>1</v>
      </c>
      <c r="G599" s="7"/>
      <c r="H599" s="7">
        <v>1</v>
      </c>
      <c r="I599" s="7"/>
      <c r="J599" s="7"/>
      <c r="K599" s="7"/>
      <c r="L599" s="7"/>
      <c r="M599" s="7"/>
      <c r="N599" s="7"/>
      <c r="O599" s="7"/>
      <c r="P599" s="1899">
        <v>43938</v>
      </c>
      <c r="Q599" s="1899"/>
      <c r="R599" s="881" t="s">
        <v>7718</v>
      </c>
      <c r="S599" s="881" t="s">
        <v>8285</v>
      </c>
      <c r="T599" s="836" t="s">
        <v>15</v>
      </c>
      <c r="U599" s="2694">
        <v>0.59722222222222221</v>
      </c>
      <c r="V599" s="2694" t="s">
        <v>972</v>
      </c>
      <c r="W599" s="1809">
        <v>100</v>
      </c>
      <c r="X599" s="2694" t="s">
        <v>257</v>
      </c>
      <c r="Y599" s="2772"/>
      <c r="Z599" s="817"/>
      <c r="AA599" s="817"/>
      <c r="AB599" s="7" t="s">
        <v>17</v>
      </c>
      <c r="AC599" s="7" t="s">
        <v>7451</v>
      </c>
      <c r="AD599" s="2699"/>
      <c r="AG599" s="2711"/>
    </row>
    <row r="600" spans="1:33" ht="58" hidden="1" x14ac:dyDescent="0.35">
      <c r="A600" s="2486">
        <v>43924</v>
      </c>
      <c r="B600" s="2718">
        <v>13</v>
      </c>
      <c r="C600" s="7" t="s">
        <v>7922</v>
      </c>
      <c r="D600" s="2712" t="s">
        <v>9850</v>
      </c>
      <c r="E600" s="817" t="s">
        <v>7921</v>
      </c>
      <c r="F600" s="5">
        <v>1</v>
      </c>
      <c r="G600" s="5"/>
      <c r="H600" s="5"/>
      <c r="I600" s="5"/>
      <c r="J600" s="5">
        <v>1</v>
      </c>
      <c r="K600" s="5"/>
      <c r="L600" s="5"/>
      <c r="M600" s="5"/>
      <c r="N600" s="5"/>
      <c r="O600" s="5"/>
      <c r="P600" s="2486">
        <v>43938</v>
      </c>
      <c r="Q600" s="2486"/>
      <c r="R600" s="824" t="s">
        <v>7920</v>
      </c>
      <c r="S600" s="824"/>
      <c r="T600" s="6" t="s">
        <v>15</v>
      </c>
      <c r="U600" s="2694">
        <v>0.48541666666666666</v>
      </c>
      <c r="V600" s="2694" t="s">
        <v>3213</v>
      </c>
      <c r="W600" s="1809">
        <v>0</v>
      </c>
      <c r="X600" s="817" t="s">
        <v>7919</v>
      </c>
      <c r="Y600" s="2772"/>
      <c r="Z600" s="817"/>
      <c r="AA600" s="817"/>
      <c r="AB600" s="817" t="s">
        <v>17</v>
      </c>
      <c r="AC600" s="817" t="s">
        <v>7451</v>
      </c>
      <c r="AD600" s="2699"/>
      <c r="AG600" s="2711"/>
    </row>
    <row r="601" spans="1:33" ht="43.5" hidden="1" x14ac:dyDescent="0.35">
      <c r="A601" s="2486">
        <v>43928</v>
      </c>
      <c r="B601" s="2718">
        <v>3</v>
      </c>
      <c r="C601" s="7" t="s">
        <v>8429</v>
      </c>
      <c r="D601" s="2712" t="s">
        <v>9809</v>
      </c>
      <c r="E601" s="7" t="s">
        <v>8149</v>
      </c>
      <c r="F601" s="2679">
        <v>1</v>
      </c>
      <c r="G601" s="5">
        <v>1</v>
      </c>
      <c r="H601" s="5"/>
      <c r="I601" s="5"/>
      <c r="J601" s="5"/>
      <c r="K601" s="5"/>
      <c r="L601" s="817"/>
      <c r="M601" s="817"/>
      <c r="N601" s="817"/>
      <c r="O601" s="817"/>
      <c r="P601" s="2486">
        <v>43938</v>
      </c>
      <c r="Q601" s="2486"/>
      <c r="R601" s="824" t="s">
        <v>8430</v>
      </c>
      <c r="S601" s="2770" t="s">
        <v>8272</v>
      </c>
      <c r="T601" s="6" t="s">
        <v>15</v>
      </c>
      <c r="U601" s="2694">
        <v>0.38194444444444442</v>
      </c>
      <c r="V601" s="2694" t="s">
        <v>972</v>
      </c>
      <c r="W601" s="1809">
        <v>100</v>
      </c>
      <c r="X601" s="836" t="s">
        <v>257</v>
      </c>
      <c r="Y601" s="2772"/>
      <c r="Z601" s="817"/>
      <c r="AA601" s="817"/>
      <c r="AB601" s="7" t="s">
        <v>17</v>
      </c>
      <c r="AC601" s="817" t="s">
        <v>7451</v>
      </c>
      <c r="AD601" s="2696" t="s">
        <v>1710</v>
      </c>
      <c r="AG601" s="2711"/>
    </row>
    <row r="602" spans="1:33" ht="58" hidden="1" x14ac:dyDescent="0.35">
      <c r="A602" s="2828">
        <v>43924</v>
      </c>
      <c r="B602" s="2718">
        <v>16</v>
      </c>
      <c r="C602" s="817" t="s">
        <v>7831</v>
      </c>
      <c r="D602" s="2712" t="s">
        <v>9848</v>
      </c>
      <c r="E602" s="817" t="s">
        <v>7829</v>
      </c>
      <c r="F602" s="817">
        <v>1</v>
      </c>
      <c r="G602" s="817">
        <v>1</v>
      </c>
      <c r="H602" s="817"/>
      <c r="I602" s="817"/>
      <c r="J602" s="817"/>
      <c r="K602" s="817"/>
      <c r="L602" s="817"/>
      <c r="M602" s="817"/>
      <c r="N602" s="817"/>
      <c r="O602" s="817"/>
      <c r="P602" s="2828">
        <v>43938</v>
      </c>
      <c r="Q602" s="2769"/>
      <c r="R602" s="2829" t="s">
        <v>7832</v>
      </c>
      <c r="S602" s="2770" t="s">
        <v>8509</v>
      </c>
      <c r="T602" s="2694" t="s">
        <v>15</v>
      </c>
      <c r="U602" s="2694">
        <v>0.51388888888888895</v>
      </c>
      <c r="V602" s="2694" t="s">
        <v>972</v>
      </c>
      <c r="W602" s="1956">
        <v>100</v>
      </c>
      <c r="X602" s="817" t="s">
        <v>257</v>
      </c>
      <c r="Y602" s="2717"/>
      <c r="Z602" s="817"/>
      <c r="AA602" s="817"/>
      <c r="AB602" s="817" t="s">
        <v>17</v>
      </c>
      <c r="AC602" s="817" t="s">
        <v>7451</v>
      </c>
      <c r="AD602" s="2696" t="s">
        <v>1710</v>
      </c>
      <c r="AG602" s="2711"/>
    </row>
    <row r="603" spans="1:33" ht="29" hidden="1" x14ac:dyDescent="0.35">
      <c r="A603" s="1899">
        <v>43928</v>
      </c>
      <c r="B603" s="2759">
        <v>13</v>
      </c>
      <c r="C603" s="7" t="s">
        <v>8378</v>
      </c>
      <c r="D603" s="2712" t="s">
        <v>9941</v>
      </c>
      <c r="E603" s="7" t="s">
        <v>8149</v>
      </c>
      <c r="F603" s="2684">
        <v>1</v>
      </c>
      <c r="G603" s="2661">
        <v>1</v>
      </c>
      <c r="H603" s="2661"/>
      <c r="I603" s="2661"/>
      <c r="J603" s="2661"/>
      <c r="K603" s="2661"/>
      <c r="L603" s="817"/>
      <c r="M603" s="817"/>
      <c r="N603" s="817"/>
      <c r="O603" s="817"/>
      <c r="P603" s="1899">
        <v>43938</v>
      </c>
      <c r="Q603" s="1899"/>
      <c r="R603" s="881" t="s">
        <v>8377</v>
      </c>
      <c r="S603" s="2770" t="s">
        <v>8154</v>
      </c>
      <c r="T603" s="836" t="s">
        <v>15</v>
      </c>
      <c r="U603" s="2694">
        <v>0.48333333333333334</v>
      </c>
      <c r="V603" s="2694" t="s">
        <v>972</v>
      </c>
      <c r="W603" s="2660">
        <v>210</v>
      </c>
      <c r="X603" s="2694" t="s">
        <v>8381</v>
      </c>
      <c r="Y603" s="2772"/>
      <c r="Z603" s="817"/>
      <c r="AA603" s="817"/>
      <c r="AB603" s="817" t="s">
        <v>17</v>
      </c>
      <c r="AC603" s="817" t="s">
        <v>7451</v>
      </c>
      <c r="AD603" s="2699"/>
      <c r="AG603" s="2711"/>
    </row>
    <row r="604" spans="1:33" ht="29" hidden="1" x14ac:dyDescent="0.35">
      <c r="A604" s="2828">
        <v>43927</v>
      </c>
      <c r="B604" s="2760">
        <v>23</v>
      </c>
      <c r="C604" s="817" t="s">
        <v>8211</v>
      </c>
      <c r="D604" s="2712" t="s">
        <v>9804</v>
      </c>
      <c r="E604" s="817" t="s">
        <v>8136</v>
      </c>
      <c r="F604" s="5">
        <v>2</v>
      </c>
      <c r="G604" s="5">
        <v>2</v>
      </c>
      <c r="H604" s="5"/>
      <c r="I604" s="5"/>
      <c r="J604" s="5"/>
      <c r="K604" s="5"/>
      <c r="L604" s="817"/>
      <c r="M604" s="817"/>
      <c r="N604" s="817"/>
      <c r="O604" s="817"/>
      <c r="P604" s="2828">
        <v>43938</v>
      </c>
      <c r="Q604" s="2828"/>
      <c r="R604" s="2829" t="s">
        <v>8311</v>
      </c>
      <c r="S604" s="2747"/>
      <c r="T604" s="2694" t="s">
        <v>15</v>
      </c>
      <c r="U604" s="2694">
        <v>0.58819444444444446</v>
      </c>
      <c r="V604" s="2694" t="s">
        <v>972</v>
      </c>
      <c r="W604" s="1956">
        <v>200</v>
      </c>
      <c r="X604" s="817" t="s">
        <v>8268</v>
      </c>
      <c r="Y604" s="2772"/>
      <c r="Z604" s="817"/>
      <c r="AA604" s="817"/>
      <c r="AB604" s="817" t="s">
        <v>17</v>
      </c>
      <c r="AC604" s="817" t="s">
        <v>7451</v>
      </c>
      <c r="AD604" s="2699"/>
      <c r="AG604" s="2711"/>
    </row>
    <row r="605" spans="1:33" ht="58" hidden="1" x14ac:dyDescent="0.35">
      <c r="A605" s="2828">
        <v>43927</v>
      </c>
      <c r="B605" s="2760">
        <v>11</v>
      </c>
      <c r="C605" s="817" t="s">
        <v>8158</v>
      </c>
      <c r="D605" s="2712" t="s">
        <v>9846</v>
      </c>
      <c r="E605" s="817" t="s">
        <v>7935</v>
      </c>
      <c r="F605" s="5">
        <v>1</v>
      </c>
      <c r="G605" s="5">
        <v>1</v>
      </c>
      <c r="H605" s="5"/>
      <c r="I605" s="5"/>
      <c r="J605" s="5"/>
      <c r="K605" s="5"/>
      <c r="L605" s="817"/>
      <c r="M605" s="817"/>
      <c r="N605" s="817"/>
      <c r="O605" s="817"/>
      <c r="P605" s="2828">
        <v>43938</v>
      </c>
      <c r="Q605" s="2828"/>
      <c r="R605" s="2829" t="s">
        <v>8264</v>
      </c>
      <c r="S605" s="2829" t="s">
        <v>8265</v>
      </c>
      <c r="T605" s="2694" t="s">
        <v>15</v>
      </c>
      <c r="U605" s="2694">
        <v>0.45208333333333334</v>
      </c>
      <c r="V605" s="2694" t="s">
        <v>972</v>
      </c>
      <c r="W605" s="1809">
        <v>200</v>
      </c>
      <c r="X605" s="817" t="s">
        <v>8888</v>
      </c>
      <c r="Y605" s="2772"/>
      <c r="Z605" s="817"/>
      <c r="AA605" s="817"/>
      <c r="AB605" s="817" t="s">
        <v>17</v>
      </c>
      <c r="AC605" s="817" t="s">
        <v>7451</v>
      </c>
      <c r="AD605" s="2699"/>
      <c r="AG605" s="2711"/>
    </row>
    <row r="606" spans="1:33" ht="43.5" hidden="1" x14ac:dyDescent="0.35">
      <c r="A606" s="2828">
        <v>43931</v>
      </c>
      <c r="B606" s="2760">
        <v>26</v>
      </c>
      <c r="C606" s="817" t="s">
        <v>9187</v>
      </c>
      <c r="D606" s="2712" t="s">
        <v>9186</v>
      </c>
      <c r="E606" s="7" t="s">
        <v>8177</v>
      </c>
      <c r="F606" s="2682">
        <v>2</v>
      </c>
      <c r="G606" s="2682">
        <v>2</v>
      </c>
      <c r="H606" s="2682"/>
      <c r="I606" s="2682"/>
      <c r="J606" s="2682"/>
      <c r="K606" s="2682"/>
      <c r="L606" s="817"/>
      <c r="M606" s="817"/>
      <c r="N606" s="817"/>
      <c r="O606" s="817"/>
      <c r="P606" s="2828">
        <v>43938</v>
      </c>
      <c r="Q606" s="2828"/>
      <c r="R606" s="2829" t="s">
        <v>9188</v>
      </c>
      <c r="S606" s="2829"/>
      <c r="T606" s="2694" t="s">
        <v>15</v>
      </c>
      <c r="U606" s="2694">
        <v>0.5756944444444444</v>
      </c>
      <c r="V606" s="2694" t="s">
        <v>972</v>
      </c>
      <c r="W606" s="1956">
        <v>200</v>
      </c>
      <c r="X606" s="817" t="s">
        <v>8625</v>
      </c>
      <c r="Y606" s="2772"/>
      <c r="Z606" s="817"/>
      <c r="AA606" s="817"/>
      <c r="AB606" s="817" t="s">
        <v>17</v>
      </c>
      <c r="AC606" s="817" t="s">
        <v>7451</v>
      </c>
      <c r="AD606" s="2700" t="s">
        <v>9186</v>
      </c>
      <c r="AG606" s="2711"/>
    </row>
    <row r="607" spans="1:33" ht="43.5" hidden="1" x14ac:dyDescent="0.35">
      <c r="A607" s="2828">
        <v>43921</v>
      </c>
      <c r="B607" s="2760">
        <v>9</v>
      </c>
      <c r="C607" s="817" t="s">
        <v>7641</v>
      </c>
      <c r="D607" s="2712" t="s">
        <v>9713</v>
      </c>
      <c r="E607" s="817" t="s">
        <v>7473</v>
      </c>
      <c r="F607" s="817">
        <v>1</v>
      </c>
      <c r="G607" s="817">
        <v>1</v>
      </c>
      <c r="H607" s="817"/>
      <c r="I607" s="817"/>
      <c r="J607" s="817"/>
      <c r="K607" s="817"/>
      <c r="L607" s="817"/>
      <c r="M607" s="817"/>
      <c r="N607" s="817"/>
      <c r="O607" s="817"/>
      <c r="P607" s="2828">
        <v>43938</v>
      </c>
      <c r="Q607" s="2828"/>
      <c r="R607" s="2829" t="s">
        <v>10773</v>
      </c>
      <c r="S607" s="2829"/>
      <c r="T607" s="2694" t="s">
        <v>15</v>
      </c>
      <c r="U607" s="2694">
        <v>0.44305555555555554</v>
      </c>
      <c r="V607" s="2694" t="s">
        <v>3213</v>
      </c>
      <c r="W607" s="1956">
        <v>100</v>
      </c>
      <c r="X607" s="817" t="s">
        <v>7424</v>
      </c>
      <c r="Y607" s="2717"/>
      <c r="Z607" s="817"/>
      <c r="AA607" s="817"/>
      <c r="AB607" s="817" t="s">
        <v>17</v>
      </c>
      <c r="AC607" s="2829" t="s">
        <v>7451</v>
      </c>
      <c r="AD607" s="2699"/>
      <c r="AG607" s="2711"/>
    </row>
    <row r="608" spans="1:33" ht="43.5" hidden="1" x14ac:dyDescent="0.35">
      <c r="A608" s="1899">
        <v>43928</v>
      </c>
      <c r="B608" s="2759">
        <v>6</v>
      </c>
      <c r="C608" s="7" t="s">
        <v>8394</v>
      </c>
      <c r="D608" s="2712" t="s">
        <v>9844</v>
      </c>
      <c r="E608" s="7" t="s">
        <v>8149</v>
      </c>
      <c r="F608" s="2684">
        <v>1</v>
      </c>
      <c r="G608" s="2661">
        <v>1</v>
      </c>
      <c r="H608" s="2661"/>
      <c r="I608" s="2661"/>
      <c r="J608" s="2661"/>
      <c r="K608" s="2661"/>
      <c r="L608" s="817"/>
      <c r="M608" s="817"/>
      <c r="N608" s="817"/>
      <c r="O608" s="817"/>
      <c r="P608" s="1899">
        <v>43938</v>
      </c>
      <c r="Q608" s="1899"/>
      <c r="R608" s="881" t="s">
        <v>8390</v>
      </c>
      <c r="S608" s="2770" t="s">
        <v>8289</v>
      </c>
      <c r="T608" s="836" t="s">
        <v>15</v>
      </c>
      <c r="U608" s="2694">
        <v>0.41250000000000003</v>
      </c>
      <c r="V608" s="2694" t="s">
        <v>972</v>
      </c>
      <c r="W608" s="2659">
        <v>100</v>
      </c>
      <c r="X608" s="836" t="s">
        <v>257</v>
      </c>
      <c r="Y608" s="2772"/>
      <c r="Z608" s="817"/>
      <c r="AA608" s="817"/>
      <c r="AB608" s="7" t="s">
        <v>17</v>
      </c>
      <c r="AC608" s="817" t="s">
        <v>7451</v>
      </c>
      <c r="AD608" s="2699"/>
      <c r="AG608" s="2711"/>
    </row>
    <row r="609" spans="1:33" ht="43.5" hidden="1" x14ac:dyDescent="0.35">
      <c r="A609" s="2769">
        <v>43927</v>
      </c>
      <c r="B609" s="2760">
        <v>14</v>
      </c>
      <c r="C609" s="817" t="s">
        <v>8254</v>
      </c>
      <c r="D609" s="2712" t="s">
        <v>9922</v>
      </c>
      <c r="E609" s="817" t="s">
        <v>7935</v>
      </c>
      <c r="F609" s="5">
        <v>1</v>
      </c>
      <c r="G609" s="5">
        <v>1</v>
      </c>
      <c r="H609" s="5"/>
      <c r="I609" s="5"/>
      <c r="J609" s="5"/>
      <c r="K609" s="5"/>
      <c r="L609" s="817"/>
      <c r="M609" s="817"/>
      <c r="N609" s="817"/>
      <c r="O609" s="817"/>
      <c r="P609" s="2769">
        <v>43938</v>
      </c>
      <c r="Q609" s="2769"/>
      <c r="R609" s="2770" t="s">
        <v>8345</v>
      </c>
      <c r="S609" s="2770" t="s">
        <v>8154</v>
      </c>
      <c r="T609" s="2694" t="s">
        <v>15</v>
      </c>
      <c r="U609" s="2694">
        <v>0.48402777777777778</v>
      </c>
      <c r="V609" s="2694" t="s">
        <v>3213</v>
      </c>
      <c r="W609" s="1809">
        <v>100</v>
      </c>
      <c r="X609" s="817" t="s">
        <v>257</v>
      </c>
      <c r="Y609" s="2772"/>
      <c r="Z609" s="817"/>
      <c r="AA609" s="817"/>
      <c r="AB609" s="817" t="s">
        <v>17</v>
      </c>
      <c r="AC609" s="817" t="s">
        <v>7451</v>
      </c>
      <c r="AD609" s="2699"/>
      <c r="AG609" s="2711"/>
    </row>
    <row r="610" spans="1:33" ht="58" hidden="1" x14ac:dyDescent="0.35">
      <c r="A610" s="1899">
        <v>43933</v>
      </c>
      <c r="B610" s="2759">
        <v>26</v>
      </c>
      <c r="C610" s="7" t="s">
        <v>10262</v>
      </c>
      <c r="D610" s="2707" t="s">
        <v>10263</v>
      </c>
      <c r="E610" s="7" t="s">
        <v>8553</v>
      </c>
      <c r="F610" s="2692">
        <v>1</v>
      </c>
      <c r="G610" s="2692">
        <v>1</v>
      </c>
      <c r="H610" s="2692"/>
      <c r="I610" s="2692"/>
      <c r="J610" s="2692"/>
      <c r="K610" s="2692"/>
      <c r="L610" s="817"/>
      <c r="M610" s="817"/>
      <c r="N610" s="817"/>
      <c r="O610" s="817"/>
      <c r="P610" s="1899">
        <v>43938</v>
      </c>
      <c r="Q610" s="2828"/>
      <c r="R610" s="2708" t="s">
        <v>10264</v>
      </c>
      <c r="S610" s="2770"/>
      <c r="T610" s="836" t="s">
        <v>15</v>
      </c>
      <c r="U610" s="836">
        <v>0.58680555555555558</v>
      </c>
      <c r="V610" s="836" t="s">
        <v>972</v>
      </c>
      <c r="W610" s="1956">
        <v>100</v>
      </c>
      <c r="X610" s="817" t="s">
        <v>8625</v>
      </c>
      <c r="Y610" s="2772"/>
      <c r="Z610" s="817"/>
      <c r="AA610" s="817"/>
      <c r="AB610" s="817" t="s">
        <v>17</v>
      </c>
      <c r="AC610" s="817" t="s">
        <v>7451</v>
      </c>
      <c r="AD610" s="2695"/>
      <c r="AG610" s="2711"/>
    </row>
    <row r="611" spans="1:33" ht="43.5" hidden="1" x14ac:dyDescent="0.35">
      <c r="A611" s="1899">
        <v>43929</v>
      </c>
      <c r="B611" s="2759">
        <v>14</v>
      </c>
      <c r="C611" s="7" t="s">
        <v>8754</v>
      </c>
      <c r="D611" s="2712" t="s">
        <v>9821</v>
      </c>
      <c r="E611" s="817" t="s">
        <v>7935</v>
      </c>
      <c r="F611" s="7">
        <v>1</v>
      </c>
      <c r="G611" s="7">
        <v>1</v>
      </c>
      <c r="H611" s="7"/>
      <c r="I611" s="7"/>
      <c r="J611" s="7"/>
      <c r="K611" s="7"/>
      <c r="L611" s="7"/>
      <c r="M611" s="817"/>
      <c r="N611" s="817"/>
      <c r="O611" s="817"/>
      <c r="P611" s="1899">
        <v>43938</v>
      </c>
      <c r="Q611" s="1899"/>
      <c r="R611" s="881" t="s">
        <v>8755</v>
      </c>
      <c r="S611" s="2770"/>
      <c r="T611" s="2694" t="s">
        <v>15</v>
      </c>
      <c r="U611" s="2694">
        <v>0.47430555555555554</v>
      </c>
      <c r="V611" s="2694" t="s">
        <v>972</v>
      </c>
      <c r="W611" s="1809">
        <v>100</v>
      </c>
      <c r="X611" s="817" t="s">
        <v>257</v>
      </c>
      <c r="Y611" s="2772"/>
      <c r="Z611" s="817"/>
      <c r="AA611" s="817"/>
      <c r="AB611" s="817" t="s">
        <v>17</v>
      </c>
      <c r="AC611" s="817" t="s">
        <v>7451</v>
      </c>
      <c r="AD611" s="2700"/>
      <c r="AG611" s="2711"/>
    </row>
    <row r="612" spans="1:33" ht="29" hidden="1" x14ac:dyDescent="0.35">
      <c r="A612" s="2769">
        <v>43936</v>
      </c>
      <c r="B612" s="2760"/>
      <c r="C612" s="817" t="s">
        <v>10769</v>
      </c>
      <c r="D612" s="2700" t="s">
        <v>10731</v>
      </c>
      <c r="E612" s="817" t="s">
        <v>7935</v>
      </c>
      <c r="F612" s="2741">
        <v>1</v>
      </c>
      <c r="G612" s="2741">
        <v>1</v>
      </c>
      <c r="H612" s="2741"/>
      <c r="I612" s="2741"/>
      <c r="J612" s="2741"/>
      <c r="K612" s="2741"/>
      <c r="L612" s="817"/>
      <c r="M612" s="817"/>
      <c r="N612" s="817"/>
      <c r="O612" s="817"/>
      <c r="P612" s="2769">
        <v>43938</v>
      </c>
      <c r="Q612" s="2769"/>
      <c r="R612" s="2770" t="s">
        <v>5494</v>
      </c>
      <c r="S612" s="2770"/>
      <c r="T612" s="2694" t="s">
        <v>15</v>
      </c>
      <c r="U612" s="2771">
        <v>0.41666666666666669</v>
      </c>
      <c r="V612" s="2771">
        <v>0.41666666666666669</v>
      </c>
      <c r="W612" s="1956">
        <v>100</v>
      </c>
      <c r="X612" s="817" t="s">
        <v>7634</v>
      </c>
      <c r="Y612" s="2772" t="s">
        <v>15</v>
      </c>
      <c r="Z612" s="817"/>
      <c r="AA612" s="817"/>
      <c r="AB612" s="817" t="s">
        <v>17</v>
      </c>
      <c r="AC612" s="817" t="s">
        <v>7451</v>
      </c>
      <c r="AD612" s="2739"/>
      <c r="AG612" s="2711"/>
    </row>
    <row r="613" spans="1:33" ht="29" hidden="1" x14ac:dyDescent="0.35">
      <c r="A613" s="2486">
        <v>43935</v>
      </c>
      <c r="B613" s="2718"/>
      <c r="C613" s="7" t="s">
        <v>10768</v>
      </c>
      <c r="D613" s="2700" t="s">
        <v>2409</v>
      </c>
      <c r="E613" s="7" t="s">
        <v>8406</v>
      </c>
      <c r="F613" s="2740">
        <v>2</v>
      </c>
      <c r="G613" s="2741">
        <v>1</v>
      </c>
      <c r="H613" s="2741"/>
      <c r="I613" s="2741"/>
      <c r="J613" s="2741"/>
      <c r="K613" s="2741"/>
      <c r="L613" s="817"/>
      <c r="M613" s="817"/>
      <c r="N613" s="817"/>
      <c r="O613" s="817"/>
      <c r="P613" s="2486">
        <v>43938</v>
      </c>
      <c r="Q613" s="2769"/>
      <c r="R613" s="2196" t="s">
        <v>6032</v>
      </c>
      <c r="S613" s="2770"/>
      <c r="T613" s="6" t="s">
        <v>15</v>
      </c>
      <c r="U613" s="2694">
        <v>0.41666666666666669</v>
      </c>
      <c r="V613" s="2694">
        <v>0.41666666666666669</v>
      </c>
      <c r="W613" s="2738">
        <v>0</v>
      </c>
      <c r="X613" s="2694" t="s">
        <v>10579</v>
      </c>
      <c r="Y613" s="2772" t="s">
        <v>15</v>
      </c>
      <c r="Z613" s="817"/>
      <c r="AA613" s="817"/>
      <c r="AB613" s="817" t="s">
        <v>22</v>
      </c>
      <c r="AC613" s="817" t="s">
        <v>7451</v>
      </c>
      <c r="AD613" s="2739"/>
      <c r="AG613" s="2711"/>
    </row>
    <row r="614" spans="1:33" ht="29" hidden="1" x14ac:dyDescent="0.35">
      <c r="A614" s="1899">
        <v>43937</v>
      </c>
      <c r="B614" s="2760"/>
      <c r="C614" s="7" t="s">
        <v>10786</v>
      </c>
      <c r="D614" s="2696" t="s">
        <v>15</v>
      </c>
      <c r="E614" s="7" t="s">
        <v>10785</v>
      </c>
      <c r="F614" s="2735"/>
      <c r="G614" s="2735"/>
      <c r="H614" s="2735"/>
      <c r="I614" s="2735"/>
      <c r="J614" s="2735"/>
      <c r="K614" s="7"/>
      <c r="L614" s="817"/>
      <c r="M614" s="817"/>
      <c r="N614" s="817"/>
      <c r="O614" s="817"/>
      <c r="P614" s="1899">
        <v>43938</v>
      </c>
      <c r="Q614" s="2769"/>
      <c r="R614" s="881" t="s">
        <v>5502</v>
      </c>
      <c r="S614" s="2770"/>
      <c r="T614" s="836">
        <v>0.41666666666666669</v>
      </c>
      <c r="U614" s="2771">
        <v>0.41666666666666669</v>
      </c>
      <c r="V614" s="2771"/>
      <c r="W614" s="2738">
        <v>300</v>
      </c>
      <c r="X614" s="2694" t="s">
        <v>10787</v>
      </c>
      <c r="Y614" s="2772" t="s">
        <v>15</v>
      </c>
      <c r="Z614" s="817"/>
      <c r="AA614" s="817"/>
      <c r="AB614" s="2744"/>
      <c r="AC614" s="2744"/>
      <c r="AD614" s="2739"/>
      <c r="AG614" s="2711"/>
    </row>
    <row r="615" spans="1:33" hidden="1" x14ac:dyDescent="0.35">
      <c r="A615" s="2486">
        <v>43937</v>
      </c>
      <c r="B615" s="2760"/>
      <c r="C615" s="5" t="s">
        <v>10817</v>
      </c>
      <c r="D615" s="2700" t="s">
        <v>15</v>
      </c>
      <c r="E615" s="7" t="s">
        <v>10791</v>
      </c>
      <c r="F615" s="2740"/>
      <c r="G615" s="2741"/>
      <c r="H615" s="2741"/>
      <c r="I615" s="2741"/>
      <c r="J615" s="2741"/>
      <c r="K615" s="2682"/>
      <c r="L615" s="817"/>
      <c r="M615" s="817"/>
      <c r="N615" s="817"/>
      <c r="O615" s="817"/>
      <c r="P615" s="2486">
        <v>43939</v>
      </c>
      <c r="Q615" s="2828"/>
      <c r="R615" s="2722" t="s">
        <v>5502</v>
      </c>
      <c r="S615" s="2770"/>
      <c r="T615" s="6" t="s">
        <v>15</v>
      </c>
      <c r="U615" s="2771">
        <v>0.41666666666666669</v>
      </c>
      <c r="V615" s="2771"/>
      <c r="W615" s="2738">
        <v>0</v>
      </c>
      <c r="X615" s="817" t="s">
        <v>5716</v>
      </c>
      <c r="Y615" s="2772" t="s">
        <v>15</v>
      </c>
      <c r="Z615" s="817"/>
      <c r="AA615" s="817"/>
      <c r="AB615" s="2744"/>
      <c r="AC615" s="2744"/>
      <c r="AD615" s="2739"/>
      <c r="AG615" s="2711"/>
    </row>
    <row r="616" spans="1:33" ht="29" hidden="1" x14ac:dyDescent="0.35">
      <c r="A616" s="2486">
        <v>43936</v>
      </c>
      <c r="B616" s="2718"/>
      <c r="C616" s="5" t="s">
        <v>10813</v>
      </c>
      <c r="D616" s="2700" t="s">
        <v>10711</v>
      </c>
      <c r="E616" s="7" t="s">
        <v>10712</v>
      </c>
      <c r="F616" s="2740"/>
      <c r="G616" s="2741"/>
      <c r="H616" s="2741"/>
      <c r="I616" s="2741"/>
      <c r="J616" s="2741"/>
      <c r="K616" s="2741"/>
      <c r="L616" s="817"/>
      <c r="M616" s="817"/>
      <c r="N616" s="817"/>
      <c r="O616" s="817" t="s">
        <v>8148</v>
      </c>
      <c r="P616" s="2486">
        <v>43939</v>
      </c>
      <c r="Q616" s="2769"/>
      <c r="R616" s="824" t="s">
        <v>10880</v>
      </c>
      <c r="S616" s="2770"/>
      <c r="T616" s="6">
        <v>0.5</v>
      </c>
      <c r="U616" s="2771">
        <v>0.5</v>
      </c>
      <c r="V616" s="2771">
        <v>0.5</v>
      </c>
      <c r="W616" s="2742">
        <f>2*120*0.7</f>
        <v>168</v>
      </c>
      <c r="X616" s="817" t="s">
        <v>257</v>
      </c>
      <c r="Y616" s="2772" t="s">
        <v>15</v>
      </c>
      <c r="Z616" s="817"/>
      <c r="AA616" s="817"/>
      <c r="AB616" s="817" t="s">
        <v>974</v>
      </c>
      <c r="AC616" s="817" t="s">
        <v>2084</v>
      </c>
      <c r="AD616" s="2739"/>
      <c r="AG616" s="2711"/>
    </row>
    <row r="617" spans="1:33" ht="29" hidden="1" x14ac:dyDescent="0.35">
      <c r="A617" s="2828">
        <v>43931</v>
      </c>
      <c r="B617" s="2760"/>
      <c r="C617" s="817" t="s">
        <v>10809</v>
      </c>
      <c r="D617" s="2712" t="s">
        <v>9122</v>
      </c>
      <c r="E617" s="7" t="s">
        <v>8553</v>
      </c>
      <c r="F617" s="5">
        <v>1</v>
      </c>
      <c r="G617" s="5">
        <v>1</v>
      </c>
      <c r="H617" s="5"/>
      <c r="I617" s="5"/>
      <c r="J617" s="5"/>
      <c r="K617" s="5"/>
      <c r="L617" s="817"/>
      <c r="M617" s="817"/>
      <c r="N617" s="817"/>
      <c r="O617" s="817"/>
      <c r="P617" s="2828">
        <v>43939</v>
      </c>
      <c r="Q617" s="2769"/>
      <c r="R617" s="2829" t="s">
        <v>5494</v>
      </c>
      <c r="S617" s="2770"/>
      <c r="T617" s="2694" t="s">
        <v>15</v>
      </c>
      <c r="U617" s="2694">
        <v>0.5</v>
      </c>
      <c r="V617" s="2694">
        <v>0.5</v>
      </c>
      <c r="W617" s="1956">
        <v>100</v>
      </c>
      <c r="X617" s="817" t="s">
        <v>9004</v>
      </c>
      <c r="Y617" s="2772" t="s">
        <v>15</v>
      </c>
      <c r="Z617" s="817"/>
      <c r="AA617" s="817"/>
      <c r="AB617" s="817" t="s">
        <v>17</v>
      </c>
      <c r="AC617" s="817" t="s">
        <v>7451</v>
      </c>
      <c r="AD617" s="2700" t="s">
        <v>9122</v>
      </c>
      <c r="AG617" s="2711"/>
    </row>
    <row r="618" spans="1:33" ht="72.5" hidden="1" x14ac:dyDescent="0.35">
      <c r="A618" s="1899">
        <v>43935</v>
      </c>
      <c r="B618" s="2759"/>
      <c r="C618" s="7" t="s">
        <v>10816</v>
      </c>
      <c r="D618" s="2700" t="s">
        <v>10676</v>
      </c>
      <c r="E618" s="7" t="s">
        <v>10677</v>
      </c>
      <c r="F618" s="2735">
        <v>1</v>
      </c>
      <c r="G618" s="2735">
        <v>1</v>
      </c>
      <c r="H618" s="2735"/>
      <c r="I618" s="2735"/>
      <c r="J618" s="2735"/>
      <c r="K618" s="2735"/>
      <c r="L618" s="817"/>
      <c r="M618" s="817"/>
      <c r="N618" s="817"/>
      <c r="O618" s="817" t="s">
        <v>8148</v>
      </c>
      <c r="P618" s="1899">
        <v>43939</v>
      </c>
      <c r="Q618" s="2828"/>
      <c r="R618" s="881" t="s">
        <v>5494</v>
      </c>
      <c r="S618" s="2770"/>
      <c r="T618" s="836" t="s">
        <v>15</v>
      </c>
      <c r="U618" s="2771">
        <v>0.54166666666666663</v>
      </c>
      <c r="V618" s="2771">
        <v>0.54166666666666663</v>
      </c>
      <c r="W618" s="2742">
        <v>300</v>
      </c>
      <c r="X618" s="817" t="s">
        <v>257</v>
      </c>
      <c r="Y618" s="2772" t="s">
        <v>15</v>
      </c>
      <c r="Z618" s="817"/>
      <c r="AA618" s="817"/>
      <c r="AB618" s="817" t="s">
        <v>17</v>
      </c>
      <c r="AC618" s="817" t="s">
        <v>7451</v>
      </c>
      <c r="AD618" s="2739"/>
      <c r="AG618" s="2711"/>
    </row>
    <row r="619" spans="1:33" ht="58" hidden="1" x14ac:dyDescent="0.35">
      <c r="A619" s="2769">
        <v>43931</v>
      </c>
      <c r="B619" s="2760"/>
      <c r="C619" s="817" t="s">
        <v>10812</v>
      </c>
      <c r="D619" s="2712" t="s">
        <v>10148</v>
      </c>
      <c r="E619" s="817" t="s">
        <v>8996</v>
      </c>
      <c r="F619" s="2682">
        <v>3</v>
      </c>
      <c r="G619" s="2682">
        <v>3</v>
      </c>
      <c r="H619" s="2682"/>
      <c r="I619" s="2682"/>
      <c r="J619" s="2682"/>
      <c r="K619" s="2682"/>
      <c r="L619" s="817"/>
      <c r="M619" s="817"/>
      <c r="N619" s="817"/>
      <c r="O619" s="817"/>
      <c r="P619" s="2769">
        <v>43939</v>
      </c>
      <c r="Q619" s="2769"/>
      <c r="R619" s="2770" t="s">
        <v>5502</v>
      </c>
      <c r="S619" s="2770"/>
      <c r="T619" s="2693">
        <v>0.5625</v>
      </c>
      <c r="U619" s="2693">
        <v>0.5625</v>
      </c>
      <c r="V619" s="2693">
        <v>0.5625</v>
      </c>
      <c r="W619" s="2681">
        <v>200</v>
      </c>
      <c r="X619" s="817" t="s">
        <v>8997</v>
      </c>
      <c r="Y619" s="2772" t="s">
        <v>15</v>
      </c>
      <c r="Z619" s="817"/>
      <c r="AA619" s="817"/>
      <c r="AB619" s="817" t="s">
        <v>17</v>
      </c>
      <c r="AC619" s="817" t="s">
        <v>7451</v>
      </c>
      <c r="AD619" s="2695"/>
      <c r="AG619" s="2711"/>
    </row>
    <row r="620" spans="1:33" ht="29" hidden="1" x14ac:dyDescent="0.35">
      <c r="A620" s="2486">
        <v>43935</v>
      </c>
      <c r="B620" s="2718"/>
      <c r="C620" s="7" t="s">
        <v>10814</v>
      </c>
      <c r="D620" s="2700" t="s">
        <v>10631</v>
      </c>
      <c r="E620" s="7" t="s">
        <v>8136</v>
      </c>
      <c r="F620" s="2740">
        <v>2</v>
      </c>
      <c r="G620" s="2741">
        <v>2</v>
      </c>
      <c r="H620" s="2741"/>
      <c r="I620" s="2741"/>
      <c r="J620" s="2741"/>
      <c r="K620" s="2741"/>
      <c r="L620" s="817"/>
      <c r="M620" s="817"/>
      <c r="N620" s="817"/>
      <c r="O620" s="817"/>
      <c r="P620" s="2486">
        <v>43939</v>
      </c>
      <c r="Q620" s="2769"/>
      <c r="R620" s="824" t="s">
        <v>6032</v>
      </c>
      <c r="S620" s="2770"/>
      <c r="T620" s="6" t="s">
        <v>15</v>
      </c>
      <c r="U620" s="2771">
        <v>0.58333333333333337</v>
      </c>
      <c r="V620" s="2771">
        <v>0.58333333333333337</v>
      </c>
      <c r="W620" s="2742">
        <v>200</v>
      </c>
      <c r="X620" s="2694" t="s">
        <v>257</v>
      </c>
      <c r="Y620" s="2772" t="s">
        <v>15</v>
      </c>
      <c r="Z620" s="817"/>
      <c r="AA620" s="817"/>
      <c r="AB620" s="817" t="s">
        <v>17</v>
      </c>
      <c r="AC620" s="817" t="s">
        <v>7451</v>
      </c>
      <c r="AD620" s="2739"/>
      <c r="AG620" s="2711"/>
    </row>
    <row r="621" spans="1:33" ht="43.5" hidden="1" x14ac:dyDescent="0.35">
      <c r="A621" s="2486">
        <v>43937</v>
      </c>
      <c r="B621" s="2760"/>
      <c r="C621" s="7" t="s">
        <v>10821</v>
      </c>
      <c r="D621" s="2700" t="s">
        <v>10775</v>
      </c>
      <c r="E621" s="7" t="s">
        <v>10881</v>
      </c>
      <c r="F621" s="2740">
        <v>2</v>
      </c>
      <c r="G621" s="2741">
        <v>3</v>
      </c>
      <c r="H621" s="2741"/>
      <c r="I621" s="2741"/>
      <c r="J621" s="2741"/>
      <c r="K621" s="2741"/>
      <c r="L621" s="817"/>
      <c r="M621" s="817"/>
      <c r="N621" s="817"/>
      <c r="O621" s="817"/>
      <c r="P621" s="2486">
        <v>43939</v>
      </c>
      <c r="Q621" s="2769"/>
      <c r="R621" s="2196" t="s">
        <v>6032</v>
      </c>
      <c r="S621" s="2770"/>
      <c r="T621" s="6" t="s">
        <v>15</v>
      </c>
      <c r="U621" s="2771">
        <v>0.58333333333333337</v>
      </c>
      <c r="V621" s="2771">
        <v>0.58333333333333337</v>
      </c>
      <c r="W621" s="2742">
        <v>265</v>
      </c>
      <c r="X621" s="2694" t="s">
        <v>257</v>
      </c>
      <c r="Y621" s="2772" t="s">
        <v>15</v>
      </c>
      <c r="Z621" s="817"/>
      <c r="AA621" s="817"/>
      <c r="AB621" s="817" t="s">
        <v>22</v>
      </c>
      <c r="AC621" s="817" t="s">
        <v>7451</v>
      </c>
      <c r="AD621" s="2739"/>
      <c r="AG621" s="2711"/>
    </row>
    <row r="622" spans="1:33" ht="29" hidden="1" x14ac:dyDescent="0.35">
      <c r="A622" s="2828">
        <v>43924</v>
      </c>
      <c r="B622" s="2760"/>
      <c r="C622" s="817" t="s">
        <v>10810</v>
      </c>
      <c r="D622" s="2712" t="s">
        <v>10061</v>
      </c>
      <c r="E622" s="817" t="s">
        <v>7955</v>
      </c>
      <c r="F622" s="817"/>
      <c r="G622" s="817">
        <v>2</v>
      </c>
      <c r="H622" s="817"/>
      <c r="I622" s="817"/>
      <c r="J622" s="817">
        <v>2</v>
      </c>
      <c r="K622" s="817"/>
      <c r="L622" s="817"/>
      <c r="M622" s="817"/>
      <c r="N622" s="817"/>
      <c r="O622" s="817"/>
      <c r="P622" s="2828">
        <v>43939</v>
      </c>
      <c r="Q622" s="2769"/>
      <c r="R622" s="2829" t="s">
        <v>5502</v>
      </c>
      <c r="S622" s="2770"/>
      <c r="T622" s="2694" t="s">
        <v>15</v>
      </c>
      <c r="U622" s="2694">
        <v>0.66666666666666663</v>
      </c>
      <c r="V622" s="2694">
        <v>0.66666666666666663</v>
      </c>
      <c r="W622" s="1956">
        <v>260</v>
      </c>
      <c r="X622" s="817" t="s">
        <v>7956</v>
      </c>
      <c r="Y622" s="2772" t="s">
        <v>15</v>
      </c>
      <c r="Z622" s="817"/>
      <c r="AA622" s="817"/>
      <c r="AB622" s="817" t="s">
        <v>17</v>
      </c>
      <c r="AC622" s="817" t="s">
        <v>7451</v>
      </c>
      <c r="AD622" s="2699"/>
      <c r="AG622" s="2711"/>
    </row>
    <row r="623" spans="1:33" ht="29" hidden="1" x14ac:dyDescent="0.35">
      <c r="A623" s="2486">
        <v>43935</v>
      </c>
      <c r="B623" s="2718"/>
      <c r="C623" s="7" t="s">
        <v>10815</v>
      </c>
      <c r="D623" s="2700" t="s">
        <v>10629</v>
      </c>
      <c r="E623" s="7" t="s">
        <v>10630</v>
      </c>
      <c r="F623" s="2740"/>
      <c r="G623" s="2741"/>
      <c r="H623" s="2741"/>
      <c r="I623" s="2741"/>
      <c r="J623" s="2741"/>
      <c r="K623" s="2741"/>
      <c r="L623" s="817"/>
      <c r="M623" s="817"/>
      <c r="N623" s="817"/>
      <c r="O623" s="817" t="s">
        <v>8148</v>
      </c>
      <c r="P623" s="2486">
        <v>43939</v>
      </c>
      <c r="Q623" s="2769"/>
      <c r="R623" s="824" t="s">
        <v>6032</v>
      </c>
      <c r="S623" s="2747"/>
      <c r="T623" s="6" t="s">
        <v>15</v>
      </c>
      <c r="U623" s="2771">
        <v>0.75</v>
      </c>
      <c r="V623" s="2771">
        <v>0.75</v>
      </c>
      <c r="W623" s="2742">
        <v>249</v>
      </c>
      <c r="X623" s="2694" t="s">
        <v>257</v>
      </c>
      <c r="Y623" s="2772" t="s">
        <v>15</v>
      </c>
      <c r="Z623" s="817"/>
      <c r="AA623" s="817"/>
      <c r="AB623" s="817" t="s">
        <v>17</v>
      </c>
      <c r="AC623" s="817" t="s">
        <v>7451</v>
      </c>
      <c r="AD623" s="2739"/>
      <c r="AG623" s="2711"/>
    </row>
    <row r="624" spans="1:33" ht="29" hidden="1" x14ac:dyDescent="0.35">
      <c r="A624" s="2769">
        <v>43935</v>
      </c>
      <c r="B624" s="2760"/>
      <c r="C624" s="2614" t="s">
        <v>10811</v>
      </c>
      <c r="D624" s="2700" t="s">
        <v>10648</v>
      </c>
      <c r="E624" s="817" t="s">
        <v>7048</v>
      </c>
      <c r="F624" s="2741"/>
      <c r="G624" s="2741"/>
      <c r="H624" s="2741"/>
      <c r="I624" s="2741"/>
      <c r="J624" s="2741"/>
      <c r="K624" s="2741"/>
      <c r="L624" s="817"/>
      <c r="M624" s="817"/>
      <c r="N624" s="817"/>
      <c r="O624" s="817" t="s">
        <v>8148</v>
      </c>
      <c r="P624" s="2769">
        <v>43939</v>
      </c>
      <c r="Q624" s="2769"/>
      <c r="R624" s="2770" t="s">
        <v>5494</v>
      </c>
      <c r="S624" s="2770"/>
      <c r="T624" s="836" t="s">
        <v>15</v>
      </c>
      <c r="U624" s="836" t="s">
        <v>972</v>
      </c>
      <c r="V624" s="836" t="s">
        <v>972</v>
      </c>
      <c r="W624" s="2681">
        <f>1.6*80</f>
        <v>128</v>
      </c>
      <c r="X624" s="817" t="s">
        <v>257</v>
      </c>
      <c r="Y624" s="2772" t="s">
        <v>15</v>
      </c>
      <c r="Z624" s="817"/>
      <c r="AA624" s="817"/>
      <c r="AB624" s="817" t="s">
        <v>17</v>
      </c>
      <c r="AC624" s="817" t="s">
        <v>7451</v>
      </c>
      <c r="AD624" s="2739"/>
      <c r="AG624" s="2711"/>
    </row>
    <row r="625" spans="1:33" ht="72.5" hidden="1" x14ac:dyDescent="0.35">
      <c r="A625" s="1899">
        <v>43932</v>
      </c>
      <c r="B625" s="2759">
        <v>1</v>
      </c>
      <c r="C625" s="7" t="s">
        <v>9549</v>
      </c>
      <c r="D625" s="2707" t="s">
        <v>9550</v>
      </c>
      <c r="E625" s="7" t="s">
        <v>9552</v>
      </c>
      <c r="F625" s="5">
        <v>2</v>
      </c>
      <c r="G625" s="5">
        <v>2</v>
      </c>
      <c r="H625" s="5"/>
      <c r="I625" s="5"/>
      <c r="J625" s="5"/>
      <c r="K625" s="5"/>
      <c r="L625" s="817"/>
      <c r="M625" s="817"/>
      <c r="N625" s="817"/>
      <c r="O625" s="817" t="s">
        <v>8148</v>
      </c>
      <c r="P625" s="1899">
        <v>43939</v>
      </c>
      <c r="Q625" s="2769"/>
      <c r="R625" s="2708" t="s">
        <v>9551</v>
      </c>
      <c r="S625" s="2770"/>
      <c r="T625" s="6" t="s">
        <v>15</v>
      </c>
      <c r="U625" s="836">
        <v>0.60416666666666663</v>
      </c>
      <c r="V625" s="836" t="s">
        <v>972</v>
      </c>
      <c r="W625" s="2681">
        <v>400</v>
      </c>
      <c r="X625" s="817" t="s">
        <v>2900</v>
      </c>
      <c r="Y625" s="2772" t="s">
        <v>10825</v>
      </c>
      <c r="Z625" s="817"/>
      <c r="AA625" s="817"/>
      <c r="AB625" s="817" t="s">
        <v>17</v>
      </c>
      <c r="AC625" s="817" t="s">
        <v>7451</v>
      </c>
      <c r="AD625" s="2696"/>
      <c r="AG625" s="2711"/>
    </row>
    <row r="626" spans="1:33" ht="174" hidden="1" x14ac:dyDescent="0.35">
      <c r="A626" s="2486">
        <v>43930</v>
      </c>
      <c r="B626" s="2718">
        <v>2</v>
      </c>
      <c r="C626" s="5" t="s">
        <v>8859</v>
      </c>
      <c r="D626" s="2712" t="s">
        <v>9992</v>
      </c>
      <c r="E626" s="7" t="s">
        <v>8861</v>
      </c>
      <c r="F626" s="2679">
        <v>1</v>
      </c>
      <c r="G626" s="5">
        <v>1</v>
      </c>
      <c r="H626" s="5"/>
      <c r="I626" s="5"/>
      <c r="J626" s="5"/>
      <c r="K626" s="5"/>
      <c r="L626" s="817"/>
      <c r="M626" s="817"/>
      <c r="N626" s="817"/>
      <c r="O626" s="817" t="s">
        <v>8148</v>
      </c>
      <c r="P626" s="2486">
        <v>43939</v>
      </c>
      <c r="Q626" s="2486"/>
      <c r="R626" s="824" t="s">
        <v>8860</v>
      </c>
      <c r="S626" s="2770"/>
      <c r="T626" s="6" t="s">
        <v>15</v>
      </c>
      <c r="U626" s="6">
        <v>0.63958333333333328</v>
      </c>
      <c r="V626" s="2694" t="s">
        <v>972</v>
      </c>
      <c r="W626" s="1956">
        <v>415</v>
      </c>
      <c r="X626" s="836" t="s">
        <v>257</v>
      </c>
      <c r="Y626" s="2772" t="s">
        <v>10825</v>
      </c>
      <c r="Z626" s="817"/>
      <c r="AA626" s="817"/>
      <c r="AB626" s="7" t="s">
        <v>17</v>
      </c>
      <c r="AC626" s="817" t="s">
        <v>7451</v>
      </c>
      <c r="AD626" s="2700"/>
      <c r="AG626" s="2711"/>
    </row>
    <row r="627" spans="1:33" ht="101.5" hidden="1" x14ac:dyDescent="0.35">
      <c r="A627" s="2486">
        <v>43923</v>
      </c>
      <c r="B627" s="2718">
        <v>3</v>
      </c>
      <c r="C627" s="5" t="s">
        <v>7763</v>
      </c>
      <c r="D627" s="2712" t="s">
        <v>10073</v>
      </c>
      <c r="E627" s="5" t="s">
        <v>7764</v>
      </c>
      <c r="F627" s="5">
        <v>1</v>
      </c>
      <c r="G627" s="5">
        <v>1</v>
      </c>
      <c r="H627" s="5"/>
      <c r="I627" s="5"/>
      <c r="J627" s="5"/>
      <c r="K627" s="5"/>
      <c r="L627" s="5"/>
      <c r="M627" s="5"/>
      <c r="N627" s="5"/>
      <c r="O627" s="5" t="s">
        <v>8148</v>
      </c>
      <c r="P627" s="2486">
        <v>43939</v>
      </c>
      <c r="Q627" s="2486"/>
      <c r="R627" s="824" t="s">
        <v>7765</v>
      </c>
      <c r="S627" s="824"/>
      <c r="T627" s="6" t="s">
        <v>15</v>
      </c>
      <c r="U627" s="6">
        <v>0.65347222222222223</v>
      </c>
      <c r="V627" s="2694" t="s">
        <v>3213</v>
      </c>
      <c r="W627" s="1956">
        <v>300</v>
      </c>
      <c r="X627" s="2694" t="s">
        <v>257</v>
      </c>
      <c r="Y627" s="2772" t="s">
        <v>10825</v>
      </c>
      <c r="Z627" s="2694"/>
      <c r="AA627" s="2694"/>
      <c r="AB627" s="817" t="s">
        <v>17</v>
      </c>
      <c r="AC627" s="817" t="s">
        <v>7451</v>
      </c>
      <c r="AD627" s="2699"/>
      <c r="AG627" s="2711"/>
    </row>
    <row r="628" spans="1:33" ht="101.5" hidden="1" x14ac:dyDescent="0.35">
      <c r="A628" s="2828">
        <v>43936</v>
      </c>
      <c r="B628" s="2760">
        <v>4</v>
      </c>
      <c r="C628" s="2828" t="s">
        <v>1428</v>
      </c>
      <c r="D628" s="2700" t="s">
        <v>1427</v>
      </c>
      <c r="E628" s="7" t="s">
        <v>10737</v>
      </c>
      <c r="F628" s="2744"/>
      <c r="G628" s="2744"/>
      <c r="H628" s="2744"/>
      <c r="I628" s="2744"/>
      <c r="J628" s="2744"/>
      <c r="K628" s="2744"/>
      <c r="L628" s="817"/>
      <c r="M628" s="817"/>
      <c r="N628" s="817"/>
      <c r="O628" s="817" t="s">
        <v>8148</v>
      </c>
      <c r="P628" s="2828">
        <v>43939</v>
      </c>
      <c r="Q628" s="2769"/>
      <c r="R628" s="2829" t="s">
        <v>10736</v>
      </c>
      <c r="S628" s="2770"/>
      <c r="T628" s="6" t="s">
        <v>15</v>
      </c>
      <c r="U628" s="6">
        <v>0.6743055555555556</v>
      </c>
      <c r="V628" s="2694" t="s">
        <v>972</v>
      </c>
      <c r="W628" s="2742">
        <v>120</v>
      </c>
      <c r="X628" s="817" t="s">
        <v>2997</v>
      </c>
      <c r="Y628" s="2772" t="s">
        <v>10825</v>
      </c>
      <c r="Z628" s="817"/>
      <c r="AA628" s="817"/>
      <c r="AB628" s="817" t="s">
        <v>17</v>
      </c>
      <c r="AC628" s="817" t="s">
        <v>7451</v>
      </c>
      <c r="AD628" s="2739"/>
      <c r="AG628" s="2711"/>
    </row>
    <row r="629" spans="1:33" ht="72.5" hidden="1" x14ac:dyDescent="0.35">
      <c r="A629" s="2486">
        <v>43935</v>
      </c>
      <c r="B629" s="2718">
        <v>5</v>
      </c>
      <c r="C629" s="7" t="s">
        <v>10620</v>
      </c>
      <c r="D629" s="2700" t="s">
        <v>10621</v>
      </c>
      <c r="E629" s="7" t="s">
        <v>10592</v>
      </c>
      <c r="F629" s="2740">
        <v>1</v>
      </c>
      <c r="G629" s="2741">
        <v>1</v>
      </c>
      <c r="H629" s="2741"/>
      <c r="I629" s="2741"/>
      <c r="J629" s="2741"/>
      <c r="K629" s="2741"/>
      <c r="L629" s="817"/>
      <c r="M629" s="817"/>
      <c r="N629" s="817"/>
      <c r="O629" s="817" t="s">
        <v>8148</v>
      </c>
      <c r="P629" s="2486">
        <v>43939</v>
      </c>
      <c r="Q629" s="2769"/>
      <c r="R629" s="824" t="s">
        <v>10622</v>
      </c>
      <c r="S629" s="2770"/>
      <c r="T629" s="6" t="s">
        <v>15</v>
      </c>
      <c r="U629" s="6">
        <v>0.6875</v>
      </c>
      <c r="V629" s="2694" t="s">
        <v>972</v>
      </c>
      <c r="W629" s="1809">
        <v>100</v>
      </c>
      <c r="X629" s="2694" t="s">
        <v>257</v>
      </c>
      <c r="Y629" s="2772" t="s">
        <v>10825</v>
      </c>
      <c r="Z629" s="817"/>
      <c r="AA629" s="817"/>
      <c r="AB629" s="817" t="s">
        <v>17</v>
      </c>
      <c r="AC629" s="817" t="s">
        <v>7451</v>
      </c>
      <c r="AD629" s="2739"/>
      <c r="AG629" s="2711"/>
    </row>
    <row r="630" spans="1:33" ht="72.5" hidden="1" x14ac:dyDescent="0.35">
      <c r="A630" s="2828">
        <v>43936</v>
      </c>
      <c r="B630" s="2760">
        <v>6</v>
      </c>
      <c r="C630" s="817" t="s">
        <v>10723</v>
      </c>
      <c r="D630" s="2700" t="s">
        <v>10724</v>
      </c>
      <c r="E630" s="817" t="s">
        <v>10726</v>
      </c>
      <c r="F630" s="2741">
        <v>1</v>
      </c>
      <c r="G630" s="2741"/>
      <c r="H630" s="2741"/>
      <c r="I630" s="2741">
        <v>1</v>
      </c>
      <c r="J630" s="2741"/>
      <c r="K630" s="2741"/>
      <c r="L630" s="817"/>
      <c r="M630" s="817"/>
      <c r="N630" s="817"/>
      <c r="O630" s="817" t="s">
        <v>8148</v>
      </c>
      <c r="P630" s="2828">
        <v>43939</v>
      </c>
      <c r="Q630" s="2769"/>
      <c r="R630" s="2829" t="s">
        <v>10725</v>
      </c>
      <c r="S630" s="2770"/>
      <c r="T630" s="6" t="s">
        <v>15</v>
      </c>
      <c r="U630" s="6">
        <v>0.70138888888888884</v>
      </c>
      <c r="V630" s="2694" t="s">
        <v>972</v>
      </c>
      <c r="W630" s="1956">
        <v>300</v>
      </c>
      <c r="X630" s="817" t="s">
        <v>7634</v>
      </c>
      <c r="Y630" s="2772" t="s">
        <v>10825</v>
      </c>
      <c r="Z630" s="817"/>
      <c r="AA630" s="817"/>
      <c r="AB630" s="817" t="s">
        <v>17</v>
      </c>
      <c r="AC630" s="817" t="s">
        <v>7451</v>
      </c>
      <c r="AD630" s="2739"/>
      <c r="AG630" s="2711"/>
    </row>
    <row r="631" spans="1:33" ht="58" hidden="1" x14ac:dyDescent="0.35">
      <c r="A631" s="1899">
        <v>43935</v>
      </c>
      <c r="B631" s="2759">
        <v>7</v>
      </c>
      <c r="C631" s="7" t="s">
        <v>9527</v>
      </c>
      <c r="D631" s="2707" t="s">
        <v>9528</v>
      </c>
      <c r="E631" s="7" t="s">
        <v>9529</v>
      </c>
      <c r="F631" s="5">
        <v>1</v>
      </c>
      <c r="G631" s="5"/>
      <c r="H631" s="5"/>
      <c r="I631" s="5"/>
      <c r="J631" s="5"/>
      <c r="K631" s="5"/>
      <c r="L631" s="817"/>
      <c r="M631" s="817"/>
      <c r="N631" s="817"/>
      <c r="O631" s="817" t="s">
        <v>8148</v>
      </c>
      <c r="P631" s="1899">
        <v>43939</v>
      </c>
      <c r="Q631" s="2769"/>
      <c r="R631" s="2708" t="s">
        <v>9530</v>
      </c>
      <c r="S631" s="2770"/>
      <c r="T631" s="6" t="s">
        <v>15</v>
      </c>
      <c r="U631" s="836">
        <v>0.71458333333333324</v>
      </c>
      <c r="V631" s="836" t="s">
        <v>972</v>
      </c>
      <c r="W631" s="2681">
        <v>185</v>
      </c>
      <c r="X631" s="817" t="s">
        <v>2900</v>
      </c>
      <c r="Y631" s="2772" t="s">
        <v>10825</v>
      </c>
      <c r="Z631" s="817"/>
      <c r="AA631" s="817"/>
      <c r="AB631" s="817" t="s">
        <v>17</v>
      </c>
      <c r="AC631" s="817" t="s">
        <v>7451</v>
      </c>
      <c r="AD631" s="2696"/>
      <c r="AG631" s="2711"/>
    </row>
    <row r="632" spans="1:33" ht="72.5" hidden="1" x14ac:dyDescent="0.35">
      <c r="A632" s="2828">
        <v>43928</v>
      </c>
      <c r="B632" s="2760">
        <v>1</v>
      </c>
      <c r="C632" s="817" t="s">
        <v>5280</v>
      </c>
      <c r="D632" s="2712" t="s">
        <v>9712</v>
      </c>
      <c r="E632" s="817" t="s">
        <v>8518</v>
      </c>
      <c r="F632" s="2678">
        <v>1</v>
      </c>
      <c r="G632" s="2669">
        <v>1</v>
      </c>
      <c r="H632" s="2669"/>
      <c r="I632" s="2669"/>
      <c r="J632" s="2669"/>
      <c r="K632" s="2669"/>
      <c r="L632" s="817"/>
      <c r="M632" s="817"/>
      <c r="N632" s="817"/>
      <c r="O632" s="817" t="s">
        <v>8148</v>
      </c>
      <c r="P632" s="2828">
        <v>43939</v>
      </c>
      <c r="Q632" s="2769"/>
      <c r="R632" s="2829" t="s">
        <v>8519</v>
      </c>
      <c r="S632" s="2770" t="s">
        <v>8303</v>
      </c>
      <c r="T632" s="6" t="s">
        <v>15</v>
      </c>
      <c r="U632" s="2694">
        <v>0.6</v>
      </c>
      <c r="V632" s="2694" t="s">
        <v>3213</v>
      </c>
      <c r="W632" s="2660">
        <v>225</v>
      </c>
      <c r="X632" s="2121" t="s">
        <v>8520</v>
      </c>
      <c r="Y632" s="2772" t="s">
        <v>10823</v>
      </c>
      <c r="Z632" s="817"/>
      <c r="AA632" s="817"/>
      <c r="AB632" s="817" t="s">
        <v>22</v>
      </c>
      <c r="AC632" s="817" t="s">
        <v>7451</v>
      </c>
      <c r="AD632" s="2699"/>
      <c r="AG632" s="2711"/>
    </row>
    <row r="633" spans="1:33" ht="87" hidden="1" x14ac:dyDescent="0.35">
      <c r="A633" s="2828">
        <v>43924</v>
      </c>
      <c r="B633" s="2760">
        <v>2</v>
      </c>
      <c r="C633" s="817" t="s">
        <v>7842</v>
      </c>
      <c r="D633" s="2712" t="s">
        <v>10060</v>
      </c>
      <c r="E633" s="817" t="s">
        <v>7843</v>
      </c>
      <c r="F633" s="817">
        <v>1</v>
      </c>
      <c r="G633" s="817">
        <v>1</v>
      </c>
      <c r="H633" s="817"/>
      <c r="I633" s="817"/>
      <c r="J633" s="817"/>
      <c r="K633" s="817"/>
      <c r="L633" s="817"/>
      <c r="M633" s="817"/>
      <c r="N633" s="817"/>
      <c r="O633" s="817" t="s">
        <v>8148</v>
      </c>
      <c r="P633" s="2828">
        <v>43939</v>
      </c>
      <c r="Q633" s="2828"/>
      <c r="R633" s="2829" t="s">
        <v>7844</v>
      </c>
      <c r="S633" s="2770"/>
      <c r="T633" s="6" t="s">
        <v>15</v>
      </c>
      <c r="U633" s="2694">
        <v>0.61805555555555558</v>
      </c>
      <c r="V633" s="2694" t="s">
        <v>972</v>
      </c>
      <c r="W633" s="1956">
        <v>300</v>
      </c>
      <c r="X633" s="817" t="s">
        <v>257</v>
      </c>
      <c r="Y633" s="2772" t="s">
        <v>10823</v>
      </c>
      <c r="Z633" s="817"/>
      <c r="AA633" s="817"/>
      <c r="AB633" s="817" t="s">
        <v>17</v>
      </c>
      <c r="AC633" s="817" t="s">
        <v>7451</v>
      </c>
      <c r="AD633" s="2699"/>
      <c r="AG633" s="2711"/>
    </row>
    <row r="634" spans="1:33" ht="87" hidden="1" x14ac:dyDescent="0.35">
      <c r="A634" s="2486">
        <v>43925</v>
      </c>
      <c r="B634" s="2718">
        <v>3</v>
      </c>
      <c r="C634" s="7" t="s">
        <v>7997</v>
      </c>
      <c r="D634" s="2712" t="s">
        <v>10049</v>
      </c>
      <c r="E634" s="817" t="s">
        <v>7998</v>
      </c>
      <c r="F634" s="5">
        <v>1</v>
      </c>
      <c r="G634" s="5">
        <v>1</v>
      </c>
      <c r="H634" s="5"/>
      <c r="I634" s="5"/>
      <c r="J634" s="5"/>
      <c r="K634" s="5"/>
      <c r="L634" s="5"/>
      <c r="M634" s="5"/>
      <c r="N634" s="5"/>
      <c r="O634" s="5" t="s">
        <v>8148</v>
      </c>
      <c r="P634" s="2486">
        <v>43939</v>
      </c>
      <c r="Q634" s="2486"/>
      <c r="R634" s="824" t="s">
        <v>7999</v>
      </c>
      <c r="S634" s="824"/>
      <c r="T634" s="6" t="s">
        <v>15</v>
      </c>
      <c r="U634" s="6">
        <v>0.62638888888888888</v>
      </c>
      <c r="V634" s="2694" t="s">
        <v>15</v>
      </c>
      <c r="W634" s="1956">
        <v>300</v>
      </c>
      <c r="X634" s="817" t="s">
        <v>257</v>
      </c>
      <c r="Y634" s="2772" t="s">
        <v>10823</v>
      </c>
      <c r="Z634" s="817"/>
      <c r="AA634" s="817"/>
      <c r="AB634" s="817" t="s">
        <v>17</v>
      </c>
      <c r="AC634" s="817" t="s">
        <v>7451</v>
      </c>
      <c r="AD634" s="2699"/>
      <c r="AG634" s="2711"/>
    </row>
    <row r="635" spans="1:33" ht="87" hidden="1" x14ac:dyDescent="0.35">
      <c r="A635" s="2769">
        <v>43926</v>
      </c>
      <c r="B635" s="2760">
        <v>4</v>
      </c>
      <c r="C635" s="2769" t="s">
        <v>8069</v>
      </c>
      <c r="D635" s="2712" t="s">
        <v>10041</v>
      </c>
      <c r="E635" s="817" t="s">
        <v>8070</v>
      </c>
      <c r="F635" s="817">
        <v>1</v>
      </c>
      <c r="G635" s="817">
        <v>1</v>
      </c>
      <c r="H635" s="817"/>
      <c r="I635" s="817"/>
      <c r="J635" s="817"/>
      <c r="K635" s="817"/>
      <c r="L635" s="817"/>
      <c r="M635" s="817"/>
      <c r="N635" s="817"/>
      <c r="O635" s="817" t="s">
        <v>8148</v>
      </c>
      <c r="P635" s="2769">
        <v>43939</v>
      </c>
      <c r="Q635" s="2769"/>
      <c r="R635" s="2770" t="s">
        <v>8071</v>
      </c>
      <c r="S635" s="2770"/>
      <c r="T635" s="6" t="s">
        <v>15</v>
      </c>
      <c r="U635" s="2694">
        <v>0.65416666666666667</v>
      </c>
      <c r="V635" s="2694" t="s">
        <v>972</v>
      </c>
      <c r="W635" s="1956">
        <v>300</v>
      </c>
      <c r="X635" s="2694" t="s">
        <v>257</v>
      </c>
      <c r="Y635" s="2772" t="s">
        <v>10823</v>
      </c>
      <c r="Z635" s="817"/>
      <c r="AA635" s="817"/>
      <c r="AB635" s="817" t="s">
        <v>17</v>
      </c>
      <c r="AC635" s="817" t="s">
        <v>7451</v>
      </c>
      <c r="AD635" s="2699"/>
      <c r="AG635" s="2711"/>
    </row>
    <row r="636" spans="1:33" ht="87" hidden="1" x14ac:dyDescent="0.35">
      <c r="A636" s="2486">
        <v>43931</v>
      </c>
      <c r="B636" s="2718">
        <v>5</v>
      </c>
      <c r="C636" s="5" t="s">
        <v>9428</v>
      </c>
      <c r="D636" s="2700" t="s">
        <v>9427</v>
      </c>
      <c r="E636" s="7" t="s">
        <v>9429</v>
      </c>
      <c r="F636" s="5">
        <v>1</v>
      </c>
      <c r="G636" s="5"/>
      <c r="H636" s="5"/>
      <c r="I636" s="5"/>
      <c r="J636" s="5">
        <v>1</v>
      </c>
      <c r="K636" s="5"/>
      <c r="L636" s="817"/>
      <c r="M636" s="817"/>
      <c r="N636" s="817"/>
      <c r="O636" s="817" t="s">
        <v>8148</v>
      </c>
      <c r="P636" s="2486">
        <v>43939</v>
      </c>
      <c r="Q636" s="2486"/>
      <c r="R636" s="2829" t="s">
        <v>9430</v>
      </c>
      <c r="S636" s="2770"/>
      <c r="T636" s="6" t="s">
        <v>15</v>
      </c>
      <c r="U636" s="2694">
        <v>0.66736111111111107</v>
      </c>
      <c r="V636" s="2694" t="s">
        <v>972</v>
      </c>
      <c r="W636" s="2821">
        <v>300</v>
      </c>
      <c r="X636" s="817" t="s">
        <v>2900</v>
      </c>
      <c r="Y636" s="2772" t="s">
        <v>10823</v>
      </c>
      <c r="Z636" s="817"/>
      <c r="AA636" s="817"/>
      <c r="AB636" s="817" t="s">
        <v>17</v>
      </c>
      <c r="AC636" s="817" t="s">
        <v>7451</v>
      </c>
      <c r="AD636" s="2700" t="s">
        <v>9427</v>
      </c>
      <c r="AG636" s="2711"/>
    </row>
    <row r="637" spans="1:33" ht="72.5" hidden="1" x14ac:dyDescent="0.35">
      <c r="A637" s="2657">
        <v>43935</v>
      </c>
      <c r="B637" s="2806">
        <v>6</v>
      </c>
      <c r="C637" s="2434" t="s">
        <v>7656</v>
      </c>
      <c r="D637" s="2807" t="s">
        <v>9711</v>
      </c>
      <c r="E637" s="2434" t="s">
        <v>10580</v>
      </c>
      <c r="F637" s="2434">
        <v>1</v>
      </c>
      <c r="G637" s="2434">
        <v>1</v>
      </c>
      <c r="H637" s="2434"/>
      <c r="I637" s="2434"/>
      <c r="J637" s="2434"/>
      <c r="K637" s="2434"/>
      <c r="L637" s="2434"/>
      <c r="M637" s="2434"/>
      <c r="N637" s="2434"/>
      <c r="O637" s="2434" t="s">
        <v>8148</v>
      </c>
      <c r="P637" s="2657">
        <v>43939</v>
      </c>
      <c r="Q637" s="2657"/>
      <c r="R637" s="2521" t="s">
        <v>7712</v>
      </c>
      <c r="S637" s="2521"/>
      <c r="T637" s="1927" t="s">
        <v>15</v>
      </c>
      <c r="U637" s="2670">
        <v>0.68402777777777779</v>
      </c>
      <c r="V637" s="2670" t="s">
        <v>3213</v>
      </c>
      <c r="W637" s="2658">
        <v>0</v>
      </c>
      <c r="X637" s="2434" t="s">
        <v>1870</v>
      </c>
      <c r="Y637" s="2809" t="s">
        <v>10823</v>
      </c>
      <c r="Z637" s="2434"/>
      <c r="AA637" s="2434"/>
      <c r="AB637" s="2434" t="s">
        <v>22</v>
      </c>
      <c r="AC637" s="2434" t="s">
        <v>7451</v>
      </c>
      <c r="AD637" s="2699"/>
      <c r="AG637" s="2711"/>
    </row>
    <row r="638" spans="1:33" ht="43.5" hidden="1" x14ac:dyDescent="0.35">
      <c r="A638" s="2486">
        <v>43923</v>
      </c>
      <c r="B638" s="2718">
        <v>7</v>
      </c>
      <c r="C638" s="5" t="s">
        <v>7738</v>
      </c>
      <c r="D638" s="2712" t="s">
        <v>10069</v>
      </c>
      <c r="E638" s="5" t="s">
        <v>7739</v>
      </c>
      <c r="F638" s="5"/>
      <c r="G638" s="5"/>
      <c r="H638" s="5"/>
      <c r="I638" s="5"/>
      <c r="J638" s="5"/>
      <c r="K638" s="5"/>
      <c r="L638" s="5"/>
      <c r="M638" s="5"/>
      <c r="N638" s="5"/>
      <c r="O638" s="5" t="s">
        <v>8148</v>
      </c>
      <c r="P638" s="2486">
        <v>43939</v>
      </c>
      <c r="Q638" s="2486"/>
      <c r="R638" s="824" t="s">
        <v>7740</v>
      </c>
      <c r="S638" s="824"/>
      <c r="T638" s="6" t="s">
        <v>15</v>
      </c>
      <c r="U638" s="6">
        <v>0.69930555555555562</v>
      </c>
      <c r="V638" s="2694">
        <v>0.625</v>
      </c>
      <c r="W638" s="1956">
        <v>120</v>
      </c>
      <c r="X638" s="2694" t="s">
        <v>257</v>
      </c>
      <c r="Y638" s="2772" t="s">
        <v>10823</v>
      </c>
      <c r="Z638" s="2694"/>
      <c r="AA638" s="2694"/>
      <c r="AB638" s="817" t="s">
        <v>17</v>
      </c>
      <c r="AC638" s="817" t="s">
        <v>6041</v>
      </c>
      <c r="AD638" s="2699"/>
      <c r="AG638" s="2711"/>
    </row>
    <row r="639" spans="1:33" ht="72.5" hidden="1" x14ac:dyDescent="0.35">
      <c r="A639" s="2769">
        <v>43931</v>
      </c>
      <c r="B639" s="2760">
        <v>8</v>
      </c>
      <c r="C639" s="817" t="s">
        <v>9271</v>
      </c>
      <c r="D639" s="2712" t="s">
        <v>9270</v>
      </c>
      <c r="E639" s="7" t="s">
        <v>9272</v>
      </c>
      <c r="F639" s="2682">
        <v>1</v>
      </c>
      <c r="G639" s="2682">
        <v>2</v>
      </c>
      <c r="H639" s="2682"/>
      <c r="I639" s="2682"/>
      <c r="J639" s="2682"/>
      <c r="K639" s="2682"/>
      <c r="L639" s="817"/>
      <c r="M639" s="817"/>
      <c r="N639" s="817"/>
      <c r="O639" s="817" t="s">
        <v>8148</v>
      </c>
      <c r="P639" s="2769">
        <v>43939</v>
      </c>
      <c r="Q639" s="2769"/>
      <c r="R639" s="2770" t="s">
        <v>9273</v>
      </c>
      <c r="S639" s="2770"/>
      <c r="T639" s="6" t="s">
        <v>15</v>
      </c>
      <c r="U639" s="2694">
        <v>0.71736111111111101</v>
      </c>
      <c r="V639" s="2694" t="s">
        <v>972</v>
      </c>
      <c r="W639" s="2681">
        <v>220</v>
      </c>
      <c r="X639" s="817" t="s">
        <v>2900</v>
      </c>
      <c r="Y639" s="2772" t="s">
        <v>10823</v>
      </c>
      <c r="Z639" s="817"/>
      <c r="AA639" s="817"/>
      <c r="AB639" s="817" t="s">
        <v>17</v>
      </c>
      <c r="AC639" s="817" t="s">
        <v>7451</v>
      </c>
      <c r="AD639" s="2700" t="s">
        <v>9270</v>
      </c>
      <c r="AG639" s="2711"/>
    </row>
    <row r="640" spans="1:33" ht="72.5" hidden="1" x14ac:dyDescent="0.35">
      <c r="A640" s="1899">
        <v>43935</v>
      </c>
      <c r="B640" s="2759">
        <v>1</v>
      </c>
      <c r="C640" s="7" t="s">
        <v>10678</v>
      </c>
      <c r="D640" s="2700" t="s">
        <v>10679</v>
      </c>
      <c r="E640" s="7" t="s">
        <v>10680</v>
      </c>
      <c r="F640" s="2735">
        <v>1</v>
      </c>
      <c r="G640" s="2735">
        <v>1</v>
      </c>
      <c r="H640" s="2735"/>
      <c r="I640" s="2735"/>
      <c r="J640" s="2735"/>
      <c r="K640" s="2735"/>
      <c r="L640" s="817"/>
      <c r="M640" s="817"/>
      <c r="N640" s="817"/>
      <c r="O640" s="817" t="s">
        <v>8148</v>
      </c>
      <c r="P640" s="1899">
        <v>43939</v>
      </c>
      <c r="Q640" s="2769"/>
      <c r="R640" s="2428" t="s">
        <v>10820</v>
      </c>
      <c r="S640" s="2770"/>
      <c r="T640" s="6" t="s">
        <v>15</v>
      </c>
      <c r="U640" s="836">
        <v>0.6020833333333333</v>
      </c>
      <c r="V640" s="2694" t="s">
        <v>972</v>
      </c>
      <c r="W640" s="1809">
        <v>0</v>
      </c>
      <c r="X640" s="817" t="s">
        <v>9377</v>
      </c>
      <c r="Y640" s="2772" t="s">
        <v>10829</v>
      </c>
      <c r="Z640" s="817"/>
      <c r="AA640" s="817"/>
      <c r="AB640" s="817" t="s">
        <v>17</v>
      </c>
      <c r="AC640" s="817" t="s">
        <v>7451</v>
      </c>
      <c r="AD640" s="2739"/>
      <c r="AG640" s="2711"/>
    </row>
    <row r="641" spans="1:33" ht="58" hidden="1" x14ac:dyDescent="0.35">
      <c r="A641" s="2486">
        <v>43928</v>
      </c>
      <c r="B641" s="2718">
        <v>2</v>
      </c>
      <c r="C641" s="5" t="s">
        <v>8566</v>
      </c>
      <c r="D641" s="2712" t="s">
        <v>10002</v>
      </c>
      <c r="E641" s="5" t="s">
        <v>8567</v>
      </c>
      <c r="F641" s="2679">
        <v>1</v>
      </c>
      <c r="G641" s="5">
        <v>1</v>
      </c>
      <c r="H641" s="5"/>
      <c r="I641" s="5"/>
      <c r="J641" s="5"/>
      <c r="K641" s="5"/>
      <c r="L641" s="817"/>
      <c r="M641" s="817"/>
      <c r="N641" s="817"/>
      <c r="O641" s="817" t="s">
        <v>8148</v>
      </c>
      <c r="P641" s="2486">
        <v>43939</v>
      </c>
      <c r="Q641" s="2486"/>
      <c r="R641" s="824" t="s">
        <v>8598</v>
      </c>
      <c r="S641" s="824"/>
      <c r="T641" s="6" t="s">
        <v>15</v>
      </c>
      <c r="U641" s="6">
        <v>0.61041666666666672</v>
      </c>
      <c r="V641" s="6" t="s">
        <v>3213</v>
      </c>
      <c r="W641" s="1630">
        <v>199</v>
      </c>
      <c r="X641" s="5" t="s">
        <v>257</v>
      </c>
      <c r="Y641" s="2679" t="s">
        <v>10829</v>
      </c>
      <c r="Z641" s="5"/>
      <c r="AA641" s="5"/>
      <c r="AB641" s="5" t="s">
        <v>17</v>
      </c>
      <c r="AC641" s="5" t="s">
        <v>7451</v>
      </c>
      <c r="AD641" s="2696"/>
      <c r="AG641" s="2711"/>
    </row>
    <row r="642" spans="1:33" ht="130.5" hidden="1" x14ac:dyDescent="0.35">
      <c r="A642" s="1899">
        <v>43922</v>
      </c>
      <c r="B642" s="2759">
        <v>3</v>
      </c>
      <c r="C642" s="7" t="s">
        <v>7677</v>
      </c>
      <c r="D642" s="2712" t="s">
        <v>10098</v>
      </c>
      <c r="E642" s="7" t="s">
        <v>10834</v>
      </c>
      <c r="F642" s="7">
        <v>1</v>
      </c>
      <c r="G642" s="7"/>
      <c r="H642" s="7"/>
      <c r="I642" s="7"/>
      <c r="J642" s="7">
        <v>1</v>
      </c>
      <c r="K642" s="7"/>
      <c r="L642" s="7"/>
      <c r="M642" s="7"/>
      <c r="N642" s="7"/>
      <c r="O642" s="7" t="s">
        <v>8148</v>
      </c>
      <c r="P642" s="1899">
        <v>43939</v>
      </c>
      <c r="Q642" s="1899"/>
      <c r="R642" s="881" t="s">
        <v>7678</v>
      </c>
      <c r="S642" s="881"/>
      <c r="T642" s="6" t="s">
        <v>15</v>
      </c>
      <c r="U642" s="836">
        <v>0.62222222222222223</v>
      </c>
      <c r="V642" s="2694" t="s">
        <v>3213</v>
      </c>
      <c r="W642" s="1956">
        <v>300</v>
      </c>
      <c r="X642" s="2694" t="s">
        <v>294</v>
      </c>
      <c r="Y642" s="2772" t="s">
        <v>10829</v>
      </c>
      <c r="Z642" s="817"/>
      <c r="AA642" s="817"/>
      <c r="AB642" s="817" t="s">
        <v>17</v>
      </c>
      <c r="AC642" s="817" t="s">
        <v>7451</v>
      </c>
      <c r="AD642" s="2699"/>
      <c r="AG642" s="2711"/>
    </row>
    <row r="643" spans="1:33" ht="188.5" hidden="1" x14ac:dyDescent="0.35">
      <c r="A643" s="2828">
        <v>43929</v>
      </c>
      <c r="B643" s="2760">
        <v>4</v>
      </c>
      <c r="C643" s="817" t="s">
        <v>501</v>
      </c>
      <c r="D643" s="2712" t="s">
        <v>9994</v>
      </c>
      <c r="E643" s="5" t="s">
        <v>8905</v>
      </c>
      <c r="F643" s="2682">
        <v>2</v>
      </c>
      <c r="G643" s="2682">
        <v>3</v>
      </c>
      <c r="H643" s="2682"/>
      <c r="I643" s="2682"/>
      <c r="J643" s="2682"/>
      <c r="K643" s="2682"/>
      <c r="L643" s="817"/>
      <c r="M643" s="817"/>
      <c r="N643" s="817"/>
      <c r="O643" s="817" t="s">
        <v>8148</v>
      </c>
      <c r="P643" s="2828">
        <v>43939</v>
      </c>
      <c r="Q643" s="2828"/>
      <c r="R643" s="2770" t="s">
        <v>7407</v>
      </c>
      <c r="S643" s="2770"/>
      <c r="T643" s="6" t="s">
        <v>15</v>
      </c>
      <c r="U643" s="2694">
        <v>0.63194444444444442</v>
      </c>
      <c r="V643" s="2694" t="s">
        <v>3213</v>
      </c>
      <c r="W643" s="2681">
        <v>550</v>
      </c>
      <c r="X643" s="1430" t="s">
        <v>10878</v>
      </c>
      <c r="Y643" s="2772" t="s">
        <v>10829</v>
      </c>
      <c r="Z643" s="817"/>
      <c r="AA643" s="817"/>
      <c r="AB643" s="817" t="s">
        <v>974</v>
      </c>
      <c r="AC643" s="817" t="s">
        <v>7451</v>
      </c>
      <c r="AD643" s="2695"/>
      <c r="AG643" s="2711"/>
    </row>
    <row r="644" spans="1:33" ht="101.5" hidden="1" x14ac:dyDescent="0.35">
      <c r="A644" s="2486">
        <v>43928</v>
      </c>
      <c r="B644" s="2718">
        <v>5</v>
      </c>
      <c r="C644" s="7" t="s">
        <v>8482</v>
      </c>
      <c r="D644" s="2712" t="s">
        <v>9996</v>
      </c>
      <c r="E644" s="7" t="s">
        <v>8484</v>
      </c>
      <c r="F644" s="2678">
        <v>1</v>
      </c>
      <c r="G644" s="2669">
        <v>1</v>
      </c>
      <c r="H644" s="2669"/>
      <c r="I644" s="2669"/>
      <c r="J644" s="2669"/>
      <c r="K644" s="2669"/>
      <c r="L644" s="817"/>
      <c r="M644" s="817"/>
      <c r="N644" s="817"/>
      <c r="O644" s="817" t="s">
        <v>8148</v>
      </c>
      <c r="P644" s="2486">
        <v>43939</v>
      </c>
      <c r="Q644" s="2486"/>
      <c r="R644" s="824" t="s">
        <v>8483</v>
      </c>
      <c r="S644" s="2829"/>
      <c r="T644" s="6" t="s">
        <v>15</v>
      </c>
      <c r="U644" s="6">
        <v>0.6430555555555556</v>
      </c>
      <c r="V644" s="2694" t="s">
        <v>972</v>
      </c>
      <c r="W644" s="1956">
        <v>280</v>
      </c>
      <c r="X644" s="836" t="s">
        <v>257</v>
      </c>
      <c r="Y644" s="2772" t="s">
        <v>10829</v>
      </c>
      <c r="Z644" s="817"/>
      <c r="AA644" s="817"/>
      <c r="AB644" s="7" t="s">
        <v>17</v>
      </c>
      <c r="AC644" s="817" t="s">
        <v>7451</v>
      </c>
      <c r="AD644" s="2699"/>
      <c r="AG644" s="2711"/>
    </row>
    <row r="645" spans="1:33" ht="58" hidden="1" x14ac:dyDescent="0.35">
      <c r="A645" s="1899">
        <v>43934</v>
      </c>
      <c r="B645" s="2759">
        <v>6</v>
      </c>
      <c r="C645" s="7" t="s">
        <v>10394</v>
      </c>
      <c r="D645" s="2707" t="s">
        <v>10395</v>
      </c>
      <c r="E645" s="7" t="s">
        <v>10397</v>
      </c>
      <c r="F645" s="7"/>
      <c r="G645" s="7"/>
      <c r="H645" s="7"/>
      <c r="I645" s="7"/>
      <c r="J645" s="7"/>
      <c r="K645" s="7"/>
      <c r="L645" s="817"/>
      <c r="M645" s="817"/>
      <c r="N645" s="817"/>
      <c r="O645" s="817" t="s">
        <v>8148</v>
      </c>
      <c r="P645" s="1899">
        <v>43939</v>
      </c>
      <c r="Q645" s="2828"/>
      <c r="R645" s="2708" t="s">
        <v>10396</v>
      </c>
      <c r="S645" s="2829"/>
      <c r="T645" s="6" t="s">
        <v>15</v>
      </c>
      <c r="U645" s="836">
        <v>0.65555555555555556</v>
      </c>
      <c r="V645" s="836" t="s">
        <v>972</v>
      </c>
      <c r="W645" s="1630">
        <v>270</v>
      </c>
      <c r="X645" s="7" t="s">
        <v>3173</v>
      </c>
      <c r="Y645" s="2717" t="s">
        <v>10829</v>
      </c>
      <c r="Z645" s="7"/>
      <c r="AA645" s="7"/>
      <c r="AB645" s="7" t="s">
        <v>17</v>
      </c>
      <c r="AC645" s="7" t="s">
        <v>7451</v>
      </c>
      <c r="AD645" s="2696"/>
      <c r="AG645" s="2711"/>
    </row>
    <row r="646" spans="1:33" ht="87" hidden="1" x14ac:dyDescent="0.35">
      <c r="A646" s="1899">
        <v>43930</v>
      </c>
      <c r="B646" s="2759">
        <v>7</v>
      </c>
      <c r="C646" s="7" t="s">
        <v>8975</v>
      </c>
      <c r="D646" s="2712" t="s">
        <v>9987</v>
      </c>
      <c r="E646" s="5" t="s">
        <v>8976</v>
      </c>
      <c r="F646" s="5">
        <v>1</v>
      </c>
      <c r="G646" s="5">
        <v>1</v>
      </c>
      <c r="H646" s="5"/>
      <c r="I646" s="5"/>
      <c r="J646" s="5"/>
      <c r="K646" s="5"/>
      <c r="L646" s="817"/>
      <c r="M646" s="817"/>
      <c r="N646" s="817"/>
      <c r="O646" s="817" t="s">
        <v>8148</v>
      </c>
      <c r="P646" s="1899">
        <v>43939</v>
      </c>
      <c r="Q646" s="1899"/>
      <c r="R646" s="881" t="s">
        <v>8977</v>
      </c>
      <c r="S646" s="2770"/>
      <c r="T646" s="6" t="s">
        <v>15</v>
      </c>
      <c r="U646" s="6">
        <v>0.67152777777777783</v>
      </c>
      <c r="V646" s="2694" t="s">
        <v>972</v>
      </c>
      <c r="W646" s="1956">
        <v>300</v>
      </c>
      <c r="X646" s="836" t="s">
        <v>8625</v>
      </c>
      <c r="Y646" s="2772" t="s">
        <v>10829</v>
      </c>
      <c r="Z646" s="817"/>
      <c r="AA646" s="817"/>
      <c r="AB646" s="7" t="s">
        <v>17</v>
      </c>
      <c r="AC646" s="817" t="s">
        <v>7451</v>
      </c>
      <c r="AD646" s="2700"/>
      <c r="AG646" s="2711"/>
    </row>
    <row r="647" spans="1:33" ht="58" hidden="1" x14ac:dyDescent="0.35">
      <c r="A647" s="2486">
        <v>43925</v>
      </c>
      <c r="B647" s="2718">
        <v>8</v>
      </c>
      <c r="C647" s="7" t="s">
        <v>8051</v>
      </c>
      <c r="D647" s="2712" t="s">
        <v>10201</v>
      </c>
      <c r="E647" s="817" t="s">
        <v>8052</v>
      </c>
      <c r="F647" s="5">
        <v>1</v>
      </c>
      <c r="G647" s="5"/>
      <c r="H647" s="5"/>
      <c r="I647" s="5"/>
      <c r="J647" s="5">
        <v>1</v>
      </c>
      <c r="K647" s="5"/>
      <c r="L647" s="5"/>
      <c r="M647" s="5"/>
      <c r="N647" s="5"/>
      <c r="O647" s="5" t="s">
        <v>8148</v>
      </c>
      <c r="P647" s="2486">
        <v>43939</v>
      </c>
      <c r="Q647" s="2486"/>
      <c r="R647" s="824" t="s">
        <v>8053</v>
      </c>
      <c r="S647" s="824"/>
      <c r="T647" s="6" t="s">
        <v>15</v>
      </c>
      <c r="U647" s="6">
        <v>0.68125000000000002</v>
      </c>
      <c r="V647" s="2694" t="s">
        <v>972</v>
      </c>
      <c r="W647" s="1956">
        <v>180</v>
      </c>
      <c r="X647" s="2829" t="s">
        <v>257</v>
      </c>
      <c r="Y647" s="2772" t="s">
        <v>10829</v>
      </c>
      <c r="Z647" s="2829"/>
      <c r="AA647" s="2829"/>
      <c r="AB647" s="2829" t="s">
        <v>17</v>
      </c>
      <c r="AC647" s="2829" t="s">
        <v>7451</v>
      </c>
      <c r="AD647" s="2696" t="s">
        <v>8773</v>
      </c>
      <c r="AG647" s="2711"/>
    </row>
    <row r="648" spans="1:33" ht="72.5" hidden="1" x14ac:dyDescent="0.35">
      <c r="A648" s="2828">
        <v>43931</v>
      </c>
      <c r="B648" s="2760">
        <v>9</v>
      </c>
      <c r="C648" s="817" t="s">
        <v>9138</v>
      </c>
      <c r="D648" s="2712" t="s">
        <v>9137</v>
      </c>
      <c r="E648" s="7" t="s">
        <v>9139</v>
      </c>
      <c r="F648" s="2682">
        <v>1</v>
      </c>
      <c r="G648" s="2682">
        <v>1</v>
      </c>
      <c r="H648" s="2682"/>
      <c r="I648" s="2682"/>
      <c r="J648" s="2682"/>
      <c r="K648" s="2682"/>
      <c r="L648" s="817"/>
      <c r="M648" s="817"/>
      <c r="N648" s="817"/>
      <c r="O648" s="817" t="s">
        <v>8148</v>
      </c>
      <c r="P648" s="2828">
        <v>43939</v>
      </c>
      <c r="Q648" s="2828"/>
      <c r="R648" s="2829" t="s">
        <v>9140</v>
      </c>
      <c r="S648" s="2829"/>
      <c r="T648" s="6" t="s">
        <v>15</v>
      </c>
      <c r="U648" s="2694">
        <v>0.69444444444444453</v>
      </c>
      <c r="V648" s="2694" t="s">
        <v>972</v>
      </c>
      <c r="W648" s="2681">
        <v>300</v>
      </c>
      <c r="X648" s="817" t="s">
        <v>2900</v>
      </c>
      <c r="Y648" s="2772" t="s">
        <v>10829</v>
      </c>
      <c r="Z648" s="817"/>
      <c r="AA648" s="817"/>
      <c r="AB648" s="817" t="s">
        <v>17</v>
      </c>
      <c r="AC648" s="817" t="s">
        <v>7451</v>
      </c>
      <c r="AD648" s="2700" t="s">
        <v>9137</v>
      </c>
      <c r="AG648" s="2711"/>
    </row>
    <row r="649" spans="1:33" ht="72.5" hidden="1" x14ac:dyDescent="0.35">
      <c r="A649" s="2828">
        <v>43927</v>
      </c>
      <c r="B649" s="2760">
        <v>10</v>
      </c>
      <c r="C649" s="817" t="s">
        <v>8221</v>
      </c>
      <c r="D649" s="2712" t="s">
        <v>10011</v>
      </c>
      <c r="E649" s="817" t="s">
        <v>10734</v>
      </c>
      <c r="F649" s="5">
        <v>1</v>
      </c>
      <c r="G649" s="5">
        <v>1</v>
      </c>
      <c r="H649" s="5"/>
      <c r="I649" s="5"/>
      <c r="J649" s="5"/>
      <c r="K649" s="5"/>
      <c r="L649" s="817"/>
      <c r="M649" s="817"/>
      <c r="N649" s="817"/>
      <c r="O649" s="817" t="s">
        <v>8148</v>
      </c>
      <c r="P649" s="2828">
        <v>43939</v>
      </c>
      <c r="Q649" s="2828"/>
      <c r="R649" s="2829" t="s">
        <v>8319</v>
      </c>
      <c r="S649" s="2829"/>
      <c r="T649" s="6" t="s">
        <v>15</v>
      </c>
      <c r="U649" s="2694">
        <v>0.70347222222222217</v>
      </c>
      <c r="V649" s="2694" t="s">
        <v>3213</v>
      </c>
      <c r="W649" s="1956">
        <v>300</v>
      </c>
      <c r="X649" s="817" t="s">
        <v>8268</v>
      </c>
      <c r="Y649" s="2772" t="s">
        <v>10829</v>
      </c>
      <c r="Z649" s="817"/>
      <c r="AA649" s="817"/>
      <c r="AB649" s="817" t="s">
        <v>17</v>
      </c>
      <c r="AC649" s="817" t="s">
        <v>7451</v>
      </c>
      <c r="AD649" s="2699"/>
      <c r="AG649" s="2711"/>
    </row>
    <row r="650" spans="1:33" ht="87" hidden="1" x14ac:dyDescent="0.35">
      <c r="A650" s="1899">
        <v>43932</v>
      </c>
      <c r="B650" s="2759">
        <v>11</v>
      </c>
      <c r="C650" s="817" t="s">
        <v>9565</v>
      </c>
      <c r="D650" s="2700" t="s">
        <v>9566</v>
      </c>
      <c r="E650" s="7" t="s">
        <v>9568</v>
      </c>
      <c r="F650" s="5">
        <v>1</v>
      </c>
      <c r="G650" s="5">
        <v>1</v>
      </c>
      <c r="H650" s="5"/>
      <c r="I650" s="5"/>
      <c r="J650" s="5"/>
      <c r="K650" s="5"/>
      <c r="L650" s="817"/>
      <c r="M650" s="817"/>
      <c r="N650" s="817"/>
      <c r="O650" s="817" t="s">
        <v>8148</v>
      </c>
      <c r="P650" s="2769">
        <v>43939</v>
      </c>
      <c r="Q650" s="2769"/>
      <c r="R650" s="2706" t="s">
        <v>9567</v>
      </c>
      <c r="S650" s="2770"/>
      <c r="T650" s="6" t="s">
        <v>15</v>
      </c>
      <c r="U650" s="836">
        <v>0.71458333333333324</v>
      </c>
      <c r="V650" s="836" t="s">
        <v>972</v>
      </c>
      <c r="W650" s="2681">
        <v>300</v>
      </c>
      <c r="X650" s="817" t="s">
        <v>2900</v>
      </c>
      <c r="Y650" s="2772" t="s">
        <v>10829</v>
      </c>
      <c r="Z650" s="817"/>
      <c r="AA650" s="817"/>
      <c r="AB650" s="817" t="s">
        <v>17</v>
      </c>
      <c r="AC650" s="817" t="s">
        <v>7451</v>
      </c>
      <c r="AD650" s="2696"/>
      <c r="AG650" s="2711"/>
    </row>
    <row r="651" spans="1:33" ht="87" hidden="1" x14ac:dyDescent="0.35">
      <c r="A651" s="2486">
        <v>43924</v>
      </c>
      <c r="B651" s="2718">
        <v>12</v>
      </c>
      <c r="C651" s="5" t="s">
        <v>7940</v>
      </c>
      <c r="D651" s="2712" t="s">
        <v>10155</v>
      </c>
      <c r="E651" s="5" t="s">
        <v>7939</v>
      </c>
      <c r="F651" s="5">
        <v>1</v>
      </c>
      <c r="G651" s="5"/>
      <c r="H651" s="5">
        <v>1</v>
      </c>
      <c r="I651" s="5"/>
      <c r="J651" s="5"/>
      <c r="K651" s="5"/>
      <c r="L651" s="5"/>
      <c r="M651" s="5"/>
      <c r="N651" s="5"/>
      <c r="O651" s="5" t="s">
        <v>8148</v>
      </c>
      <c r="P651" s="2486">
        <v>43939</v>
      </c>
      <c r="Q651" s="2486"/>
      <c r="R651" s="824" t="s">
        <v>7941</v>
      </c>
      <c r="S651" s="824"/>
      <c r="T651" s="6" t="s">
        <v>15</v>
      </c>
      <c r="U651" s="6">
        <v>0.72291666666666676</v>
      </c>
      <c r="V651" s="2694" t="s">
        <v>3213</v>
      </c>
      <c r="W651" s="2627">
        <v>300</v>
      </c>
      <c r="X651" s="2694" t="s">
        <v>257</v>
      </c>
      <c r="Y651" s="2772" t="s">
        <v>10829</v>
      </c>
      <c r="Z651" s="2694"/>
      <c r="AA651" s="2694"/>
      <c r="AB651" s="817" t="s">
        <v>17</v>
      </c>
      <c r="AC651" s="817" t="s">
        <v>7451</v>
      </c>
      <c r="AD651" s="2699"/>
      <c r="AG651" s="2711"/>
    </row>
    <row r="652" spans="1:33" ht="72.5" hidden="1" x14ac:dyDescent="0.35">
      <c r="A652" s="1899">
        <v>43932</v>
      </c>
      <c r="B652" s="2759">
        <v>1</v>
      </c>
      <c r="C652" s="817" t="s">
        <v>9569</v>
      </c>
      <c r="D652" s="2700" t="s">
        <v>9570</v>
      </c>
      <c r="E652" s="7" t="s">
        <v>9571</v>
      </c>
      <c r="F652" s="5">
        <v>1</v>
      </c>
      <c r="G652" s="5">
        <v>1</v>
      </c>
      <c r="H652" s="5"/>
      <c r="I652" s="5"/>
      <c r="J652" s="5"/>
      <c r="K652" s="5"/>
      <c r="L652" s="817"/>
      <c r="M652" s="817"/>
      <c r="N652" s="817"/>
      <c r="O652" s="817" t="s">
        <v>8148</v>
      </c>
      <c r="P652" s="2828">
        <v>43939</v>
      </c>
      <c r="Q652" s="2769"/>
      <c r="R652" s="2706" t="s">
        <v>9572</v>
      </c>
      <c r="S652" s="2770"/>
      <c r="T652" s="6" t="s">
        <v>15</v>
      </c>
      <c r="U652" s="836">
        <v>0.59861111111111109</v>
      </c>
      <c r="V652" s="836" t="s">
        <v>972</v>
      </c>
      <c r="W652" s="1956">
        <v>300</v>
      </c>
      <c r="X652" s="817" t="s">
        <v>8625</v>
      </c>
      <c r="Y652" s="2772" t="s">
        <v>10828</v>
      </c>
      <c r="Z652" s="817"/>
      <c r="AA652" s="817"/>
      <c r="AB652" s="817" t="s">
        <v>17</v>
      </c>
      <c r="AC652" s="817" t="s">
        <v>7451</v>
      </c>
      <c r="AD652" s="2696"/>
      <c r="AG652" s="2711"/>
    </row>
    <row r="653" spans="1:33" ht="72.5" hidden="1" x14ac:dyDescent="0.35">
      <c r="A653" s="2486">
        <v>43935</v>
      </c>
      <c r="B653" s="2718">
        <v>2</v>
      </c>
      <c r="C653" s="7" t="s">
        <v>10601</v>
      </c>
      <c r="D653" s="2700" t="s">
        <v>10602</v>
      </c>
      <c r="E653" s="7" t="s">
        <v>10592</v>
      </c>
      <c r="F653" s="2740">
        <v>1</v>
      </c>
      <c r="G653" s="2741">
        <v>1</v>
      </c>
      <c r="H653" s="2741"/>
      <c r="I653" s="2741"/>
      <c r="J653" s="2741"/>
      <c r="K653" s="2741"/>
      <c r="L653" s="817"/>
      <c r="M653" s="817"/>
      <c r="N653" s="817"/>
      <c r="O653" s="817" t="s">
        <v>8148</v>
      </c>
      <c r="P653" s="2486">
        <v>43939</v>
      </c>
      <c r="Q653" s="2828"/>
      <c r="R653" s="824" t="s">
        <v>10603</v>
      </c>
      <c r="S653" s="2770"/>
      <c r="T653" s="6" t="s">
        <v>15</v>
      </c>
      <c r="U653" s="6">
        <v>0.60555555555555551</v>
      </c>
      <c r="V653" s="2694" t="s">
        <v>972</v>
      </c>
      <c r="W653" s="1956">
        <v>100</v>
      </c>
      <c r="X653" s="2694" t="s">
        <v>10945</v>
      </c>
      <c r="Y653" s="2772" t="s">
        <v>10828</v>
      </c>
      <c r="Z653" s="817"/>
      <c r="AA653" s="817"/>
      <c r="AB653" s="817" t="s">
        <v>17</v>
      </c>
      <c r="AC653" s="817" t="s">
        <v>7451</v>
      </c>
      <c r="AD653" s="2739"/>
      <c r="AG653" s="2711"/>
    </row>
    <row r="654" spans="1:33" ht="87" hidden="1" x14ac:dyDescent="0.35">
      <c r="A654" s="2486">
        <v>43923</v>
      </c>
      <c r="B654" s="2718">
        <v>3</v>
      </c>
      <c r="C654" s="5" t="s">
        <v>7759</v>
      </c>
      <c r="D654" s="2712" t="s">
        <v>10066</v>
      </c>
      <c r="E654" s="5" t="s">
        <v>7760</v>
      </c>
      <c r="F654" s="5">
        <v>1</v>
      </c>
      <c r="G654" s="5">
        <v>1</v>
      </c>
      <c r="H654" s="5"/>
      <c r="I654" s="5"/>
      <c r="J654" s="5"/>
      <c r="K654" s="5"/>
      <c r="L654" s="5"/>
      <c r="M654" s="5"/>
      <c r="N654" s="5"/>
      <c r="O654" s="5" t="s">
        <v>8148</v>
      </c>
      <c r="P654" s="2486">
        <v>43939</v>
      </c>
      <c r="Q654" s="2486"/>
      <c r="R654" s="824" t="s">
        <v>7761</v>
      </c>
      <c r="S654" s="824"/>
      <c r="T654" s="6" t="s">
        <v>15</v>
      </c>
      <c r="U654" s="6">
        <v>0.6166666666666667</v>
      </c>
      <c r="V654" s="2694" t="s">
        <v>7762</v>
      </c>
      <c r="W654" s="1956">
        <v>280</v>
      </c>
      <c r="X654" s="2694" t="s">
        <v>257</v>
      </c>
      <c r="Y654" s="2772" t="s">
        <v>10828</v>
      </c>
      <c r="Z654" s="2694"/>
      <c r="AA654" s="2694"/>
      <c r="AB654" s="817" t="s">
        <v>17</v>
      </c>
      <c r="AC654" s="817" t="s">
        <v>7451</v>
      </c>
      <c r="AD654" s="2699"/>
      <c r="AG654" s="2711"/>
    </row>
    <row r="655" spans="1:33" ht="188.5" hidden="1" x14ac:dyDescent="0.35">
      <c r="A655" s="1899">
        <v>43920</v>
      </c>
      <c r="B655" s="2759">
        <v>4</v>
      </c>
      <c r="C655" s="7" t="s">
        <v>7571</v>
      </c>
      <c r="D655" s="2712" t="s">
        <v>10215</v>
      </c>
      <c r="E655" s="7" t="s">
        <v>7572</v>
      </c>
      <c r="F655" s="7"/>
      <c r="G655" s="7"/>
      <c r="H655" s="7"/>
      <c r="I655" s="7"/>
      <c r="J655" s="7"/>
      <c r="K655" s="7"/>
      <c r="L655" s="7"/>
      <c r="M655" s="7"/>
      <c r="N655" s="7"/>
      <c r="O655" s="7" t="s">
        <v>8148</v>
      </c>
      <c r="P655" s="1899">
        <v>43939</v>
      </c>
      <c r="Q655" s="1899"/>
      <c r="R655" s="881" t="s">
        <v>7570</v>
      </c>
      <c r="S655" s="881"/>
      <c r="T655" s="6" t="s">
        <v>15</v>
      </c>
      <c r="U655" s="836">
        <v>0.62569444444444444</v>
      </c>
      <c r="V655" s="836" t="s">
        <v>972</v>
      </c>
      <c r="W655" s="1100">
        <v>0</v>
      </c>
      <c r="X655" s="817" t="s">
        <v>7573</v>
      </c>
      <c r="Y655" s="2772" t="s">
        <v>10828</v>
      </c>
      <c r="Z655" s="817"/>
      <c r="AA655" s="817"/>
      <c r="AB655" s="7" t="s">
        <v>17</v>
      </c>
      <c r="AC655" s="817" t="s">
        <v>2084</v>
      </c>
      <c r="AD655" s="2699"/>
      <c r="AG655" s="2711"/>
    </row>
    <row r="656" spans="1:33" ht="29" hidden="1" x14ac:dyDescent="0.35">
      <c r="A656" s="1899">
        <v>43931</v>
      </c>
      <c r="B656" s="2759">
        <v>5</v>
      </c>
      <c r="C656" s="7" t="s">
        <v>9369</v>
      </c>
      <c r="D656" s="2712" t="s">
        <v>10197</v>
      </c>
      <c r="E656" s="7" t="s">
        <v>9368</v>
      </c>
      <c r="F656" s="7">
        <v>1</v>
      </c>
      <c r="G656" s="7"/>
      <c r="H656" s="7"/>
      <c r="I656" s="7"/>
      <c r="J656" s="7"/>
      <c r="K656" s="7"/>
      <c r="L656" s="817"/>
      <c r="M656" s="817"/>
      <c r="N656" s="817"/>
      <c r="O656" s="817" t="s">
        <v>8148</v>
      </c>
      <c r="P656" s="1899">
        <v>43939</v>
      </c>
      <c r="Q656" s="1899"/>
      <c r="R656" s="881" t="s">
        <v>9370</v>
      </c>
      <c r="S656" s="2770"/>
      <c r="T656" s="6" t="s">
        <v>15</v>
      </c>
      <c r="U656" s="836">
        <v>0.63541666666666663</v>
      </c>
      <c r="V656" s="2694" t="s">
        <v>972</v>
      </c>
      <c r="W656" s="2681">
        <v>130</v>
      </c>
      <c r="X656" s="817" t="s">
        <v>257</v>
      </c>
      <c r="Y656" s="2717" t="s">
        <v>10828</v>
      </c>
      <c r="Z656" s="7"/>
      <c r="AA656" s="7"/>
      <c r="AB656" s="7" t="s">
        <v>17</v>
      </c>
      <c r="AC656" s="7" t="s">
        <v>7451</v>
      </c>
      <c r="AD656" s="2696"/>
      <c r="AG656" s="2711"/>
    </row>
    <row r="657" spans="1:33" ht="72.5" hidden="1" x14ac:dyDescent="0.35">
      <c r="A657" s="2486">
        <v>43928</v>
      </c>
      <c r="B657" s="2718">
        <v>6</v>
      </c>
      <c r="C657" s="5" t="s">
        <v>7700</v>
      </c>
      <c r="D657" s="2712" t="s">
        <v>9714</v>
      </c>
      <c r="E657" s="5" t="s">
        <v>8580</v>
      </c>
      <c r="F657" s="2679">
        <v>1</v>
      </c>
      <c r="G657" s="5">
        <v>1</v>
      </c>
      <c r="H657" s="5"/>
      <c r="I657" s="5"/>
      <c r="J657" s="5"/>
      <c r="K657" s="5"/>
      <c r="L657" s="817"/>
      <c r="M657" s="817"/>
      <c r="N657" s="817"/>
      <c r="O657" s="817" t="s">
        <v>8148</v>
      </c>
      <c r="P657" s="2486">
        <v>43939</v>
      </c>
      <c r="Q657" s="2486"/>
      <c r="R657" s="824" t="s">
        <v>8608</v>
      </c>
      <c r="S657" s="824"/>
      <c r="T657" s="6" t="s">
        <v>15</v>
      </c>
      <c r="U657" s="6">
        <v>0.64583333333333337</v>
      </c>
      <c r="V657" s="6" t="s">
        <v>3213</v>
      </c>
      <c r="W657" s="1630">
        <v>300</v>
      </c>
      <c r="X657" s="5" t="s">
        <v>8592</v>
      </c>
      <c r="Y657" s="2679" t="s">
        <v>10828</v>
      </c>
      <c r="Z657" s="5"/>
      <c r="AA657" s="5"/>
      <c r="AB657" s="5" t="s">
        <v>17</v>
      </c>
      <c r="AC657" s="5" t="s">
        <v>7451</v>
      </c>
      <c r="AD657" s="2696"/>
      <c r="AG657" s="2711"/>
    </row>
    <row r="658" spans="1:33" ht="159.5" hidden="1" x14ac:dyDescent="0.35">
      <c r="A658" s="1899">
        <v>43932</v>
      </c>
      <c r="B658" s="2759">
        <v>7</v>
      </c>
      <c r="C658" s="7" t="s">
        <v>9541</v>
      </c>
      <c r="D658" s="2707" t="s">
        <v>9542</v>
      </c>
      <c r="E658" s="7" t="s">
        <v>9543</v>
      </c>
      <c r="F658" s="5"/>
      <c r="G658" s="5"/>
      <c r="H658" s="5"/>
      <c r="I658" s="5"/>
      <c r="J658" s="5"/>
      <c r="K658" s="5"/>
      <c r="L658" s="817"/>
      <c r="M658" s="817"/>
      <c r="N658" s="817"/>
      <c r="O658" s="817" t="s">
        <v>8148</v>
      </c>
      <c r="P658" s="1899">
        <v>43939</v>
      </c>
      <c r="Q658" s="2828"/>
      <c r="R658" s="2708" t="s">
        <v>9544</v>
      </c>
      <c r="S658" s="2829"/>
      <c r="T658" s="6" t="s">
        <v>15</v>
      </c>
      <c r="U658" s="836">
        <v>0.65486111111111112</v>
      </c>
      <c r="V658" s="836" t="s">
        <v>972</v>
      </c>
      <c r="W658" s="2681">
        <v>340</v>
      </c>
      <c r="X658" s="817" t="s">
        <v>2900</v>
      </c>
      <c r="Y658" s="2772" t="s">
        <v>10828</v>
      </c>
      <c r="Z658" s="817"/>
      <c r="AA658" s="817"/>
      <c r="AB658" s="817" t="s">
        <v>17</v>
      </c>
      <c r="AC658" s="817" t="s">
        <v>7451</v>
      </c>
      <c r="AD658" s="2696"/>
      <c r="AG658" s="2711"/>
    </row>
    <row r="659" spans="1:33" ht="188.5" hidden="1" x14ac:dyDescent="0.35">
      <c r="A659" s="2828">
        <v>43928</v>
      </c>
      <c r="B659" s="2760">
        <v>8</v>
      </c>
      <c r="C659" s="817" t="s">
        <v>5280</v>
      </c>
      <c r="D659" s="2712" t="s">
        <v>9712</v>
      </c>
      <c r="E659" s="817" t="s">
        <v>10833</v>
      </c>
      <c r="F659" s="2678"/>
      <c r="G659" s="2669">
        <v>3</v>
      </c>
      <c r="H659" s="2669"/>
      <c r="I659" s="2669"/>
      <c r="J659" s="2669"/>
      <c r="K659" s="2669">
        <v>1</v>
      </c>
      <c r="L659" s="817"/>
      <c r="M659" s="817"/>
      <c r="N659" s="817"/>
      <c r="O659" s="817" t="s">
        <v>8148</v>
      </c>
      <c r="P659" s="2769">
        <v>43939</v>
      </c>
      <c r="Q659" s="2769"/>
      <c r="R659" s="2829" t="s">
        <v>8517</v>
      </c>
      <c r="S659" s="2721" t="s">
        <v>8512</v>
      </c>
      <c r="T659" s="6" t="s">
        <v>15</v>
      </c>
      <c r="U659" s="2694">
        <v>0.66388888888888886</v>
      </c>
      <c r="V659" s="2694" t="s">
        <v>3213</v>
      </c>
      <c r="W659" s="1956">
        <v>450</v>
      </c>
      <c r="X659" s="2121" t="s">
        <v>10735</v>
      </c>
      <c r="Y659" s="2772" t="s">
        <v>10828</v>
      </c>
      <c r="Z659" s="817"/>
      <c r="AA659" s="817"/>
      <c r="AB659" s="817" t="s">
        <v>22</v>
      </c>
      <c r="AC659" s="817" t="s">
        <v>7451</v>
      </c>
      <c r="AD659" s="2699"/>
      <c r="AG659" s="2711"/>
    </row>
    <row r="660" spans="1:33" ht="72.5" hidden="1" x14ac:dyDescent="0.35">
      <c r="A660" s="1899">
        <v>43934</v>
      </c>
      <c r="B660" s="2759">
        <v>9</v>
      </c>
      <c r="C660" s="7" t="s">
        <v>10384</v>
      </c>
      <c r="D660" s="2700" t="s">
        <v>10385</v>
      </c>
      <c r="E660" s="7" t="s">
        <v>10383</v>
      </c>
      <c r="F660" s="2679">
        <v>1</v>
      </c>
      <c r="G660" s="5">
        <v>1</v>
      </c>
      <c r="H660" s="5"/>
      <c r="I660" s="5"/>
      <c r="J660" s="5"/>
      <c r="K660" s="5"/>
      <c r="L660" s="817"/>
      <c r="M660" s="817"/>
      <c r="N660" s="817"/>
      <c r="O660" s="817" t="s">
        <v>8148</v>
      </c>
      <c r="P660" s="1899">
        <v>43939</v>
      </c>
      <c r="Q660" s="2769"/>
      <c r="R660" s="881" t="s">
        <v>10779</v>
      </c>
      <c r="S660" s="2770"/>
      <c r="T660" s="6" t="s">
        <v>15</v>
      </c>
      <c r="U660" s="836">
        <v>0.6743055555555556</v>
      </c>
      <c r="V660" s="836" t="s">
        <v>972</v>
      </c>
      <c r="W660" s="1630">
        <v>300</v>
      </c>
      <c r="X660" s="7" t="s">
        <v>3173</v>
      </c>
      <c r="Y660" s="2717" t="s">
        <v>10828</v>
      </c>
      <c r="Z660" s="7"/>
      <c r="AA660" s="7"/>
      <c r="AB660" s="7" t="s">
        <v>17</v>
      </c>
      <c r="AC660" s="7" t="s">
        <v>7451</v>
      </c>
      <c r="AD660" s="2696"/>
      <c r="AG660" s="2711"/>
    </row>
    <row r="661" spans="1:33" ht="72.5" hidden="1" x14ac:dyDescent="0.35">
      <c r="A661" s="2486">
        <v>43928</v>
      </c>
      <c r="B661" s="2718">
        <v>10</v>
      </c>
      <c r="C661" s="7" t="s">
        <v>8445</v>
      </c>
      <c r="D661" s="2712" t="s">
        <v>10042</v>
      </c>
      <c r="E661" s="7" t="s">
        <v>8446</v>
      </c>
      <c r="F661" s="2678">
        <v>1</v>
      </c>
      <c r="G661" s="2669">
        <v>1</v>
      </c>
      <c r="H661" s="2669"/>
      <c r="I661" s="2669"/>
      <c r="J661" s="2669"/>
      <c r="K661" s="2669"/>
      <c r="L661" s="817"/>
      <c r="M661" s="817"/>
      <c r="N661" s="817"/>
      <c r="O661" s="817" t="s">
        <v>8148</v>
      </c>
      <c r="P661" s="2486">
        <v>43939</v>
      </c>
      <c r="Q661" s="2486"/>
      <c r="R661" s="824" t="s">
        <v>8447</v>
      </c>
      <c r="S661" s="2829"/>
      <c r="T661" s="6" t="s">
        <v>15</v>
      </c>
      <c r="U661" s="6">
        <v>0.68541666666666667</v>
      </c>
      <c r="V661" s="2694" t="s">
        <v>972</v>
      </c>
      <c r="W661" s="1956">
        <v>300</v>
      </c>
      <c r="X661" s="836" t="s">
        <v>257</v>
      </c>
      <c r="Y661" s="2772" t="s">
        <v>10828</v>
      </c>
      <c r="Z661" s="817"/>
      <c r="AA661" s="817"/>
      <c r="AB661" s="7" t="s">
        <v>17</v>
      </c>
      <c r="AC661" s="817" t="s">
        <v>7451</v>
      </c>
      <c r="AD661" s="2699"/>
      <c r="AG661" s="2711"/>
    </row>
    <row r="662" spans="1:33" ht="101.5" hidden="1" x14ac:dyDescent="0.35">
      <c r="A662" s="1899">
        <v>43935</v>
      </c>
      <c r="B662" s="2759">
        <v>11</v>
      </c>
      <c r="C662" s="7" t="s">
        <v>9640</v>
      </c>
      <c r="D662" s="2700" t="s">
        <v>10684</v>
      </c>
      <c r="E662" s="7" t="s">
        <v>10682</v>
      </c>
      <c r="F662" s="2735">
        <v>2</v>
      </c>
      <c r="G662" s="2735">
        <v>3</v>
      </c>
      <c r="H662" s="2735"/>
      <c r="I662" s="2735"/>
      <c r="J662" s="2735"/>
      <c r="K662" s="2735"/>
      <c r="L662" s="817"/>
      <c r="M662" s="817"/>
      <c r="N662" s="817"/>
      <c r="O662" s="817" t="s">
        <v>8148</v>
      </c>
      <c r="P662" s="1899">
        <v>43939</v>
      </c>
      <c r="Q662" s="2828"/>
      <c r="R662" s="881" t="s">
        <v>10681</v>
      </c>
      <c r="S662" s="2829"/>
      <c r="T662" s="6" t="s">
        <v>15</v>
      </c>
      <c r="U662" s="836">
        <v>0.69305555555555554</v>
      </c>
      <c r="V662" s="2694" t="s">
        <v>10683</v>
      </c>
      <c r="W662" s="2742">
        <v>600</v>
      </c>
      <c r="X662" s="817" t="s">
        <v>257</v>
      </c>
      <c r="Y662" s="2772" t="s">
        <v>10828</v>
      </c>
      <c r="Z662" s="817"/>
      <c r="AA662" s="817"/>
      <c r="AB662" s="817" t="s">
        <v>17</v>
      </c>
      <c r="AC662" s="817" t="s">
        <v>7451</v>
      </c>
      <c r="AD662" s="2739"/>
      <c r="AG662" s="2711"/>
    </row>
    <row r="663" spans="1:33" ht="72.5" hidden="1" x14ac:dyDescent="0.35">
      <c r="A663" s="2486">
        <v>43935</v>
      </c>
      <c r="B663" s="2718">
        <v>12</v>
      </c>
      <c r="C663" s="7" t="s">
        <v>1650</v>
      </c>
      <c r="D663" s="2700" t="s">
        <v>10591</v>
      </c>
      <c r="E663" s="7" t="s">
        <v>10592</v>
      </c>
      <c r="F663" s="2740">
        <v>1</v>
      </c>
      <c r="G663" s="2741">
        <v>1</v>
      </c>
      <c r="H663" s="2741"/>
      <c r="I663" s="2741"/>
      <c r="J663" s="2741"/>
      <c r="K663" s="2741"/>
      <c r="L663" s="817"/>
      <c r="M663" s="817"/>
      <c r="N663" s="817"/>
      <c r="O663" s="817" t="s">
        <v>8148</v>
      </c>
      <c r="P663" s="2486">
        <v>43939</v>
      </c>
      <c r="Q663" s="2828"/>
      <c r="R663" s="824" t="s">
        <v>10593</v>
      </c>
      <c r="S663" s="2770"/>
      <c r="T663" s="6" t="s">
        <v>15</v>
      </c>
      <c r="U663" s="6">
        <v>0.70277777777777783</v>
      </c>
      <c r="V663" s="2694" t="s">
        <v>972</v>
      </c>
      <c r="W663" s="1956">
        <v>300</v>
      </c>
      <c r="X663" s="2694" t="s">
        <v>7682</v>
      </c>
      <c r="Y663" s="2772" t="s">
        <v>10828</v>
      </c>
      <c r="Z663" s="817"/>
      <c r="AA663" s="817"/>
      <c r="AB663" s="817" t="s">
        <v>17</v>
      </c>
      <c r="AC663" s="817" t="s">
        <v>7451</v>
      </c>
      <c r="AD663" s="2739"/>
      <c r="AG663" s="2711"/>
    </row>
    <row r="664" spans="1:33" ht="58" hidden="1" x14ac:dyDescent="0.35">
      <c r="A664" s="2828">
        <v>43927</v>
      </c>
      <c r="B664" s="2760">
        <v>13</v>
      </c>
      <c r="C664" s="817" t="s">
        <v>8357</v>
      </c>
      <c r="D664" s="2712" t="s">
        <v>9999</v>
      </c>
      <c r="E664" s="817" t="s">
        <v>8355</v>
      </c>
      <c r="F664" s="5">
        <v>1</v>
      </c>
      <c r="G664" s="5">
        <v>1</v>
      </c>
      <c r="H664" s="5"/>
      <c r="I664" s="5"/>
      <c r="J664" s="5"/>
      <c r="K664" s="5"/>
      <c r="L664" s="817"/>
      <c r="M664" s="817"/>
      <c r="N664" s="817"/>
      <c r="O664" s="817" t="s">
        <v>8148</v>
      </c>
      <c r="P664" s="2828">
        <v>43939</v>
      </c>
      <c r="Q664" s="2828"/>
      <c r="R664" s="2829" t="s">
        <v>8356</v>
      </c>
      <c r="S664" s="2829"/>
      <c r="T664" s="6" t="s">
        <v>15</v>
      </c>
      <c r="U664" s="2694">
        <v>0.71388888888888891</v>
      </c>
      <c r="V664" s="2694" t="s">
        <v>3213</v>
      </c>
      <c r="W664" s="1956">
        <v>199</v>
      </c>
      <c r="X664" s="817" t="s">
        <v>257</v>
      </c>
      <c r="Y664" s="2772" t="s">
        <v>10828</v>
      </c>
      <c r="Z664" s="817"/>
      <c r="AA664" s="817"/>
      <c r="AB664" s="817" t="s">
        <v>17</v>
      </c>
      <c r="AC664" s="817" t="s">
        <v>7451</v>
      </c>
      <c r="AD664" s="2699"/>
      <c r="AG664" s="2711"/>
    </row>
    <row r="665" spans="1:33" ht="58" hidden="1" x14ac:dyDescent="0.35">
      <c r="A665" s="2828">
        <v>43929</v>
      </c>
      <c r="B665" s="2760">
        <v>14</v>
      </c>
      <c r="C665" s="817" t="s">
        <v>8630</v>
      </c>
      <c r="D665" s="2712" t="s">
        <v>10017</v>
      </c>
      <c r="E665" s="7" t="s">
        <v>8632</v>
      </c>
      <c r="F665" s="2682">
        <v>2</v>
      </c>
      <c r="G665" s="2682"/>
      <c r="H665" s="2682"/>
      <c r="I665" s="2682">
        <v>2</v>
      </c>
      <c r="J665" s="2682"/>
      <c r="K665" s="2682"/>
      <c r="L665" s="817"/>
      <c r="M665" s="817"/>
      <c r="N665" s="817"/>
      <c r="O665" s="817" t="s">
        <v>8148</v>
      </c>
      <c r="P665" s="2828">
        <v>43939</v>
      </c>
      <c r="Q665" s="2736"/>
      <c r="R665" s="2829" t="s">
        <v>8631</v>
      </c>
      <c r="S665" s="2737"/>
      <c r="T665" s="6" t="s">
        <v>15</v>
      </c>
      <c r="U665" s="6">
        <v>0.72361111111111109</v>
      </c>
      <c r="V665" s="2694" t="s">
        <v>972</v>
      </c>
      <c r="W665" s="1956">
        <v>299</v>
      </c>
      <c r="X665" s="836" t="s">
        <v>8625</v>
      </c>
      <c r="Y665" s="2772" t="s">
        <v>10828</v>
      </c>
      <c r="Z665" s="817"/>
      <c r="AA665" s="817"/>
      <c r="AB665" s="7" t="s">
        <v>17</v>
      </c>
      <c r="AC665" s="817" t="s">
        <v>7451</v>
      </c>
      <c r="AD665" s="2700"/>
      <c r="AG665" s="2711"/>
    </row>
    <row r="666" spans="1:33" ht="58" hidden="1" x14ac:dyDescent="0.35">
      <c r="A666" s="2486">
        <v>43930</v>
      </c>
      <c r="B666" s="2718">
        <v>1</v>
      </c>
      <c r="C666" s="5" t="s">
        <v>8774</v>
      </c>
      <c r="D666" s="2712" t="s">
        <v>10084</v>
      </c>
      <c r="E666" s="817" t="s">
        <v>8873</v>
      </c>
      <c r="F666" s="2686">
        <v>1</v>
      </c>
      <c r="G666" s="2682"/>
      <c r="H666" s="2682">
        <v>1</v>
      </c>
      <c r="I666" s="2682"/>
      <c r="J666" s="2682"/>
      <c r="K666" s="2682"/>
      <c r="L666" s="817"/>
      <c r="M666" s="817"/>
      <c r="N666" s="817"/>
      <c r="O666" s="817" t="s">
        <v>8148</v>
      </c>
      <c r="P666" s="2486">
        <v>43939</v>
      </c>
      <c r="Q666" s="2486"/>
      <c r="R666" s="824" t="s">
        <v>8775</v>
      </c>
      <c r="S666" s="2770"/>
      <c r="T666" s="6" t="s">
        <v>15</v>
      </c>
      <c r="U666" s="6">
        <v>0.6</v>
      </c>
      <c r="V666" s="2694" t="s">
        <v>972</v>
      </c>
      <c r="W666" s="1956">
        <v>140</v>
      </c>
      <c r="X666" s="836" t="s">
        <v>257</v>
      </c>
      <c r="Y666" s="2772" t="s">
        <v>10830</v>
      </c>
      <c r="Z666" s="817"/>
      <c r="AA666" s="817"/>
      <c r="AB666" s="7" t="s">
        <v>17</v>
      </c>
      <c r="AC666" s="817" t="s">
        <v>7451</v>
      </c>
      <c r="AD666" s="2700"/>
      <c r="AG666" s="2711"/>
    </row>
    <row r="667" spans="1:33" ht="43.5" hidden="1" x14ac:dyDescent="0.35">
      <c r="A667" s="2486">
        <v>43935</v>
      </c>
      <c r="B667" s="2718">
        <v>2</v>
      </c>
      <c r="C667" s="7" t="s">
        <v>7926</v>
      </c>
      <c r="D667" s="2712" t="s">
        <v>9718</v>
      </c>
      <c r="E667" s="817" t="s">
        <v>10660</v>
      </c>
      <c r="F667" s="2741"/>
      <c r="G667" s="2741"/>
      <c r="H667" s="2741"/>
      <c r="I667" s="2741"/>
      <c r="J667" s="2741"/>
      <c r="K667" s="2741"/>
      <c r="L667" s="817"/>
      <c r="M667" s="817"/>
      <c r="N667" s="817"/>
      <c r="O667" s="817" t="s">
        <v>8148</v>
      </c>
      <c r="P667" s="2486">
        <v>43939</v>
      </c>
      <c r="Q667" s="2769"/>
      <c r="R667" s="824" t="s">
        <v>7928</v>
      </c>
      <c r="S667" s="824"/>
      <c r="T667" s="6" t="s">
        <v>15</v>
      </c>
      <c r="U667" s="6">
        <v>0.6069444444444444</v>
      </c>
      <c r="V667" s="2694" t="s">
        <v>3213</v>
      </c>
      <c r="W667" s="2742">
        <f>1.6*80</f>
        <v>128</v>
      </c>
      <c r="X667" s="817" t="s">
        <v>257</v>
      </c>
      <c r="Y667" s="2772" t="s">
        <v>10830</v>
      </c>
      <c r="Z667" s="817"/>
      <c r="AA667" s="817"/>
      <c r="AB667" s="817" t="s">
        <v>17</v>
      </c>
      <c r="AC667" s="817" t="s">
        <v>7451</v>
      </c>
      <c r="AD667" s="2739"/>
      <c r="AG667" s="2711"/>
    </row>
    <row r="668" spans="1:33" ht="87" hidden="1" x14ac:dyDescent="0.35">
      <c r="A668" s="2828">
        <v>43931</v>
      </c>
      <c r="B668" s="2760">
        <v>3</v>
      </c>
      <c r="C668" s="817" t="s">
        <v>9010</v>
      </c>
      <c r="D668" s="2712" t="s">
        <v>10200</v>
      </c>
      <c r="E668" s="7" t="s">
        <v>9009</v>
      </c>
      <c r="F668" s="5">
        <v>1</v>
      </c>
      <c r="G668" s="5">
        <v>1</v>
      </c>
      <c r="H668" s="5"/>
      <c r="I668" s="5"/>
      <c r="J668" s="5"/>
      <c r="K668" s="5"/>
      <c r="L668" s="817"/>
      <c r="M668" s="817"/>
      <c r="N668" s="817"/>
      <c r="O668" s="817" t="s">
        <v>8148</v>
      </c>
      <c r="P668" s="2828">
        <v>43939</v>
      </c>
      <c r="Q668" s="2828"/>
      <c r="R668" s="2829" t="s">
        <v>9011</v>
      </c>
      <c r="S668" s="2770"/>
      <c r="T668" s="6" t="s">
        <v>15</v>
      </c>
      <c r="U668" s="2694">
        <v>0.61597222222222225</v>
      </c>
      <c r="V668" s="2694" t="s">
        <v>3213</v>
      </c>
      <c r="W668" s="1956">
        <v>300</v>
      </c>
      <c r="X668" s="817" t="s">
        <v>257</v>
      </c>
      <c r="Y668" s="2772" t="s">
        <v>10830</v>
      </c>
      <c r="Z668" s="817"/>
      <c r="AA668" s="817"/>
      <c r="AB668" s="817" t="s">
        <v>17</v>
      </c>
      <c r="AC668" s="817" t="s">
        <v>7451</v>
      </c>
      <c r="AD668" s="2696"/>
      <c r="AG668" s="2711"/>
    </row>
    <row r="669" spans="1:33" ht="87" hidden="1" x14ac:dyDescent="0.35">
      <c r="A669" s="2828">
        <v>43924</v>
      </c>
      <c r="B669" s="2760">
        <v>4</v>
      </c>
      <c r="C669" s="817" t="s">
        <v>7850</v>
      </c>
      <c r="D669" s="2712" t="s">
        <v>10057</v>
      </c>
      <c r="E669" s="817" t="s">
        <v>7851</v>
      </c>
      <c r="F669" s="817">
        <v>1</v>
      </c>
      <c r="G669" s="817">
        <v>1</v>
      </c>
      <c r="H669" s="817"/>
      <c r="I669" s="817"/>
      <c r="J669" s="817"/>
      <c r="K669" s="817"/>
      <c r="L669" s="817"/>
      <c r="M669" s="817"/>
      <c r="N669" s="817"/>
      <c r="O669" s="817" t="s">
        <v>8148</v>
      </c>
      <c r="P669" s="2828">
        <v>43939</v>
      </c>
      <c r="Q669" s="2769"/>
      <c r="R669" s="2829" t="s">
        <v>7852</v>
      </c>
      <c r="S669" s="2770"/>
      <c r="T669" s="6" t="s">
        <v>15</v>
      </c>
      <c r="U669" s="2694">
        <v>0.62986111111111109</v>
      </c>
      <c r="V669" s="2694" t="s">
        <v>972</v>
      </c>
      <c r="W669" s="1956">
        <v>300</v>
      </c>
      <c r="X669" s="817" t="s">
        <v>7634</v>
      </c>
      <c r="Y669" s="2772" t="s">
        <v>10830</v>
      </c>
      <c r="Z669" s="817"/>
      <c r="AA669" s="817"/>
      <c r="AB669" s="817" t="s">
        <v>17</v>
      </c>
      <c r="AC669" s="817" t="s">
        <v>7451</v>
      </c>
      <c r="AD669" s="2699"/>
      <c r="AG669" s="2711"/>
    </row>
    <row r="670" spans="1:33" ht="72.5" hidden="1" x14ac:dyDescent="0.35">
      <c r="A670" s="2486">
        <v>43931</v>
      </c>
      <c r="B670" s="2718">
        <v>5</v>
      </c>
      <c r="C670" s="5" t="s">
        <v>9327</v>
      </c>
      <c r="D670" s="2700" t="s">
        <v>9326</v>
      </c>
      <c r="E670" s="7" t="s">
        <v>9328</v>
      </c>
      <c r="F670" s="5">
        <v>1</v>
      </c>
      <c r="G670" s="5">
        <v>1</v>
      </c>
      <c r="H670" s="5"/>
      <c r="I670" s="5"/>
      <c r="J670" s="5"/>
      <c r="K670" s="5"/>
      <c r="L670" s="817"/>
      <c r="M670" s="817"/>
      <c r="N670" s="817"/>
      <c r="O670" s="817" t="s">
        <v>8148</v>
      </c>
      <c r="P670" s="2486">
        <v>43939</v>
      </c>
      <c r="Q670" s="2486"/>
      <c r="R670" s="2829" t="s">
        <v>9329</v>
      </c>
      <c r="S670" s="2770"/>
      <c r="T670" s="6" t="s">
        <v>15</v>
      </c>
      <c r="U670" s="2694">
        <v>0.64236111111111105</v>
      </c>
      <c r="V670" s="2694" t="s">
        <v>972</v>
      </c>
      <c r="W670" s="1956">
        <v>300</v>
      </c>
      <c r="X670" s="817" t="s">
        <v>8625</v>
      </c>
      <c r="Y670" s="2772" t="s">
        <v>10830</v>
      </c>
      <c r="Z670" s="817"/>
      <c r="AA670" s="817"/>
      <c r="AB670" s="817" t="s">
        <v>17</v>
      </c>
      <c r="AC670" s="817" t="s">
        <v>7451</v>
      </c>
      <c r="AD670" s="2700" t="s">
        <v>9326</v>
      </c>
      <c r="AG670" s="2711"/>
    </row>
    <row r="671" spans="1:33" ht="72.5" hidden="1" x14ac:dyDescent="0.35">
      <c r="A671" s="2769">
        <v>43927</v>
      </c>
      <c r="B671" s="2760">
        <v>6</v>
      </c>
      <c r="C671" s="817" t="s">
        <v>8244</v>
      </c>
      <c r="D671" s="2712" t="s">
        <v>10020</v>
      </c>
      <c r="E671" s="817" t="s">
        <v>8245</v>
      </c>
      <c r="F671" s="5">
        <v>1</v>
      </c>
      <c r="G671" s="5">
        <v>1</v>
      </c>
      <c r="H671" s="5"/>
      <c r="I671" s="5"/>
      <c r="J671" s="5"/>
      <c r="K671" s="5"/>
      <c r="L671" s="817"/>
      <c r="M671" s="817"/>
      <c r="N671" s="817"/>
      <c r="O671" s="817" t="s">
        <v>8148</v>
      </c>
      <c r="P671" s="2769">
        <v>43939</v>
      </c>
      <c r="Q671" s="2769"/>
      <c r="R671" s="2770" t="s">
        <v>8337</v>
      </c>
      <c r="S671" s="2770" t="s">
        <v>8313</v>
      </c>
      <c r="T671" s="6" t="s">
        <v>15</v>
      </c>
      <c r="U671" s="2694">
        <v>0.65555555555555556</v>
      </c>
      <c r="V671" s="2694" t="s">
        <v>3213</v>
      </c>
      <c r="W671" s="1956">
        <v>300</v>
      </c>
      <c r="X671" s="817" t="s">
        <v>257</v>
      </c>
      <c r="Y671" s="2772" t="s">
        <v>10830</v>
      </c>
      <c r="Z671" s="817"/>
      <c r="AA671" s="817"/>
      <c r="AB671" s="817" t="s">
        <v>17</v>
      </c>
      <c r="AC671" s="817" t="s">
        <v>7451</v>
      </c>
      <c r="AD671" s="2699"/>
      <c r="AG671" s="2711"/>
    </row>
    <row r="672" spans="1:33" ht="43.5" hidden="1" x14ac:dyDescent="0.35">
      <c r="A672" s="1899">
        <v>43935</v>
      </c>
      <c r="B672" s="2759">
        <v>7</v>
      </c>
      <c r="C672" s="817" t="s">
        <v>9585</v>
      </c>
      <c r="D672" s="2700" t="s">
        <v>9586</v>
      </c>
      <c r="E672" s="7" t="s">
        <v>9587</v>
      </c>
      <c r="F672" s="5">
        <v>1</v>
      </c>
      <c r="G672" s="5"/>
      <c r="H672" s="5"/>
      <c r="I672" s="5">
        <v>1</v>
      </c>
      <c r="J672" s="5"/>
      <c r="K672" s="5"/>
      <c r="L672" s="817"/>
      <c r="M672" s="817"/>
      <c r="N672" s="817"/>
      <c r="O672" s="817" t="s">
        <v>8148</v>
      </c>
      <c r="P672" s="2769">
        <v>43939</v>
      </c>
      <c r="Q672" s="2769"/>
      <c r="R672" s="2706" t="s">
        <v>9588</v>
      </c>
      <c r="S672" s="2770"/>
      <c r="T672" s="6" t="s">
        <v>15</v>
      </c>
      <c r="U672" s="836">
        <v>0.67361111111111116</v>
      </c>
      <c r="V672" s="836" t="s">
        <v>972</v>
      </c>
      <c r="W672" s="2681">
        <v>115</v>
      </c>
      <c r="X672" s="817" t="s">
        <v>2900</v>
      </c>
      <c r="Y672" s="2772" t="s">
        <v>10830</v>
      </c>
      <c r="Z672" s="817"/>
      <c r="AA672" s="817"/>
      <c r="AB672" s="817" t="s">
        <v>17</v>
      </c>
      <c r="AC672" s="817" t="s">
        <v>7451</v>
      </c>
      <c r="AD672" s="2696"/>
      <c r="AG672" s="2711"/>
    </row>
    <row r="673" spans="1:33" ht="217.5" hidden="1" x14ac:dyDescent="0.35">
      <c r="A673" s="1899">
        <v>43918</v>
      </c>
      <c r="B673" s="2759">
        <v>8</v>
      </c>
      <c r="C673" s="7" t="s">
        <v>7496</v>
      </c>
      <c r="D673" s="2712" t="s">
        <v>10161</v>
      </c>
      <c r="E673" s="7" t="s">
        <v>7569</v>
      </c>
      <c r="F673" s="7">
        <v>1</v>
      </c>
      <c r="G673" s="7"/>
      <c r="H673" s="7"/>
      <c r="I673" s="7"/>
      <c r="J673" s="7">
        <v>1</v>
      </c>
      <c r="K673" s="7"/>
      <c r="L673" s="7"/>
      <c r="M673" s="7"/>
      <c r="N673" s="7"/>
      <c r="O673" s="7" t="s">
        <v>8148</v>
      </c>
      <c r="P673" s="1899">
        <v>43939</v>
      </c>
      <c r="Q673" s="1899"/>
      <c r="R673" s="881" t="s">
        <v>7497</v>
      </c>
      <c r="S673" s="881"/>
      <c r="T673" s="6" t="s">
        <v>15</v>
      </c>
      <c r="U673" s="836">
        <v>0.68125000000000002</v>
      </c>
      <c r="V673" s="836" t="s">
        <v>972</v>
      </c>
      <c r="W673" s="1630">
        <f>100+4*90</f>
        <v>460</v>
      </c>
      <c r="X673" s="836" t="s">
        <v>257</v>
      </c>
      <c r="Y673" s="2717" t="s">
        <v>10830</v>
      </c>
      <c r="Z673" s="836"/>
      <c r="AA673" s="836"/>
      <c r="AB673" s="7" t="s">
        <v>17</v>
      </c>
      <c r="AC673" s="7" t="s">
        <v>7451</v>
      </c>
      <c r="AD673" s="2699"/>
      <c r="AG673" s="2711"/>
    </row>
    <row r="674" spans="1:33" ht="116" hidden="1" x14ac:dyDescent="0.35">
      <c r="A674" s="1899">
        <v>43931</v>
      </c>
      <c r="B674" s="2759">
        <v>9</v>
      </c>
      <c r="C674" s="7" t="s">
        <v>9390</v>
      </c>
      <c r="D674" s="2712" t="s">
        <v>10212</v>
      </c>
      <c r="E674" s="7" t="s">
        <v>9391</v>
      </c>
      <c r="F674" s="7">
        <v>1</v>
      </c>
      <c r="G674" s="7"/>
      <c r="H674" s="7"/>
      <c r="I674" s="7">
        <v>1</v>
      </c>
      <c r="J674" s="7"/>
      <c r="K674" s="7">
        <v>1</v>
      </c>
      <c r="L674" s="817"/>
      <c r="M674" s="817"/>
      <c r="N674" s="817"/>
      <c r="O674" s="817" t="s">
        <v>8148</v>
      </c>
      <c r="P674" s="1899">
        <v>43939</v>
      </c>
      <c r="Q674" s="1899"/>
      <c r="R674" s="881" t="s">
        <v>9392</v>
      </c>
      <c r="S674" s="2829"/>
      <c r="T674" s="6" t="s">
        <v>15</v>
      </c>
      <c r="U674" s="836">
        <v>0.7006944444444444</v>
      </c>
      <c r="V674" s="2694" t="s">
        <v>972</v>
      </c>
      <c r="W674" s="2681">
        <v>237</v>
      </c>
      <c r="X674" s="817" t="s">
        <v>257</v>
      </c>
      <c r="Y674" s="2717" t="s">
        <v>10830</v>
      </c>
      <c r="Z674" s="7"/>
      <c r="AA674" s="7"/>
      <c r="AB674" s="7" t="s">
        <v>17</v>
      </c>
      <c r="AC674" s="7" t="s">
        <v>7451</v>
      </c>
      <c r="AD674" s="2696"/>
      <c r="AG674" s="2711"/>
    </row>
    <row r="675" spans="1:33" ht="72.5" hidden="1" x14ac:dyDescent="0.35">
      <c r="A675" s="2769">
        <v>43927</v>
      </c>
      <c r="B675" s="2760">
        <v>10</v>
      </c>
      <c r="C675" s="817" t="s">
        <v>8213</v>
      </c>
      <c r="D675" s="2712" t="s">
        <v>10026</v>
      </c>
      <c r="E675" s="817" t="s">
        <v>8214</v>
      </c>
      <c r="F675" s="5">
        <v>1</v>
      </c>
      <c r="G675" s="5">
        <v>1</v>
      </c>
      <c r="H675" s="5"/>
      <c r="I675" s="5"/>
      <c r="J675" s="5"/>
      <c r="K675" s="5"/>
      <c r="L675" s="817"/>
      <c r="M675" s="817"/>
      <c r="N675" s="817"/>
      <c r="O675" s="817" t="s">
        <v>8148</v>
      </c>
      <c r="P675" s="2769">
        <v>43939</v>
      </c>
      <c r="Q675" s="2769"/>
      <c r="R675" s="2770" t="s">
        <v>8314</v>
      </c>
      <c r="S675" s="2770" t="s">
        <v>8265</v>
      </c>
      <c r="T675" s="6" t="s">
        <v>15</v>
      </c>
      <c r="U675" s="2694">
        <v>0.71944444444444444</v>
      </c>
      <c r="V675" s="2694" t="s">
        <v>972</v>
      </c>
      <c r="W675" s="1956">
        <v>300</v>
      </c>
      <c r="X675" s="817" t="s">
        <v>257</v>
      </c>
      <c r="Y675" s="2772" t="s">
        <v>10830</v>
      </c>
      <c r="Z675" s="817"/>
      <c r="AA675" s="817"/>
      <c r="AB675" s="817" t="s">
        <v>17</v>
      </c>
      <c r="AC675" s="817" t="s">
        <v>7451</v>
      </c>
      <c r="AD675" s="2699"/>
      <c r="AG675" s="2711"/>
    </row>
    <row r="676" spans="1:33" ht="72.5" hidden="1" x14ac:dyDescent="0.35">
      <c r="A676" s="1899">
        <v>43934</v>
      </c>
      <c r="B676" s="2759">
        <v>11</v>
      </c>
      <c r="C676" s="7" t="s">
        <v>10404</v>
      </c>
      <c r="D676" s="2707" t="s">
        <v>10405</v>
      </c>
      <c r="E676" s="7" t="s">
        <v>10406</v>
      </c>
      <c r="F676" s="7">
        <v>1</v>
      </c>
      <c r="G676" s="7"/>
      <c r="H676" s="7"/>
      <c r="I676" s="7">
        <v>1</v>
      </c>
      <c r="J676" s="7"/>
      <c r="K676" s="7"/>
      <c r="L676" s="817"/>
      <c r="M676" s="817"/>
      <c r="N676" s="817"/>
      <c r="O676" s="817" t="s">
        <v>8148</v>
      </c>
      <c r="P676" s="1899">
        <v>43939</v>
      </c>
      <c r="Q676" s="2769"/>
      <c r="R676" s="2708" t="s">
        <v>10407</v>
      </c>
      <c r="S676" s="2770"/>
      <c r="T676" s="6" t="s">
        <v>15</v>
      </c>
      <c r="U676" s="836">
        <v>0.72916666666666663</v>
      </c>
      <c r="V676" s="836" t="s">
        <v>972</v>
      </c>
      <c r="W676" s="1630">
        <v>300</v>
      </c>
      <c r="X676" s="7" t="s">
        <v>3173</v>
      </c>
      <c r="Y676" s="2717" t="s">
        <v>10830</v>
      </c>
      <c r="Z676" s="7"/>
      <c r="AA676" s="7"/>
      <c r="AB676" s="7" t="s">
        <v>17</v>
      </c>
      <c r="AC676" s="7" t="s">
        <v>7451</v>
      </c>
      <c r="AD676" s="2696"/>
      <c r="AG676" s="2711"/>
    </row>
    <row r="677" spans="1:33" ht="72.5" hidden="1" x14ac:dyDescent="0.35">
      <c r="A677" s="2828">
        <v>43932</v>
      </c>
      <c r="B677" s="2760">
        <v>1</v>
      </c>
      <c r="C677" s="817" t="s">
        <v>9640</v>
      </c>
      <c r="D677" s="2700" t="s">
        <v>9657</v>
      </c>
      <c r="E677" s="7" t="s">
        <v>9656</v>
      </c>
      <c r="F677" s="5">
        <v>1</v>
      </c>
      <c r="G677" s="5">
        <v>1</v>
      </c>
      <c r="H677" s="5"/>
      <c r="I677" s="5"/>
      <c r="J677" s="5"/>
      <c r="K677" s="5"/>
      <c r="L677" s="817"/>
      <c r="M677" s="817"/>
      <c r="N677" s="817"/>
      <c r="O677" s="817" t="s">
        <v>8148</v>
      </c>
      <c r="P677" s="2828">
        <v>43939</v>
      </c>
      <c r="Q677" s="2828"/>
      <c r="R677" s="2706" t="s">
        <v>9655</v>
      </c>
      <c r="S677" s="2770"/>
      <c r="T677" s="6" t="s">
        <v>15</v>
      </c>
      <c r="U677" s="836">
        <v>0.59583333333333333</v>
      </c>
      <c r="V677" s="836" t="s">
        <v>972</v>
      </c>
      <c r="W677" s="2681">
        <v>300</v>
      </c>
      <c r="X677" s="817" t="s">
        <v>2900</v>
      </c>
      <c r="Y677" s="2772" t="s">
        <v>10826</v>
      </c>
      <c r="Z677" s="817"/>
      <c r="AA677" s="817"/>
      <c r="AB677" s="817" t="s">
        <v>17</v>
      </c>
      <c r="AC677" s="817" t="s">
        <v>7451</v>
      </c>
      <c r="AD677" s="2696"/>
      <c r="AG677" s="2711"/>
    </row>
    <row r="678" spans="1:33" ht="58" hidden="1" x14ac:dyDescent="0.35">
      <c r="A678" s="2486">
        <v>43934</v>
      </c>
      <c r="B678" s="2718">
        <v>2</v>
      </c>
      <c r="C678" s="2725" t="s">
        <v>10491</v>
      </c>
      <c r="D678" s="2707" t="s">
        <v>10496</v>
      </c>
      <c r="E678" s="7" t="s">
        <v>10492</v>
      </c>
      <c r="F678" s="2679"/>
      <c r="G678" s="5">
        <v>1</v>
      </c>
      <c r="H678" s="5"/>
      <c r="I678" s="5"/>
      <c r="J678" s="5"/>
      <c r="K678" s="5"/>
      <c r="L678" s="817"/>
      <c r="M678" s="817"/>
      <c r="N678" s="817"/>
      <c r="O678" s="817" t="s">
        <v>8148</v>
      </c>
      <c r="P678" s="2486">
        <v>43939</v>
      </c>
      <c r="Q678" s="2769"/>
      <c r="R678" s="824" t="s">
        <v>10493</v>
      </c>
      <c r="S678" s="2770"/>
      <c r="T678" s="6" t="s">
        <v>15</v>
      </c>
      <c r="U678" s="2694">
        <v>0.6069444444444444</v>
      </c>
      <c r="V678" s="2694" t="s">
        <v>972</v>
      </c>
      <c r="W678" s="1956">
        <v>125</v>
      </c>
      <c r="X678" s="2694" t="s">
        <v>257</v>
      </c>
      <c r="Y678" s="2772" t="s">
        <v>10826</v>
      </c>
      <c r="Z678" s="817"/>
      <c r="AA678" s="817"/>
      <c r="AB678" s="817" t="s">
        <v>17</v>
      </c>
      <c r="AC678" s="817" t="s">
        <v>7451</v>
      </c>
      <c r="AD678" s="2700"/>
      <c r="AG678" s="2711"/>
    </row>
    <row r="679" spans="1:33" ht="87" hidden="1" x14ac:dyDescent="0.35">
      <c r="A679" s="2486">
        <v>43935</v>
      </c>
      <c r="B679" s="2718">
        <v>3</v>
      </c>
      <c r="C679" s="5" t="s">
        <v>10511</v>
      </c>
      <c r="D679" s="2707" t="s">
        <v>10655</v>
      </c>
      <c r="E679" s="5" t="s">
        <v>10513</v>
      </c>
      <c r="F679" s="5"/>
      <c r="G679" s="5"/>
      <c r="H679" s="5"/>
      <c r="I679" s="5"/>
      <c r="J679" s="5"/>
      <c r="K679" s="5"/>
      <c r="L679" s="817"/>
      <c r="M679" s="817"/>
      <c r="N679" s="817"/>
      <c r="O679" s="817" t="s">
        <v>8148</v>
      </c>
      <c r="P679" s="2486">
        <v>43939</v>
      </c>
      <c r="Q679" s="2769"/>
      <c r="R679" s="2722" t="s">
        <v>10512</v>
      </c>
      <c r="S679" s="2770"/>
      <c r="T679" s="6" t="s">
        <v>15</v>
      </c>
      <c r="U679" s="6">
        <v>0.61875000000000002</v>
      </c>
      <c r="V679" s="2694" t="s">
        <v>972</v>
      </c>
      <c r="W679" s="1956">
        <v>150</v>
      </c>
      <c r="X679" s="2694" t="s">
        <v>257</v>
      </c>
      <c r="Y679" s="2772" t="s">
        <v>10826</v>
      </c>
      <c r="Z679" s="817"/>
      <c r="AA679" s="817"/>
      <c r="AB679" s="817" t="s">
        <v>17</v>
      </c>
      <c r="AC679" s="817" t="s">
        <v>7451</v>
      </c>
      <c r="AD679" s="2696"/>
      <c r="AG679" s="2711"/>
    </row>
    <row r="680" spans="1:33" ht="130.5" hidden="1" x14ac:dyDescent="0.35">
      <c r="A680" s="2828">
        <v>43921</v>
      </c>
      <c r="B680" s="2760">
        <v>4</v>
      </c>
      <c r="C680" s="817" t="s">
        <v>7631</v>
      </c>
      <c r="D680" s="2712" t="s">
        <v>10101</v>
      </c>
      <c r="E680" s="817" t="s">
        <v>7632</v>
      </c>
      <c r="F680" s="817">
        <v>1</v>
      </c>
      <c r="G680" s="817">
        <v>1</v>
      </c>
      <c r="H680" s="817"/>
      <c r="I680" s="817"/>
      <c r="J680" s="817"/>
      <c r="K680" s="817"/>
      <c r="L680" s="817"/>
      <c r="M680" s="817"/>
      <c r="N680" s="817"/>
      <c r="O680" s="817" t="s">
        <v>8148</v>
      </c>
      <c r="P680" s="2828">
        <v>43939</v>
      </c>
      <c r="Q680" s="2828"/>
      <c r="R680" s="2829" t="s">
        <v>7633</v>
      </c>
      <c r="S680" s="2829"/>
      <c r="T680" s="6" t="s">
        <v>15</v>
      </c>
      <c r="U680" s="2694">
        <v>0.63055555555555554</v>
      </c>
      <c r="V680" s="2694" t="s">
        <v>3213</v>
      </c>
      <c r="W680" s="1956">
        <v>145</v>
      </c>
      <c r="X680" s="817" t="s">
        <v>7634</v>
      </c>
      <c r="Y680" s="2772" t="s">
        <v>10826</v>
      </c>
      <c r="Z680" s="817"/>
      <c r="AA680" s="817"/>
      <c r="AB680" s="817" t="s">
        <v>17</v>
      </c>
      <c r="AC680" s="2829" t="s">
        <v>7451</v>
      </c>
      <c r="AD680" s="2699"/>
      <c r="AG680" s="2711"/>
    </row>
    <row r="681" spans="1:33" ht="72.5" hidden="1" x14ac:dyDescent="0.35">
      <c r="A681" s="1899">
        <v>43917</v>
      </c>
      <c r="B681" s="2759">
        <v>5</v>
      </c>
      <c r="C681" s="7" t="s">
        <v>7520</v>
      </c>
      <c r="D681" s="2712" t="s">
        <v>10162</v>
      </c>
      <c r="E681" s="7" t="s">
        <v>7819</v>
      </c>
      <c r="F681" s="7">
        <v>1</v>
      </c>
      <c r="G681" s="7">
        <v>1</v>
      </c>
      <c r="H681" s="7"/>
      <c r="I681" s="7"/>
      <c r="J681" s="7"/>
      <c r="K681" s="7"/>
      <c r="L681" s="7"/>
      <c r="M681" s="7"/>
      <c r="N681" s="7"/>
      <c r="O681" s="7" t="s">
        <v>8148</v>
      </c>
      <c r="P681" s="1899">
        <v>43939</v>
      </c>
      <c r="Q681" s="1899"/>
      <c r="R681" s="881" t="s">
        <v>7490</v>
      </c>
      <c r="S681" s="881"/>
      <c r="T681" s="6" t="s">
        <v>15</v>
      </c>
      <c r="U681" s="836">
        <v>0.64444444444444449</v>
      </c>
      <c r="V681" s="836" t="s">
        <v>972</v>
      </c>
      <c r="W681" s="1630">
        <v>300</v>
      </c>
      <c r="X681" s="7" t="s">
        <v>257</v>
      </c>
      <c r="Y681" s="2717" t="s">
        <v>10826</v>
      </c>
      <c r="Z681" s="7"/>
      <c r="AA681" s="7"/>
      <c r="AB681" s="7" t="s">
        <v>17</v>
      </c>
      <c r="AC681" s="7" t="s">
        <v>7451</v>
      </c>
      <c r="AD681" s="2699"/>
      <c r="AG681" s="2711"/>
    </row>
    <row r="682" spans="1:33" ht="130.5" hidden="1" x14ac:dyDescent="0.35">
      <c r="A682" s="2486">
        <v>43937</v>
      </c>
      <c r="B682" s="2760">
        <v>6</v>
      </c>
      <c r="C682" s="7" t="s">
        <v>6386</v>
      </c>
      <c r="D682" s="2700" t="s">
        <v>10703</v>
      </c>
      <c r="E682" s="7" t="s">
        <v>10835</v>
      </c>
      <c r="F682" s="2740"/>
      <c r="G682" s="2741"/>
      <c r="H682" s="2741"/>
      <c r="I682" s="2741"/>
      <c r="J682" s="2741"/>
      <c r="K682" s="2741"/>
      <c r="L682" s="817"/>
      <c r="M682" s="817"/>
      <c r="N682" s="817"/>
      <c r="O682" s="817" t="s">
        <v>8148</v>
      </c>
      <c r="P682" s="2486">
        <v>43939</v>
      </c>
      <c r="Q682" s="2769"/>
      <c r="R682" s="881" t="s">
        <v>10705</v>
      </c>
      <c r="S682" s="2770"/>
      <c r="T682" s="6" t="s">
        <v>15</v>
      </c>
      <c r="U682" s="6">
        <v>0.65416666666666667</v>
      </c>
      <c r="V682" s="2694" t="s">
        <v>972</v>
      </c>
      <c r="W682" s="2742">
        <f>150+75</f>
        <v>225</v>
      </c>
      <c r="X682" s="2611" t="s">
        <v>10776</v>
      </c>
      <c r="Y682" s="2772" t="s">
        <v>10826</v>
      </c>
      <c r="Z682" s="817"/>
      <c r="AA682" s="817"/>
      <c r="AB682" s="817" t="s">
        <v>22</v>
      </c>
      <c r="AC682" s="817" t="s">
        <v>6096</v>
      </c>
      <c r="AD682" s="2739"/>
      <c r="AG682" s="2711"/>
    </row>
    <row r="683" spans="1:33" ht="72.5" hidden="1" x14ac:dyDescent="0.35">
      <c r="A683" s="1899">
        <v>43934</v>
      </c>
      <c r="B683" s="2759">
        <v>7</v>
      </c>
      <c r="C683" s="7" t="s">
        <v>10435</v>
      </c>
      <c r="D683" s="2707" t="s">
        <v>10436</v>
      </c>
      <c r="E683" s="7" t="s">
        <v>10876</v>
      </c>
      <c r="F683" s="7">
        <v>1</v>
      </c>
      <c r="G683" s="7"/>
      <c r="H683" s="7"/>
      <c r="I683" s="7">
        <v>1</v>
      </c>
      <c r="J683" s="7"/>
      <c r="K683" s="7"/>
      <c r="L683" s="817"/>
      <c r="M683" s="817"/>
      <c r="N683" s="817"/>
      <c r="O683" s="817" t="s">
        <v>8148</v>
      </c>
      <c r="P683" s="1899">
        <v>43939</v>
      </c>
      <c r="Q683" s="2769"/>
      <c r="R683" s="2708" t="s">
        <v>10434</v>
      </c>
      <c r="S683" s="2770"/>
      <c r="T683" s="6" t="s">
        <v>15</v>
      </c>
      <c r="U683" s="836">
        <v>0.67222222222222217</v>
      </c>
      <c r="V683" s="836" t="s">
        <v>972</v>
      </c>
      <c r="W683" s="1956">
        <v>300</v>
      </c>
      <c r="X683" s="817" t="s">
        <v>8625</v>
      </c>
      <c r="Y683" s="2717" t="s">
        <v>10826</v>
      </c>
      <c r="Z683" s="7"/>
      <c r="AA683" s="7"/>
      <c r="AB683" s="7" t="s">
        <v>17</v>
      </c>
      <c r="AC683" s="7" t="s">
        <v>7451</v>
      </c>
      <c r="AD683" s="2696"/>
      <c r="AG683" s="2711"/>
    </row>
    <row r="684" spans="1:33" ht="43.5" hidden="1" x14ac:dyDescent="0.35">
      <c r="A684" s="1899">
        <v>43935</v>
      </c>
      <c r="B684" s="2759">
        <v>8</v>
      </c>
      <c r="C684" s="817" t="s">
        <v>9601</v>
      </c>
      <c r="D684" s="2700" t="s">
        <v>9602</v>
      </c>
      <c r="E684" s="817" t="s">
        <v>9604</v>
      </c>
      <c r="F684" s="5">
        <v>1</v>
      </c>
      <c r="G684" s="5"/>
      <c r="H684" s="5"/>
      <c r="I684" s="5"/>
      <c r="J684" s="5"/>
      <c r="K684" s="5"/>
      <c r="L684" s="817"/>
      <c r="M684" s="817"/>
      <c r="N684" s="817"/>
      <c r="O684" s="817" t="s">
        <v>8148</v>
      </c>
      <c r="P684" s="2769">
        <v>43939</v>
      </c>
      <c r="Q684" s="2769"/>
      <c r="R684" s="2706" t="s">
        <v>9603</v>
      </c>
      <c r="S684" s="2770"/>
      <c r="T684" s="6" t="s">
        <v>15</v>
      </c>
      <c r="U684" s="836">
        <v>0.68472222222222223</v>
      </c>
      <c r="V684" s="836" t="s">
        <v>972</v>
      </c>
      <c r="W684" s="1956">
        <v>185</v>
      </c>
      <c r="X684" s="817" t="s">
        <v>8625</v>
      </c>
      <c r="Y684" s="2772" t="s">
        <v>10826</v>
      </c>
      <c r="Z684" s="817"/>
      <c r="AA684" s="817"/>
      <c r="AB684" s="817" t="s">
        <v>17</v>
      </c>
      <c r="AC684" s="817" t="s">
        <v>7451</v>
      </c>
      <c r="AD684" s="2696"/>
      <c r="AG684" s="2711"/>
    </row>
    <row r="685" spans="1:33" ht="43.5" hidden="1" x14ac:dyDescent="0.35">
      <c r="A685" s="2486">
        <v>43935</v>
      </c>
      <c r="B685" s="2718">
        <v>9</v>
      </c>
      <c r="C685" s="5" t="s">
        <v>10656</v>
      </c>
      <c r="D685" s="2707" t="s">
        <v>10691</v>
      </c>
      <c r="E685" s="5" t="s">
        <v>10657</v>
      </c>
      <c r="F685" s="2741"/>
      <c r="G685" s="2741"/>
      <c r="H685" s="2741"/>
      <c r="I685" s="2741"/>
      <c r="J685" s="2741"/>
      <c r="K685" s="2741"/>
      <c r="L685" s="817"/>
      <c r="M685" s="817"/>
      <c r="N685" s="817"/>
      <c r="O685" s="817" t="s">
        <v>8148</v>
      </c>
      <c r="P685" s="2486">
        <v>43939</v>
      </c>
      <c r="Q685" s="2769"/>
      <c r="R685" s="824" t="s">
        <v>10658</v>
      </c>
      <c r="S685" s="2770"/>
      <c r="T685" s="6" t="s">
        <v>15</v>
      </c>
      <c r="U685" s="6">
        <v>0.69236111111111109</v>
      </c>
      <c r="V685" s="2694" t="s">
        <v>3213</v>
      </c>
      <c r="W685" s="1956">
        <v>100</v>
      </c>
      <c r="X685" s="2694" t="s">
        <v>7682</v>
      </c>
      <c r="Y685" s="2772" t="s">
        <v>10826</v>
      </c>
      <c r="Z685" s="2694"/>
      <c r="AA685" s="2694"/>
      <c r="AB685" s="817" t="s">
        <v>17</v>
      </c>
      <c r="AC685" s="817" t="s">
        <v>6041</v>
      </c>
      <c r="AD685" s="2739"/>
      <c r="AG685" s="2711"/>
    </row>
    <row r="686" spans="1:33" ht="58" hidden="1" x14ac:dyDescent="0.35">
      <c r="A686" s="2828">
        <v>43928</v>
      </c>
      <c r="B686" s="2760">
        <v>10</v>
      </c>
      <c r="C686" s="817" t="s">
        <v>8533</v>
      </c>
      <c r="D686" s="2712" t="s">
        <v>1761</v>
      </c>
      <c r="E686" s="817" t="s">
        <v>8534</v>
      </c>
      <c r="F686" s="2678">
        <v>2</v>
      </c>
      <c r="G686" s="2669">
        <v>1</v>
      </c>
      <c r="H686" s="2669">
        <v>1</v>
      </c>
      <c r="I686" s="2669"/>
      <c r="J686" s="2669"/>
      <c r="K686" s="2669"/>
      <c r="L686" s="817"/>
      <c r="M686" s="817"/>
      <c r="N686" s="817"/>
      <c r="O686" s="817" t="s">
        <v>8148</v>
      </c>
      <c r="P686" s="2828">
        <v>43939</v>
      </c>
      <c r="Q686" s="2769"/>
      <c r="R686" s="2829" t="s">
        <v>8535</v>
      </c>
      <c r="S686" s="2770" t="s">
        <v>8289</v>
      </c>
      <c r="T686" s="6" t="s">
        <v>15</v>
      </c>
      <c r="U686" s="6">
        <v>0.7055555555555556</v>
      </c>
      <c r="V686" s="2694" t="s">
        <v>3213</v>
      </c>
      <c r="W686" s="2659">
        <v>0</v>
      </c>
      <c r="X686" s="817" t="s">
        <v>8536</v>
      </c>
      <c r="Y686" s="2772" t="s">
        <v>10826</v>
      </c>
      <c r="Z686" s="817"/>
      <c r="AA686" s="817"/>
      <c r="AB686" s="817" t="s">
        <v>974</v>
      </c>
      <c r="AC686" s="817" t="s">
        <v>7451</v>
      </c>
      <c r="AD686" s="2703" t="s">
        <v>8771</v>
      </c>
      <c r="AG686" s="2711"/>
    </row>
    <row r="687" spans="1:33" ht="145" hidden="1" x14ac:dyDescent="0.35">
      <c r="A687" s="2486">
        <v>43934</v>
      </c>
      <c r="B687" s="2718">
        <v>11</v>
      </c>
      <c r="C687" s="5" t="s">
        <v>10338</v>
      </c>
      <c r="D687" s="2700" t="s">
        <v>10339</v>
      </c>
      <c r="E687" s="7" t="s">
        <v>10875</v>
      </c>
      <c r="F687" s="2686"/>
      <c r="G687" s="2682">
        <v>1</v>
      </c>
      <c r="H687" s="2682"/>
      <c r="I687" s="2682">
        <v>2</v>
      </c>
      <c r="J687" s="2682">
        <v>1</v>
      </c>
      <c r="K687" s="2682"/>
      <c r="L687" s="817"/>
      <c r="M687" s="817"/>
      <c r="N687" s="817"/>
      <c r="O687" s="817" t="s">
        <v>8148</v>
      </c>
      <c r="P687" s="2486">
        <v>43939</v>
      </c>
      <c r="Q687" s="2769"/>
      <c r="R687" s="2722" t="s">
        <v>10337</v>
      </c>
      <c r="S687" s="2770"/>
      <c r="T687" s="6" t="s">
        <v>15</v>
      </c>
      <c r="U687" s="6">
        <v>0.71666666666666667</v>
      </c>
      <c r="V687" s="836" t="s">
        <v>972</v>
      </c>
      <c r="W687" s="1956">
        <v>370</v>
      </c>
      <c r="X687" s="817" t="s">
        <v>8625</v>
      </c>
      <c r="Y687" s="2772" t="s">
        <v>10826</v>
      </c>
      <c r="Z687" s="817"/>
      <c r="AA687" s="817"/>
      <c r="AB687" s="817" t="s">
        <v>17</v>
      </c>
      <c r="AC687" s="817" t="s">
        <v>7451</v>
      </c>
      <c r="AD687" s="2695"/>
      <c r="AG687" s="2711"/>
    </row>
    <row r="688" spans="1:33" ht="72.5" hidden="1" x14ac:dyDescent="0.35">
      <c r="A688" s="2486">
        <v>43934</v>
      </c>
      <c r="B688" s="2718">
        <v>12</v>
      </c>
      <c r="C688" s="5" t="s">
        <v>10522</v>
      </c>
      <c r="D688" s="2700" t="s">
        <v>2688</v>
      </c>
      <c r="E688" s="7" t="s">
        <v>10523</v>
      </c>
      <c r="F688" s="2679">
        <v>1</v>
      </c>
      <c r="G688" s="5">
        <v>3</v>
      </c>
      <c r="H688" s="5"/>
      <c r="I688" s="5"/>
      <c r="J688" s="5"/>
      <c r="K688" s="5"/>
      <c r="L688" s="817"/>
      <c r="M688" s="817"/>
      <c r="N688" s="817"/>
      <c r="O688" s="817" t="s">
        <v>8148</v>
      </c>
      <c r="P688" s="2486">
        <v>43939</v>
      </c>
      <c r="Q688" s="2828"/>
      <c r="R688" s="2722" t="s">
        <v>10524</v>
      </c>
      <c r="S688" s="2829"/>
      <c r="T688" s="6" t="s">
        <v>15</v>
      </c>
      <c r="U688" s="6">
        <v>0.72916666666666663</v>
      </c>
      <c r="V688" s="2694" t="s">
        <v>972</v>
      </c>
      <c r="W688" s="1956">
        <f>0.7*(2*85+1.2*80)</f>
        <v>186.2</v>
      </c>
      <c r="X688" s="2694" t="s">
        <v>10525</v>
      </c>
      <c r="Y688" s="2772" t="s">
        <v>10826</v>
      </c>
      <c r="Z688" s="817"/>
      <c r="AA688" s="817"/>
      <c r="AB688" s="817" t="s">
        <v>17</v>
      </c>
      <c r="AC688" s="817" t="s">
        <v>7451</v>
      </c>
      <c r="AD688" s="2700"/>
      <c r="AG688" s="2711"/>
    </row>
    <row r="689" spans="1:35" ht="72.5" hidden="1" x14ac:dyDescent="0.35">
      <c r="A689" s="2828">
        <v>43927</v>
      </c>
      <c r="B689" s="2760">
        <v>1</v>
      </c>
      <c r="C689" s="817" t="s">
        <v>8223</v>
      </c>
      <c r="D689" s="2712" t="s">
        <v>10000</v>
      </c>
      <c r="E689" s="817" t="s">
        <v>8224</v>
      </c>
      <c r="F689" s="5">
        <v>1</v>
      </c>
      <c r="G689" s="5">
        <v>2</v>
      </c>
      <c r="H689" s="5"/>
      <c r="I689" s="5"/>
      <c r="J689" s="5"/>
      <c r="K689" s="5"/>
      <c r="L689" s="817"/>
      <c r="M689" s="817"/>
      <c r="N689" s="817"/>
      <c r="O689" s="817" t="s">
        <v>8148</v>
      </c>
      <c r="P689" s="2828">
        <v>43939</v>
      </c>
      <c r="Q689" s="2769"/>
      <c r="R689" s="2829" t="s">
        <v>8321</v>
      </c>
      <c r="S689" s="2770" t="s">
        <v>8285</v>
      </c>
      <c r="T689" s="6" t="s">
        <v>15</v>
      </c>
      <c r="U689" s="2694">
        <v>0.59375</v>
      </c>
      <c r="V689" s="2694" t="s">
        <v>3213</v>
      </c>
      <c r="W689" s="1956">
        <v>300</v>
      </c>
      <c r="X689" s="817" t="s">
        <v>8268</v>
      </c>
      <c r="Y689" s="2772" t="s">
        <v>10824</v>
      </c>
      <c r="Z689" s="817"/>
      <c r="AA689" s="817"/>
      <c r="AB689" s="817" t="s">
        <v>17</v>
      </c>
      <c r="AC689" s="817" t="s">
        <v>7451</v>
      </c>
      <c r="AD689" s="2699"/>
      <c r="AG689" s="2711"/>
    </row>
    <row r="690" spans="1:35" ht="174" hidden="1" x14ac:dyDescent="0.35">
      <c r="A690" s="2828">
        <v>43930</v>
      </c>
      <c r="B690" s="2760">
        <v>2</v>
      </c>
      <c r="C690" s="817" t="s">
        <v>8205</v>
      </c>
      <c r="D690" s="2712" t="s">
        <v>9989</v>
      </c>
      <c r="E690" s="817" t="s">
        <v>8890</v>
      </c>
      <c r="F690" s="5">
        <v>1</v>
      </c>
      <c r="G690" s="5">
        <v>1</v>
      </c>
      <c r="H690" s="5"/>
      <c r="I690" s="5"/>
      <c r="J690" s="5"/>
      <c r="K690" s="5"/>
      <c r="L690" s="817"/>
      <c r="M690" s="817"/>
      <c r="N690" s="817"/>
      <c r="O690" s="817" t="s">
        <v>8148</v>
      </c>
      <c r="P690" s="2828">
        <v>43939</v>
      </c>
      <c r="Q690" s="2769"/>
      <c r="R690" s="2829" t="s">
        <v>8307</v>
      </c>
      <c r="S690" s="2770" t="s">
        <v>8272</v>
      </c>
      <c r="T690" s="6" t="s">
        <v>15</v>
      </c>
      <c r="U690" s="2694">
        <v>0.60486111111111118</v>
      </c>
      <c r="V690" s="2694" t="s">
        <v>972</v>
      </c>
      <c r="W690" s="1956">
        <v>600</v>
      </c>
      <c r="X690" s="817" t="s">
        <v>257</v>
      </c>
      <c r="Y690" s="2772" t="s">
        <v>10824</v>
      </c>
      <c r="Z690" s="817"/>
      <c r="AA690" s="817"/>
      <c r="AB690" s="817" t="s">
        <v>17</v>
      </c>
      <c r="AC690" s="817" t="s">
        <v>7451</v>
      </c>
      <c r="AD690" s="2699"/>
      <c r="AG690" s="2711"/>
    </row>
    <row r="691" spans="1:35" ht="72.5" hidden="1" x14ac:dyDescent="0.35">
      <c r="A691" s="2828">
        <v>43935</v>
      </c>
      <c r="B691" s="2759">
        <v>3</v>
      </c>
      <c r="C691" s="7" t="s">
        <v>10644</v>
      </c>
      <c r="D691" s="2707" t="s">
        <v>10646</v>
      </c>
      <c r="E691" s="7" t="s">
        <v>10647</v>
      </c>
      <c r="F691" s="2741">
        <v>3</v>
      </c>
      <c r="G691" s="2741">
        <v>3</v>
      </c>
      <c r="H691" s="2741"/>
      <c r="I691" s="2741"/>
      <c r="J691" s="2741"/>
      <c r="K691" s="2741"/>
      <c r="L691" s="817"/>
      <c r="M691" s="817"/>
      <c r="N691" s="817"/>
      <c r="O691" s="817" t="s">
        <v>8148</v>
      </c>
      <c r="P691" s="1899">
        <v>43939</v>
      </c>
      <c r="Q691" s="2769"/>
      <c r="R691" s="881" t="s">
        <v>10645</v>
      </c>
      <c r="S691" s="2770"/>
      <c r="T691" s="836" t="s">
        <v>15</v>
      </c>
      <c r="U691" s="836">
        <v>0.61597222222222225</v>
      </c>
      <c r="V691" s="2694" t="s">
        <v>972</v>
      </c>
      <c r="W691" s="2681">
        <v>500</v>
      </c>
      <c r="X691" s="817" t="s">
        <v>2900</v>
      </c>
      <c r="Y691" s="2772" t="s">
        <v>10824</v>
      </c>
      <c r="Z691" s="817"/>
      <c r="AA691" s="817"/>
      <c r="AB691" s="817" t="s">
        <v>17</v>
      </c>
      <c r="AC691" s="817" t="s">
        <v>7451</v>
      </c>
      <c r="AD691" s="2745"/>
      <c r="AE691" s="1592"/>
      <c r="AF691" s="1592"/>
      <c r="AG691" s="2711"/>
      <c r="AH691" s="1592"/>
      <c r="AI691" s="1592"/>
    </row>
    <row r="692" spans="1:35" ht="58" hidden="1" x14ac:dyDescent="0.35">
      <c r="A692" s="2828">
        <v>43927</v>
      </c>
      <c r="B692" s="2759">
        <v>4</v>
      </c>
      <c r="C692" s="7" t="s">
        <v>8257</v>
      </c>
      <c r="D692" s="2810" t="s">
        <v>9998</v>
      </c>
      <c r="E692" s="7" t="s">
        <v>8258</v>
      </c>
      <c r="F692" s="5">
        <v>1</v>
      </c>
      <c r="G692" s="5">
        <v>1</v>
      </c>
      <c r="H692" s="5"/>
      <c r="I692" s="5"/>
      <c r="J692" s="5"/>
      <c r="K692" s="5"/>
      <c r="L692" s="817"/>
      <c r="M692" s="817"/>
      <c r="N692" s="817"/>
      <c r="O692" s="817" t="s">
        <v>8148</v>
      </c>
      <c r="P692" s="1899">
        <v>43939</v>
      </c>
      <c r="Q692" s="2769"/>
      <c r="R692" s="881" t="s">
        <v>8348</v>
      </c>
      <c r="S692" s="2770" t="s">
        <v>8285</v>
      </c>
      <c r="T692" s="836" t="s">
        <v>15</v>
      </c>
      <c r="U692" s="836">
        <v>0.625</v>
      </c>
      <c r="V692" s="2694" t="s">
        <v>3213</v>
      </c>
      <c r="W692" s="1956">
        <v>300</v>
      </c>
      <c r="X692" s="817" t="s">
        <v>257</v>
      </c>
      <c r="Y692" s="2772" t="s">
        <v>10824</v>
      </c>
      <c r="Z692" s="817"/>
      <c r="AA692" s="817"/>
      <c r="AB692" s="817" t="s">
        <v>17</v>
      </c>
      <c r="AC692" s="817" t="s">
        <v>7451</v>
      </c>
      <c r="AD692" s="2699"/>
      <c r="AE692" s="1592"/>
      <c r="AF692" s="1592"/>
      <c r="AG692" s="2711"/>
      <c r="AH692" s="1592"/>
      <c r="AI692" s="1592"/>
    </row>
    <row r="693" spans="1:35" ht="72.5" hidden="1" x14ac:dyDescent="0.35">
      <c r="A693" s="2486">
        <v>43930</v>
      </c>
      <c r="B693" s="2759">
        <v>5</v>
      </c>
      <c r="C693" s="7" t="s">
        <v>8783</v>
      </c>
      <c r="D693" s="2810" t="s">
        <v>9988</v>
      </c>
      <c r="E693" s="7" t="s">
        <v>8784</v>
      </c>
      <c r="F693" s="2686">
        <v>1</v>
      </c>
      <c r="G693" s="2682"/>
      <c r="H693" s="2682">
        <v>1</v>
      </c>
      <c r="I693" s="2682"/>
      <c r="J693" s="2682"/>
      <c r="K693" s="2682"/>
      <c r="L693" s="817"/>
      <c r="M693" s="817"/>
      <c r="N693" s="817"/>
      <c r="O693" s="817" t="s">
        <v>8148</v>
      </c>
      <c r="P693" s="1899">
        <v>43939</v>
      </c>
      <c r="Q693" s="2486"/>
      <c r="R693" s="881" t="s">
        <v>8785</v>
      </c>
      <c r="S693" s="2770"/>
      <c r="T693" s="836" t="s">
        <v>15</v>
      </c>
      <c r="U693" s="836">
        <v>0.6333333333333333</v>
      </c>
      <c r="V693" s="2694" t="s">
        <v>972</v>
      </c>
      <c r="W693" s="1956">
        <v>100</v>
      </c>
      <c r="X693" s="836" t="s">
        <v>8625</v>
      </c>
      <c r="Y693" s="2772" t="s">
        <v>10824</v>
      </c>
      <c r="Z693" s="817"/>
      <c r="AA693" s="817"/>
      <c r="AB693" s="7" t="s">
        <v>17</v>
      </c>
      <c r="AC693" s="817" t="s">
        <v>7451</v>
      </c>
      <c r="AD693" s="2700"/>
      <c r="AG693" s="2711"/>
    </row>
    <row r="694" spans="1:35" ht="43.5" hidden="1" x14ac:dyDescent="0.35">
      <c r="A694" s="2589">
        <v>43934</v>
      </c>
      <c r="B694" s="2759">
        <v>6</v>
      </c>
      <c r="C694" s="7" t="s">
        <v>10424</v>
      </c>
      <c r="D694" s="2707" t="s">
        <v>10425</v>
      </c>
      <c r="E694" s="7" t="s">
        <v>10426</v>
      </c>
      <c r="F694" s="7"/>
      <c r="G694" s="7"/>
      <c r="H694" s="7"/>
      <c r="I694" s="7"/>
      <c r="J694" s="7"/>
      <c r="K694" s="7"/>
      <c r="L694" s="817"/>
      <c r="M694" s="817"/>
      <c r="N694" s="817"/>
      <c r="O694" s="817" t="s">
        <v>8148</v>
      </c>
      <c r="P694" s="1899">
        <v>43939</v>
      </c>
      <c r="Q694" s="2769"/>
      <c r="R694" s="881" t="s">
        <v>10427</v>
      </c>
      <c r="S694" s="2770"/>
      <c r="T694" s="836" t="s">
        <v>15</v>
      </c>
      <c r="U694" s="836">
        <v>0.64513888888888882</v>
      </c>
      <c r="V694" s="1927" t="s">
        <v>972</v>
      </c>
      <c r="W694" s="1630">
        <v>100</v>
      </c>
      <c r="X694" s="7" t="s">
        <v>3173</v>
      </c>
      <c r="Y694" s="2717" t="s">
        <v>10824</v>
      </c>
      <c r="Z694" s="7"/>
      <c r="AA694" s="7"/>
      <c r="AB694" s="7" t="s">
        <v>17</v>
      </c>
      <c r="AC694" s="7" t="s">
        <v>7451</v>
      </c>
      <c r="AD694" s="2696"/>
      <c r="AG694" s="2711"/>
    </row>
    <row r="695" spans="1:35" ht="58" hidden="1" x14ac:dyDescent="0.35">
      <c r="A695" s="1899">
        <v>43934</v>
      </c>
      <c r="B695" s="2759">
        <v>7</v>
      </c>
      <c r="C695" s="7" t="s">
        <v>10390</v>
      </c>
      <c r="D695" s="2707" t="s">
        <v>10391</v>
      </c>
      <c r="E695" s="7" t="s">
        <v>10392</v>
      </c>
      <c r="F695" s="7"/>
      <c r="G695" s="7"/>
      <c r="H695" s="7"/>
      <c r="I695" s="7"/>
      <c r="J695" s="7"/>
      <c r="K695" s="7"/>
      <c r="L695" s="817"/>
      <c r="M695" s="817"/>
      <c r="N695" s="817"/>
      <c r="O695" s="817" t="s">
        <v>8148</v>
      </c>
      <c r="P695" s="1899">
        <v>43939</v>
      </c>
      <c r="Q695" s="2769"/>
      <c r="R695" s="881" t="s">
        <v>10393</v>
      </c>
      <c r="S695" s="2770"/>
      <c r="T695" s="836" t="s">
        <v>15</v>
      </c>
      <c r="U695" s="836">
        <v>0.65347222222222223</v>
      </c>
      <c r="V695" s="836" t="s">
        <v>972</v>
      </c>
      <c r="W695" s="1630">
        <v>100</v>
      </c>
      <c r="X695" s="7" t="s">
        <v>3173</v>
      </c>
      <c r="Y695" s="2717" t="s">
        <v>10824</v>
      </c>
      <c r="Z695" s="7"/>
      <c r="AA695" s="7"/>
      <c r="AB695" s="7" t="s">
        <v>17</v>
      </c>
      <c r="AC695" s="7" t="s">
        <v>7451</v>
      </c>
      <c r="AD695" s="2696"/>
      <c r="AG695" s="2711"/>
    </row>
    <row r="696" spans="1:35" ht="72.5" hidden="1" x14ac:dyDescent="0.35">
      <c r="A696" s="2769">
        <v>43929</v>
      </c>
      <c r="B696" s="2760">
        <v>8</v>
      </c>
      <c r="C696" s="817" t="s">
        <v>7268</v>
      </c>
      <c r="D696" s="2712" t="s">
        <v>10146</v>
      </c>
      <c r="E696" s="7" t="s">
        <v>8654</v>
      </c>
      <c r="F696" s="2682">
        <v>1</v>
      </c>
      <c r="G696" s="2682">
        <v>1</v>
      </c>
      <c r="H696" s="2682"/>
      <c r="I696" s="2682"/>
      <c r="J696" s="2682"/>
      <c r="K696" s="2682"/>
      <c r="L696" s="817"/>
      <c r="M696" s="817"/>
      <c r="N696" s="817"/>
      <c r="O696" s="817" t="s">
        <v>8148</v>
      </c>
      <c r="P696" s="2769">
        <v>43939</v>
      </c>
      <c r="Q696" s="2769"/>
      <c r="R696" s="2770" t="s">
        <v>8655</v>
      </c>
      <c r="S696" s="2688"/>
      <c r="T696" s="6" t="s">
        <v>15</v>
      </c>
      <c r="U696" s="2694">
        <v>0.66666666666666663</v>
      </c>
      <c r="V696" s="2694" t="s">
        <v>972</v>
      </c>
      <c r="W696" s="2681">
        <v>0</v>
      </c>
      <c r="X696" s="836" t="s">
        <v>8657</v>
      </c>
      <c r="Y696" s="2772" t="s">
        <v>10824</v>
      </c>
      <c r="Z696" s="817"/>
      <c r="AA696" s="817"/>
      <c r="AB696" s="7" t="s">
        <v>17</v>
      </c>
      <c r="AC696" s="817" t="s">
        <v>7451</v>
      </c>
      <c r="AD696" s="2696"/>
      <c r="AG696" s="2711"/>
    </row>
    <row r="697" spans="1:35" ht="58" hidden="1" x14ac:dyDescent="0.35">
      <c r="A697" s="2769">
        <v>43927</v>
      </c>
      <c r="B697" s="2760">
        <v>9</v>
      </c>
      <c r="C697" s="817" t="s">
        <v>8360</v>
      </c>
      <c r="D697" s="2712" t="s">
        <v>10207</v>
      </c>
      <c r="E697" s="817" t="s">
        <v>8362</v>
      </c>
      <c r="F697" s="5"/>
      <c r="G697" s="5"/>
      <c r="H697" s="5"/>
      <c r="I697" s="5"/>
      <c r="J697" s="5"/>
      <c r="K697" s="5"/>
      <c r="L697" s="817"/>
      <c r="M697" s="817"/>
      <c r="N697" s="817"/>
      <c r="O697" s="817" t="s">
        <v>8148</v>
      </c>
      <c r="P697" s="2769">
        <v>43939</v>
      </c>
      <c r="Q697" s="2769"/>
      <c r="R697" s="2770" t="s">
        <v>8361</v>
      </c>
      <c r="S697" s="2770" t="s">
        <v>8285</v>
      </c>
      <c r="T697" s="6" t="s">
        <v>15</v>
      </c>
      <c r="U697" s="2694">
        <v>0.67638888888888893</v>
      </c>
      <c r="V697" s="2694" t="s">
        <v>972</v>
      </c>
      <c r="W697" s="1956">
        <v>120</v>
      </c>
      <c r="X697" s="817" t="s">
        <v>257</v>
      </c>
      <c r="Y697" s="2772" t="s">
        <v>10824</v>
      </c>
      <c r="Z697" s="817"/>
      <c r="AA697" s="817"/>
      <c r="AB697" s="817" t="s">
        <v>17</v>
      </c>
      <c r="AC697" s="817" t="s">
        <v>2084</v>
      </c>
      <c r="AD697" s="2699"/>
      <c r="AG697" s="2711"/>
    </row>
    <row r="698" spans="1:35" ht="29" hidden="1" x14ac:dyDescent="0.35">
      <c r="A698" s="1899">
        <v>43934</v>
      </c>
      <c r="B698" s="2759">
        <v>10</v>
      </c>
      <c r="C698" s="7" t="s">
        <v>10504</v>
      </c>
      <c r="D698" s="2700" t="s">
        <v>10505</v>
      </c>
      <c r="E698" s="7" t="s">
        <v>10507</v>
      </c>
      <c r="F698" s="817">
        <v>1</v>
      </c>
      <c r="G698" s="817">
        <v>1</v>
      </c>
      <c r="H698" s="817"/>
      <c r="I698" s="817"/>
      <c r="J698" s="817"/>
      <c r="K698" s="817"/>
      <c r="L698" s="817"/>
      <c r="M698" s="817"/>
      <c r="N698" s="817"/>
      <c r="O698" s="817" t="s">
        <v>8148</v>
      </c>
      <c r="P698" s="1899">
        <v>43939</v>
      </c>
      <c r="Q698" s="2769"/>
      <c r="R698" s="2708" t="s">
        <v>10506</v>
      </c>
      <c r="S698" s="2721"/>
      <c r="T698" s="6" t="s">
        <v>15</v>
      </c>
      <c r="U698" s="836">
        <v>0.68541666666666667</v>
      </c>
      <c r="V698" s="836" t="s">
        <v>972</v>
      </c>
      <c r="W698" s="2681">
        <v>93</v>
      </c>
      <c r="X698" s="817" t="s">
        <v>2900</v>
      </c>
      <c r="Y698" s="2772" t="s">
        <v>10824</v>
      </c>
      <c r="Z698" s="817"/>
      <c r="AA698" s="817"/>
      <c r="AB698" s="817" t="s">
        <v>17</v>
      </c>
      <c r="AC698" s="817" t="s">
        <v>7451</v>
      </c>
      <c r="AD698" s="2696"/>
      <c r="AG698" s="2711"/>
    </row>
    <row r="699" spans="1:35" ht="58" hidden="1" x14ac:dyDescent="0.35">
      <c r="A699" s="2486">
        <v>43936</v>
      </c>
      <c r="B699" s="2718">
        <v>11</v>
      </c>
      <c r="C699" s="2828" t="s">
        <v>10707</v>
      </c>
      <c r="D699" s="2700" t="s">
        <v>10708</v>
      </c>
      <c r="E699" s="817" t="s">
        <v>10709</v>
      </c>
      <c r="F699" s="2740">
        <v>1</v>
      </c>
      <c r="G699" s="2741">
        <v>1</v>
      </c>
      <c r="H699" s="2741"/>
      <c r="I699" s="2741"/>
      <c r="J699" s="2741"/>
      <c r="K699" s="2741"/>
      <c r="L699" s="817"/>
      <c r="M699" s="817"/>
      <c r="N699" s="817"/>
      <c r="O699" s="817" t="s">
        <v>8148</v>
      </c>
      <c r="P699" s="2486">
        <v>43939</v>
      </c>
      <c r="Q699" s="2769"/>
      <c r="R699" s="2829" t="s">
        <v>10710</v>
      </c>
      <c r="S699" s="2770"/>
      <c r="T699" s="6" t="s">
        <v>15</v>
      </c>
      <c r="U699" s="6">
        <v>0.69791666666666663</v>
      </c>
      <c r="V699" s="2694" t="s">
        <v>972</v>
      </c>
      <c r="W699" s="2742">
        <v>300</v>
      </c>
      <c r="X699" s="817" t="s">
        <v>257</v>
      </c>
      <c r="Y699" s="2772" t="s">
        <v>10824</v>
      </c>
      <c r="Z699" s="817"/>
      <c r="AA699" s="817"/>
      <c r="AB699" s="817" t="s">
        <v>17</v>
      </c>
      <c r="AC699" s="817" t="s">
        <v>7451</v>
      </c>
      <c r="AD699" s="2739"/>
      <c r="AG699" s="2711"/>
    </row>
    <row r="700" spans="1:35" ht="58" hidden="1" x14ac:dyDescent="0.35">
      <c r="A700" s="2486">
        <v>43928</v>
      </c>
      <c r="B700" s="2718">
        <v>12</v>
      </c>
      <c r="C700" s="7" t="s">
        <v>8436</v>
      </c>
      <c r="D700" s="2712" t="s">
        <v>9995</v>
      </c>
      <c r="E700" s="7" t="s">
        <v>8438</v>
      </c>
      <c r="F700" s="2678">
        <v>1</v>
      </c>
      <c r="G700" s="2669">
        <v>1</v>
      </c>
      <c r="H700" s="2669"/>
      <c r="I700" s="2669"/>
      <c r="J700" s="2669"/>
      <c r="K700" s="2669"/>
      <c r="L700" s="817"/>
      <c r="M700" s="817"/>
      <c r="N700" s="817"/>
      <c r="O700" s="817" t="s">
        <v>8148</v>
      </c>
      <c r="P700" s="2486">
        <v>43939</v>
      </c>
      <c r="Q700" s="2486"/>
      <c r="R700" s="824" t="s">
        <v>8437</v>
      </c>
      <c r="S700" s="2770"/>
      <c r="T700" s="6" t="s">
        <v>15</v>
      </c>
      <c r="U700" s="836">
        <v>0.71111111111111114</v>
      </c>
      <c r="V700" s="2694" t="s">
        <v>972</v>
      </c>
      <c r="W700" s="2660">
        <v>140</v>
      </c>
      <c r="X700" s="2694" t="s">
        <v>8381</v>
      </c>
      <c r="Y700" s="2772" t="s">
        <v>10824</v>
      </c>
      <c r="Z700" s="817"/>
      <c r="AA700" s="817"/>
      <c r="AB700" s="817" t="s">
        <v>17</v>
      </c>
      <c r="AC700" s="817" t="s">
        <v>7451</v>
      </c>
      <c r="AD700" s="2699"/>
      <c r="AG700" s="2711"/>
    </row>
    <row r="701" spans="1:35" ht="130.5" hidden="1" x14ac:dyDescent="0.35">
      <c r="A701" s="2486">
        <v>43938</v>
      </c>
      <c r="B701" s="2760">
        <v>13</v>
      </c>
      <c r="C701" s="5" t="s">
        <v>10795</v>
      </c>
      <c r="D701" s="2700" t="s">
        <v>2955</v>
      </c>
      <c r="E701" s="5" t="s">
        <v>10797</v>
      </c>
      <c r="F701" s="2741">
        <v>2</v>
      </c>
      <c r="G701" s="2741">
        <v>2</v>
      </c>
      <c r="H701" s="2741"/>
      <c r="I701" s="2741"/>
      <c r="J701" s="2741"/>
      <c r="K701" s="2682"/>
      <c r="L701" s="817"/>
      <c r="M701" s="817"/>
      <c r="N701" s="817"/>
      <c r="O701" s="817" t="s">
        <v>8148</v>
      </c>
      <c r="P701" s="2486">
        <v>43939</v>
      </c>
      <c r="Q701" s="2769"/>
      <c r="R701" s="2829" t="s">
        <v>8366</v>
      </c>
      <c r="S701" s="2770"/>
      <c r="T701" s="6" t="s">
        <v>15</v>
      </c>
      <c r="U701" s="2694">
        <v>0.71527777777777779</v>
      </c>
      <c r="V701" s="2771"/>
      <c r="W701" s="1809">
        <v>0</v>
      </c>
      <c r="X701" s="817" t="s">
        <v>8970</v>
      </c>
      <c r="Y701" s="2772" t="s">
        <v>10824</v>
      </c>
      <c r="Z701" s="817"/>
      <c r="AA701" s="817"/>
      <c r="AB701" s="2744"/>
      <c r="AC701" s="2744"/>
      <c r="AD701" s="2745"/>
      <c r="AG701" s="2711"/>
    </row>
    <row r="702" spans="1:35" ht="87" hidden="1" x14ac:dyDescent="0.35">
      <c r="A702" s="2486">
        <v>43923</v>
      </c>
      <c r="B702" s="2718">
        <v>14</v>
      </c>
      <c r="C702" s="5" t="s">
        <v>7771</v>
      </c>
      <c r="D702" s="2712" t="s">
        <v>10065</v>
      </c>
      <c r="E702" s="5" t="s">
        <v>7750</v>
      </c>
      <c r="F702" s="5">
        <v>1</v>
      </c>
      <c r="G702" s="5">
        <v>1</v>
      </c>
      <c r="H702" s="5"/>
      <c r="I702" s="5"/>
      <c r="J702" s="5"/>
      <c r="K702" s="5"/>
      <c r="L702" s="5"/>
      <c r="M702" s="5"/>
      <c r="N702" s="5"/>
      <c r="O702" s="5" t="s">
        <v>8148</v>
      </c>
      <c r="P702" s="2486">
        <v>43939</v>
      </c>
      <c r="Q702" s="2486"/>
      <c r="R702" s="824" t="s">
        <v>7772</v>
      </c>
      <c r="S702" s="824"/>
      <c r="T702" s="6" t="s">
        <v>15</v>
      </c>
      <c r="U702" s="6">
        <v>0.72152777777777777</v>
      </c>
      <c r="V702" s="2694" t="s">
        <v>3213</v>
      </c>
      <c r="W702" s="1956">
        <v>300</v>
      </c>
      <c r="X702" s="2694" t="s">
        <v>257</v>
      </c>
      <c r="Y702" s="2772" t="s">
        <v>10824</v>
      </c>
      <c r="Z702" s="2694"/>
      <c r="AA702" s="2694"/>
      <c r="AB702" s="817" t="s">
        <v>17</v>
      </c>
      <c r="AC702" s="817" t="s">
        <v>7451</v>
      </c>
      <c r="AD702" s="2699"/>
      <c r="AG702" s="2711"/>
    </row>
    <row r="703" spans="1:35" ht="72.5" hidden="1" x14ac:dyDescent="0.35">
      <c r="A703" s="2486">
        <v>43931</v>
      </c>
      <c r="B703" s="2718">
        <v>15</v>
      </c>
      <c r="C703" s="5" t="s">
        <v>9317</v>
      </c>
      <c r="D703" s="2700" t="s">
        <v>9316</v>
      </c>
      <c r="E703" s="5" t="s">
        <v>9318</v>
      </c>
      <c r="F703" s="2682">
        <v>1</v>
      </c>
      <c r="G703" s="2682"/>
      <c r="H703" s="2682"/>
      <c r="I703" s="2682"/>
      <c r="J703" s="2682"/>
      <c r="K703" s="2682"/>
      <c r="L703" s="817"/>
      <c r="M703" s="817"/>
      <c r="N703" s="817"/>
      <c r="O703" s="817" t="s">
        <v>8148</v>
      </c>
      <c r="P703" s="2486">
        <v>43939</v>
      </c>
      <c r="Q703" s="2486"/>
      <c r="R703" s="2770" t="s">
        <v>9319</v>
      </c>
      <c r="S703" s="2770"/>
      <c r="T703" s="6" t="s">
        <v>15</v>
      </c>
      <c r="U703" s="2694">
        <v>0.7368055555555556</v>
      </c>
      <c r="V703" s="2694" t="s">
        <v>972</v>
      </c>
      <c r="W703" s="2681">
        <v>150</v>
      </c>
      <c r="X703" s="817" t="s">
        <v>2900</v>
      </c>
      <c r="Y703" s="2772" t="s">
        <v>10824</v>
      </c>
      <c r="Z703" s="817"/>
      <c r="AA703" s="817"/>
      <c r="AB703" s="817" t="s">
        <v>17</v>
      </c>
      <c r="AC703" s="817" t="s">
        <v>7451</v>
      </c>
      <c r="AD703" s="2700" t="s">
        <v>9316</v>
      </c>
      <c r="AG703" s="2711"/>
    </row>
    <row r="704" spans="1:35" ht="43.5" hidden="1" x14ac:dyDescent="0.35">
      <c r="A704" s="2486">
        <v>43928</v>
      </c>
      <c r="B704" s="2718">
        <v>16</v>
      </c>
      <c r="C704" s="7" t="s">
        <v>8496</v>
      </c>
      <c r="D704" s="2712" t="s">
        <v>10005</v>
      </c>
      <c r="E704" s="817" t="s">
        <v>8497</v>
      </c>
      <c r="F704" s="2679"/>
      <c r="G704" s="5"/>
      <c r="H704" s="5"/>
      <c r="I704" s="5"/>
      <c r="J704" s="5"/>
      <c r="K704" s="5"/>
      <c r="L704" s="817"/>
      <c r="M704" s="817"/>
      <c r="N704" s="817"/>
      <c r="O704" s="817" t="s">
        <v>8148</v>
      </c>
      <c r="P704" s="2486">
        <v>43939</v>
      </c>
      <c r="Q704" s="2486"/>
      <c r="R704" s="824" t="s">
        <v>8498</v>
      </c>
      <c r="S704" s="2770"/>
      <c r="T704" s="6" t="s">
        <v>15</v>
      </c>
      <c r="U704" s="6" t="s">
        <v>15</v>
      </c>
      <c r="V704" s="2694" t="s">
        <v>972</v>
      </c>
      <c r="W704" s="2660">
        <v>120</v>
      </c>
      <c r="X704" s="2694" t="s">
        <v>8381</v>
      </c>
      <c r="Y704" s="2772" t="s">
        <v>10824</v>
      </c>
      <c r="Z704" s="817"/>
      <c r="AA704" s="817"/>
      <c r="AB704" s="7" t="s">
        <v>17</v>
      </c>
      <c r="AC704" s="817" t="s">
        <v>8499</v>
      </c>
      <c r="AD704" s="2699"/>
      <c r="AG704" s="2711"/>
    </row>
    <row r="705" spans="1:33" ht="72.5" hidden="1" x14ac:dyDescent="0.35">
      <c r="A705" s="2486">
        <v>43930</v>
      </c>
      <c r="B705" s="2718">
        <v>1</v>
      </c>
      <c r="C705" s="5" t="s">
        <v>8794</v>
      </c>
      <c r="D705" s="2712" t="s">
        <v>9993</v>
      </c>
      <c r="E705" s="5" t="s">
        <v>8795</v>
      </c>
      <c r="F705" s="2686">
        <v>1</v>
      </c>
      <c r="G705" s="2682">
        <v>1</v>
      </c>
      <c r="H705" s="2682"/>
      <c r="I705" s="2682"/>
      <c r="J705" s="2682"/>
      <c r="K705" s="2682"/>
      <c r="L705" s="817"/>
      <c r="M705" s="817"/>
      <c r="N705" s="817"/>
      <c r="O705" s="817" t="s">
        <v>8148</v>
      </c>
      <c r="P705" s="2486">
        <v>43939</v>
      </c>
      <c r="Q705" s="2486"/>
      <c r="R705" s="2486" t="s">
        <v>8796</v>
      </c>
      <c r="S705" s="2770"/>
      <c r="T705" s="6" t="s">
        <v>15</v>
      </c>
      <c r="U705" s="6">
        <v>0.58680555555555558</v>
      </c>
      <c r="V705" s="2694" t="s">
        <v>972</v>
      </c>
      <c r="W705" s="1956">
        <v>300</v>
      </c>
      <c r="X705" s="836" t="s">
        <v>257</v>
      </c>
      <c r="Y705" s="2772" t="s">
        <v>10822</v>
      </c>
      <c r="Z705" s="817"/>
      <c r="AA705" s="817"/>
      <c r="AB705" s="7" t="s">
        <v>17</v>
      </c>
      <c r="AC705" s="817" t="s">
        <v>7451</v>
      </c>
      <c r="AD705" s="2700"/>
      <c r="AG705" s="2711"/>
    </row>
    <row r="706" spans="1:33" ht="87" hidden="1" x14ac:dyDescent="0.35">
      <c r="A706" s="2828">
        <v>43920</v>
      </c>
      <c r="B706" s="2760">
        <v>2</v>
      </c>
      <c r="C706" s="817" t="s">
        <v>7275</v>
      </c>
      <c r="D706" s="2712" t="s">
        <v>10159</v>
      </c>
      <c r="E706" s="817" t="s">
        <v>10874</v>
      </c>
      <c r="F706" s="817">
        <v>1</v>
      </c>
      <c r="G706" s="817">
        <v>1</v>
      </c>
      <c r="H706" s="817"/>
      <c r="I706" s="817"/>
      <c r="J706" s="817"/>
      <c r="K706" s="817"/>
      <c r="L706" s="817"/>
      <c r="M706" s="817"/>
      <c r="N706" s="817"/>
      <c r="O706" s="817" t="s">
        <v>8148</v>
      </c>
      <c r="P706" s="2828">
        <v>43939</v>
      </c>
      <c r="Q706" s="2769"/>
      <c r="R706" s="2770" t="s">
        <v>7567</v>
      </c>
      <c r="S706" s="2770"/>
      <c r="T706" s="6" t="s">
        <v>15</v>
      </c>
      <c r="U706" s="2694">
        <v>0.59652777777777777</v>
      </c>
      <c r="V706" s="2694" t="s">
        <v>3213</v>
      </c>
      <c r="W706" s="2627">
        <f>175</f>
        <v>175</v>
      </c>
      <c r="X706" s="817" t="s">
        <v>257</v>
      </c>
      <c r="Y706" s="2772" t="s">
        <v>10822</v>
      </c>
      <c r="Z706" s="817"/>
      <c r="AA706" s="817"/>
      <c r="AB706" s="817" t="s">
        <v>17</v>
      </c>
      <c r="AC706" s="817" t="s">
        <v>7451</v>
      </c>
      <c r="AD706" s="2696"/>
      <c r="AG706" s="2711"/>
    </row>
    <row r="707" spans="1:33" ht="72.5" hidden="1" x14ac:dyDescent="0.35">
      <c r="A707" s="1899">
        <v>43935</v>
      </c>
      <c r="B707" s="2759">
        <v>3</v>
      </c>
      <c r="C707" s="7" t="s">
        <v>10686</v>
      </c>
      <c r="D707" s="2700" t="s">
        <v>9123</v>
      </c>
      <c r="E707" s="7" t="s">
        <v>10690</v>
      </c>
      <c r="F707" s="2735"/>
      <c r="G707" s="2735"/>
      <c r="H707" s="2735"/>
      <c r="I707" s="2735"/>
      <c r="J707" s="2735"/>
      <c r="K707" s="2735"/>
      <c r="L707" s="817"/>
      <c r="M707" s="817"/>
      <c r="N707" s="817"/>
      <c r="O707" s="817" t="s">
        <v>8148</v>
      </c>
      <c r="P707" s="1899">
        <v>43939</v>
      </c>
      <c r="Q707" s="2828"/>
      <c r="R707" s="881" t="s">
        <v>10688</v>
      </c>
      <c r="S707" s="2721"/>
      <c r="T707" s="6" t="s">
        <v>15</v>
      </c>
      <c r="U707" s="836">
        <v>0.60625000000000007</v>
      </c>
      <c r="V707" s="2694" t="s">
        <v>10683</v>
      </c>
      <c r="W707" s="2742">
        <v>80</v>
      </c>
      <c r="X707" s="817" t="s">
        <v>10689</v>
      </c>
      <c r="Y707" s="2772" t="s">
        <v>10822</v>
      </c>
      <c r="Z707" s="817"/>
      <c r="AA707" s="817"/>
      <c r="AB707" s="817" t="s">
        <v>17</v>
      </c>
      <c r="AC707" s="817" t="s">
        <v>7451</v>
      </c>
      <c r="AD707" s="2739"/>
      <c r="AG707" s="2711"/>
    </row>
    <row r="708" spans="1:33" ht="58" hidden="1" x14ac:dyDescent="0.35">
      <c r="A708" s="1899">
        <v>43934</v>
      </c>
      <c r="B708" s="2759">
        <v>4</v>
      </c>
      <c r="C708" s="7" t="s">
        <v>10416</v>
      </c>
      <c r="D708" s="2707" t="s">
        <v>10417</v>
      </c>
      <c r="E708" s="7" t="s">
        <v>10420</v>
      </c>
      <c r="F708" s="7"/>
      <c r="G708" s="7"/>
      <c r="H708" s="7"/>
      <c r="I708" s="7"/>
      <c r="J708" s="7"/>
      <c r="K708" s="7"/>
      <c r="L708" s="817"/>
      <c r="M708" s="817"/>
      <c r="N708" s="817"/>
      <c r="O708" s="817" t="s">
        <v>8148</v>
      </c>
      <c r="P708" s="1899">
        <v>43939</v>
      </c>
      <c r="Q708" s="2769"/>
      <c r="R708" s="2708" t="s">
        <v>10421</v>
      </c>
      <c r="S708" s="2770"/>
      <c r="T708" s="6" t="s">
        <v>15</v>
      </c>
      <c r="U708" s="836">
        <v>0.6166666666666667</v>
      </c>
      <c r="V708" s="836" t="s">
        <v>972</v>
      </c>
      <c r="W708" s="1630">
        <v>100</v>
      </c>
      <c r="X708" s="7" t="s">
        <v>3173</v>
      </c>
      <c r="Y708" s="2717" t="s">
        <v>10822</v>
      </c>
      <c r="Z708" s="7"/>
      <c r="AA708" s="7"/>
      <c r="AB708" s="7" t="s">
        <v>17</v>
      </c>
      <c r="AC708" s="7" t="s">
        <v>7451</v>
      </c>
      <c r="AD708" s="2696"/>
      <c r="AG708" s="2711"/>
    </row>
    <row r="709" spans="1:33" ht="43.5" hidden="1" x14ac:dyDescent="0.35">
      <c r="A709" s="1899">
        <v>43931</v>
      </c>
      <c r="B709" s="2759">
        <v>5</v>
      </c>
      <c r="C709" s="7" t="s">
        <v>9371</v>
      </c>
      <c r="D709" s="2712" t="s">
        <v>9976</v>
      </c>
      <c r="E709" s="7" t="s">
        <v>9372</v>
      </c>
      <c r="F709" s="7"/>
      <c r="G709" s="7"/>
      <c r="H709" s="7"/>
      <c r="I709" s="7"/>
      <c r="J709" s="7"/>
      <c r="K709" s="7"/>
      <c r="L709" s="817"/>
      <c r="M709" s="817"/>
      <c r="N709" s="817"/>
      <c r="O709" s="817" t="s">
        <v>8148</v>
      </c>
      <c r="P709" s="1899">
        <v>43939</v>
      </c>
      <c r="Q709" s="1899"/>
      <c r="R709" s="881" t="s">
        <v>9373</v>
      </c>
      <c r="S709" s="2829"/>
      <c r="T709" s="6" t="s">
        <v>15</v>
      </c>
      <c r="U709" s="836">
        <v>0.62708333333333333</v>
      </c>
      <c r="V709" s="2694" t="s">
        <v>972</v>
      </c>
      <c r="W709" s="1956">
        <v>100</v>
      </c>
      <c r="X709" s="817" t="s">
        <v>9374</v>
      </c>
      <c r="Y709" s="2772" t="s">
        <v>10822</v>
      </c>
      <c r="Z709" s="817"/>
      <c r="AA709" s="817"/>
      <c r="AB709" s="817" t="s">
        <v>17</v>
      </c>
      <c r="AC709" s="817" t="s">
        <v>7451</v>
      </c>
      <c r="AD709" s="2696"/>
      <c r="AG709" s="2711"/>
    </row>
    <row r="710" spans="1:33" ht="72.5" hidden="1" x14ac:dyDescent="0.35">
      <c r="A710" s="2828">
        <v>43928</v>
      </c>
      <c r="B710" s="2760">
        <v>6</v>
      </c>
      <c r="C710" s="817" t="s">
        <v>8396</v>
      </c>
      <c r="D710" s="2712" t="s">
        <v>9997</v>
      </c>
      <c r="E710" s="817" t="s">
        <v>8397</v>
      </c>
      <c r="F710" s="2678">
        <v>1</v>
      </c>
      <c r="G710" s="2669">
        <v>1</v>
      </c>
      <c r="H710" s="2669"/>
      <c r="I710" s="2669"/>
      <c r="J710" s="2669"/>
      <c r="K710" s="2669"/>
      <c r="L710" s="817"/>
      <c r="M710" s="817"/>
      <c r="N710" s="817"/>
      <c r="O710" s="817" t="s">
        <v>8148</v>
      </c>
      <c r="P710" s="2828">
        <v>43939</v>
      </c>
      <c r="Q710" s="2828"/>
      <c r="R710" s="2770" t="s">
        <v>8398</v>
      </c>
      <c r="S710" s="2688"/>
      <c r="T710" s="6" t="s">
        <v>15</v>
      </c>
      <c r="U710" s="2694">
        <v>0.63750000000000007</v>
      </c>
      <c r="V710" s="2694" t="s">
        <v>3213</v>
      </c>
      <c r="W710" s="1956">
        <v>300</v>
      </c>
      <c r="X710" s="817" t="s">
        <v>8268</v>
      </c>
      <c r="Y710" s="2772" t="s">
        <v>10822</v>
      </c>
      <c r="Z710" s="817"/>
      <c r="AA710" s="817"/>
      <c r="AB710" s="817" t="s">
        <v>17</v>
      </c>
      <c r="AC710" s="817" t="s">
        <v>7451</v>
      </c>
      <c r="AD710" s="2699"/>
      <c r="AG710" s="2711"/>
    </row>
    <row r="711" spans="1:33" ht="87" hidden="1" x14ac:dyDescent="0.35">
      <c r="A711" s="2828">
        <v>43926</v>
      </c>
      <c r="B711" s="2760">
        <v>7</v>
      </c>
      <c r="C711" s="2828" t="s">
        <v>8127</v>
      </c>
      <c r="D711" s="2712" t="s">
        <v>10048</v>
      </c>
      <c r="E711" s="817" t="s">
        <v>8128</v>
      </c>
      <c r="F711" s="817">
        <v>1</v>
      </c>
      <c r="G711" s="817">
        <v>1</v>
      </c>
      <c r="H711" s="817"/>
      <c r="I711" s="817"/>
      <c r="J711" s="817"/>
      <c r="K711" s="817"/>
      <c r="L711" s="817"/>
      <c r="M711" s="817"/>
      <c r="N711" s="817"/>
      <c r="O711" s="817" t="s">
        <v>8148</v>
      </c>
      <c r="P711" s="2828">
        <v>43939</v>
      </c>
      <c r="Q711" s="2828"/>
      <c r="R711" s="817" t="s">
        <v>8129</v>
      </c>
      <c r="S711" s="817"/>
      <c r="T711" s="6" t="s">
        <v>15</v>
      </c>
      <c r="U711" s="2694">
        <v>0.64444444444444449</v>
      </c>
      <c r="V711" s="2694" t="s">
        <v>972</v>
      </c>
      <c r="W711" s="1956">
        <v>300</v>
      </c>
      <c r="X711" s="2694" t="s">
        <v>257</v>
      </c>
      <c r="Y711" s="2772" t="s">
        <v>10822</v>
      </c>
      <c r="Z711" s="817"/>
      <c r="AA711" s="817"/>
      <c r="AB711" s="817" t="s">
        <v>17</v>
      </c>
      <c r="AC711" s="817" t="s">
        <v>7451</v>
      </c>
      <c r="AD711" s="2699"/>
      <c r="AG711" s="2711"/>
    </row>
    <row r="712" spans="1:33" ht="116" hidden="1" x14ac:dyDescent="0.35">
      <c r="A712" s="2828">
        <v>43931</v>
      </c>
      <c r="B712" s="2760">
        <v>8</v>
      </c>
      <c r="C712" s="817" t="s">
        <v>9261</v>
      </c>
      <c r="D712" s="2712" t="s">
        <v>9260</v>
      </c>
      <c r="E712" s="7" t="s">
        <v>9269</v>
      </c>
      <c r="F712" s="2682">
        <v>3</v>
      </c>
      <c r="G712" s="2682">
        <v>3</v>
      </c>
      <c r="H712" s="2682"/>
      <c r="I712" s="2682"/>
      <c r="J712" s="2682"/>
      <c r="K712" s="2682"/>
      <c r="L712" s="817"/>
      <c r="M712" s="817"/>
      <c r="N712" s="817"/>
      <c r="O712" s="817" t="s">
        <v>8148</v>
      </c>
      <c r="P712" s="2828">
        <v>43939</v>
      </c>
      <c r="Q712" s="2828"/>
      <c r="R712" s="2829" t="s">
        <v>9262</v>
      </c>
      <c r="S712" s="2770"/>
      <c r="T712" s="6" t="s">
        <v>15</v>
      </c>
      <c r="U712" s="2694">
        <v>0.65277777777777779</v>
      </c>
      <c r="V712" s="2694" t="s">
        <v>972</v>
      </c>
      <c r="W712" s="1956">
        <v>500</v>
      </c>
      <c r="X712" s="817" t="s">
        <v>8625</v>
      </c>
      <c r="Y712" s="2772" t="s">
        <v>10822</v>
      </c>
      <c r="Z712" s="817"/>
      <c r="AA712" s="817"/>
      <c r="AB712" s="817" t="s">
        <v>17</v>
      </c>
      <c r="AC712" s="817" t="s">
        <v>7451</v>
      </c>
      <c r="AD712" s="2700" t="s">
        <v>9260</v>
      </c>
      <c r="AG712" s="2711"/>
    </row>
    <row r="713" spans="1:33" ht="29" hidden="1" x14ac:dyDescent="0.35">
      <c r="A713" s="2486">
        <v>43934</v>
      </c>
      <c r="B713" s="2718">
        <v>9</v>
      </c>
      <c r="C713" s="5" t="s">
        <v>10514</v>
      </c>
      <c r="D713" s="2700" t="s">
        <v>10515</v>
      </c>
      <c r="E713" s="5" t="s">
        <v>10517</v>
      </c>
      <c r="F713" s="5">
        <v>1</v>
      </c>
      <c r="G713" s="5"/>
      <c r="H713" s="5"/>
      <c r="I713" s="5"/>
      <c r="J713" s="5"/>
      <c r="K713" s="5"/>
      <c r="L713" s="817"/>
      <c r="M713" s="817"/>
      <c r="N713" s="817"/>
      <c r="O713" s="817" t="s">
        <v>8148</v>
      </c>
      <c r="P713" s="2486">
        <v>43939</v>
      </c>
      <c r="Q713" s="2769"/>
      <c r="R713" s="2722" t="s">
        <v>10516</v>
      </c>
      <c r="S713" s="2770"/>
      <c r="T713" s="6" t="s">
        <v>15</v>
      </c>
      <c r="U713" s="6">
        <v>0.66111111111111109</v>
      </c>
      <c r="V713" s="2694" t="s">
        <v>972</v>
      </c>
      <c r="W713" s="1956">
        <v>125</v>
      </c>
      <c r="X713" s="2694" t="s">
        <v>257</v>
      </c>
      <c r="Y713" s="2772" t="s">
        <v>10822</v>
      </c>
      <c r="Z713" s="817"/>
      <c r="AA713" s="817"/>
      <c r="AB713" s="817" t="s">
        <v>17</v>
      </c>
      <c r="AC713" s="817" t="s">
        <v>7451</v>
      </c>
      <c r="AD713" s="2696"/>
      <c r="AG713" s="2711"/>
    </row>
    <row r="714" spans="1:33" ht="72.5" hidden="1" x14ac:dyDescent="0.35">
      <c r="A714" s="2828">
        <v>43927</v>
      </c>
      <c r="B714" s="2760">
        <v>10</v>
      </c>
      <c r="C714" s="817" t="s">
        <v>8167</v>
      </c>
      <c r="D714" s="2712" t="s">
        <v>10013</v>
      </c>
      <c r="E714" s="817" t="s">
        <v>8168</v>
      </c>
      <c r="F714" s="5">
        <v>1</v>
      </c>
      <c r="G714" s="5"/>
      <c r="H714" s="5"/>
      <c r="I714" s="5">
        <v>1</v>
      </c>
      <c r="J714" s="5"/>
      <c r="K714" s="5"/>
      <c r="L714" s="817"/>
      <c r="M714" s="817"/>
      <c r="N714" s="817"/>
      <c r="O714" s="817" t="s">
        <v>8148</v>
      </c>
      <c r="P714" s="2828">
        <v>43939</v>
      </c>
      <c r="Q714" s="2769"/>
      <c r="R714" s="2829" t="s">
        <v>8271</v>
      </c>
      <c r="S714" s="2770" t="s">
        <v>8272</v>
      </c>
      <c r="T714" s="6" t="s">
        <v>15</v>
      </c>
      <c r="U714" s="2694">
        <v>0.6694444444444444</v>
      </c>
      <c r="V714" s="2694" t="s">
        <v>972</v>
      </c>
      <c r="W714" s="1956">
        <v>300</v>
      </c>
      <c r="X714" s="817" t="s">
        <v>257</v>
      </c>
      <c r="Y714" s="2772" t="s">
        <v>10822</v>
      </c>
      <c r="Z714" s="817"/>
      <c r="AA714" s="817"/>
      <c r="AB714" s="817" t="s">
        <v>17</v>
      </c>
      <c r="AC714" s="817" t="s">
        <v>7451</v>
      </c>
      <c r="AD714" s="2699"/>
      <c r="AG714" s="2711"/>
    </row>
    <row r="715" spans="1:33" ht="72.5" hidden="1" x14ac:dyDescent="0.35">
      <c r="A715" s="2828">
        <v>43931</v>
      </c>
      <c r="B715" s="2760">
        <v>11</v>
      </c>
      <c r="C715" s="817" t="s">
        <v>9243</v>
      </c>
      <c r="D715" s="2712" t="s">
        <v>9242</v>
      </c>
      <c r="E715" s="7" t="s">
        <v>9244</v>
      </c>
      <c r="F715" s="2682">
        <v>1</v>
      </c>
      <c r="G715" s="2682"/>
      <c r="H715" s="2682"/>
      <c r="I715" s="2682"/>
      <c r="J715" s="2682"/>
      <c r="K715" s="2682">
        <v>1</v>
      </c>
      <c r="L715" s="817"/>
      <c r="M715" s="817"/>
      <c r="N715" s="817"/>
      <c r="O715" s="817" t="s">
        <v>8148</v>
      </c>
      <c r="P715" s="2828">
        <v>43939</v>
      </c>
      <c r="Q715" s="2769"/>
      <c r="R715" s="2829" t="s">
        <v>9245</v>
      </c>
      <c r="S715" s="2770"/>
      <c r="T715" s="6" t="s">
        <v>15</v>
      </c>
      <c r="U715" s="2694">
        <v>0.67708333333333337</v>
      </c>
      <c r="V715" s="2694" t="s">
        <v>972</v>
      </c>
      <c r="W715" s="2681">
        <v>300</v>
      </c>
      <c r="X715" s="817" t="s">
        <v>2900</v>
      </c>
      <c r="Y715" s="2772" t="s">
        <v>10822</v>
      </c>
      <c r="Z715" s="817"/>
      <c r="AA715" s="817"/>
      <c r="AB715" s="817" t="s">
        <v>17</v>
      </c>
      <c r="AC715" s="817" t="s">
        <v>7451</v>
      </c>
      <c r="AD715" s="2700" t="s">
        <v>9242</v>
      </c>
      <c r="AG715" s="2711"/>
    </row>
    <row r="716" spans="1:33" ht="130.5" hidden="1" x14ac:dyDescent="0.35">
      <c r="A716" s="1899">
        <v>43935</v>
      </c>
      <c r="B716" s="2759">
        <v>12</v>
      </c>
      <c r="C716" s="7" t="s">
        <v>10581</v>
      </c>
      <c r="D716" s="2707" t="s">
        <v>10582</v>
      </c>
      <c r="E716" s="7" t="s">
        <v>10706</v>
      </c>
      <c r="F716" s="2735">
        <v>1</v>
      </c>
      <c r="G716" s="2735"/>
      <c r="H716" s="2735"/>
      <c r="I716" s="2735"/>
      <c r="J716" s="2735">
        <v>1</v>
      </c>
      <c r="K716" s="2735"/>
      <c r="L716" s="7"/>
      <c r="M716" s="7"/>
      <c r="N716" s="7"/>
      <c r="O716" s="7" t="s">
        <v>8148</v>
      </c>
      <c r="P716" s="1899">
        <v>43939</v>
      </c>
      <c r="Q716" s="1899"/>
      <c r="R716" s="881" t="s">
        <v>10583</v>
      </c>
      <c r="S716" s="881"/>
      <c r="T716" s="6" t="s">
        <v>15</v>
      </c>
      <c r="U716" s="836">
        <v>0.6875</v>
      </c>
      <c r="V716" s="836" t="s">
        <v>972</v>
      </c>
      <c r="W716" s="2742">
        <v>199</v>
      </c>
      <c r="X716" s="7" t="s">
        <v>257</v>
      </c>
      <c r="Y716" s="2717" t="s">
        <v>10822</v>
      </c>
      <c r="Z716" s="7"/>
      <c r="AA716" s="7"/>
      <c r="AB716" s="7" t="s">
        <v>22</v>
      </c>
      <c r="AC716" s="7" t="s">
        <v>7451</v>
      </c>
      <c r="AD716" s="2739"/>
      <c r="AG716" s="2711"/>
    </row>
    <row r="717" spans="1:33" ht="72.5" hidden="1" x14ac:dyDescent="0.35">
      <c r="A717" s="2769">
        <v>43932</v>
      </c>
      <c r="B717" s="2760">
        <v>13</v>
      </c>
      <c r="C717" s="817" t="s">
        <v>9640</v>
      </c>
      <c r="D717" s="2700" t="s">
        <v>9663</v>
      </c>
      <c r="E717" s="7" t="s">
        <v>9662</v>
      </c>
      <c r="F717" s="5">
        <v>1</v>
      </c>
      <c r="G717" s="5">
        <v>1</v>
      </c>
      <c r="H717" s="5"/>
      <c r="I717" s="5"/>
      <c r="J717" s="5"/>
      <c r="K717" s="5"/>
      <c r="L717" s="817"/>
      <c r="M717" s="817"/>
      <c r="N717" s="817"/>
      <c r="O717" s="817" t="s">
        <v>8148</v>
      </c>
      <c r="P717" s="2769">
        <v>43939</v>
      </c>
      <c r="Q717" s="2769"/>
      <c r="R717" s="2706" t="s">
        <v>9661</v>
      </c>
      <c r="S717" s="2770"/>
      <c r="T717" s="6" t="s">
        <v>15</v>
      </c>
      <c r="U717" s="836">
        <v>0.69861111111111107</v>
      </c>
      <c r="V717" s="836" t="s">
        <v>972</v>
      </c>
      <c r="W717" s="2681">
        <v>300</v>
      </c>
      <c r="X717" s="817" t="s">
        <v>2900</v>
      </c>
      <c r="Y717" s="2772" t="s">
        <v>10822</v>
      </c>
      <c r="Z717" s="817"/>
      <c r="AA717" s="817"/>
      <c r="AB717" s="817" t="s">
        <v>17</v>
      </c>
      <c r="AC717" s="817" t="s">
        <v>7451</v>
      </c>
      <c r="AD717" s="2696"/>
      <c r="AG717" s="2711"/>
    </row>
    <row r="718" spans="1:33" ht="43.5" hidden="1" x14ac:dyDescent="0.35">
      <c r="A718" s="1808">
        <v>43930</v>
      </c>
      <c r="B718" s="2779">
        <v>14</v>
      </c>
      <c r="C718" s="10" t="s">
        <v>8790</v>
      </c>
      <c r="D718" s="2743" t="s">
        <v>10121</v>
      </c>
      <c r="E718" s="1412" t="s">
        <v>8791</v>
      </c>
      <c r="F718" s="2686"/>
      <c r="G718" s="2682"/>
      <c r="H718" s="2682"/>
      <c r="I718" s="2682"/>
      <c r="J718" s="2682"/>
      <c r="K718" s="2682"/>
      <c r="L718" s="817"/>
      <c r="M718" s="817"/>
      <c r="N718" s="817"/>
      <c r="O718" s="817" t="s">
        <v>8148</v>
      </c>
      <c r="P718" s="1808">
        <v>43939</v>
      </c>
      <c r="Q718" s="1808"/>
      <c r="R718" s="823" t="s">
        <v>8792</v>
      </c>
      <c r="S718" s="2829"/>
      <c r="T718" s="6" t="s">
        <v>15</v>
      </c>
      <c r="U718" s="6">
        <v>0.7104166666666667</v>
      </c>
      <c r="V718" s="2694" t="s">
        <v>972</v>
      </c>
      <c r="W718" s="1956">
        <v>360</v>
      </c>
      <c r="X718" s="836" t="s">
        <v>257</v>
      </c>
      <c r="Y718" s="2772" t="s">
        <v>10822</v>
      </c>
      <c r="Z718" s="817"/>
      <c r="AA718" s="817"/>
      <c r="AB718" s="7" t="s">
        <v>17</v>
      </c>
      <c r="AC718" s="817" t="s">
        <v>6041</v>
      </c>
      <c r="AD718" s="2700"/>
      <c r="AG718" s="2711"/>
    </row>
    <row r="719" spans="1:33" ht="87" hidden="1" x14ac:dyDescent="0.35">
      <c r="A719" s="2769">
        <v>43934</v>
      </c>
      <c r="B719" s="2760">
        <v>15</v>
      </c>
      <c r="C719" s="2828" t="s">
        <v>8109</v>
      </c>
      <c r="D719" s="2712" t="s">
        <v>10030</v>
      </c>
      <c r="E719" s="817" t="s">
        <v>10488</v>
      </c>
      <c r="F719" s="817">
        <v>1</v>
      </c>
      <c r="G719" s="817">
        <v>1</v>
      </c>
      <c r="H719" s="817"/>
      <c r="I719" s="817"/>
      <c r="J719" s="817"/>
      <c r="K719" s="817"/>
      <c r="L719" s="817"/>
      <c r="M719" s="817"/>
      <c r="N719" s="817"/>
      <c r="O719" s="817" t="s">
        <v>8148</v>
      </c>
      <c r="P719" s="2769">
        <v>43939</v>
      </c>
      <c r="Q719" s="2769"/>
      <c r="R719" s="2770" t="s">
        <v>8110</v>
      </c>
      <c r="S719" s="2770"/>
      <c r="T719" s="6" t="s">
        <v>15</v>
      </c>
      <c r="U719" s="2694">
        <v>0.72499999999999998</v>
      </c>
      <c r="V719" s="2694" t="s">
        <v>972</v>
      </c>
      <c r="W719" s="1956">
        <v>180</v>
      </c>
      <c r="X719" s="2694" t="s">
        <v>257</v>
      </c>
      <c r="Y719" s="2772" t="s">
        <v>10822</v>
      </c>
      <c r="Z719" s="817"/>
      <c r="AA719" s="817"/>
      <c r="AB719" s="817" t="s">
        <v>17</v>
      </c>
      <c r="AC719" s="817" t="s">
        <v>7451</v>
      </c>
      <c r="AD719" s="2699"/>
      <c r="AG719" s="2711"/>
    </row>
    <row r="720" spans="1:33" ht="72.5" hidden="1" x14ac:dyDescent="0.35">
      <c r="A720" s="1899">
        <v>43932</v>
      </c>
      <c r="B720" s="2759">
        <v>16</v>
      </c>
      <c r="C720" s="817" t="s">
        <v>9625</v>
      </c>
      <c r="D720" s="2700" t="s">
        <v>9626</v>
      </c>
      <c r="E720" s="7" t="s">
        <v>9328</v>
      </c>
      <c r="F720" s="5">
        <v>1</v>
      </c>
      <c r="G720" s="5">
        <v>1</v>
      </c>
      <c r="H720" s="5"/>
      <c r="I720" s="5"/>
      <c r="J720" s="5"/>
      <c r="K720" s="5"/>
      <c r="L720" s="817"/>
      <c r="M720" s="817"/>
      <c r="N720" s="817"/>
      <c r="O720" s="817" t="s">
        <v>8148</v>
      </c>
      <c r="P720" s="2828">
        <v>43939</v>
      </c>
      <c r="Q720" s="2769"/>
      <c r="R720" s="2706" t="s">
        <v>9627</v>
      </c>
      <c r="S720" s="2770"/>
      <c r="T720" s="6" t="s">
        <v>15</v>
      </c>
      <c r="U720" s="836">
        <v>0.73402777777777783</v>
      </c>
      <c r="V720" s="836" t="s">
        <v>972</v>
      </c>
      <c r="W720" s="1956">
        <v>300</v>
      </c>
      <c r="X720" s="817" t="s">
        <v>8625</v>
      </c>
      <c r="Y720" s="2772" t="s">
        <v>10822</v>
      </c>
      <c r="Z720" s="817"/>
      <c r="AA720" s="817"/>
      <c r="AB720" s="817" t="s">
        <v>17</v>
      </c>
      <c r="AC720" s="817" t="s">
        <v>7451</v>
      </c>
      <c r="AD720" s="2696"/>
      <c r="AG720" s="2711"/>
    </row>
    <row r="721" spans="1:33" ht="87" hidden="1" x14ac:dyDescent="0.35">
      <c r="A721" s="2486">
        <v>43938</v>
      </c>
      <c r="B721" s="2760">
        <v>1</v>
      </c>
      <c r="C721" s="5" t="s">
        <v>10847</v>
      </c>
      <c r="D721" s="2700" t="s">
        <v>10848</v>
      </c>
      <c r="E721" s="5" t="s">
        <v>5719</v>
      </c>
      <c r="F721" s="2741"/>
      <c r="G721" s="2741"/>
      <c r="H721" s="2741"/>
      <c r="I721" s="2741"/>
      <c r="J721" s="2741"/>
      <c r="K721" s="5"/>
      <c r="L721" s="817"/>
      <c r="M721" s="817"/>
      <c r="N721" s="817"/>
      <c r="O721" s="817" t="s">
        <v>8148</v>
      </c>
      <c r="P721" s="2486">
        <v>43939</v>
      </c>
      <c r="Q721" s="2769"/>
      <c r="R721" s="2722" t="s">
        <v>10849</v>
      </c>
      <c r="S721" s="2770"/>
      <c r="T721" s="6" t="s">
        <v>15</v>
      </c>
      <c r="U721" s="2694">
        <v>0.59722222222222221</v>
      </c>
      <c r="V721" s="2771"/>
      <c r="W721" s="2742">
        <v>90</v>
      </c>
      <c r="X721" s="2694" t="s">
        <v>10846</v>
      </c>
      <c r="Y721" s="2772" t="s">
        <v>10831</v>
      </c>
      <c r="Z721" s="2694"/>
      <c r="AA721" s="2694"/>
      <c r="AB721" s="2744"/>
      <c r="AC721" s="2744"/>
      <c r="AD721" s="2739"/>
      <c r="AG721" s="2711"/>
    </row>
    <row r="722" spans="1:33" ht="116" hidden="1" x14ac:dyDescent="0.35">
      <c r="A722" s="1899">
        <v>43932</v>
      </c>
      <c r="B722" s="2759">
        <v>2</v>
      </c>
      <c r="C722" s="7" t="s">
        <v>10236</v>
      </c>
      <c r="D722" s="2700" t="s">
        <v>10235</v>
      </c>
      <c r="E722" s="7" t="s">
        <v>10237</v>
      </c>
      <c r="F722" s="2685">
        <v>1</v>
      </c>
      <c r="G722" s="2685"/>
      <c r="H722" s="2685">
        <v>1</v>
      </c>
      <c r="I722" s="2685"/>
      <c r="J722" s="2685"/>
      <c r="K722" s="2685"/>
      <c r="L722" s="817"/>
      <c r="M722" s="817"/>
      <c r="N722" s="817"/>
      <c r="O722" s="817" t="s">
        <v>8148</v>
      </c>
      <c r="P722" s="1899">
        <v>43939</v>
      </c>
      <c r="Q722" s="2769"/>
      <c r="R722" s="881" t="s">
        <v>10238</v>
      </c>
      <c r="S722" s="2770"/>
      <c r="T722" s="6" t="s">
        <v>15</v>
      </c>
      <c r="U722" s="6">
        <v>0.6069444444444444</v>
      </c>
      <c r="V722" s="2694" t="s">
        <v>972</v>
      </c>
      <c r="W722" s="1956">
        <v>300</v>
      </c>
      <c r="X722" s="2197" t="s">
        <v>10940</v>
      </c>
      <c r="Y722" s="2772" t="s">
        <v>10831</v>
      </c>
      <c r="Z722" s="817"/>
      <c r="AA722" s="817"/>
      <c r="AB722" s="7" t="s">
        <v>17</v>
      </c>
      <c r="AC722" s="817" t="s">
        <v>7451</v>
      </c>
      <c r="AD722" s="2695"/>
      <c r="AG722" s="2711"/>
    </row>
    <row r="723" spans="1:33" ht="43.5" hidden="1" x14ac:dyDescent="0.35">
      <c r="A723" s="1899">
        <v>43931</v>
      </c>
      <c r="B723" s="2759">
        <v>3</v>
      </c>
      <c r="C723" s="7" t="s">
        <v>9364</v>
      </c>
      <c r="D723" s="2712" t="s">
        <v>10840</v>
      </c>
      <c r="E723" s="7" t="s">
        <v>9363</v>
      </c>
      <c r="F723" s="7">
        <v>1</v>
      </c>
      <c r="G723" s="7">
        <v>2</v>
      </c>
      <c r="H723" s="7"/>
      <c r="I723" s="7"/>
      <c r="J723" s="7"/>
      <c r="K723" s="7"/>
      <c r="L723" s="817"/>
      <c r="M723" s="817"/>
      <c r="N723" s="817"/>
      <c r="O723" s="817" t="s">
        <v>8148</v>
      </c>
      <c r="P723" s="1899">
        <v>43939</v>
      </c>
      <c r="Q723" s="1899"/>
      <c r="R723" s="881" t="s">
        <v>9362</v>
      </c>
      <c r="S723" s="2829"/>
      <c r="T723" s="6" t="s">
        <v>15</v>
      </c>
      <c r="U723" s="2694">
        <v>0.62569444444444444</v>
      </c>
      <c r="V723" s="2694" t="s">
        <v>972</v>
      </c>
      <c r="W723" s="2681">
        <f>150+75</f>
        <v>225</v>
      </c>
      <c r="X723" s="817" t="s">
        <v>2900</v>
      </c>
      <c r="Y723" s="2772" t="s">
        <v>10831</v>
      </c>
      <c r="Z723" s="817"/>
      <c r="AA723" s="817"/>
      <c r="AB723" s="817" t="s">
        <v>17</v>
      </c>
      <c r="AC723" s="817" t="s">
        <v>7451</v>
      </c>
      <c r="AD723" s="2696"/>
      <c r="AG723" s="2711"/>
    </row>
    <row r="724" spans="1:33" ht="58" hidden="1" x14ac:dyDescent="0.35">
      <c r="A724" s="1899">
        <v>43931</v>
      </c>
      <c r="B724" s="2759">
        <v>1</v>
      </c>
      <c r="C724" s="7" t="s">
        <v>9397</v>
      </c>
      <c r="D724" s="2712" t="s">
        <v>10198</v>
      </c>
      <c r="E724" s="7" t="s">
        <v>9398</v>
      </c>
      <c r="F724" s="7">
        <v>1</v>
      </c>
      <c r="G724" s="7"/>
      <c r="H724" s="7">
        <v>1</v>
      </c>
      <c r="I724" s="7"/>
      <c r="J724" s="7"/>
      <c r="K724" s="7"/>
      <c r="L724" s="817"/>
      <c r="M724" s="817"/>
      <c r="N724" s="817"/>
      <c r="O724" s="817" t="s">
        <v>8148</v>
      </c>
      <c r="P724" s="1899">
        <v>43939</v>
      </c>
      <c r="Q724" s="1899"/>
      <c r="R724" s="881" t="s">
        <v>9396</v>
      </c>
      <c r="S724" s="2770"/>
      <c r="T724" s="6" t="s">
        <v>15</v>
      </c>
      <c r="U724" s="836">
        <v>0.58472222222222225</v>
      </c>
      <c r="V724" s="2694" t="s">
        <v>972</v>
      </c>
      <c r="W724" s="2681">
        <v>228</v>
      </c>
      <c r="X724" s="817" t="s">
        <v>257</v>
      </c>
      <c r="Y724" s="2717" t="s">
        <v>10827</v>
      </c>
      <c r="Z724" s="7"/>
      <c r="AA724" s="7"/>
      <c r="AB724" s="7" t="s">
        <v>17</v>
      </c>
      <c r="AC724" s="7" t="s">
        <v>7451</v>
      </c>
      <c r="AD724" s="2696"/>
      <c r="AG724" s="2711"/>
    </row>
    <row r="725" spans="1:33" ht="58" hidden="1" x14ac:dyDescent="0.35">
      <c r="A725" s="1899">
        <v>43934</v>
      </c>
      <c r="B725" s="2759">
        <v>2</v>
      </c>
      <c r="C725" s="7" t="s">
        <v>10518</v>
      </c>
      <c r="D725" s="2700" t="s">
        <v>10521</v>
      </c>
      <c r="E725" s="7" t="s">
        <v>10520</v>
      </c>
      <c r="F725" s="7">
        <v>1</v>
      </c>
      <c r="G725" s="7">
        <v>1</v>
      </c>
      <c r="H725" s="7"/>
      <c r="I725" s="7"/>
      <c r="J725" s="7"/>
      <c r="K725" s="7"/>
      <c r="L725" s="817"/>
      <c r="M725" s="817"/>
      <c r="N725" s="817"/>
      <c r="O725" s="817" t="s">
        <v>8148</v>
      </c>
      <c r="P725" s="1899">
        <v>43939</v>
      </c>
      <c r="Q725" s="2828"/>
      <c r="R725" s="2708" t="s">
        <v>10519</v>
      </c>
      <c r="S725" s="2770"/>
      <c r="T725" s="6" t="s">
        <v>15</v>
      </c>
      <c r="U725" s="836">
        <v>0.59583333333333333</v>
      </c>
      <c r="V725" s="836" t="s">
        <v>972</v>
      </c>
      <c r="W725" s="1630">
        <v>124</v>
      </c>
      <c r="X725" s="7" t="s">
        <v>3173</v>
      </c>
      <c r="Y725" s="2717" t="s">
        <v>10827</v>
      </c>
      <c r="Z725" s="7"/>
      <c r="AA725" s="7"/>
      <c r="AB725" s="7" t="s">
        <v>17</v>
      </c>
      <c r="AC725" s="7" t="s">
        <v>7451</v>
      </c>
      <c r="AD725" s="2696"/>
      <c r="AG725" s="2711"/>
    </row>
    <row r="726" spans="1:33" ht="87" hidden="1" x14ac:dyDescent="0.35">
      <c r="A726" s="2486">
        <v>43923</v>
      </c>
      <c r="B726" s="2718">
        <v>3</v>
      </c>
      <c r="C726" s="5" t="s">
        <v>7749</v>
      </c>
      <c r="D726" s="2712" t="s">
        <v>10074</v>
      </c>
      <c r="E726" s="5" t="s">
        <v>7750</v>
      </c>
      <c r="F726" s="5">
        <v>1</v>
      </c>
      <c r="G726" s="5">
        <v>1</v>
      </c>
      <c r="H726" s="5"/>
      <c r="I726" s="5"/>
      <c r="J726" s="5"/>
      <c r="K726" s="5"/>
      <c r="L726" s="5"/>
      <c r="M726" s="5"/>
      <c r="N726" s="5"/>
      <c r="O726" s="5" t="s">
        <v>8148</v>
      </c>
      <c r="P726" s="2486">
        <v>43939</v>
      </c>
      <c r="Q726" s="2486"/>
      <c r="R726" s="824" t="s">
        <v>7751</v>
      </c>
      <c r="S726" s="824"/>
      <c r="T726" s="6" t="s">
        <v>15</v>
      </c>
      <c r="U726" s="6">
        <v>0.60416666666666663</v>
      </c>
      <c r="V726" s="2694" t="s">
        <v>3213</v>
      </c>
      <c r="W726" s="1956">
        <v>300</v>
      </c>
      <c r="X726" s="2694" t="s">
        <v>257</v>
      </c>
      <c r="Y726" s="2772" t="s">
        <v>10827</v>
      </c>
      <c r="Z726" s="2694"/>
      <c r="AA726" s="2694"/>
      <c r="AB726" s="817" t="s">
        <v>17</v>
      </c>
      <c r="AC726" s="817" t="s">
        <v>7451</v>
      </c>
      <c r="AD726" s="2699"/>
      <c r="AG726" s="2711"/>
    </row>
    <row r="727" spans="1:33" ht="116" hidden="1" x14ac:dyDescent="0.35">
      <c r="A727" s="2828">
        <v>43927</v>
      </c>
      <c r="B727" s="2760">
        <v>4</v>
      </c>
      <c r="C727" s="817" t="s">
        <v>8234</v>
      </c>
      <c r="D727" s="2712" t="s">
        <v>10092</v>
      </c>
      <c r="E727" s="817" t="s">
        <v>8395</v>
      </c>
      <c r="F727" s="5"/>
      <c r="G727" s="5"/>
      <c r="H727" s="5"/>
      <c r="I727" s="5"/>
      <c r="J727" s="5"/>
      <c r="K727" s="5"/>
      <c r="L727" s="817"/>
      <c r="M727" s="817"/>
      <c r="N727" s="817"/>
      <c r="O727" s="817" t="s">
        <v>8148</v>
      </c>
      <c r="P727" s="2769">
        <v>43939</v>
      </c>
      <c r="Q727" s="2769"/>
      <c r="R727" s="2829" t="s">
        <v>8328</v>
      </c>
      <c r="S727" s="2770" t="s">
        <v>8293</v>
      </c>
      <c r="T727" s="6" t="s">
        <v>15</v>
      </c>
      <c r="U727" s="2694">
        <v>0.61597222222222225</v>
      </c>
      <c r="V727" s="2694" t="s">
        <v>3213</v>
      </c>
      <c r="W727" s="1956">
        <v>150</v>
      </c>
      <c r="X727" s="817" t="s">
        <v>257</v>
      </c>
      <c r="Y727" s="2772" t="s">
        <v>10827</v>
      </c>
      <c r="Z727" s="817"/>
      <c r="AA727" s="817"/>
      <c r="AB727" s="817" t="s">
        <v>17</v>
      </c>
      <c r="AC727" s="817" t="s">
        <v>7451</v>
      </c>
      <c r="AD727" s="2699"/>
      <c r="AG727" s="2711"/>
    </row>
    <row r="728" spans="1:33" ht="72.5" hidden="1" x14ac:dyDescent="0.35">
      <c r="A728" s="2486">
        <v>43930</v>
      </c>
      <c r="B728" s="2718">
        <v>5</v>
      </c>
      <c r="C728" s="5" t="s">
        <v>8840</v>
      </c>
      <c r="D728" s="2712" t="s">
        <v>9991</v>
      </c>
      <c r="E728" s="5" t="s">
        <v>8842</v>
      </c>
      <c r="F728" s="2679">
        <v>1</v>
      </c>
      <c r="G728" s="5">
        <v>1</v>
      </c>
      <c r="H728" s="5"/>
      <c r="I728" s="5"/>
      <c r="J728" s="5"/>
      <c r="K728" s="5"/>
      <c r="L728" s="817"/>
      <c r="M728" s="817"/>
      <c r="N728" s="817"/>
      <c r="O728" s="817" t="s">
        <v>8148</v>
      </c>
      <c r="P728" s="2486">
        <v>43939</v>
      </c>
      <c r="Q728" s="2486"/>
      <c r="R728" s="824" t="s">
        <v>8841</v>
      </c>
      <c r="S728" s="2770"/>
      <c r="T728" s="6" t="s">
        <v>15</v>
      </c>
      <c r="U728" s="6">
        <v>0.62569444444444444</v>
      </c>
      <c r="V728" s="2694" t="s">
        <v>972</v>
      </c>
      <c r="W728" s="1956">
        <v>300</v>
      </c>
      <c r="X728" s="836" t="s">
        <v>8625</v>
      </c>
      <c r="Y728" s="2772" t="s">
        <v>10827</v>
      </c>
      <c r="Z728" s="817"/>
      <c r="AA728" s="817"/>
      <c r="AB728" s="7" t="s">
        <v>17</v>
      </c>
      <c r="AC728" s="817" t="s">
        <v>7451</v>
      </c>
      <c r="AD728" s="2700"/>
      <c r="AG728" s="2711"/>
    </row>
    <row r="729" spans="1:33" ht="72.5" hidden="1" x14ac:dyDescent="0.35">
      <c r="A729" s="2486">
        <v>43935</v>
      </c>
      <c r="B729" s="2718">
        <v>6</v>
      </c>
      <c r="C729" s="7" t="s">
        <v>10594</v>
      </c>
      <c r="D729" s="2700" t="s">
        <v>10595</v>
      </c>
      <c r="E729" s="7" t="s">
        <v>10596</v>
      </c>
      <c r="F729" s="2740">
        <v>1</v>
      </c>
      <c r="G729" s="2741">
        <v>1</v>
      </c>
      <c r="H729" s="2741"/>
      <c r="I729" s="2741"/>
      <c r="J729" s="2741"/>
      <c r="K729" s="2741"/>
      <c r="L729" s="817"/>
      <c r="M729" s="817"/>
      <c r="N729" s="817"/>
      <c r="O729" s="817" t="s">
        <v>8148</v>
      </c>
      <c r="P729" s="2486">
        <v>43939</v>
      </c>
      <c r="Q729" s="2769"/>
      <c r="R729" s="824" t="s">
        <v>10597</v>
      </c>
      <c r="S729" s="2770"/>
      <c r="T729" s="6" t="s">
        <v>15</v>
      </c>
      <c r="U729" s="6">
        <v>0.64027777777777783</v>
      </c>
      <c r="V729" s="2694" t="s">
        <v>972</v>
      </c>
      <c r="W729" s="1956">
        <v>300</v>
      </c>
      <c r="X729" s="2694" t="s">
        <v>257</v>
      </c>
      <c r="Y729" s="2772" t="s">
        <v>10827</v>
      </c>
      <c r="Z729" s="817"/>
      <c r="AA729" s="817"/>
      <c r="AB729" s="817" t="s">
        <v>17</v>
      </c>
      <c r="AC729" s="817" t="s">
        <v>7451</v>
      </c>
      <c r="AD729" s="2739"/>
      <c r="AG729" s="2711"/>
    </row>
    <row r="730" spans="1:33" ht="72.5" hidden="1" x14ac:dyDescent="0.35">
      <c r="A730" s="2486">
        <v>43928</v>
      </c>
      <c r="B730" s="2718">
        <v>7</v>
      </c>
      <c r="C730" s="7" t="s">
        <v>8450</v>
      </c>
      <c r="D730" s="2712" t="s">
        <v>9725</v>
      </c>
      <c r="E730" s="7" t="s">
        <v>8451</v>
      </c>
      <c r="F730" s="2678">
        <v>1</v>
      </c>
      <c r="G730" s="2669">
        <v>1</v>
      </c>
      <c r="H730" s="2669"/>
      <c r="I730" s="2669"/>
      <c r="J730" s="2669"/>
      <c r="K730" s="2669"/>
      <c r="L730" s="817"/>
      <c r="M730" s="817"/>
      <c r="N730" s="817"/>
      <c r="O730" s="817" t="s">
        <v>8148</v>
      </c>
      <c r="P730" s="2486">
        <v>43939</v>
      </c>
      <c r="Q730" s="2486"/>
      <c r="R730" s="824" t="s">
        <v>8452</v>
      </c>
      <c r="S730" s="2770"/>
      <c r="T730" s="6" t="s">
        <v>15</v>
      </c>
      <c r="U730" s="836">
        <v>0.65069444444444446</v>
      </c>
      <c r="V730" s="2694" t="s">
        <v>972</v>
      </c>
      <c r="W730" s="2660">
        <v>300</v>
      </c>
      <c r="X730" s="2694" t="s">
        <v>8381</v>
      </c>
      <c r="Y730" s="2772" t="s">
        <v>10827</v>
      </c>
      <c r="Z730" s="817"/>
      <c r="AA730" s="817"/>
      <c r="AB730" s="817" t="s">
        <v>17</v>
      </c>
      <c r="AC730" s="817" t="s">
        <v>7451</v>
      </c>
      <c r="AD730" s="2699"/>
      <c r="AG730" s="2711"/>
    </row>
    <row r="731" spans="1:33" ht="58" hidden="1" x14ac:dyDescent="0.35">
      <c r="A731" s="2828">
        <v>43934</v>
      </c>
      <c r="B731" s="2760">
        <v>8</v>
      </c>
      <c r="C731" s="5" t="s">
        <v>10545</v>
      </c>
      <c r="D731" s="2700" t="s">
        <v>10546</v>
      </c>
      <c r="E731" s="2725" t="s">
        <v>10547</v>
      </c>
      <c r="F731" s="2679"/>
      <c r="G731" s="5"/>
      <c r="H731" s="5"/>
      <c r="I731" s="5"/>
      <c r="J731" s="5"/>
      <c r="K731" s="5"/>
      <c r="L731" s="817"/>
      <c r="M731" s="817"/>
      <c r="N731" s="817"/>
      <c r="O731" s="817" t="s">
        <v>8148</v>
      </c>
      <c r="P731" s="2486">
        <v>43939</v>
      </c>
      <c r="Q731" s="2828"/>
      <c r="R731" s="2722" t="s">
        <v>10548</v>
      </c>
      <c r="S731" s="2770"/>
      <c r="T731" s="6" t="s">
        <v>15</v>
      </c>
      <c r="U731" s="2694">
        <v>0.66736111111111107</v>
      </c>
      <c r="V731" s="2694" t="s">
        <v>972</v>
      </c>
      <c r="W731" s="1956">
        <v>120</v>
      </c>
      <c r="X731" s="817" t="s">
        <v>257</v>
      </c>
      <c r="Y731" s="2772" t="s">
        <v>10827</v>
      </c>
      <c r="Z731" s="817"/>
      <c r="AA731" s="817"/>
      <c r="AB731" s="817" t="s">
        <v>17</v>
      </c>
      <c r="AC731" s="817" t="s">
        <v>7451</v>
      </c>
      <c r="AD731" s="2696"/>
      <c r="AG731" s="2711"/>
    </row>
    <row r="732" spans="1:33" ht="72.5" hidden="1" x14ac:dyDescent="0.35">
      <c r="A732" s="2828">
        <v>43931</v>
      </c>
      <c r="B732" s="2760">
        <v>9</v>
      </c>
      <c r="C732" s="817" t="s">
        <v>9142</v>
      </c>
      <c r="D732" s="2712" t="s">
        <v>9973</v>
      </c>
      <c r="E732" s="7" t="s">
        <v>9120</v>
      </c>
      <c r="F732" s="2682"/>
      <c r="G732" s="2682"/>
      <c r="H732" s="2682"/>
      <c r="I732" s="2682"/>
      <c r="J732" s="2682"/>
      <c r="K732" s="2682"/>
      <c r="L732" s="817"/>
      <c r="M732" s="817"/>
      <c r="N732" s="817"/>
      <c r="O732" s="817" t="s">
        <v>8148</v>
      </c>
      <c r="P732" s="2828">
        <v>43939</v>
      </c>
      <c r="Q732" s="2769"/>
      <c r="R732" s="2829" t="s">
        <v>9121</v>
      </c>
      <c r="S732" s="2770"/>
      <c r="T732" s="6" t="s">
        <v>15</v>
      </c>
      <c r="U732" s="2694">
        <v>0.67847222222222225</v>
      </c>
      <c r="V732" s="2694" t="s">
        <v>972</v>
      </c>
      <c r="W732" s="1956">
        <v>105</v>
      </c>
      <c r="X732" s="817" t="s">
        <v>8625</v>
      </c>
      <c r="Y732" s="2772" t="s">
        <v>10827</v>
      </c>
      <c r="Z732" s="817"/>
      <c r="AA732" s="817"/>
      <c r="AB732" s="817" t="s">
        <v>17</v>
      </c>
      <c r="AC732" s="817" t="s">
        <v>6041</v>
      </c>
      <c r="AD732" s="2700" t="s">
        <v>9113</v>
      </c>
      <c r="AG732" s="2711"/>
    </row>
    <row r="733" spans="1:33" ht="58" hidden="1" x14ac:dyDescent="0.35">
      <c r="A733" s="2828">
        <v>43931</v>
      </c>
      <c r="B733" s="2760">
        <v>10</v>
      </c>
      <c r="C733" s="817" t="s">
        <v>9098</v>
      </c>
      <c r="D733" s="2712" t="s">
        <v>9097</v>
      </c>
      <c r="E733" s="7" t="s">
        <v>8991</v>
      </c>
      <c r="F733" s="2682">
        <v>1</v>
      </c>
      <c r="G733" s="2682">
        <v>1</v>
      </c>
      <c r="H733" s="2682"/>
      <c r="I733" s="2682">
        <v>1</v>
      </c>
      <c r="J733" s="2682"/>
      <c r="K733" s="2682"/>
      <c r="L733" s="817"/>
      <c r="M733" s="817"/>
      <c r="N733" s="817"/>
      <c r="O733" s="817" t="s">
        <v>8148</v>
      </c>
      <c r="P733" s="2828">
        <v>43939</v>
      </c>
      <c r="Q733" s="2828"/>
      <c r="R733" s="2829" t="s">
        <v>9099</v>
      </c>
      <c r="S733" s="2829"/>
      <c r="T733" s="6" t="s">
        <v>15</v>
      </c>
      <c r="U733" s="2694">
        <v>0.69097222222222221</v>
      </c>
      <c r="V733" s="2694" t="s">
        <v>972</v>
      </c>
      <c r="W733" s="1956">
        <v>130</v>
      </c>
      <c r="X733" s="817" t="s">
        <v>8625</v>
      </c>
      <c r="Y733" s="2772" t="s">
        <v>10827</v>
      </c>
      <c r="Z733" s="817"/>
      <c r="AA733" s="817"/>
      <c r="AB733" s="817" t="s">
        <v>17</v>
      </c>
      <c r="AC733" s="817" t="s">
        <v>7451</v>
      </c>
      <c r="AD733" s="2700" t="s">
        <v>9097</v>
      </c>
      <c r="AG733" s="2711"/>
    </row>
    <row r="734" spans="1:33" ht="72.5" hidden="1" x14ac:dyDescent="0.35">
      <c r="A734" s="1899">
        <v>43933</v>
      </c>
      <c r="B734" s="2759">
        <v>11</v>
      </c>
      <c r="C734" s="7" t="s">
        <v>10268</v>
      </c>
      <c r="D734" s="2707" t="s">
        <v>9198</v>
      </c>
      <c r="E734" s="7" t="s">
        <v>10270</v>
      </c>
      <c r="F734" s="2692">
        <v>1</v>
      </c>
      <c r="G734" s="2692">
        <v>1</v>
      </c>
      <c r="H734" s="2692"/>
      <c r="I734" s="2692"/>
      <c r="J734" s="2692"/>
      <c r="K734" s="2692"/>
      <c r="L734" s="817"/>
      <c r="M734" s="817"/>
      <c r="N734" s="817"/>
      <c r="O734" s="817" t="s">
        <v>8148</v>
      </c>
      <c r="P734" s="1899">
        <v>43939</v>
      </c>
      <c r="Q734" s="2769"/>
      <c r="R734" s="2708" t="s">
        <v>10269</v>
      </c>
      <c r="S734" s="2770"/>
      <c r="T734" s="6" t="s">
        <v>15</v>
      </c>
      <c r="U734" s="836">
        <v>0.69930555555555562</v>
      </c>
      <c r="V734" s="836" t="s">
        <v>9685</v>
      </c>
      <c r="W734" s="1956">
        <v>190</v>
      </c>
      <c r="X734" s="817" t="s">
        <v>8625</v>
      </c>
      <c r="Y734" s="2772" t="s">
        <v>10827</v>
      </c>
      <c r="Z734" s="817"/>
      <c r="AA734" s="817"/>
      <c r="AB734" s="817" t="s">
        <v>17</v>
      </c>
      <c r="AC734" s="817" t="s">
        <v>7451</v>
      </c>
      <c r="AD734" s="2695"/>
      <c r="AG734" s="2711"/>
    </row>
    <row r="735" spans="1:33" ht="72.5" hidden="1" x14ac:dyDescent="0.35">
      <c r="A735" s="2486">
        <v>43930</v>
      </c>
      <c r="B735" s="2718">
        <v>12</v>
      </c>
      <c r="C735" s="5" t="s">
        <v>8797</v>
      </c>
      <c r="D735" s="2712" t="s">
        <v>9990</v>
      </c>
      <c r="E735" s="5" t="s">
        <v>8798</v>
      </c>
      <c r="F735" s="2686">
        <v>1</v>
      </c>
      <c r="G735" s="2682">
        <v>1</v>
      </c>
      <c r="H735" s="2682"/>
      <c r="I735" s="2682"/>
      <c r="J735" s="2682"/>
      <c r="K735" s="2682"/>
      <c r="L735" s="817"/>
      <c r="M735" s="817"/>
      <c r="N735" s="817"/>
      <c r="O735" s="817" t="s">
        <v>8148</v>
      </c>
      <c r="P735" s="2486">
        <v>43939</v>
      </c>
      <c r="Q735" s="2486"/>
      <c r="R735" s="2486" t="s">
        <v>8799</v>
      </c>
      <c r="S735" s="2770"/>
      <c r="T735" s="6" t="s">
        <v>15</v>
      </c>
      <c r="U735" s="6">
        <v>0.7090277777777777</v>
      </c>
      <c r="V735" s="2694" t="s">
        <v>972</v>
      </c>
      <c r="W735" s="1956">
        <v>300</v>
      </c>
      <c r="X735" s="836" t="s">
        <v>257</v>
      </c>
      <c r="Y735" s="2772" t="s">
        <v>10827</v>
      </c>
      <c r="Z735" s="817"/>
      <c r="AA735" s="817"/>
      <c r="AB735" s="7" t="s">
        <v>17</v>
      </c>
      <c r="AC735" s="817" t="s">
        <v>7451</v>
      </c>
      <c r="AD735" s="2700"/>
      <c r="AG735" s="2711"/>
    </row>
    <row r="736" spans="1:33" ht="43.5" hidden="1" x14ac:dyDescent="0.35">
      <c r="A736" s="2828">
        <v>43924</v>
      </c>
      <c r="B736" s="2760">
        <v>13</v>
      </c>
      <c r="C736" s="817" t="s">
        <v>7859</v>
      </c>
      <c r="D736" s="2712" t="s">
        <v>10062</v>
      </c>
      <c r="E736" s="817" t="s">
        <v>7860</v>
      </c>
      <c r="F736" s="817">
        <v>1</v>
      </c>
      <c r="G736" s="817">
        <v>1</v>
      </c>
      <c r="H736" s="817"/>
      <c r="I736" s="817"/>
      <c r="J736" s="817"/>
      <c r="K736" s="817"/>
      <c r="L736" s="817"/>
      <c r="M736" s="817"/>
      <c r="N736" s="817"/>
      <c r="O736" s="817" t="s">
        <v>8148</v>
      </c>
      <c r="P736" s="2828">
        <v>43939</v>
      </c>
      <c r="Q736" s="2769"/>
      <c r="R736" s="2829" t="s">
        <v>7858</v>
      </c>
      <c r="S736" s="2770"/>
      <c r="T736" s="6" t="s">
        <v>15</v>
      </c>
      <c r="U736" s="2694">
        <v>0.71736111111111101</v>
      </c>
      <c r="V736" s="2694" t="s">
        <v>972</v>
      </c>
      <c r="W736" s="1956">
        <v>300</v>
      </c>
      <c r="X736" s="817" t="s">
        <v>7861</v>
      </c>
      <c r="Y736" s="2772" t="s">
        <v>10827</v>
      </c>
      <c r="Z736" s="817"/>
      <c r="AA736" s="817"/>
      <c r="AB736" s="817" t="s">
        <v>17</v>
      </c>
      <c r="AC736" s="817" t="s">
        <v>7451</v>
      </c>
      <c r="AD736" s="2699"/>
      <c r="AG736" s="2711"/>
    </row>
    <row r="737" spans="1:33" ht="72.5" hidden="1" x14ac:dyDescent="0.35">
      <c r="A737" s="2828">
        <v>43931</v>
      </c>
      <c r="B737" s="2760">
        <v>14</v>
      </c>
      <c r="C737" s="817" t="s">
        <v>3896</v>
      </c>
      <c r="D737" s="2712" t="s">
        <v>9282</v>
      </c>
      <c r="E737" s="817" t="s">
        <v>9279</v>
      </c>
      <c r="F737" s="2692">
        <v>2</v>
      </c>
      <c r="G737" s="2692">
        <v>1</v>
      </c>
      <c r="H737" s="2692">
        <v>1</v>
      </c>
      <c r="I737" s="2692"/>
      <c r="J737" s="2692"/>
      <c r="K737" s="2692"/>
      <c r="L737" s="817"/>
      <c r="M737" s="817"/>
      <c r="N737" s="817"/>
      <c r="O737" s="817" t="s">
        <v>8148</v>
      </c>
      <c r="P737" s="2828">
        <v>43939</v>
      </c>
      <c r="Q737" s="2828"/>
      <c r="R737" s="2829" t="s">
        <v>9280</v>
      </c>
      <c r="S737" s="2770"/>
      <c r="T737" s="6" t="s">
        <v>15</v>
      </c>
      <c r="U737" s="2694">
        <v>0.72916666666666663</v>
      </c>
      <c r="V737" s="2694" t="s">
        <v>972</v>
      </c>
      <c r="W737" s="2681">
        <v>400</v>
      </c>
      <c r="X737" s="817" t="s">
        <v>9281</v>
      </c>
      <c r="Y737" s="2772" t="s">
        <v>10827</v>
      </c>
      <c r="Z737" s="817"/>
      <c r="AA737" s="817"/>
      <c r="AB737" s="817" t="s">
        <v>974</v>
      </c>
      <c r="AC737" s="817" t="s">
        <v>7451</v>
      </c>
      <c r="AD737" s="2696" t="s">
        <v>9282</v>
      </c>
      <c r="AG737" s="2711"/>
    </row>
    <row r="738" spans="1:33" ht="72.5" hidden="1" x14ac:dyDescent="0.35">
      <c r="A738" s="2769">
        <v>43929</v>
      </c>
      <c r="B738" s="2760">
        <v>15</v>
      </c>
      <c r="C738" s="817" t="s">
        <v>8663</v>
      </c>
      <c r="D738" s="2712" t="s">
        <v>10125</v>
      </c>
      <c r="E738" s="817" t="s">
        <v>8665</v>
      </c>
      <c r="F738" s="5"/>
      <c r="G738" s="5">
        <v>1</v>
      </c>
      <c r="H738" s="5"/>
      <c r="I738" s="5"/>
      <c r="J738" s="5"/>
      <c r="K738" s="5"/>
      <c r="L738" s="817"/>
      <c r="M738" s="817"/>
      <c r="N738" s="817"/>
      <c r="O738" s="817" t="s">
        <v>8148</v>
      </c>
      <c r="P738" s="2828">
        <v>43939</v>
      </c>
      <c r="Q738" s="2769"/>
      <c r="R738" s="2829" t="s">
        <v>8664</v>
      </c>
      <c r="S738" s="2770"/>
      <c r="T738" s="6" t="s">
        <v>15</v>
      </c>
      <c r="U738" s="2694">
        <v>0.74097222222222225</v>
      </c>
      <c r="V738" s="2694" t="s">
        <v>972</v>
      </c>
      <c r="W738" s="1956">
        <v>150</v>
      </c>
      <c r="X738" s="836" t="s">
        <v>8625</v>
      </c>
      <c r="Y738" s="2772" t="s">
        <v>10827</v>
      </c>
      <c r="Z738" s="817"/>
      <c r="AA738" s="817"/>
      <c r="AB738" s="7" t="s">
        <v>17</v>
      </c>
      <c r="AC738" s="817" t="s">
        <v>7451</v>
      </c>
      <c r="AD738" s="2700"/>
      <c r="AG738" s="2711"/>
    </row>
    <row r="739" spans="1:33" ht="43.5" hidden="1" x14ac:dyDescent="0.35">
      <c r="A739" s="2486">
        <v>43928</v>
      </c>
      <c r="B739" s="2718">
        <v>1</v>
      </c>
      <c r="C739" s="7" t="s">
        <v>8460</v>
      </c>
      <c r="D739" s="2712" t="s">
        <v>10047</v>
      </c>
      <c r="E739" s="7" t="s">
        <v>8461</v>
      </c>
      <c r="F739" s="2678"/>
      <c r="G739" s="2669">
        <v>1</v>
      </c>
      <c r="H739" s="2669"/>
      <c r="I739" s="2669"/>
      <c r="J739" s="2669"/>
      <c r="K739" s="2669">
        <v>1</v>
      </c>
      <c r="L739" s="817"/>
      <c r="M739" s="817"/>
      <c r="N739" s="817"/>
      <c r="O739" s="817"/>
      <c r="P739" s="2486">
        <v>43939</v>
      </c>
      <c r="Q739" s="2486"/>
      <c r="R739" s="824" t="s">
        <v>8459</v>
      </c>
      <c r="S739" s="2770"/>
      <c r="T739" s="6" t="s">
        <v>15</v>
      </c>
      <c r="U739" s="2694">
        <v>0.32013888888888892</v>
      </c>
      <c r="V739" s="2694" t="s">
        <v>972</v>
      </c>
      <c r="W739" s="1956">
        <v>100</v>
      </c>
      <c r="X739" s="836" t="s">
        <v>257</v>
      </c>
      <c r="Y739" s="2772" t="s">
        <v>10774</v>
      </c>
      <c r="Z739" s="817"/>
      <c r="AA739" s="817"/>
      <c r="AB739" s="7" t="s">
        <v>17</v>
      </c>
      <c r="AC739" s="817" t="s">
        <v>7451</v>
      </c>
      <c r="AD739" s="2699"/>
      <c r="AG739" s="2662"/>
    </row>
    <row r="740" spans="1:33" ht="58" hidden="1" x14ac:dyDescent="0.35">
      <c r="A740" s="2486">
        <v>43928</v>
      </c>
      <c r="B740" s="2718">
        <v>2</v>
      </c>
      <c r="C740" s="5" t="s">
        <v>8588</v>
      </c>
      <c r="D740" s="2712" t="s">
        <v>10126</v>
      </c>
      <c r="E740" s="5" t="s">
        <v>8561</v>
      </c>
      <c r="F740" s="2679">
        <v>1</v>
      </c>
      <c r="G740" s="5">
        <v>1</v>
      </c>
      <c r="H740" s="5"/>
      <c r="I740" s="5"/>
      <c r="J740" s="5"/>
      <c r="K740" s="5"/>
      <c r="L740" s="817"/>
      <c r="M740" s="817"/>
      <c r="N740" s="817"/>
      <c r="O740" s="817"/>
      <c r="P740" s="2486">
        <v>43939</v>
      </c>
      <c r="Q740" s="2486"/>
      <c r="R740" s="824" t="s">
        <v>8616</v>
      </c>
      <c r="S740" s="824"/>
      <c r="T740" s="6" t="s">
        <v>15</v>
      </c>
      <c r="U740" s="2694">
        <v>0.32916666666666666</v>
      </c>
      <c r="V740" s="6" t="s">
        <v>3213</v>
      </c>
      <c r="W740" s="1630">
        <v>100</v>
      </c>
      <c r="X740" s="5" t="s">
        <v>8592</v>
      </c>
      <c r="Y740" s="2772" t="s">
        <v>10774</v>
      </c>
      <c r="Z740" s="5"/>
      <c r="AA740" s="5"/>
      <c r="AB740" s="5" t="s">
        <v>17</v>
      </c>
      <c r="AC740" s="5" t="s">
        <v>7451</v>
      </c>
      <c r="AD740" s="2696"/>
      <c r="AG740" s="2662"/>
    </row>
    <row r="741" spans="1:33" ht="58" hidden="1" x14ac:dyDescent="0.35">
      <c r="A741" s="1899">
        <v>43932</v>
      </c>
      <c r="B741" s="2759">
        <v>3</v>
      </c>
      <c r="C741" s="7" t="s">
        <v>9496</v>
      </c>
      <c r="D741" s="2707" t="s">
        <v>9497</v>
      </c>
      <c r="E741" s="7" t="s">
        <v>8553</v>
      </c>
      <c r="F741" s="2682">
        <v>1</v>
      </c>
      <c r="G741" s="2682">
        <v>1</v>
      </c>
      <c r="H741" s="2682"/>
      <c r="I741" s="2682"/>
      <c r="J741" s="2682"/>
      <c r="K741" s="2682"/>
      <c r="L741" s="817"/>
      <c r="M741" s="817"/>
      <c r="N741" s="817"/>
      <c r="O741" s="817"/>
      <c r="P741" s="1899">
        <v>43939</v>
      </c>
      <c r="Q741" s="2769"/>
      <c r="R741" s="881" t="s">
        <v>9498</v>
      </c>
      <c r="S741" s="2770"/>
      <c r="T741" s="836" t="s">
        <v>15</v>
      </c>
      <c r="U741" s="2694">
        <v>0.33680555555555558</v>
      </c>
      <c r="V741" s="836" t="s">
        <v>972</v>
      </c>
      <c r="W741" s="1956">
        <v>100</v>
      </c>
      <c r="X741" s="817" t="s">
        <v>8625</v>
      </c>
      <c r="Y741" s="2772" t="s">
        <v>10774</v>
      </c>
      <c r="Z741" s="817"/>
      <c r="AA741" s="817"/>
      <c r="AB741" s="817" t="s">
        <v>17</v>
      </c>
      <c r="AC741" s="817" t="s">
        <v>7451</v>
      </c>
      <c r="AD741" s="2695"/>
      <c r="AG741" s="2662"/>
    </row>
    <row r="742" spans="1:33" ht="29" hidden="1" x14ac:dyDescent="0.35">
      <c r="A742" s="2486">
        <v>43928</v>
      </c>
      <c r="B742" s="2718">
        <v>4</v>
      </c>
      <c r="C742" s="5" t="s">
        <v>8584</v>
      </c>
      <c r="D742" s="2712" t="s">
        <v>10055</v>
      </c>
      <c r="E742" s="5" t="s">
        <v>8561</v>
      </c>
      <c r="F742" s="2679">
        <v>1</v>
      </c>
      <c r="G742" s="5">
        <v>1</v>
      </c>
      <c r="H742" s="5"/>
      <c r="I742" s="5"/>
      <c r="J742" s="5"/>
      <c r="K742" s="5"/>
      <c r="L742" s="817"/>
      <c r="M742" s="817"/>
      <c r="N742" s="817"/>
      <c r="O742" s="817"/>
      <c r="P742" s="2486">
        <v>43939</v>
      </c>
      <c r="Q742" s="2486"/>
      <c r="R742" s="824" t="s">
        <v>8612</v>
      </c>
      <c r="S742" s="824"/>
      <c r="T742" s="6" t="s">
        <v>15</v>
      </c>
      <c r="U742" s="2694">
        <v>0.34722222222222227</v>
      </c>
      <c r="V742" s="6" t="s">
        <v>3213</v>
      </c>
      <c r="W742" s="1630">
        <v>100</v>
      </c>
      <c r="X742" s="5" t="s">
        <v>8592</v>
      </c>
      <c r="Y742" s="2772" t="s">
        <v>10774</v>
      </c>
      <c r="Z742" s="5"/>
      <c r="AA742" s="5"/>
      <c r="AB742" s="5" t="s">
        <v>17</v>
      </c>
      <c r="AC742" s="5" t="s">
        <v>7451</v>
      </c>
      <c r="AD742" s="2696"/>
      <c r="AG742" s="2662"/>
    </row>
    <row r="743" spans="1:33" ht="72.5" hidden="1" x14ac:dyDescent="0.35">
      <c r="A743" s="2769">
        <v>43931</v>
      </c>
      <c r="B743" s="2759">
        <v>5</v>
      </c>
      <c r="C743" s="7" t="s">
        <v>9003</v>
      </c>
      <c r="D743" s="2810" t="s">
        <v>9974</v>
      </c>
      <c r="E743" s="7" t="s">
        <v>9001</v>
      </c>
      <c r="F743" s="2685">
        <v>3</v>
      </c>
      <c r="G743" s="2685"/>
      <c r="H743" s="2685"/>
      <c r="I743" s="2685"/>
      <c r="J743" s="2685">
        <v>3</v>
      </c>
      <c r="K743" s="2685"/>
      <c r="L743" s="7"/>
      <c r="M743" s="7"/>
      <c r="N743" s="7"/>
      <c r="O743" s="7"/>
      <c r="P743" s="1899">
        <v>43939</v>
      </c>
      <c r="Q743" s="2769"/>
      <c r="R743" s="2708" t="s">
        <v>10855</v>
      </c>
      <c r="S743" s="2688"/>
      <c r="T743" s="836" t="s">
        <v>15</v>
      </c>
      <c r="U743" s="2694">
        <v>0.35555555555555557</v>
      </c>
      <c r="V743" s="2694" t="s">
        <v>9002</v>
      </c>
      <c r="W743" s="2681">
        <v>300</v>
      </c>
      <c r="X743" s="817" t="s">
        <v>257</v>
      </c>
      <c r="Y743" s="2772" t="s">
        <v>10774</v>
      </c>
      <c r="Z743" s="817"/>
      <c r="AA743" s="817"/>
      <c r="AB743" s="817" t="s">
        <v>17</v>
      </c>
      <c r="AC743" s="817" t="s">
        <v>7451</v>
      </c>
      <c r="AD743" s="2695"/>
      <c r="AG743" s="2662"/>
    </row>
    <row r="744" spans="1:33" ht="29" hidden="1" x14ac:dyDescent="0.35">
      <c r="A744" s="2769">
        <v>43932</v>
      </c>
      <c r="B744" s="2760">
        <v>6</v>
      </c>
      <c r="C744" s="817" t="s">
        <v>10226</v>
      </c>
      <c r="D744" s="2700" t="s">
        <v>10227</v>
      </c>
      <c r="E744" s="7" t="s">
        <v>8553</v>
      </c>
      <c r="F744" s="2692">
        <v>1</v>
      </c>
      <c r="G744" s="2692">
        <v>1</v>
      </c>
      <c r="H744" s="2692"/>
      <c r="I744" s="2692"/>
      <c r="J744" s="2692"/>
      <c r="K744" s="2692"/>
      <c r="L744" s="817"/>
      <c r="M744" s="817"/>
      <c r="N744" s="817"/>
      <c r="O744" s="817"/>
      <c r="P744" s="2769">
        <v>43939</v>
      </c>
      <c r="Q744" s="2769"/>
      <c r="R744" s="2706" t="s">
        <v>10228</v>
      </c>
      <c r="S744" s="2770"/>
      <c r="T744" s="836" t="s">
        <v>15</v>
      </c>
      <c r="U744" s="2694">
        <v>0.36319444444444443</v>
      </c>
      <c r="V744" s="2694">
        <v>0.48958333333333331</v>
      </c>
      <c r="W744" s="2681">
        <v>100</v>
      </c>
      <c r="X744" s="817" t="s">
        <v>2900</v>
      </c>
      <c r="Y744" s="2772" t="s">
        <v>10774</v>
      </c>
      <c r="Z744" s="817"/>
      <c r="AA744" s="817"/>
      <c r="AB744" s="817" t="s">
        <v>17</v>
      </c>
      <c r="AC744" s="817" t="s">
        <v>7451</v>
      </c>
      <c r="AD744" s="2695"/>
      <c r="AG744" s="2662"/>
    </row>
    <row r="745" spans="1:33" ht="43.5" hidden="1" x14ac:dyDescent="0.35">
      <c r="A745" s="1899">
        <v>43934</v>
      </c>
      <c r="B745" s="2759">
        <v>7</v>
      </c>
      <c r="C745" s="5" t="s">
        <v>10367</v>
      </c>
      <c r="D745" s="2700" t="s">
        <v>10368</v>
      </c>
      <c r="E745" s="7" t="s">
        <v>8779</v>
      </c>
      <c r="F745" s="2679">
        <v>1</v>
      </c>
      <c r="G745" s="5">
        <v>3</v>
      </c>
      <c r="H745" s="5"/>
      <c r="I745" s="5"/>
      <c r="J745" s="5"/>
      <c r="K745" s="5"/>
      <c r="L745" s="817"/>
      <c r="M745" s="817"/>
      <c r="N745" s="817"/>
      <c r="O745" s="817"/>
      <c r="P745" s="2486">
        <v>43939</v>
      </c>
      <c r="Q745" s="2769"/>
      <c r="R745" s="824" t="s">
        <v>10366</v>
      </c>
      <c r="S745" s="2770"/>
      <c r="T745" s="6" t="s">
        <v>15</v>
      </c>
      <c r="U745" s="2694">
        <v>0.37152777777777773</v>
      </c>
      <c r="V745" s="2694" t="s">
        <v>972</v>
      </c>
      <c r="W745" s="1956">
        <v>200</v>
      </c>
      <c r="X745" s="2694" t="s">
        <v>294</v>
      </c>
      <c r="Y745" s="2772" t="s">
        <v>10774</v>
      </c>
      <c r="Z745" s="817"/>
      <c r="AA745" s="817"/>
      <c r="AB745" s="7" t="s">
        <v>17</v>
      </c>
      <c r="AC745" s="817" t="s">
        <v>7451</v>
      </c>
      <c r="AD745" s="2700"/>
      <c r="AG745" s="2662"/>
    </row>
    <row r="746" spans="1:33" ht="43.5" hidden="1" x14ac:dyDescent="0.35">
      <c r="A746" s="2486">
        <v>43923</v>
      </c>
      <c r="B746" s="2718">
        <v>8</v>
      </c>
      <c r="C746" s="5" t="s">
        <v>7754</v>
      </c>
      <c r="D746" s="2712" t="s">
        <v>9723</v>
      </c>
      <c r="E746" s="5" t="s">
        <v>7506</v>
      </c>
      <c r="F746" s="5">
        <v>1</v>
      </c>
      <c r="G746" s="5">
        <v>1</v>
      </c>
      <c r="H746" s="5"/>
      <c r="I746" s="5"/>
      <c r="J746" s="5"/>
      <c r="K746" s="5"/>
      <c r="L746" s="5"/>
      <c r="M746" s="5"/>
      <c r="N746" s="5"/>
      <c r="O746" s="5"/>
      <c r="P746" s="2486">
        <v>43939</v>
      </c>
      <c r="Q746" s="2486"/>
      <c r="R746" s="824" t="s">
        <v>7755</v>
      </c>
      <c r="S746" s="824"/>
      <c r="T746" s="6" t="s">
        <v>15</v>
      </c>
      <c r="U746" s="2694">
        <v>0.37847222222222227</v>
      </c>
      <c r="V746" s="2694" t="s">
        <v>3213</v>
      </c>
      <c r="W746" s="1956">
        <v>100</v>
      </c>
      <c r="X746" s="2694" t="s">
        <v>7682</v>
      </c>
      <c r="Y746" s="2772" t="s">
        <v>10774</v>
      </c>
      <c r="Z746" s="2694"/>
      <c r="AA746" s="2694"/>
      <c r="AB746" s="817" t="s">
        <v>17</v>
      </c>
      <c r="AC746" s="817" t="s">
        <v>7451</v>
      </c>
      <c r="AD746" s="2699"/>
      <c r="AG746" s="2662"/>
    </row>
    <row r="747" spans="1:33" ht="29" hidden="1" x14ac:dyDescent="0.35">
      <c r="A747" s="2828">
        <v>43929</v>
      </c>
      <c r="B747" s="2760">
        <v>9</v>
      </c>
      <c r="C747" s="817" t="s">
        <v>8633</v>
      </c>
      <c r="D747" s="2712" t="s">
        <v>10025</v>
      </c>
      <c r="E747" s="7" t="s">
        <v>8622</v>
      </c>
      <c r="F747" s="2682">
        <v>1</v>
      </c>
      <c r="G747" s="2682">
        <v>1</v>
      </c>
      <c r="H747" s="2682"/>
      <c r="I747" s="2682"/>
      <c r="J747" s="2682"/>
      <c r="K747" s="2682"/>
      <c r="L747" s="817"/>
      <c r="M747" s="817"/>
      <c r="N747" s="817"/>
      <c r="O747" s="817"/>
      <c r="P747" s="2828">
        <v>43939</v>
      </c>
      <c r="Q747" s="2828"/>
      <c r="R747" s="2829" t="s">
        <v>8634</v>
      </c>
      <c r="S747" s="2829"/>
      <c r="T747" s="6" t="s">
        <v>15</v>
      </c>
      <c r="U747" s="2694">
        <v>0.38611111111111113</v>
      </c>
      <c r="V747" s="2694" t="s">
        <v>972</v>
      </c>
      <c r="W747" s="1956">
        <v>100</v>
      </c>
      <c r="X747" s="836" t="s">
        <v>8625</v>
      </c>
      <c r="Y747" s="2772" t="s">
        <v>10774</v>
      </c>
      <c r="Z747" s="817"/>
      <c r="AA747" s="817"/>
      <c r="AB747" s="7" t="s">
        <v>17</v>
      </c>
      <c r="AC747" s="817" t="s">
        <v>7451</v>
      </c>
      <c r="AD747" s="2700"/>
      <c r="AG747" s="2662"/>
    </row>
    <row r="748" spans="1:33" ht="43.5" hidden="1" x14ac:dyDescent="0.35">
      <c r="A748" s="2828">
        <v>43926</v>
      </c>
      <c r="B748" s="2760">
        <v>10</v>
      </c>
      <c r="C748" s="2828" t="s">
        <v>8081</v>
      </c>
      <c r="D748" s="2712" t="s">
        <v>10097</v>
      </c>
      <c r="E748" s="817" t="s">
        <v>7935</v>
      </c>
      <c r="F748" s="817">
        <v>1</v>
      </c>
      <c r="G748" s="817">
        <v>1</v>
      </c>
      <c r="H748" s="817"/>
      <c r="I748" s="817"/>
      <c r="J748" s="817"/>
      <c r="K748" s="817"/>
      <c r="L748" s="817"/>
      <c r="M748" s="817"/>
      <c r="N748" s="817"/>
      <c r="O748" s="817"/>
      <c r="P748" s="2828">
        <v>43939</v>
      </c>
      <c r="Q748" s="2769"/>
      <c r="R748" s="2829" t="s">
        <v>8080</v>
      </c>
      <c r="S748" s="2770"/>
      <c r="T748" s="2694" t="s">
        <v>15</v>
      </c>
      <c r="U748" s="2694">
        <v>0.39513888888888887</v>
      </c>
      <c r="V748" s="2694" t="s">
        <v>972</v>
      </c>
      <c r="W748" s="1956">
        <v>100</v>
      </c>
      <c r="X748" s="2694" t="s">
        <v>257</v>
      </c>
      <c r="Y748" s="2772" t="s">
        <v>10774</v>
      </c>
      <c r="Z748" s="817"/>
      <c r="AA748" s="817"/>
      <c r="AB748" s="817" t="s">
        <v>17</v>
      </c>
      <c r="AC748" s="817" t="s">
        <v>7451</v>
      </c>
      <c r="AD748" s="2699"/>
      <c r="AG748" s="2662"/>
    </row>
    <row r="749" spans="1:33" ht="43.5" hidden="1" x14ac:dyDescent="0.35">
      <c r="A749" s="1899">
        <v>43934</v>
      </c>
      <c r="B749" s="2759">
        <v>11</v>
      </c>
      <c r="C749" s="7" t="s">
        <v>10402</v>
      </c>
      <c r="D749" s="2707" t="s">
        <v>10403</v>
      </c>
      <c r="E749" s="7" t="s">
        <v>8553</v>
      </c>
      <c r="F749" s="7">
        <v>1</v>
      </c>
      <c r="G749" s="7">
        <v>1</v>
      </c>
      <c r="H749" s="7"/>
      <c r="I749" s="7"/>
      <c r="J749" s="7"/>
      <c r="K749" s="7"/>
      <c r="L749" s="817"/>
      <c r="M749" s="817"/>
      <c r="N749" s="817"/>
      <c r="O749" s="817"/>
      <c r="P749" s="1899">
        <v>43939</v>
      </c>
      <c r="Q749" s="2828"/>
      <c r="R749" s="2708" t="s">
        <v>10401</v>
      </c>
      <c r="S749" s="2829"/>
      <c r="T749" s="6" t="s">
        <v>15</v>
      </c>
      <c r="U749" s="2694">
        <v>0.40416666666666662</v>
      </c>
      <c r="V749" s="836" t="s">
        <v>972</v>
      </c>
      <c r="W749" s="1956">
        <v>100</v>
      </c>
      <c r="X749" s="817" t="s">
        <v>8625</v>
      </c>
      <c r="Y749" s="2772" t="s">
        <v>10774</v>
      </c>
      <c r="Z749" s="817"/>
      <c r="AA749" s="817"/>
      <c r="AB749" s="817" t="s">
        <v>17</v>
      </c>
      <c r="AC749" s="817" t="s">
        <v>7451</v>
      </c>
      <c r="AD749" s="2696"/>
      <c r="AG749" s="2662"/>
    </row>
    <row r="750" spans="1:33" ht="43.5" hidden="1" x14ac:dyDescent="0.35">
      <c r="A750" s="2769">
        <v>43927</v>
      </c>
      <c r="B750" s="2760">
        <v>12</v>
      </c>
      <c r="C750" s="817" t="s">
        <v>8173</v>
      </c>
      <c r="D750" s="2712" t="s">
        <v>2751</v>
      </c>
      <c r="E750" s="817" t="s">
        <v>8174</v>
      </c>
      <c r="F750" s="5">
        <v>4</v>
      </c>
      <c r="G750" s="5">
        <v>2</v>
      </c>
      <c r="H750" s="5">
        <v>2</v>
      </c>
      <c r="I750" s="5"/>
      <c r="J750" s="5"/>
      <c r="K750" s="5"/>
      <c r="L750" s="817"/>
      <c r="M750" s="817"/>
      <c r="N750" s="817"/>
      <c r="O750" s="817"/>
      <c r="P750" s="2828">
        <v>43939</v>
      </c>
      <c r="Q750" s="2769"/>
      <c r="R750" s="2829" t="s">
        <v>1638</v>
      </c>
      <c r="S750" s="2770"/>
      <c r="T750" s="2694" t="s">
        <v>15</v>
      </c>
      <c r="U750" s="2694">
        <v>0.41319444444444442</v>
      </c>
      <c r="V750" s="2694" t="s">
        <v>972</v>
      </c>
      <c r="W750" s="2121">
        <v>400</v>
      </c>
      <c r="X750" s="817" t="s">
        <v>257</v>
      </c>
      <c r="Y750" s="2772" t="s">
        <v>10774</v>
      </c>
      <c r="Z750" s="817"/>
      <c r="AA750" s="817"/>
      <c r="AB750" s="817" t="s">
        <v>17</v>
      </c>
      <c r="AC750" s="817" t="s">
        <v>7451</v>
      </c>
      <c r="AD750" s="2696" t="s">
        <v>8773</v>
      </c>
      <c r="AG750" s="2662"/>
    </row>
    <row r="751" spans="1:33" ht="43.5" hidden="1" x14ac:dyDescent="0.35">
      <c r="A751" s="2486">
        <v>43928</v>
      </c>
      <c r="B751" s="2718">
        <v>13</v>
      </c>
      <c r="C751" s="7" t="s">
        <v>8444</v>
      </c>
      <c r="D751" s="2712" t="s">
        <v>10043</v>
      </c>
      <c r="E751" s="7" t="s">
        <v>8149</v>
      </c>
      <c r="F751" s="2678">
        <v>1</v>
      </c>
      <c r="G751" s="2669">
        <v>1</v>
      </c>
      <c r="H751" s="2669"/>
      <c r="I751" s="2669"/>
      <c r="J751" s="2669"/>
      <c r="K751" s="2669"/>
      <c r="L751" s="817"/>
      <c r="M751" s="817"/>
      <c r="N751" s="817"/>
      <c r="O751" s="817"/>
      <c r="P751" s="2486">
        <v>43939</v>
      </c>
      <c r="Q751" s="2486"/>
      <c r="R751" s="824" t="s">
        <v>8443</v>
      </c>
      <c r="S751" s="2770"/>
      <c r="T751" s="6" t="s">
        <v>15</v>
      </c>
      <c r="U751" s="2694">
        <v>0.42430555555555555</v>
      </c>
      <c r="V751" s="2694" t="s">
        <v>972</v>
      </c>
      <c r="W751" s="1956">
        <v>100</v>
      </c>
      <c r="X751" s="836" t="s">
        <v>257</v>
      </c>
      <c r="Y751" s="2772" t="s">
        <v>10774</v>
      </c>
      <c r="Z751" s="817"/>
      <c r="AA751" s="817"/>
      <c r="AB751" s="7" t="s">
        <v>17</v>
      </c>
      <c r="AC751" s="817" t="s">
        <v>7451</v>
      </c>
      <c r="AD751" s="2699"/>
      <c r="AG751" s="2662"/>
    </row>
    <row r="752" spans="1:33" ht="58" hidden="1" x14ac:dyDescent="0.35">
      <c r="A752" s="2486">
        <v>43923</v>
      </c>
      <c r="B752" s="2718">
        <v>14</v>
      </c>
      <c r="C752" s="5" t="s">
        <v>7768</v>
      </c>
      <c r="D752" s="2712" t="s">
        <v>10038</v>
      </c>
      <c r="E752" s="5" t="s">
        <v>7734</v>
      </c>
      <c r="F752" s="5">
        <v>1</v>
      </c>
      <c r="G752" s="5"/>
      <c r="H752" s="5">
        <v>1</v>
      </c>
      <c r="I752" s="5"/>
      <c r="J752" s="5"/>
      <c r="K752" s="5"/>
      <c r="L752" s="5"/>
      <c r="M752" s="5"/>
      <c r="N752" s="5"/>
      <c r="O752" s="5"/>
      <c r="P752" s="2486">
        <v>43939</v>
      </c>
      <c r="Q752" s="2486"/>
      <c r="R752" s="824" t="s">
        <v>7769</v>
      </c>
      <c r="S752" s="824"/>
      <c r="T752" s="6" t="s">
        <v>15</v>
      </c>
      <c r="U752" s="2694">
        <v>0.43402777777777773</v>
      </c>
      <c r="V752" s="2694" t="s">
        <v>3213</v>
      </c>
      <c r="W752" s="1956">
        <v>100</v>
      </c>
      <c r="X752" s="2694" t="s">
        <v>257</v>
      </c>
      <c r="Y752" s="2772" t="s">
        <v>10774</v>
      </c>
      <c r="Z752" s="2694"/>
      <c r="AA752" s="2694"/>
      <c r="AB752" s="817" t="s">
        <v>17</v>
      </c>
      <c r="AC752" s="817" t="s">
        <v>7451</v>
      </c>
      <c r="AD752" s="2699"/>
      <c r="AG752" s="2662"/>
    </row>
    <row r="753" spans="1:33" ht="43.5" hidden="1" x14ac:dyDescent="0.35">
      <c r="A753" s="2486">
        <v>43930</v>
      </c>
      <c r="B753" s="2718">
        <v>15</v>
      </c>
      <c r="C753" s="5" t="s">
        <v>8849</v>
      </c>
      <c r="D753" s="2712" t="s">
        <v>10072</v>
      </c>
      <c r="E753" s="7" t="s">
        <v>8553</v>
      </c>
      <c r="F753" s="2679">
        <v>1</v>
      </c>
      <c r="G753" s="5">
        <v>1</v>
      </c>
      <c r="H753" s="5"/>
      <c r="I753" s="5"/>
      <c r="J753" s="5"/>
      <c r="K753" s="5"/>
      <c r="L753" s="817"/>
      <c r="M753" s="817"/>
      <c r="N753" s="817"/>
      <c r="O753" s="817"/>
      <c r="P753" s="2486">
        <v>43939</v>
      </c>
      <c r="Q753" s="2486"/>
      <c r="R753" s="824" t="s">
        <v>8850</v>
      </c>
      <c r="S753" s="2829"/>
      <c r="T753" s="6" t="s">
        <v>15</v>
      </c>
      <c r="U753" s="2694">
        <v>0.44375000000000003</v>
      </c>
      <c r="V753" s="2694" t="s">
        <v>972</v>
      </c>
      <c r="W753" s="1956">
        <v>100</v>
      </c>
      <c r="X753" s="836" t="s">
        <v>8625</v>
      </c>
      <c r="Y753" s="2772" t="s">
        <v>10774</v>
      </c>
      <c r="Z753" s="817"/>
      <c r="AA753" s="817"/>
      <c r="AB753" s="7" t="s">
        <v>17</v>
      </c>
      <c r="AC753" s="817" t="s">
        <v>7451</v>
      </c>
      <c r="AD753" s="2700"/>
      <c r="AG753" s="2662"/>
    </row>
    <row r="754" spans="1:33" ht="43.5" hidden="1" x14ac:dyDescent="0.35">
      <c r="A754" s="2769">
        <v>43927</v>
      </c>
      <c r="B754" s="2760">
        <v>16</v>
      </c>
      <c r="C754" s="817" t="s">
        <v>8203</v>
      </c>
      <c r="D754" s="2712" t="s">
        <v>10040</v>
      </c>
      <c r="E754" s="817" t="s">
        <v>7935</v>
      </c>
      <c r="F754" s="5">
        <v>1</v>
      </c>
      <c r="G754" s="5">
        <v>1</v>
      </c>
      <c r="H754" s="5"/>
      <c r="I754" s="5"/>
      <c r="J754" s="5"/>
      <c r="K754" s="5"/>
      <c r="L754" s="817"/>
      <c r="M754" s="817"/>
      <c r="N754" s="817"/>
      <c r="O754" s="817"/>
      <c r="P754" s="2769">
        <v>43939</v>
      </c>
      <c r="Q754" s="2769"/>
      <c r="R754" s="2770" t="s">
        <v>8305</v>
      </c>
      <c r="S754" s="2770" t="s">
        <v>8272</v>
      </c>
      <c r="T754" s="2694" t="s">
        <v>15</v>
      </c>
      <c r="U754" s="2694">
        <v>0.45694444444444443</v>
      </c>
      <c r="V754" s="2694" t="s">
        <v>972</v>
      </c>
      <c r="W754" s="1956">
        <v>100</v>
      </c>
      <c r="X754" s="817" t="s">
        <v>257</v>
      </c>
      <c r="Y754" s="2772" t="s">
        <v>10774</v>
      </c>
      <c r="Z754" s="817"/>
      <c r="AA754" s="817"/>
      <c r="AB754" s="817" t="s">
        <v>17</v>
      </c>
      <c r="AC754" s="817" t="s">
        <v>7451</v>
      </c>
      <c r="AD754" s="2699"/>
      <c r="AG754" s="2662"/>
    </row>
    <row r="755" spans="1:33" ht="87" hidden="1" x14ac:dyDescent="0.35">
      <c r="A755" s="2769">
        <v>43921</v>
      </c>
      <c r="B755" s="2760">
        <v>17</v>
      </c>
      <c r="C755" s="817" t="s">
        <v>7649</v>
      </c>
      <c r="D755" s="2712" t="s">
        <v>10076</v>
      </c>
      <c r="E755" s="817" t="s">
        <v>7650</v>
      </c>
      <c r="F755" s="817">
        <v>2</v>
      </c>
      <c r="G755" s="817">
        <v>2</v>
      </c>
      <c r="H755" s="817">
        <v>2</v>
      </c>
      <c r="I755" s="817"/>
      <c r="J755" s="817"/>
      <c r="K755" s="817"/>
      <c r="L755" s="817"/>
      <c r="M755" s="817"/>
      <c r="N755" s="817"/>
      <c r="O755" s="817"/>
      <c r="P755" s="2769">
        <v>43939</v>
      </c>
      <c r="Q755" s="2769"/>
      <c r="R755" s="2770" t="s">
        <v>7651</v>
      </c>
      <c r="S755" s="2770"/>
      <c r="T755" s="2694" t="s">
        <v>15</v>
      </c>
      <c r="U755" s="2694">
        <v>0.4680555555555555</v>
      </c>
      <c r="V755" s="2694" t="s">
        <v>3213</v>
      </c>
      <c r="W755" s="1956">
        <v>300</v>
      </c>
      <c r="X755" s="817" t="s">
        <v>7652</v>
      </c>
      <c r="Y755" s="2772" t="s">
        <v>10774</v>
      </c>
      <c r="Z755" s="817"/>
      <c r="AA755" s="817"/>
      <c r="AB755" s="817" t="s">
        <v>17</v>
      </c>
      <c r="AC755" s="2829" t="s">
        <v>7451</v>
      </c>
      <c r="AD755" s="2699"/>
      <c r="AG755" s="2662"/>
    </row>
    <row r="756" spans="1:33" ht="43.5" hidden="1" x14ac:dyDescent="0.35">
      <c r="A756" s="2828">
        <v>43934</v>
      </c>
      <c r="B756" s="2760">
        <v>18</v>
      </c>
      <c r="C756" s="817" t="s">
        <v>10481</v>
      </c>
      <c r="D756" s="2700" t="s">
        <v>10482</v>
      </c>
      <c r="E756" s="7" t="s">
        <v>10483</v>
      </c>
      <c r="F756" s="5">
        <v>1</v>
      </c>
      <c r="G756" s="5">
        <v>1</v>
      </c>
      <c r="H756" s="5"/>
      <c r="I756" s="5">
        <v>1</v>
      </c>
      <c r="J756" s="5"/>
      <c r="K756" s="5"/>
      <c r="L756" s="817"/>
      <c r="M756" s="817"/>
      <c r="N756" s="817"/>
      <c r="O756" s="817"/>
      <c r="P756" s="2828">
        <v>43939</v>
      </c>
      <c r="Q756" s="2769"/>
      <c r="R756" s="2829" t="s">
        <v>10484</v>
      </c>
      <c r="S756" s="2770"/>
      <c r="T756" s="836" t="s">
        <v>15</v>
      </c>
      <c r="U756" s="2694">
        <v>0.47847222222222219</v>
      </c>
      <c r="V756" s="2694" t="s">
        <v>972</v>
      </c>
      <c r="W756" s="2660">
        <v>150</v>
      </c>
      <c r="X756" s="836" t="s">
        <v>257</v>
      </c>
      <c r="Y756" s="2772" t="s">
        <v>10774</v>
      </c>
      <c r="Z756" s="817"/>
      <c r="AA756" s="817"/>
      <c r="AB756" s="7" t="s">
        <v>17</v>
      </c>
      <c r="AC756" s="817" t="s">
        <v>7451</v>
      </c>
      <c r="AD756" s="2696"/>
      <c r="AG756" s="2662"/>
    </row>
    <row r="757" spans="1:33" ht="58" hidden="1" x14ac:dyDescent="0.35">
      <c r="A757" s="2486">
        <v>43928</v>
      </c>
      <c r="B757" s="2718">
        <v>19</v>
      </c>
      <c r="C757" s="7" t="s">
        <v>8431</v>
      </c>
      <c r="D757" s="2712" t="s">
        <v>10122</v>
      </c>
      <c r="E757" s="7" t="s">
        <v>8149</v>
      </c>
      <c r="F757" s="2679">
        <v>1</v>
      </c>
      <c r="G757" s="5">
        <v>1</v>
      </c>
      <c r="H757" s="5"/>
      <c r="I757" s="5"/>
      <c r="J757" s="5"/>
      <c r="K757" s="5"/>
      <c r="L757" s="817"/>
      <c r="M757" s="817"/>
      <c r="N757" s="817"/>
      <c r="O757" s="817"/>
      <c r="P757" s="2486">
        <v>43939</v>
      </c>
      <c r="Q757" s="2486"/>
      <c r="R757" s="824" t="s">
        <v>8432</v>
      </c>
      <c r="S757" s="2770"/>
      <c r="T757" s="836" t="s">
        <v>15</v>
      </c>
      <c r="U757" s="2694">
        <v>0.49305555555555558</v>
      </c>
      <c r="V757" s="2694" t="s">
        <v>972</v>
      </c>
      <c r="W757" s="2660">
        <v>100</v>
      </c>
      <c r="X757" s="2694" t="s">
        <v>8381</v>
      </c>
      <c r="Y757" s="2772" t="s">
        <v>10774</v>
      </c>
      <c r="Z757" s="817"/>
      <c r="AA757" s="817"/>
      <c r="AB757" s="817" t="s">
        <v>17</v>
      </c>
      <c r="AC757" s="817" t="s">
        <v>7451</v>
      </c>
      <c r="AD757" s="2699"/>
      <c r="AG757" s="2662"/>
    </row>
    <row r="758" spans="1:33" ht="29" hidden="1" x14ac:dyDescent="0.35">
      <c r="A758" s="1899">
        <v>43932</v>
      </c>
      <c r="B758" s="2759">
        <v>20</v>
      </c>
      <c r="C758" s="7" t="s">
        <v>9535</v>
      </c>
      <c r="D758" s="2707" t="s">
        <v>9536</v>
      </c>
      <c r="E758" s="7" t="s">
        <v>8553</v>
      </c>
      <c r="F758" s="5">
        <v>1</v>
      </c>
      <c r="G758" s="5">
        <v>1</v>
      </c>
      <c r="H758" s="5"/>
      <c r="I758" s="5"/>
      <c r="J758" s="5"/>
      <c r="K758" s="5"/>
      <c r="L758" s="817"/>
      <c r="M758" s="817"/>
      <c r="N758" s="817"/>
      <c r="O758" s="817"/>
      <c r="P758" s="1899">
        <v>43939</v>
      </c>
      <c r="Q758" s="2828"/>
      <c r="R758" s="2708" t="s">
        <v>9537</v>
      </c>
      <c r="S758" s="2770"/>
      <c r="T758" s="836" t="s">
        <v>15</v>
      </c>
      <c r="U758" s="2694">
        <v>0.50069444444444444</v>
      </c>
      <c r="V758" s="836" t="s">
        <v>972</v>
      </c>
      <c r="W758" s="1956">
        <v>100</v>
      </c>
      <c r="X758" s="817" t="s">
        <v>8625</v>
      </c>
      <c r="Y758" s="2772" t="s">
        <v>10774</v>
      </c>
      <c r="Z758" s="817"/>
      <c r="AA758" s="817"/>
      <c r="AB758" s="817" t="s">
        <v>17</v>
      </c>
      <c r="AC758" s="817" t="s">
        <v>7451</v>
      </c>
      <c r="AD758" s="2696"/>
      <c r="AG758" s="2662"/>
    </row>
    <row r="759" spans="1:33" ht="72.5" hidden="1" x14ac:dyDescent="0.35">
      <c r="A759" s="2486">
        <v>43929</v>
      </c>
      <c r="B759" s="2718">
        <v>21</v>
      </c>
      <c r="C759" s="7" t="s">
        <v>8712</v>
      </c>
      <c r="D759" s="2712" t="s">
        <v>10124</v>
      </c>
      <c r="E759" s="7" t="s">
        <v>10873</v>
      </c>
      <c r="F759" s="2686"/>
      <c r="G759" s="2682"/>
      <c r="H759" s="2682"/>
      <c r="I759" s="2682"/>
      <c r="J759" s="2682">
        <v>1</v>
      </c>
      <c r="K759" s="2682">
        <v>1</v>
      </c>
      <c r="L759" s="817"/>
      <c r="M759" s="817"/>
      <c r="N759" s="817"/>
      <c r="O759" s="817"/>
      <c r="P759" s="2486">
        <v>43939</v>
      </c>
      <c r="Q759" s="2486"/>
      <c r="R759" s="824" t="s">
        <v>8711</v>
      </c>
      <c r="S759" s="2829"/>
      <c r="T759" s="6" t="s">
        <v>15</v>
      </c>
      <c r="U759" s="2694">
        <v>0.51736111111111105</v>
      </c>
      <c r="V759" s="2694" t="s">
        <v>972</v>
      </c>
      <c r="W759" s="1956">
        <v>100</v>
      </c>
      <c r="X759" s="836" t="s">
        <v>257</v>
      </c>
      <c r="Y759" s="2772" t="s">
        <v>10774</v>
      </c>
      <c r="Z759" s="817"/>
      <c r="AA759" s="817"/>
      <c r="AB759" s="7" t="s">
        <v>17</v>
      </c>
      <c r="AC759" s="817" t="s">
        <v>7451</v>
      </c>
      <c r="AD759" s="2695"/>
      <c r="AG759" s="2662"/>
    </row>
    <row r="760" spans="1:33" ht="29" hidden="1" x14ac:dyDescent="0.35">
      <c r="A760" s="2486">
        <v>43930</v>
      </c>
      <c r="B760" s="2718">
        <v>22</v>
      </c>
      <c r="C760" s="5" t="s">
        <v>8808</v>
      </c>
      <c r="D760" s="2712" t="s">
        <v>10007</v>
      </c>
      <c r="E760" s="7" t="s">
        <v>8073</v>
      </c>
      <c r="F760" s="2686">
        <v>1</v>
      </c>
      <c r="G760" s="2682"/>
      <c r="H760" s="2682"/>
      <c r="I760" s="2682">
        <v>1</v>
      </c>
      <c r="J760" s="2682"/>
      <c r="K760" s="2682"/>
      <c r="L760" s="817"/>
      <c r="M760" s="817"/>
      <c r="N760" s="817"/>
      <c r="O760" s="817"/>
      <c r="P760" s="2486">
        <v>43939</v>
      </c>
      <c r="Q760" s="2486"/>
      <c r="R760" s="824" t="s">
        <v>8809</v>
      </c>
      <c r="S760" s="2688"/>
      <c r="T760" s="6" t="s">
        <v>15</v>
      </c>
      <c r="U760" s="2694">
        <v>0.52638888888888891</v>
      </c>
      <c r="V760" s="2694" t="s">
        <v>972</v>
      </c>
      <c r="W760" s="1956">
        <v>100</v>
      </c>
      <c r="X760" s="836" t="s">
        <v>8625</v>
      </c>
      <c r="Y760" s="2772" t="s">
        <v>10774</v>
      </c>
      <c r="Z760" s="817"/>
      <c r="AA760" s="817"/>
      <c r="AB760" s="7" t="s">
        <v>17</v>
      </c>
      <c r="AC760" s="817" t="s">
        <v>7451</v>
      </c>
      <c r="AD760" s="2700"/>
      <c r="AG760" s="2662"/>
    </row>
    <row r="761" spans="1:33" ht="58" hidden="1" x14ac:dyDescent="0.35">
      <c r="A761" s="2769">
        <v>43927</v>
      </c>
      <c r="B761" s="2760">
        <v>23</v>
      </c>
      <c r="C761" s="817" t="s">
        <v>8240</v>
      </c>
      <c r="D761" s="2700" t="s">
        <v>10843</v>
      </c>
      <c r="E761" s="7" t="s">
        <v>8073</v>
      </c>
      <c r="F761" s="5">
        <v>1</v>
      </c>
      <c r="G761" s="5"/>
      <c r="H761" s="5"/>
      <c r="I761" s="5">
        <v>1</v>
      </c>
      <c r="J761" s="5"/>
      <c r="K761" s="5"/>
      <c r="L761" s="817"/>
      <c r="M761" s="817"/>
      <c r="N761" s="817"/>
      <c r="O761" s="817"/>
      <c r="P761" s="2769">
        <v>43939</v>
      </c>
      <c r="Q761" s="2769"/>
      <c r="R761" s="2770" t="s">
        <v>8333</v>
      </c>
      <c r="S761" s="2770"/>
      <c r="T761" s="2694" t="s">
        <v>15</v>
      </c>
      <c r="U761" s="2694">
        <v>0.53819444444444442</v>
      </c>
      <c r="V761" s="2694" t="s">
        <v>3213</v>
      </c>
      <c r="W761" s="1956">
        <v>100</v>
      </c>
      <c r="X761" s="817" t="s">
        <v>8268</v>
      </c>
      <c r="Y761" s="2772" t="s">
        <v>10774</v>
      </c>
      <c r="Z761" s="817"/>
      <c r="AA761" s="817"/>
      <c r="AB761" s="817" t="s">
        <v>17</v>
      </c>
      <c r="AC761" s="817" t="s">
        <v>7451</v>
      </c>
      <c r="AD761" s="2699"/>
      <c r="AG761" s="2662"/>
    </row>
    <row r="762" spans="1:33" ht="43.5" hidden="1" x14ac:dyDescent="0.35">
      <c r="A762" s="2486">
        <v>43930</v>
      </c>
      <c r="B762" s="2718">
        <v>24</v>
      </c>
      <c r="C762" s="5" t="s">
        <v>8823</v>
      </c>
      <c r="D762" s="2712" t="s">
        <v>10067</v>
      </c>
      <c r="E762" s="7" t="s">
        <v>8553</v>
      </c>
      <c r="F762" s="2686">
        <v>1</v>
      </c>
      <c r="G762" s="2682">
        <v>1</v>
      </c>
      <c r="H762" s="2682"/>
      <c r="I762" s="2682"/>
      <c r="J762" s="2682"/>
      <c r="K762" s="2682"/>
      <c r="L762" s="817"/>
      <c r="M762" s="817"/>
      <c r="N762" s="817"/>
      <c r="O762" s="817"/>
      <c r="P762" s="2486">
        <v>43939</v>
      </c>
      <c r="Q762" s="2486"/>
      <c r="R762" s="824" t="s">
        <v>8824</v>
      </c>
      <c r="S762" s="2770"/>
      <c r="T762" s="6" t="s">
        <v>15</v>
      </c>
      <c r="U762" s="2694">
        <v>0.55347222222222225</v>
      </c>
      <c r="V762" s="2694" t="s">
        <v>972</v>
      </c>
      <c r="W762" s="1956">
        <v>100</v>
      </c>
      <c r="X762" s="836" t="s">
        <v>8625</v>
      </c>
      <c r="Y762" s="2772" t="s">
        <v>10774</v>
      </c>
      <c r="Z762" s="817"/>
      <c r="AA762" s="817"/>
      <c r="AB762" s="7" t="s">
        <v>17</v>
      </c>
      <c r="AC762" s="817" t="s">
        <v>7451</v>
      </c>
      <c r="AD762" s="2700"/>
      <c r="AG762" s="2662"/>
    </row>
    <row r="763" spans="1:33" ht="58" hidden="1" x14ac:dyDescent="0.35">
      <c r="A763" s="1899">
        <v>43934</v>
      </c>
      <c r="B763" s="2759">
        <v>25</v>
      </c>
      <c r="C763" s="7" t="s">
        <v>10478</v>
      </c>
      <c r="D763" s="2700" t="s">
        <v>10477</v>
      </c>
      <c r="E763" s="7" t="s">
        <v>8553</v>
      </c>
      <c r="F763" s="7">
        <v>1</v>
      </c>
      <c r="G763" s="7">
        <v>1</v>
      </c>
      <c r="H763" s="7"/>
      <c r="I763" s="7"/>
      <c r="J763" s="7"/>
      <c r="K763" s="7"/>
      <c r="L763" s="817"/>
      <c r="M763" s="817"/>
      <c r="N763" s="817"/>
      <c r="O763" s="817"/>
      <c r="P763" s="1899">
        <v>43939</v>
      </c>
      <c r="Q763" s="2769"/>
      <c r="R763" s="2708" t="s">
        <v>10480</v>
      </c>
      <c r="S763" s="2770"/>
      <c r="T763" s="836" t="s">
        <v>15</v>
      </c>
      <c r="U763" s="2694">
        <v>0.56597222222222221</v>
      </c>
      <c r="V763" s="836" t="s">
        <v>972</v>
      </c>
      <c r="W763" s="1630">
        <v>100</v>
      </c>
      <c r="X763" s="7" t="s">
        <v>3173</v>
      </c>
      <c r="Y763" s="2772" t="s">
        <v>10774</v>
      </c>
      <c r="Z763" s="7"/>
      <c r="AA763" s="7"/>
      <c r="AB763" s="7" t="s">
        <v>17</v>
      </c>
      <c r="AC763" s="7" t="s">
        <v>7451</v>
      </c>
      <c r="AD763" s="2696"/>
      <c r="AG763" s="2662"/>
    </row>
    <row r="764" spans="1:33" ht="29" hidden="1" x14ac:dyDescent="0.35">
      <c r="A764" s="2486">
        <v>43934</v>
      </c>
      <c r="B764" s="2718">
        <v>26</v>
      </c>
      <c r="C764" s="5" t="s">
        <v>10559</v>
      </c>
      <c r="D764" s="2700" t="s">
        <v>10560</v>
      </c>
      <c r="E764" s="7" t="s">
        <v>8553</v>
      </c>
      <c r="F764" s="2679">
        <v>1</v>
      </c>
      <c r="G764" s="5">
        <v>1</v>
      </c>
      <c r="H764" s="5"/>
      <c r="I764" s="5"/>
      <c r="J764" s="5"/>
      <c r="K764" s="5"/>
      <c r="L764" s="817"/>
      <c r="M764" s="817"/>
      <c r="N764" s="817"/>
      <c r="O764" s="817"/>
      <c r="P764" s="2486">
        <v>43939</v>
      </c>
      <c r="Q764" s="2828"/>
      <c r="R764" s="824" t="s">
        <v>10558</v>
      </c>
      <c r="S764" s="2688"/>
      <c r="T764" s="2694" t="s">
        <v>15</v>
      </c>
      <c r="U764" s="2694">
        <v>0.5756944444444444</v>
      </c>
      <c r="V764" s="2694" t="s">
        <v>972</v>
      </c>
      <c r="W764" s="1956">
        <v>100</v>
      </c>
      <c r="X764" s="817" t="s">
        <v>257</v>
      </c>
      <c r="Y764" s="2772" t="s">
        <v>10774</v>
      </c>
      <c r="Z764" s="817"/>
      <c r="AA764" s="817"/>
      <c r="AB764" s="817" t="s">
        <v>17</v>
      </c>
      <c r="AC764" s="817" t="s">
        <v>7451</v>
      </c>
      <c r="AD764" s="2696"/>
      <c r="AG764" s="2662"/>
    </row>
    <row r="765" spans="1:33" ht="58" hidden="1" x14ac:dyDescent="0.35">
      <c r="A765" s="2486">
        <v>43936</v>
      </c>
      <c r="B765" s="2718">
        <v>1</v>
      </c>
      <c r="C765" s="5" t="s">
        <v>10743</v>
      </c>
      <c r="D765" s="2700" t="s">
        <v>10745</v>
      </c>
      <c r="E765" s="817" t="s">
        <v>10751</v>
      </c>
      <c r="F765" s="2741">
        <v>3</v>
      </c>
      <c r="G765" s="2741">
        <v>4</v>
      </c>
      <c r="H765" s="2741">
        <v>2</v>
      </c>
      <c r="I765" s="2741"/>
      <c r="J765" s="2741"/>
      <c r="K765" s="2741"/>
      <c r="L765" s="817"/>
      <c r="M765" s="817"/>
      <c r="N765" s="817"/>
      <c r="O765" s="817"/>
      <c r="P765" s="2486">
        <v>43939</v>
      </c>
      <c r="Q765" s="2769"/>
      <c r="R765" s="2722" t="s">
        <v>10744</v>
      </c>
      <c r="S765" s="2770"/>
      <c r="T765" s="6" t="s">
        <v>15</v>
      </c>
      <c r="U765" s="2694">
        <v>0.32708333333333334</v>
      </c>
      <c r="V765" s="6" t="s">
        <v>3213</v>
      </c>
      <c r="W765" s="1630">
        <v>495</v>
      </c>
      <c r="X765" s="5" t="s">
        <v>257</v>
      </c>
      <c r="Y765" s="2772" t="s">
        <v>3545</v>
      </c>
      <c r="Z765" s="5"/>
      <c r="AA765" s="5"/>
      <c r="AB765" s="5" t="s">
        <v>17</v>
      </c>
      <c r="AC765" s="5" t="s">
        <v>7451</v>
      </c>
      <c r="AD765" s="2739"/>
      <c r="AG765" s="2662"/>
    </row>
    <row r="766" spans="1:33" ht="29" hidden="1" x14ac:dyDescent="0.35">
      <c r="A766" s="2828">
        <v>43931</v>
      </c>
      <c r="B766" s="2760">
        <v>2</v>
      </c>
      <c r="C766" s="817" t="s">
        <v>9192</v>
      </c>
      <c r="D766" s="2712" t="s">
        <v>9194</v>
      </c>
      <c r="E766" s="7" t="s">
        <v>8553</v>
      </c>
      <c r="F766" s="2682">
        <v>1</v>
      </c>
      <c r="G766" s="2682">
        <v>1</v>
      </c>
      <c r="H766" s="2682"/>
      <c r="I766" s="2682"/>
      <c r="J766" s="2682"/>
      <c r="K766" s="2682"/>
      <c r="L766" s="817"/>
      <c r="M766" s="817"/>
      <c r="N766" s="817"/>
      <c r="O766" s="817"/>
      <c r="P766" s="2828">
        <v>43939</v>
      </c>
      <c r="Q766" s="2828"/>
      <c r="R766" s="2829" t="s">
        <v>9193</v>
      </c>
      <c r="S766" s="2770"/>
      <c r="T766" s="2694" t="s">
        <v>15</v>
      </c>
      <c r="U766" s="2694">
        <v>0.33680555555555558</v>
      </c>
      <c r="V766" s="2694" t="s">
        <v>972</v>
      </c>
      <c r="W766" s="2681">
        <v>100</v>
      </c>
      <c r="X766" s="817" t="s">
        <v>2900</v>
      </c>
      <c r="Y766" s="2772" t="s">
        <v>3545</v>
      </c>
      <c r="Z766" s="817"/>
      <c r="AA766" s="817"/>
      <c r="AB766" s="817" t="s">
        <v>17</v>
      </c>
      <c r="AC766" s="817" t="s">
        <v>7451</v>
      </c>
      <c r="AD766" s="2700" t="s">
        <v>9194</v>
      </c>
      <c r="AG766" s="2662"/>
    </row>
    <row r="767" spans="1:33" ht="43.5" hidden="1" x14ac:dyDescent="0.35">
      <c r="A767" s="2486">
        <v>43935</v>
      </c>
      <c r="B767" s="2718">
        <v>3</v>
      </c>
      <c r="C767" s="7" t="s">
        <v>10617</v>
      </c>
      <c r="D767" s="2700" t="s">
        <v>10618</v>
      </c>
      <c r="E767" s="7" t="s">
        <v>8107</v>
      </c>
      <c r="F767" s="2740">
        <v>1</v>
      </c>
      <c r="G767" s="2741"/>
      <c r="H767" s="2741">
        <v>1</v>
      </c>
      <c r="I767" s="2741"/>
      <c r="J767" s="2741"/>
      <c r="K767" s="2741"/>
      <c r="L767" s="817"/>
      <c r="M767" s="817"/>
      <c r="N767" s="817"/>
      <c r="O767" s="817"/>
      <c r="P767" s="2486">
        <v>43939</v>
      </c>
      <c r="Q767" s="2828"/>
      <c r="R767" s="2722" t="s">
        <v>10619</v>
      </c>
      <c r="S767" s="2770"/>
      <c r="T767" s="6" t="s">
        <v>15</v>
      </c>
      <c r="U767" s="2694">
        <v>0.34513888888888888</v>
      </c>
      <c r="V767" s="2694" t="s">
        <v>972</v>
      </c>
      <c r="W767" s="1956">
        <v>100</v>
      </c>
      <c r="X767" s="2694" t="s">
        <v>257</v>
      </c>
      <c r="Y767" s="2772" t="s">
        <v>3545</v>
      </c>
      <c r="Z767" s="817"/>
      <c r="AA767" s="817"/>
      <c r="AB767" s="817" t="s">
        <v>17</v>
      </c>
      <c r="AC767" s="817" t="s">
        <v>7451</v>
      </c>
      <c r="AD767" s="2739"/>
      <c r="AG767" s="2662"/>
    </row>
    <row r="768" spans="1:33" ht="43.5" hidden="1" x14ac:dyDescent="0.35">
      <c r="A768" s="1899">
        <v>43934</v>
      </c>
      <c r="B768" s="2759">
        <v>4</v>
      </c>
      <c r="C768" s="7" t="s">
        <v>10387</v>
      </c>
      <c r="D768" s="2700" t="s">
        <v>10388</v>
      </c>
      <c r="E768" s="7" t="s">
        <v>8553</v>
      </c>
      <c r="F768" s="2679">
        <v>1</v>
      </c>
      <c r="G768" s="5">
        <v>1</v>
      </c>
      <c r="H768" s="5"/>
      <c r="I768" s="5"/>
      <c r="J768" s="5"/>
      <c r="K768" s="5"/>
      <c r="L768" s="817"/>
      <c r="M768" s="817"/>
      <c r="N768" s="817"/>
      <c r="O768" s="817"/>
      <c r="P768" s="1899">
        <v>43939</v>
      </c>
      <c r="Q768" s="2769"/>
      <c r="R768" s="2708" t="s">
        <v>10386</v>
      </c>
      <c r="S768" s="2770"/>
      <c r="T768" s="836" t="s">
        <v>15</v>
      </c>
      <c r="U768" s="2694">
        <v>0.35347222222222219</v>
      </c>
      <c r="V768" s="836" t="s">
        <v>972</v>
      </c>
      <c r="W768" s="1630">
        <v>100</v>
      </c>
      <c r="X768" s="7" t="s">
        <v>3173</v>
      </c>
      <c r="Y768" s="2772" t="s">
        <v>3545</v>
      </c>
      <c r="Z768" s="7"/>
      <c r="AA768" s="7"/>
      <c r="AB768" s="7" t="s">
        <v>17</v>
      </c>
      <c r="AC768" s="7" t="s">
        <v>7451</v>
      </c>
      <c r="AD768" s="2696"/>
      <c r="AG768" s="2662"/>
    </row>
    <row r="769" spans="1:33" ht="43.5" hidden="1" x14ac:dyDescent="0.35">
      <c r="A769" s="2486">
        <v>43928</v>
      </c>
      <c r="B769" s="2718">
        <v>5</v>
      </c>
      <c r="C769" s="5" t="s">
        <v>8571</v>
      </c>
      <c r="D769" s="2712" t="s">
        <v>10083</v>
      </c>
      <c r="E769" s="5" t="s">
        <v>8561</v>
      </c>
      <c r="F769" s="2679">
        <v>1</v>
      </c>
      <c r="G769" s="5">
        <v>1</v>
      </c>
      <c r="H769" s="5"/>
      <c r="I769" s="5"/>
      <c r="J769" s="5"/>
      <c r="K769" s="5"/>
      <c r="L769" s="817"/>
      <c r="M769" s="817"/>
      <c r="N769" s="817"/>
      <c r="O769" s="817"/>
      <c r="P769" s="2486">
        <v>43939</v>
      </c>
      <c r="Q769" s="2486"/>
      <c r="R769" s="824" t="s">
        <v>8602</v>
      </c>
      <c r="S769" s="824"/>
      <c r="T769" s="6" t="s">
        <v>15</v>
      </c>
      <c r="U769" s="2694">
        <v>0.36249999999999999</v>
      </c>
      <c r="V769" s="6" t="s">
        <v>3213</v>
      </c>
      <c r="W769" s="1630">
        <v>100</v>
      </c>
      <c r="X769" s="5" t="s">
        <v>8592</v>
      </c>
      <c r="Y769" s="2772" t="s">
        <v>3545</v>
      </c>
      <c r="Z769" s="5"/>
      <c r="AA769" s="5"/>
      <c r="AB769" s="5" t="s">
        <v>17</v>
      </c>
      <c r="AC769" s="5" t="s">
        <v>7451</v>
      </c>
      <c r="AD769" s="2696"/>
      <c r="AG769" s="2662"/>
    </row>
    <row r="770" spans="1:33" ht="29" hidden="1" x14ac:dyDescent="0.35">
      <c r="A770" s="1899">
        <v>43931</v>
      </c>
      <c r="B770" s="2759">
        <v>6</v>
      </c>
      <c r="C770" s="7" t="s">
        <v>9043</v>
      </c>
      <c r="D770" s="2712" t="s">
        <v>9979</v>
      </c>
      <c r="E770" s="7" t="s">
        <v>8553</v>
      </c>
      <c r="F770" s="7">
        <v>1</v>
      </c>
      <c r="G770" s="7">
        <v>1</v>
      </c>
      <c r="H770" s="7"/>
      <c r="I770" s="7"/>
      <c r="J770" s="7"/>
      <c r="K770" s="7"/>
      <c r="L770" s="817"/>
      <c r="M770" s="817"/>
      <c r="N770" s="817"/>
      <c r="O770" s="817"/>
      <c r="P770" s="1899">
        <v>43939</v>
      </c>
      <c r="Q770" s="1899"/>
      <c r="R770" s="881" t="s">
        <v>9044</v>
      </c>
      <c r="S770" s="2770"/>
      <c r="T770" s="836" t="s">
        <v>15</v>
      </c>
      <c r="U770" s="2694">
        <v>0.37083333333333335</v>
      </c>
      <c r="V770" s="2694" t="s">
        <v>972</v>
      </c>
      <c r="W770" s="1956">
        <v>100</v>
      </c>
      <c r="X770" s="817" t="s">
        <v>257</v>
      </c>
      <c r="Y770" s="2772" t="s">
        <v>3545</v>
      </c>
      <c r="Z770" s="817"/>
      <c r="AA770" s="817"/>
      <c r="AB770" s="817" t="s">
        <v>17</v>
      </c>
      <c r="AC770" s="817" t="s">
        <v>7451</v>
      </c>
      <c r="AD770" s="2696"/>
      <c r="AG770" s="2711"/>
    </row>
    <row r="771" spans="1:33" ht="87" hidden="1" x14ac:dyDescent="0.35">
      <c r="A771" s="1899">
        <v>43935</v>
      </c>
      <c r="B771" s="2759">
        <v>7</v>
      </c>
      <c r="C771" s="7" t="s">
        <v>10641</v>
      </c>
      <c r="D771" s="2700" t="s">
        <v>10640</v>
      </c>
      <c r="E771" s="7" t="s">
        <v>10642</v>
      </c>
      <c r="F771" s="2735">
        <v>3</v>
      </c>
      <c r="G771" s="2735">
        <v>1</v>
      </c>
      <c r="H771" s="2735">
        <v>1</v>
      </c>
      <c r="I771" s="2735"/>
      <c r="J771" s="2735"/>
      <c r="K771" s="2735"/>
      <c r="L771" s="817"/>
      <c r="M771" s="817"/>
      <c r="N771" s="817"/>
      <c r="O771" s="817"/>
      <c r="P771" s="1899">
        <v>43939</v>
      </c>
      <c r="Q771" s="2769"/>
      <c r="R771" s="2708" t="s">
        <v>10639</v>
      </c>
      <c r="S771" s="2770"/>
      <c r="T771" s="6" t="s">
        <v>15</v>
      </c>
      <c r="U771" s="2694">
        <v>0.37986111111111115</v>
      </c>
      <c r="V771" s="2694" t="s">
        <v>972</v>
      </c>
      <c r="W771" s="1956">
        <v>250</v>
      </c>
      <c r="X771" s="836" t="s">
        <v>257</v>
      </c>
      <c r="Y771" s="2772" t="s">
        <v>3545</v>
      </c>
      <c r="Z771" s="817"/>
      <c r="AA771" s="817"/>
      <c r="AB771" s="7" t="s">
        <v>17</v>
      </c>
      <c r="AC771" s="817" t="s">
        <v>7451</v>
      </c>
      <c r="AD771" s="2739"/>
      <c r="AG771" s="2711"/>
    </row>
    <row r="772" spans="1:33" ht="29" hidden="1" x14ac:dyDescent="0.35">
      <c r="A772" s="1899">
        <v>43928</v>
      </c>
      <c r="B772" s="2759">
        <v>8</v>
      </c>
      <c r="C772" s="7" t="s">
        <v>8476</v>
      </c>
      <c r="D772" s="2712" t="s">
        <v>10109</v>
      </c>
      <c r="E772" s="7" t="s">
        <v>8149</v>
      </c>
      <c r="F772" s="2684">
        <v>1</v>
      </c>
      <c r="G772" s="2661">
        <v>1</v>
      </c>
      <c r="H772" s="2661"/>
      <c r="I772" s="2661"/>
      <c r="J772" s="2661"/>
      <c r="K772" s="2661"/>
      <c r="L772" s="817"/>
      <c r="M772" s="817"/>
      <c r="N772" s="817"/>
      <c r="O772" s="817"/>
      <c r="P772" s="1899">
        <v>43939</v>
      </c>
      <c r="Q772" s="1899"/>
      <c r="R772" s="881" t="s">
        <v>8475</v>
      </c>
      <c r="S772" s="2770"/>
      <c r="T772" s="836" t="s">
        <v>15</v>
      </c>
      <c r="U772" s="2694">
        <v>0.3888888888888889</v>
      </c>
      <c r="V772" s="2694" t="s">
        <v>972</v>
      </c>
      <c r="W772" s="2660">
        <v>100</v>
      </c>
      <c r="X772" s="836" t="s">
        <v>257</v>
      </c>
      <c r="Y772" s="2772" t="s">
        <v>3545</v>
      </c>
      <c r="Z772" s="817"/>
      <c r="AA772" s="817"/>
      <c r="AB772" s="7" t="s">
        <v>17</v>
      </c>
      <c r="AC772" s="817" t="s">
        <v>7451</v>
      </c>
      <c r="AD772" s="2699"/>
      <c r="AG772" s="2711"/>
    </row>
    <row r="773" spans="1:33" ht="58" hidden="1" x14ac:dyDescent="0.35">
      <c r="A773" s="1899">
        <v>43930</v>
      </c>
      <c r="B773" s="2759">
        <v>9</v>
      </c>
      <c r="C773" s="5" t="s">
        <v>8950</v>
      </c>
      <c r="D773" s="2712" t="s">
        <v>9985</v>
      </c>
      <c r="E773" s="7" t="s">
        <v>8622</v>
      </c>
      <c r="F773" s="2686">
        <v>1</v>
      </c>
      <c r="G773" s="2682">
        <v>1</v>
      </c>
      <c r="H773" s="2682"/>
      <c r="I773" s="2682"/>
      <c r="J773" s="2682"/>
      <c r="K773" s="2682"/>
      <c r="L773" s="817"/>
      <c r="M773" s="817"/>
      <c r="N773" s="817"/>
      <c r="O773" s="817"/>
      <c r="P773" s="2486">
        <v>43939</v>
      </c>
      <c r="Q773" s="2486"/>
      <c r="R773" s="824" t="s">
        <v>8951</v>
      </c>
      <c r="S773" s="2770"/>
      <c r="T773" s="6" t="s">
        <v>15</v>
      </c>
      <c r="U773" s="2694">
        <v>0.3972222222222222</v>
      </c>
      <c r="V773" s="2694" t="s">
        <v>972</v>
      </c>
      <c r="W773" s="1956">
        <v>100</v>
      </c>
      <c r="X773" s="836" t="s">
        <v>257</v>
      </c>
      <c r="Y773" s="2772" t="s">
        <v>3545</v>
      </c>
      <c r="Z773" s="817"/>
      <c r="AA773" s="817"/>
      <c r="AB773" s="7" t="s">
        <v>17</v>
      </c>
      <c r="AC773" s="817" t="s">
        <v>7451</v>
      </c>
      <c r="AD773" s="2700"/>
      <c r="AG773" s="2711"/>
    </row>
    <row r="774" spans="1:33" ht="43.5" hidden="1" x14ac:dyDescent="0.35">
      <c r="A774" s="1899">
        <v>43921</v>
      </c>
      <c r="B774" s="2759">
        <v>10</v>
      </c>
      <c r="C774" s="7" t="s">
        <v>7629</v>
      </c>
      <c r="D774" s="2712" t="s">
        <v>10099</v>
      </c>
      <c r="E774" s="7" t="s">
        <v>7473</v>
      </c>
      <c r="F774" s="7">
        <v>1</v>
      </c>
      <c r="G774" s="7">
        <v>1</v>
      </c>
      <c r="H774" s="7"/>
      <c r="I774" s="7"/>
      <c r="J774" s="7"/>
      <c r="K774" s="7"/>
      <c r="L774" s="7"/>
      <c r="M774" s="7"/>
      <c r="N774" s="7"/>
      <c r="O774" s="7"/>
      <c r="P774" s="1899">
        <v>43939</v>
      </c>
      <c r="Q774" s="1899"/>
      <c r="R774" s="881" t="s">
        <v>10819</v>
      </c>
      <c r="S774" s="881"/>
      <c r="T774" s="2829" t="s">
        <v>15</v>
      </c>
      <c r="U774" s="2694">
        <v>0.4069444444444445</v>
      </c>
      <c r="V774" s="2694" t="s">
        <v>3213</v>
      </c>
      <c r="W774" s="1956">
        <v>100</v>
      </c>
      <c r="X774" s="2829" t="s">
        <v>257</v>
      </c>
      <c r="Y774" s="2772" t="s">
        <v>3545</v>
      </c>
      <c r="Z774" s="2829"/>
      <c r="AA774" s="2829"/>
      <c r="AB774" s="2829" t="s">
        <v>17</v>
      </c>
      <c r="AC774" s="2829" t="s">
        <v>7451</v>
      </c>
      <c r="AD774" s="2699"/>
      <c r="AG774" s="2711"/>
    </row>
    <row r="775" spans="1:33" ht="58" hidden="1" x14ac:dyDescent="0.35">
      <c r="A775" s="2486">
        <v>43923</v>
      </c>
      <c r="B775" s="2718">
        <v>11</v>
      </c>
      <c r="C775" s="5" t="s">
        <v>7796</v>
      </c>
      <c r="D775" s="2712" t="s">
        <v>10158</v>
      </c>
      <c r="E775" s="5" t="s">
        <v>7793</v>
      </c>
      <c r="F775" s="5">
        <v>1</v>
      </c>
      <c r="G775" s="5">
        <v>1</v>
      </c>
      <c r="H775" s="5">
        <v>1</v>
      </c>
      <c r="I775" s="5"/>
      <c r="J775" s="5"/>
      <c r="K775" s="5"/>
      <c r="L775" s="5"/>
      <c r="M775" s="5"/>
      <c r="N775" s="5"/>
      <c r="O775" s="5"/>
      <c r="P775" s="2486">
        <v>43939</v>
      </c>
      <c r="Q775" s="2486"/>
      <c r="R775" s="824" t="s">
        <v>7794</v>
      </c>
      <c r="S775" s="824"/>
      <c r="T775" s="6" t="s">
        <v>15</v>
      </c>
      <c r="U775" s="2694">
        <v>0.41597222222222219</v>
      </c>
      <c r="V775" s="2694" t="s">
        <v>3213</v>
      </c>
      <c r="W775" s="1956">
        <v>165</v>
      </c>
      <c r="X775" s="2694" t="s">
        <v>257</v>
      </c>
      <c r="Y775" s="2772" t="s">
        <v>3545</v>
      </c>
      <c r="Z775" s="2694"/>
      <c r="AA775" s="2694"/>
      <c r="AB775" s="817" t="s">
        <v>17</v>
      </c>
      <c r="AC775" s="817" t="s">
        <v>7451</v>
      </c>
      <c r="AD775" s="2699"/>
      <c r="AG775" s="2711"/>
    </row>
    <row r="776" spans="1:33" ht="43.5" hidden="1" x14ac:dyDescent="0.35">
      <c r="A776" s="2486">
        <v>43929</v>
      </c>
      <c r="B776" s="2718">
        <v>12</v>
      </c>
      <c r="C776" s="5" t="s">
        <v>8752</v>
      </c>
      <c r="D776" s="2712" t="s">
        <v>10204</v>
      </c>
      <c r="E776" s="7" t="s">
        <v>8622</v>
      </c>
      <c r="F776" s="2679">
        <v>1</v>
      </c>
      <c r="G776" s="5">
        <v>1</v>
      </c>
      <c r="H776" s="5"/>
      <c r="I776" s="5"/>
      <c r="J776" s="5"/>
      <c r="K776" s="5"/>
      <c r="L776" s="817"/>
      <c r="M776" s="817"/>
      <c r="N776" s="817"/>
      <c r="O776" s="817"/>
      <c r="P776" s="2486">
        <v>43939</v>
      </c>
      <c r="Q776" s="2486"/>
      <c r="R776" s="824" t="s">
        <v>10818</v>
      </c>
      <c r="S776" s="2829"/>
      <c r="T776" s="6" t="s">
        <v>15</v>
      </c>
      <c r="U776" s="2694">
        <v>0.42430555555555555</v>
      </c>
      <c r="V776" s="2694" t="s">
        <v>972</v>
      </c>
      <c r="W776" s="1956">
        <v>100</v>
      </c>
      <c r="X776" s="836" t="s">
        <v>257</v>
      </c>
      <c r="Y776" s="2772" t="s">
        <v>3545</v>
      </c>
      <c r="Z776" s="817"/>
      <c r="AA776" s="817"/>
      <c r="AB776" s="7" t="s">
        <v>17</v>
      </c>
      <c r="AC776" s="817" t="s">
        <v>7451</v>
      </c>
      <c r="AD776" s="2696"/>
      <c r="AG776" s="2711"/>
    </row>
    <row r="777" spans="1:33" ht="58" hidden="1" x14ac:dyDescent="0.35">
      <c r="A777" s="1899">
        <v>43934</v>
      </c>
      <c r="B777" s="2759">
        <v>13</v>
      </c>
      <c r="C777" s="7" t="s">
        <v>10456</v>
      </c>
      <c r="D777" s="2707" t="s">
        <v>10457</v>
      </c>
      <c r="E777" s="7" t="s">
        <v>8553</v>
      </c>
      <c r="F777" s="7">
        <v>1</v>
      </c>
      <c r="G777" s="7">
        <v>1</v>
      </c>
      <c r="H777" s="7"/>
      <c r="I777" s="7"/>
      <c r="J777" s="7"/>
      <c r="K777" s="7"/>
      <c r="L777" s="817"/>
      <c r="M777" s="817"/>
      <c r="N777" s="817"/>
      <c r="O777" s="817"/>
      <c r="P777" s="1899">
        <v>43939</v>
      </c>
      <c r="Q777" s="2828"/>
      <c r="R777" s="2708" t="s">
        <v>10458</v>
      </c>
      <c r="S777" s="2770"/>
      <c r="T777" s="836" t="s">
        <v>15</v>
      </c>
      <c r="U777" s="2694">
        <v>0.43194444444444446</v>
      </c>
      <c r="V777" s="836" t="s">
        <v>972</v>
      </c>
      <c r="W777" s="1956">
        <v>100</v>
      </c>
      <c r="X777" s="817" t="s">
        <v>8625</v>
      </c>
      <c r="Y777" s="2772" t="s">
        <v>3545</v>
      </c>
      <c r="Z777" s="7"/>
      <c r="AA777" s="7"/>
      <c r="AB777" s="7" t="s">
        <v>17</v>
      </c>
      <c r="AC777" s="7" t="s">
        <v>7451</v>
      </c>
      <c r="AD777" s="2696"/>
      <c r="AG777" s="2711"/>
    </row>
    <row r="778" spans="1:33" ht="43.5" hidden="1" x14ac:dyDescent="0.35">
      <c r="A778" s="2486">
        <v>43931</v>
      </c>
      <c r="B778" s="2718">
        <v>14</v>
      </c>
      <c r="C778" s="5" t="s">
        <v>9412</v>
      </c>
      <c r="D778" s="2700" t="s">
        <v>9411</v>
      </c>
      <c r="E778" s="5" t="s">
        <v>8553</v>
      </c>
      <c r="F778" s="5">
        <v>1</v>
      </c>
      <c r="G778" s="5">
        <v>1</v>
      </c>
      <c r="H778" s="5"/>
      <c r="I778" s="5"/>
      <c r="J778" s="5"/>
      <c r="K778" s="5"/>
      <c r="L778" s="817"/>
      <c r="M778" s="817"/>
      <c r="N778" s="817"/>
      <c r="O778" s="817"/>
      <c r="P778" s="2486">
        <v>43939</v>
      </c>
      <c r="Q778" s="2486"/>
      <c r="R778" s="2829" t="s">
        <v>9413</v>
      </c>
      <c r="S778" s="2688"/>
      <c r="T778" s="2694" t="s">
        <v>15</v>
      </c>
      <c r="U778" s="2694">
        <v>0.44236111111111115</v>
      </c>
      <c r="V778" s="2694" t="s">
        <v>972</v>
      </c>
      <c r="W778" s="1956">
        <v>100</v>
      </c>
      <c r="X778" s="817" t="s">
        <v>8625</v>
      </c>
      <c r="Y778" s="2772" t="s">
        <v>3545</v>
      </c>
      <c r="Z778" s="817"/>
      <c r="AA778" s="817"/>
      <c r="AB778" s="817" t="s">
        <v>17</v>
      </c>
      <c r="AC778" s="817" t="s">
        <v>7451</v>
      </c>
      <c r="AD778" s="2700" t="s">
        <v>9411</v>
      </c>
      <c r="AG778" s="2711"/>
    </row>
    <row r="779" spans="1:33" ht="58" hidden="1" x14ac:dyDescent="0.35">
      <c r="A779" s="2828">
        <v>43924</v>
      </c>
      <c r="B779" s="2760">
        <v>15</v>
      </c>
      <c r="C779" s="817" t="s">
        <v>7848</v>
      </c>
      <c r="D779" s="2712" t="s">
        <v>10088</v>
      </c>
      <c r="E779" s="817" t="s">
        <v>7829</v>
      </c>
      <c r="F779" s="817">
        <v>1</v>
      </c>
      <c r="G779" s="817">
        <v>1</v>
      </c>
      <c r="H779" s="817"/>
      <c r="I779" s="817"/>
      <c r="J779" s="817"/>
      <c r="K779" s="817"/>
      <c r="L779" s="817"/>
      <c r="M779" s="817"/>
      <c r="N779" s="817"/>
      <c r="O779" s="817"/>
      <c r="P779" s="2828">
        <v>43939</v>
      </c>
      <c r="Q779" s="2828"/>
      <c r="R779" s="2829" t="s">
        <v>7849</v>
      </c>
      <c r="S779" s="2770"/>
      <c r="T779" s="2694" t="s">
        <v>15</v>
      </c>
      <c r="U779" s="2694">
        <v>0.45208333333333334</v>
      </c>
      <c r="V779" s="2694" t="s">
        <v>972</v>
      </c>
      <c r="W779" s="1956">
        <v>100</v>
      </c>
      <c r="X779" s="817" t="s">
        <v>7634</v>
      </c>
      <c r="Y779" s="2772" t="s">
        <v>3545</v>
      </c>
      <c r="Z779" s="817"/>
      <c r="AA779" s="817"/>
      <c r="AB779" s="817" t="s">
        <v>17</v>
      </c>
      <c r="AC779" s="817" t="s">
        <v>7451</v>
      </c>
      <c r="AD779" s="2699"/>
      <c r="AG779" s="2711"/>
    </row>
    <row r="780" spans="1:33" ht="29" hidden="1" x14ac:dyDescent="0.35">
      <c r="A780" s="1899">
        <v>43931</v>
      </c>
      <c r="B780" s="2759">
        <v>16</v>
      </c>
      <c r="C780" s="7" t="s">
        <v>9023</v>
      </c>
      <c r="D780" s="2712" t="s">
        <v>9977</v>
      </c>
      <c r="E780" s="7" t="s">
        <v>8553</v>
      </c>
      <c r="F780" s="7">
        <v>1</v>
      </c>
      <c r="G780" s="7">
        <v>1</v>
      </c>
      <c r="H780" s="7"/>
      <c r="I780" s="7"/>
      <c r="J780" s="7"/>
      <c r="K780" s="7"/>
      <c r="L780" s="817"/>
      <c r="M780" s="817"/>
      <c r="N780" s="817"/>
      <c r="O780" s="817"/>
      <c r="P780" s="1899">
        <v>43939</v>
      </c>
      <c r="Q780" s="1899"/>
      <c r="R780" s="881" t="s">
        <v>9024</v>
      </c>
      <c r="S780" s="2770"/>
      <c r="T780" s="836" t="s">
        <v>15</v>
      </c>
      <c r="U780" s="2694">
        <v>0.45902777777777781</v>
      </c>
      <c r="V780" s="2694" t="s">
        <v>972</v>
      </c>
      <c r="W780" s="1956">
        <v>100</v>
      </c>
      <c r="X780" s="817" t="s">
        <v>257</v>
      </c>
      <c r="Y780" s="2772" t="s">
        <v>3545</v>
      </c>
      <c r="Z780" s="817"/>
      <c r="AA780" s="817"/>
      <c r="AB780" s="817" t="s">
        <v>17</v>
      </c>
      <c r="AC780" s="817" t="s">
        <v>7451</v>
      </c>
      <c r="AD780" s="2696"/>
      <c r="AG780" s="2711"/>
    </row>
    <row r="781" spans="1:33" ht="43.5" hidden="1" x14ac:dyDescent="0.35">
      <c r="A781" s="2486">
        <v>43930</v>
      </c>
      <c r="B781" s="2718">
        <v>17</v>
      </c>
      <c r="C781" s="5" t="s">
        <v>8827</v>
      </c>
      <c r="D781" s="2712" t="s">
        <v>10152</v>
      </c>
      <c r="E781" s="7" t="s">
        <v>8553</v>
      </c>
      <c r="F781" s="2686">
        <v>1</v>
      </c>
      <c r="G781" s="2682">
        <v>1</v>
      </c>
      <c r="H781" s="2682"/>
      <c r="I781" s="2682"/>
      <c r="J781" s="2682"/>
      <c r="K781" s="2682"/>
      <c r="L781" s="817"/>
      <c r="M781" s="817"/>
      <c r="N781" s="817"/>
      <c r="O781" s="817"/>
      <c r="P781" s="2486">
        <v>43939</v>
      </c>
      <c r="Q781" s="2486"/>
      <c r="R781" s="824" t="s">
        <v>8828</v>
      </c>
      <c r="S781" s="2829"/>
      <c r="T781" s="6" t="s">
        <v>15</v>
      </c>
      <c r="U781" s="2694">
        <v>0.46875</v>
      </c>
      <c r="V781" s="2694" t="s">
        <v>972</v>
      </c>
      <c r="W781" s="1956">
        <v>100</v>
      </c>
      <c r="X781" s="836" t="s">
        <v>8625</v>
      </c>
      <c r="Y781" s="2772" t="s">
        <v>3545</v>
      </c>
      <c r="Z781" s="817"/>
      <c r="AA781" s="817"/>
      <c r="AB781" s="7" t="s">
        <v>17</v>
      </c>
      <c r="AC781" s="817" t="s">
        <v>7451</v>
      </c>
      <c r="AD781" s="2700"/>
      <c r="AG781" s="2711"/>
    </row>
    <row r="782" spans="1:33" ht="43.5" hidden="1" x14ac:dyDescent="0.35">
      <c r="A782" s="1899">
        <v>43933</v>
      </c>
      <c r="B782" s="2759">
        <v>18</v>
      </c>
      <c r="C782" s="817" t="s">
        <v>10291</v>
      </c>
      <c r="D782" s="2700" t="s">
        <v>10292</v>
      </c>
      <c r="E782" s="7" t="s">
        <v>8553</v>
      </c>
      <c r="F782" s="817">
        <v>1</v>
      </c>
      <c r="G782" s="817">
        <v>1</v>
      </c>
      <c r="H782" s="817"/>
      <c r="I782" s="817"/>
      <c r="J782" s="817"/>
      <c r="K782" s="817"/>
      <c r="L782" s="817"/>
      <c r="M782" s="817"/>
      <c r="N782" s="817"/>
      <c r="O782" s="817"/>
      <c r="P782" s="2828">
        <v>43939</v>
      </c>
      <c r="Q782" s="2828"/>
      <c r="R782" s="2706" t="s">
        <v>10293</v>
      </c>
      <c r="S782" s="2829"/>
      <c r="T782" s="6" t="s">
        <v>15</v>
      </c>
      <c r="U782" s="2694">
        <v>0.47847222222222219</v>
      </c>
      <c r="V782" s="836" t="s">
        <v>972</v>
      </c>
      <c r="W782" s="1956">
        <v>100</v>
      </c>
      <c r="X782" s="817" t="s">
        <v>8625</v>
      </c>
      <c r="Y782" s="2772" t="s">
        <v>3545</v>
      </c>
      <c r="Z782" s="817"/>
      <c r="AA782" s="817"/>
      <c r="AB782" s="817" t="s">
        <v>17</v>
      </c>
      <c r="AC782" s="817" t="s">
        <v>7451</v>
      </c>
      <c r="AD782" s="2696"/>
      <c r="AG782" s="2711"/>
    </row>
    <row r="783" spans="1:33" s="1592" customFormat="1" ht="29" hidden="1" x14ac:dyDescent="0.35">
      <c r="A783" s="2486">
        <v>43924</v>
      </c>
      <c r="B783" s="2718">
        <v>19</v>
      </c>
      <c r="C783" s="7" t="s">
        <v>7934</v>
      </c>
      <c r="D783" s="2712" t="s">
        <v>10108</v>
      </c>
      <c r="E783" s="817" t="s">
        <v>7935</v>
      </c>
      <c r="F783" s="5">
        <v>1</v>
      </c>
      <c r="G783" s="5">
        <v>1</v>
      </c>
      <c r="H783" s="5"/>
      <c r="I783" s="5"/>
      <c r="J783" s="5"/>
      <c r="K783" s="5"/>
      <c r="L783" s="5"/>
      <c r="M783" s="5"/>
      <c r="N783" s="5"/>
      <c r="O783" s="5"/>
      <c r="P783" s="2486">
        <v>43939</v>
      </c>
      <c r="Q783" s="2486"/>
      <c r="R783" s="824" t="s">
        <v>7936</v>
      </c>
      <c r="S783" s="824"/>
      <c r="T783" s="6" t="s">
        <v>15</v>
      </c>
      <c r="U783" s="2694">
        <v>0.48888888888888887</v>
      </c>
      <c r="V783" s="2694" t="s">
        <v>3213</v>
      </c>
      <c r="W783" s="1956">
        <v>100</v>
      </c>
      <c r="X783" s="817" t="s">
        <v>257</v>
      </c>
      <c r="Y783" s="2772" t="s">
        <v>3545</v>
      </c>
      <c r="Z783" s="817"/>
      <c r="AA783" s="817"/>
      <c r="AB783" s="817" t="s">
        <v>17</v>
      </c>
      <c r="AC783" s="817" t="s">
        <v>7451</v>
      </c>
      <c r="AD783" s="2699"/>
      <c r="AG783" s="2711"/>
    </row>
    <row r="784" spans="1:33" ht="43.5" hidden="1" x14ac:dyDescent="0.35">
      <c r="A784" s="2828">
        <v>43937</v>
      </c>
      <c r="B784" s="2760">
        <v>20</v>
      </c>
      <c r="C784" s="817" t="s">
        <v>1492</v>
      </c>
      <c r="D784" s="2700" t="s">
        <v>10770</v>
      </c>
      <c r="E784" s="817" t="s">
        <v>10771</v>
      </c>
      <c r="F784" s="5">
        <v>4</v>
      </c>
      <c r="G784" s="5">
        <v>1</v>
      </c>
      <c r="H784" s="5"/>
      <c r="I784" s="5"/>
      <c r="J784" s="5"/>
      <c r="K784" s="5"/>
      <c r="L784" s="817"/>
      <c r="M784" s="817"/>
      <c r="N784" s="817"/>
      <c r="O784" s="817"/>
      <c r="P784" s="2828">
        <v>43939</v>
      </c>
      <c r="Q784" s="2769"/>
      <c r="R784" s="2706" t="s">
        <v>10772</v>
      </c>
      <c r="S784" s="2770"/>
      <c r="T784" s="2694" t="s">
        <v>15</v>
      </c>
      <c r="U784" s="2694">
        <v>0.49861111111111112</v>
      </c>
      <c r="V784" s="2694" t="s">
        <v>972</v>
      </c>
      <c r="W784" s="2820">
        <f>5*50</f>
        <v>250</v>
      </c>
      <c r="X784" s="817" t="s">
        <v>10939</v>
      </c>
      <c r="Y784" s="2772" t="s">
        <v>3545</v>
      </c>
      <c r="Z784" s="817"/>
      <c r="AA784" s="817"/>
      <c r="AB784" s="817" t="s">
        <v>17</v>
      </c>
      <c r="AC784" s="817" t="s">
        <v>7451</v>
      </c>
      <c r="AD784" s="2696"/>
      <c r="AG784" s="2711"/>
    </row>
    <row r="785" spans="1:33" ht="58" hidden="1" x14ac:dyDescent="0.35">
      <c r="A785" s="1899">
        <v>43922</v>
      </c>
      <c r="B785" s="2759">
        <v>21</v>
      </c>
      <c r="C785" s="7" t="s">
        <v>7687</v>
      </c>
      <c r="D785" s="2712" t="s">
        <v>10023</v>
      </c>
      <c r="E785" s="7" t="s">
        <v>7689</v>
      </c>
      <c r="F785" s="7">
        <v>1</v>
      </c>
      <c r="G785" s="7"/>
      <c r="H785" s="7"/>
      <c r="I785" s="7">
        <v>1</v>
      </c>
      <c r="J785" s="7"/>
      <c r="K785" s="7"/>
      <c r="L785" s="7"/>
      <c r="M785" s="7"/>
      <c r="N785" s="7"/>
      <c r="O785" s="7"/>
      <c r="P785" s="1899">
        <v>43939</v>
      </c>
      <c r="Q785" s="1899"/>
      <c r="R785" s="881" t="s">
        <v>7688</v>
      </c>
      <c r="S785" s="881"/>
      <c r="T785" s="836" t="s">
        <v>15</v>
      </c>
      <c r="U785" s="2694">
        <v>0.50763888888888886</v>
      </c>
      <c r="V785" s="836" t="s">
        <v>972</v>
      </c>
      <c r="W785" s="1630">
        <v>100</v>
      </c>
      <c r="X785" s="836" t="s">
        <v>7682</v>
      </c>
      <c r="Y785" s="2772" t="s">
        <v>3545</v>
      </c>
      <c r="Z785" s="7"/>
      <c r="AA785" s="7"/>
      <c r="AB785" s="7" t="s">
        <v>17</v>
      </c>
      <c r="AC785" s="7" t="s">
        <v>7451</v>
      </c>
      <c r="AD785" s="2699"/>
      <c r="AG785" s="2711"/>
    </row>
    <row r="786" spans="1:33" ht="58" hidden="1" x14ac:dyDescent="0.35">
      <c r="A786" s="2486">
        <v>43930</v>
      </c>
      <c r="B786" s="2718">
        <v>22</v>
      </c>
      <c r="C786" s="5" t="s">
        <v>8816</v>
      </c>
      <c r="D786" s="2712" t="s">
        <v>10130</v>
      </c>
      <c r="E786" s="7" t="s">
        <v>8622</v>
      </c>
      <c r="F786" s="2686">
        <v>1</v>
      </c>
      <c r="G786" s="2682">
        <v>1</v>
      </c>
      <c r="H786" s="2682"/>
      <c r="I786" s="2682"/>
      <c r="J786" s="2682"/>
      <c r="K786" s="2682"/>
      <c r="L786" s="817"/>
      <c r="M786" s="817"/>
      <c r="N786" s="817"/>
      <c r="O786" s="817"/>
      <c r="P786" s="2486">
        <v>43939</v>
      </c>
      <c r="Q786" s="2486"/>
      <c r="R786" s="824" t="s">
        <v>8815</v>
      </c>
      <c r="S786" s="2770"/>
      <c r="T786" s="6" t="s">
        <v>15</v>
      </c>
      <c r="U786" s="2694">
        <v>0.5180555555555556</v>
      </c>
      <c r="V786" s="2694" t="s">
        <v>972</v>
      </c>
      <c r="W786" s="1956">
        <v>100</v>
      </c>
      <c r="X786" s="836" t="s">
        <v>257</v>
      </c>
      <c r="Y786" s="2772" t="s">
        <v>3545</v>
      </c>
      <c r="Z786" s="817"/>
      <c r="AA786" s="817"/>
      <c r="AB786" s="7" t="s">
        <v>17</v>
      </c>
      <c r="AC786" s="817" t="s">
        <v>7451</v>
      </c>
      <c r="AD786" s="2702"/>
      <c r="AG786" s="2711"/>
    </row>
    <row r="787" spans="1:33" ht="87" hidden="1" x14ac:dyDescent="0.35">
      <c r="A787" s="2486">
        <v>43924</v>
      </c>
      <c r="B787" s="2718">
        <v>23</v>
      </c>
      <c r="C787" s="7" t="s">
        <v>7923</v>
      </c>
      <c r="D787" s="2712" t="s">
        <v>10044</v>
      </c>
      <c r="E787" s="817" t="s">
        <v>7924</v>
      </c>
      <c r="F787" s="5"/>
      <c r="G787" s="5"/>
      <c r="H787" s="5"/>
      <c r="I787" s="5"/>
      <c r="J787" s="5">
        <v>1</v>
      </c>
      <c r="K787" s="5">
        <v>1</v>
      </c>
      <c r="L787" s="5"/>
      <c r="M787" s="5"/>
      <c r="N787" s="5"/>
      <c r="O787" s="5"/>
      <c r="P787" s="2486">
        <v>43939</v>
      </c>
      <c r="Q787" s="2486"/>
      <c r="R787" s="824" t="s">
        <v>7929</v>
      </c>
      <c r="S787" s="824"/>
      <c r="T787" s="6" t="s">
        <v>15</v>
      </c>
      <c r="U787" s="2694">
        <v>0.53402777777777777</v>
      </c>
      <c r="V787" s="2694" t="s">
        <v>3213</v>
      </c>
      <c r="W787" s="1956">
        <v>100</v>
      </c>
      <c r="X787" s="817" t="s">
        <v>2767</v>
      </c>
      <c r="Y787" s="2772" t="s">
        <v>3545</v>
      </c>
      <c r="Z787" s="817"/>
      <c r="AA787" s="817"/>
      <c r="AB787" s="817" t="s">
        <v>17</v>
      </c>
      <c r="AC787" s="817" t="s">
        <v>7451</v>
      </c>
      <c r="AD787" s="2699"/>
      <c r="AG787" s="2711"/>
    </row>
    <row r="788" spans="1:33" ht="43.5" hidden="1" x14ac:dyDescent="0.35">
      <c r="A788" s="1899">
        <v>43934</v>
      </c>
      <c r="B788" s="2759">
        <v>24</v>
      </c>
      <c r="C788" s="7" t="s">
        <v>10422</v>
      </c>
      <c r="D788" s="2707" t="s">
        <v>10423</v>
      </c>
      <c r="E788" s="7" t="s">
        <v>8553</v>
      </c>
      <c r="F788" s="7">
        <v>1</v>
      </c>
      <c r="G788" s="7">
        <v>1</v>
      </c>
      <c r="H788" s="7"/>
      <c r="I788" s="7"/>
      <c r="J788" s="7"/>
      <c r="K788" s="7"/>
      <c r="L788" s="817"/>
      <c r="M788" s="817"/>
      <c r="N788" s="817"/>
      <c r="O788" s="817"/>
      <c r="P788" s="1899">
        <v>43939</v>
      </c>
      <c r="Q788" s="2828"/>
      <c r="R788" s="881" t="s">
        <v>10428</v>
      </c>
      <c r="S788" s="2770"/>
      <c r="T788" s="6" t="s">
        <v>15</v>
      </c>
      <c r="U788" s="2694">
        <v>0.54236111111111118</v>
      </c>
      <c r="V788" s="836" t="s">
        <v>972</v>
      </c>
      <c r="W788" s="1956">
        <v>100</v>
      </c>
      <c r="X788" s="817" t="s">
        <v>8625</v>
      </c>
      <c r="Y788" s="2772" t="s">
        <v>3545</v>
      </c>
      <c r="Z788" s="817"/>
      <c r="AA788" s="817"/>
      <c r="AB788" s="817" t="s">
        <v>17</v>
      </c>
      <c r="AC788" s="817" t="s">
        <v>7451</v>
      </c>
      <c r="AD788" s="2696"/>
      <c r="AG788" s="2711"/>
    </row>
    <row r="789" spans="1:33" ht="43.5" hidden="1" x14ac:dyDescent="0.35">
      <c r="A789" s="2486">
        <v>43931</v>
      </c>
      <c r="B789" s="2718">
        <v>25</v>
      </c>
      <c r="C789" s="5" t="s">
        <v>9418</v>
      </c>
      <c r="D789" s="2700" t="s">
        <v>9417</v>
      </c>
      <c r="E789" s="5" t="s">
        <v>9419</v>
      </c>
      <c r="F789" s="5">
        <v>2</v>
      </c>
      <c r="G789" s="5">
        <v>1</v>
      </c>
      <c r="H789" s="5"/>
      <c r="I789" s="5"/>
      <c r="J789" s="5"/>
      <c r="K789" s="5"/>
      <c r="L789" s="817"/>
      <c r="M789" s="817"/>
      <c r="N789" s="817"/>
      <c r="O789" s="817"/>
      <c r="P789" s="2486">
        <v>43939</v>
      </c>
      <c r="Q789" s="2486"/>
      <c r="R789" s="2829" t="s">
        <v>9420</v>
      </c>
      <c r="S789" s="2770"/>
      <c r="T789" s="881" t="s">
        <v>15</v>
      </c>
      <c r="U789" s="2694">
        <v>0.55972222222222223</v>
      </c>
      <c r="V789" s="2694" t="s">
        <v>972</v>
      </c>
      <c r="W789" s="1956">
        <v>100</v>
      </c>
      <c r="X789" s="817" t="s">
        <v>8625</v>
      </c>
      <c r="Y789" s="2772" t="s">
        <v>3545</v>
      </c>
      <c r="Z789" s="817"/>
      <c r="AA789" s="817"/>
      <c r="AB789" s="817" t="s">
        <v>17</v>
      </c>
      <c r="AC789" s="817" t="s">
        <v>7451</v>
      </c>
      <c r="AD789" s="2700" t="s">
        <v>9417</v>
      </c>
      <c r="AG789" s="2711"/>
    </row>
    <row r="790" spans="1:33" ht="43.5" hidden="1" x14ac:dyDescent="0.35">
      <c r="A790" s="2828">
        <v>43921</v>
      </c>
      <c r="B790" s="2760">
        <v>26</v>
      </c>
      <c r="C790" s="817" t="s">
        <v>7612</v>
      </c>
      <c r="D790" s="2712" t="s">
        <v>10095</v>
      </c>
      <c r="E790" s="817" t="s">
        <v>7473</v>
      </c>
      <c r="F790" s="817">
        <v>1</v>
      </c>
      <c r="G790" s="817">
        <v>1</v>
      </c>
      <c r="H790" s="817"/>
      <c r="I790" s="817"/>
      <c r="J790" s="817"/>
      <c r="K790" s="817"/>
      <c r="L790" s="817"/>
      <c r="M790" s="817"/>
      <c r="N790" s="817"/>
      <c r="O790" s="817"/>
      <c r="P790" s="2828">
        <v>43939</v>
      </c>
      <c r="Q790" s="2828"/>
      <c r="R790" s="2829" t="s">
        <v>7613</v>
      </c>
      <c r="S790" s="2829"/>
      <c r="T790" s="2694" t="s">
        <v>15</v>
      </c>
      <c r="U790" s="2694">
        <v>0.57152777777777775</v>
      </c>
      <c r="V790" s="2694" t="s">
        <v>3213</v>
      </c>
      <c r="W790" s="1956">
        <v>100</v>
      </c>
      <c r="X790" s="817" t="s">
        <v>257</v>
      </c>
      <c r="Y790" s="2772" t="s">
        <v>3545</v>
      </c>
      <c r="Z790" s="817"/>
      <c r="AA790" s="817"/>
      <c r="AB790" s="817" t="s">
        <v>22</v>
      </c>
      <c r="AC790" s="2829" t="s">
        <v>7451</v>
      </c>
      <c r="AD790" s="2699"/>
      <c r="AG790" s="2711"/>
    </row>
    <row r="791" spans="1:33" ht="43.5" hidden="1" x14ac:dyDescent="0.35">
      <c r="A791" s="2486">
        <v>43928</v>
      </c>
      <c r="B791" s="2718">
        <v>27</v>
      </c>
      <c r="C791" s="7" t="s">
        <v>8454</v>
      </c>
      <c r="D791" s="2712" t="s">
        <v>10014</v>
      </c>
      <c r="E791" s="7" t="s">
        <v>8149</v>
      </c>
      <c r="F791" s="2678">
        <v>1</v>
      </c>
      <c r="G791" s="2669">
        <v>1</v>
      </c>
      <c r="H791" s="2669"/>
      <c r="I791" s="2669"/>
      <c r="J791" s="2669"/>
      <c r="K791" s="2669"/>
      <c r="L791" s="817"/>
      <c r="M791" s="817"/>
      <c r="N791" s="817"/>
      <c r="O791" s="817"/>
      <c r="P791" s="2486">
        <v>43939</v>
      </c>
      <c r="Q791" s="2486"/>
      <c r="R791" s="824" t="s">
        <v>8453</v>
      </c>
      <c r="S791" s="2770"/>
      <c r="T791" s="6" t="s">
        <v>15</v>
      </c>
      <c r="U791" s="2694">
        <v>0.58194444444444449</v>
      </c>
      <c r="V791" s="2694" t="s">
        <v>972</v>
      </c>
      <c r="W791" s="1956">
        <v>100</v>
      </c>
      <c r="X791" s="836" t="s">
        <v>257</v>
      </c>
      <c r="Y791" s="2772" t="s">
        <v>3545</v>
      </c>
      <c r="Z791" s="817"/>
      <c r="AA791" s="817"/>
      <c r="AB791" s="7" t="s">
        <v>17</v>
      </c>
      <c r="AC791" s="817" t="s">
        <v>7451</v>
      </c>
      <c r="AD791" s="2699"/>
      <c r="AG791" s="2711"/>
    </row>
    <row r="792" spans="1:33" ht="43.5" hidden="1" x14ac:dyDescent="0.35">
      <c r="A792" s="1899">
        <v>43934</v>
      </c>
      <c r="B792" s="2759">
        <v>28</v>
      </c>
      <c r="C792" s="7" t="s">
        <v>10459</v>
      </c>
      <c r="D792" s="2707" t="s">
        <v>10460</v>
      </c>
      <c r="E792" s="7" t="s">
        <v>8107</v>
      </c>
      <c r="F792" s="7">
        <v>1</v>
      </c>
      <c r="G792" s="7"/>
      <c r="H792" s="7">
        <v>1</v>
      </c>
      <c r="I792" s="7"/>
      <c r="J792" s="7"/>
      <c r="K792" s="7"/>
      <c r="L792" s="817"/>
      <c r="M792" s="817"/>
      <c r="N792" s="817"/>
      <c r="O792" s="817"/>
      <c r="P792" s="1899">
        <v>43939</v>
      </c>
      <c r="Q792" s="2828"/>
      <c r="R792" s="2708" t="s">
        <v>10461</v>
      </c>
      <c r="S792" s="2829"/>
      <c r="T792" s="836" t="s">
        <v>15</v>
      </c>
      <c r="U792" s="2694">
        <v>0.59236111111111112</v>
      </c>
      <c r="V792" s="836" t="s">
        <v>972</v>
      </c>
      <c r="W792" s="1630">
        <v>100</v>
      </c>
      <c r="X792" s="7" t="s">
        <v>3173</v>
      </c>
      <c r="Y792" s="2772" t="s">
        <v>3545</v>
      </c>
      <c r="Z792" s="7"/>
      <c r="AA792" s="7"/>
      <c r="AB792" s="7" t="s">
        <v>17</v>
      </c>
      <c r="AC792" s="7" t="s">
        <v>7451</v>
      </c>
      <c r="AD792" s="2696"/>
      <c r="AG792" s="2711"/>
    </row>
    <row r="793" spans="1:33" s="1592" customFormat="1" ht="43.5" hidden="1" x14ac:dyDescent="0.35">
      <c r="A793" s="2486">
        <v>43925</v>
      </c>
      <c r="B793" s="2718">
        <v>29</v>
      </c>
      <c r="C793" s="7" t="s">
        <v>8014</v>
      </c>
      <c r="D793" s="2712" t="s">
        <v>10024</v>
      </c>
      <c r="E793" s="817" t="s">
        <v>7972</v>
      </c>
      <c r="F793" s="5">
        <v>1</v>
      </c>
      <c r="G793" s="5">
        <v>1</v>
      </c>
      <c r="H793" s="5"/>
      <c r="I793" s="5"/>
      <c r="J793" s="5"/>
      <c r="K793" s="5"/>
      <c r="L793" s="5"/>
      <c r="M793" s="5"/>
      <c r="N793" s="5"/>
      <c r="O793" s="5"/>
      <c r="P793" s="2486">
        <v>43939</v>
      </c>
      <c r="Q793" s="2486"/>
      <c r="R793" s="824" t="s">
        <v>8015</v>
      </c>
      <c r="S793" s="824"/>
      <c r="T793" s="6" t="s">
        <v>15</v>
      </c>
      <c r="U793" s="2694">
        <v>0.6020833333333333</v>
      </c>
      <c r="V793" s="2694" t="s">
        <v>972</v>
      </c>
      <c r="W793" s="1956">
        <v>100</v>
      </c>
      <c r="X793" s="817" t="s">
        <v>7634</v>
      </c>
      <c r="Y793" s="2772" t="s">
        <v>3545</v>
      </c>
      <c r="Z793" s="817"/>
      <c r="AA793" s="817"/>
      <c r="AB793" s="817" t="s">
        <v>17</v>
      </c>
      <c r="AC793" s="817" t="s">
        <v>7451</v>
      </c>
      <c r="AD793" s="2699"/>
      <c r="AG793" s="2711"/>
    </row>
    <row r="794" spans="1:33" s="1592" customFormat="1" ht="29" hidden="1" x14ac:dyDescent="0.35">
      <c r="A794" s="2486">
        <v>43928</v>
      </c>
      <c r="B794" s="2718">
        <v>30</v>
      </c>
      <c r="C794" s="7" t="s">
        <v>8448</v>
      </c>
      <c r="D794" s="2712" t="s">
        <v>10050</v>
      </c>
      <c r="E794" s="7" t="s">
        <v>8149</v>
      </c>
      <c r="F794" s="2678">
        <v>1</v>
      </c>
      <c r="G794" s="2669">
        <v>1</v>
      </c>
      <c r="H794" s="2669"/>
      <c r="I794" s="2669"/>
      <c r="J794" s="2669"/>
      <c r="K794" s="2669"/>
      <c r="L794" s="817"/>
      <c r="M794" s="817"/>
      <c r="N794" s="817"/>
      <c r="O794" s="817"/>
      <c r="P794" s="2486">
        <v>43939</v>
      </c>
      <c r="Q794" s="2486"/>
      <c r="R794" s="824" t="s">
        <v>8449</v>
      </c>
      <c r="S794" s="2829"/>
      <c r="T794" s="6" t="s">
        <v>15</v>
      </c>
      <c r="U794" s="2694">
        <v>0.62013888888888891</v>
      </c>
      <c r="V794" s="2694" t="s">
        <v>972</v>
      </c>
      <c r="W794" s="1956">
        <v>100</v>
      </c>
      <c r="X794" s="836" t="s">
        <v>257</v>
      </c>
      <c r="Y794" s="2772" t="s">
        <v>3545</v>
      </c>
      <c r="Z794" s="817"/>
      <c r="AA794" s="817"/>
      <c r="AB794" s="7" t="s">
        <v>17</v>
      </c>
      <c r="AC794" s="817" t="s">
        <v>7451</v>
      </c>
      <c r="AD794" s="2699"/>
      <c r="AG794" s="2711"/>
    </row>
    <row r="795" spans="1:33" s="1592" customFormat="1" ht="58" hidden="1" x14ac:dyDescent="0.35">
      <c r="A795" s="2828">
        <v>43924</v>
      </c>
      <c r="B795" s="2760">
        <v>1</v>
      </c>
      <c r="C795" s="817" t="s">
        <v>7836</v>
      </c>
      <c r="D795" s="2712" t="s">
        <v>9716</v>
      </c>
      <c r="E795" s="817" t="s">
        <v>7829</v>
      </c>
      <c r="F795" s="817">
        <v>1</v>
      </c>
      <c r="G795" s="817">
        <v>1</v>
      </c>
      <c r="H795" s="817"/>
      <c r="I795" s="817"/>
      <c r="J795" s="817"/>
      <c r="K795" s="817"/>
      <c r="L795" s="817"/>
      <c r="M795" s="817"/>
      <c r="N795" s="817"/>
      <c r="O795" s="817"/>
      <c r="P795" s="2828">
        <v>43939</v>
      </c>
      <c r="Q795" s="2769"/>
      <c r="R795" s="2829" t="s">
        <v>7837</v>
      </c>
      <c r="S795" s="2770"/>
      <c r="T795" s="2694" t="s">
        <v>15</v>
      </c>
      <c r="U795" s="2694">
        <v>0.32500000000000001</v>
      </c>
      <c r="V795" s="2694" t="s">
        <v>972</v>
      </c>
      <c r="W795" s="1956">
        <v>100</v>
      </c>
      <c r="X795" s="817" t="s">
        <v>7634</v>
      </c>
      <c r="Y795" s="2772" t="s">
        <v>10807</v>
      </c>
      <c r="Z795" s="817"/>
      <c r="AA795" s="817"/>
      <c r="AB795" s="817" t="s">
        <v>17</v>
      </c>
      <c r="AC795" s="817" t="s">
        <v>7451</v>
      </c>
      <c r="AD795" s="2699"/>
      <c r="AG795" s="2711"/>
    </row>
    <row r="796" spans="1:33" s="1592" customFormat="1" ht="58" hidden="1" x14ac:dyDescent="0.35">
      <c r="A796" s="2828">
        <v>43931</v>
      </c>
      <c r="B796" s="2760">
        <v>2</v>
      </c>
      <c r="C796" s="817" t="s">
        <v>9226</v>
      </c>
      <c r="D796" s="2712" t="s">
        <v>9225</v>
      </c>
      <c r="E796" s="7" t="s">
        <v>8553</v>
      </c>
      <c r="F796" s="2682">
        <v>1</v>
      </c>
      <c r="G796" s="2682">
        <v>1</v>
      </c>
      <c r="H796" s="2682"/>
      <c r="I796" s="2682"/>
      <c r="J796" s="2682"/>
      <c r="K796" s="2682"/>
      <c r="L796" s="817"/>
      <c r="M796" s="817"/>
      <c r="N796" s="817"/>
      <c r="O796" s="817"/>
      <c r="P796" s="2828">
        <v>43939</v>
      </c>
      <c r="Q796" s="2828"/>
      <c r="R796" s="2770" t="s">
        <v>9227</v>
      </c>
      <c r="S796" s="2770"/>
      <c r="T796" s="2694" t="s">
        <v>15</v>
      </c>
      <c r="U796" s="2694">
        <v>0.3354166666666667</v>
      </c>
      <c r="V796" s="2694" t="s">
        <v>972</v>
      </c>
      <c r="W796" s="1956">
        <v>100</v>
      </c>
      <c r="X796" s="817" t="s">
        <v>8625</v>
      </c>
      <c r="Y796" s="2772" t="s">
        <v>10807</v>
      </c>
      <c r="Z796" s="817"/>
      <c r="AA796" s="817"/>
      <c r="AB796" s="817" t="s">
        <v>17</v>
      </c>
      <c r="AC796" s="817" t="s">
        <v>7451</v>
      </c>
      <c r="AD796" s="2700" t="s">
        <v>9225</v>
      </c>
      <c r="AG796" s="2711"/>
    </row>
    <row r="797" spans="1:33" s="1592" customFormat="1" ht="72.5" hidden="1" x14ac:dyDescent="0.35">
      <c r="A797" s="2769">
        <v>43927</v>
      </c>
      <c r="B797" s="2760">
        <v>3</v>
      </c>
      <c r="C797" s="817" t="s">
        <v>8208</v>
      </c>
      <c r="D797" s="2712" t="s">
        <v>10053</v>
      </c>
      <c r="E797" s="817" t="s">
        <v>8209</v>
      </c>
      <c r="F797" s="5">
        <v>1</v>
      </c>
      <c r="G797" s="5"/>
      <c r="H797" s="5"/>
      <c r="I797" s="5">
        <v>1</v>
      </c>
      <c r="J797" s="5"/>
      <c r="K797" s="5"/>
      <c r="L797" s="817"/>
      <c r="M797" s="817"/>
      <c r="N797" s="817"/>
      <c r="O797" s="817"/>
      <c r="P797" s="2769">
        <v>43939</v>
      </c>
      <c r="Q797" s="2769"/>
      <c r="R797" s="2770" t="s">
        <v>8309</v>
      </c>
      <c r="S797" s="2770" t="s">
        <v>8265</v>
      </c>
      <c r="T797" s="2694" t="s">
        <v>15</v>
      </c>
      <c r="U797" s="2694">
        <v>0.34583333333333338</v>
      </c>
      <c r="V797" s="2694" t="s">
        <v>972</v>
      </c>
      <c r="W797" s="1956">
        <v>100</v>
      </c>
      <c r="X797" s="817" t="s">
        <v>8268</v>
      </c>
      <c r="Y797" s="2772" t="s">
        <v>10807</v>
      </c>
      <c r="Z797" s="817"/>
      <c r="AA797" s="817"/>
      <c r="AB797" s="817" t="s">
        <v>17</v>
      </c>
      <c r="AC797" s="817" t="s">
        <v>7451</v>
      </c>
      <c r="AD797" s="2699"/>
      <c r="AG797" s="2711"/>
    </row>
    <row r="798" spans="1:33" s="1592" customFormat="1" ht="43.5" hidden="1" x14ac:dyDescent="0.35">
      <c r="A798" s="2486">
        <v>43930</v>
      </c>
      <c r="B798" s="2718">
        <v>4</v>
      </c>
      <c r="C798" s="5" t="s">
        <v>8825</v>
      </c>
      <c r="D798" s="2712" t="s">
        <v>10107</v>
      </c>
      <c r="E798" s="7" t="s">
        <v>8177</v>
      </c>
      <c r="F798" s="2686">
        <v>2</v>
      </c>
      <c r="G798" s="2682">
        <v>2</v>
      </c>
      <c r="H798" s="2682"/>
      <c r="I798" s="2682"/>
      <c r="J798" s="2682"/>
      <c r="K798" s="2682"/>
      <c r="L798" s="817"/>
      <c r="M798" s="817"/>
      <c r="N798" s="817"/>
      <c r="O798" s="817"/>
      <c r="P798" s="2486">
        <v>43939</v>
      </c>
      <c r="Q798" s="2486"/>
      <c r="R798" s="824" t="s">
        <v>8826</v>
      </c>
      <c r="S798" s="2770"/>
      <c r="T798" s="6" t="s">
        <v>15</v>
      </c>
      <c r="U798" s="2694">
        <v>0.35625000000000001</v>
      </c>
      <c r="V798" s="2694" t="s">
        <v>972</v>
      </c>
      <c r="W798" s="1956">
        <v>200</v>
      </c>
      <c r="X798" s="836" t="s">
        <v>8625</v>
      </c>
      <c r="Y798" s="2772" t="s">
        <v>10807</v>
      </c>
      <c r="Z798" s="817"/>
      <c r="AA798" s="817"/>
      <c r="AB798" s="7" t="s">
        <v>17</v>
      </c>
      <c r="AC798" s="817" t="s">
        <v>7451</v>
      </c>
      <c r="AD798" s="2700"/>
      <c r="AG798" s="2711"/>
    </row>
    <row r="799" spans="1:33" s="1592" customFormat="1" ht="43.5" hidden="1" x14ac:dyDescent="0.35">
      <c r="A799" s="1899">
        <v>43935</v>
      </c>
      <c r="B799" s="2759">
        <v>5</v>
      </c>
      <c r="C799" s="7" t="s">
        <v>10575</v>
      </c>
      <c r="D799" s="2700" t="s">
        <v>10576</v>
      </c>
      <c r="E799" s="7" t="s">
        <v>8553</v>
      </c>
      <c r="F799" s="2735">
        <v>1</v>
      </c>
      <c r="G799" s="2735">
        <v>1</v>
      </c>
      <c r="H799" s="2735"/>
      <c r="I799" s="2735"/>
      <c r="J799" s="2735"/>
      <c r="K799" s="2735"/>
      <c r="L799" s="817"/>
      <c r="M799" s="817"/>
      <c r="N799" s="817"/>
      <c r="O799" s="817"/>
      <c r="P799" s="1899">
        <v>43939</v>
      </c>
      <c r="Q799" s="2769"/>
      <c r="R799" s="881" t="s">
        <v>10577</v>
      </c>
      <c r="S799" s="2770"/>
      <c r="T799" s="836" t="s">
        <v>15</v>
      </c>
      <c r="U799" s="2694">
        <v>0.36458333333333331</v>
      </c>
      <c r="V799" s="2694" t="s">
        <v>972</v>
      </c>
      <c r="W799" s="2742">
        <v>100</v>
      </c>
      <c r="X799" s="1430" t="s">
        <v>10578</v>
      </c>
      <c r="Y799" s="2772" t="s">
        <v>10807</v>
      </c>
      <c r="Z799" s="7"/>
      <c r="AA799" s="7"/>
      <c r="AB799" s="817" t="s">
        <v>22</v>
      </c>
      <c r="AC799" s="7" t="s">
        <v>7451</v>
      </c>
      <c r="AD799" s="2739"/>
      <c r="AG799" s="2711"/>
    </row>
    <row r="800" spans="1:33" s="1592" customFormat="1" ht="145" hidden="1" x14ac:dyDescent="0.35">
      <c r="A800" s="2486">
        <v>43928</v>
      </c>
      <c r="B800" s="2718">
        <v>6</v>
      </c>
      <c r="C800" s="5" t="s">
        <v>8569</v>
      </c>
      <c r="D800" s="2712" t="s">
        <v>10033</v>
      </c>
      <c r="E800" s="5" t="s">
        <v>8561</v>
      </c>
      <c r="F800" s="2679">
        <v>1</v>
      </c>
      <c r="G800" s="5">
        <v>1</v>
      </c>
      <c r="H800" s="5"/>
      <c r="I800" s="5"/>
      <c r="J800" s="5"/>
      <c r="K800" s="5"/>
      <c r="L800" s="817"/>
      <c r="M800" s="817"/>
      <c r="N800" s="817"/>
      <c r="O800" s="817"/>
      <c r="P800" s="2486">
        <v>43939</v>
      </c>
      <c r="Q800" s="2486"/>
      <c r="R800" s="824" t="s">
        <v>8600</v>
      </c>
      <c r="S800" s="824"/>
      <c r="T800" s="6" t="s">
        <v>15</v>
      </c>
      <c r="U800" s="2694">
        <v>0.3743055555555555</v>
      </c>
      <c r="V800" s="6" t="s">
        <v>3213</v>
      </c>
      <c r="W800" s="1630">
        <v>100</v>
      </c>
      <c r="X800" s="5" t="s">
        <v>8592</v>
      </c>
      <c r="Y800" s="2772" t="s">
        <v>10807</v>
      </c>
      <c r="Z800" s="5"/>
      <c r="AA800" s="5"/>
      <c r="AB800" s="5" t="s">
        <v>17</v>
      </c>
      <c r="AC800" s="5" t="s">
        <v>7451</v>
      </c>
      <c r="AD800" s="2696"/>
      <c r="AG800" s="2711"/>
    </row>
    <row r="801" spans="1:33" s="1592" customFormat="1" ht="29" hidden="1" x14ac:dyDescent="0.35">
      <c r="A801" s="2828">
        <v>43932</v>
      </c>
      <c r="B801" s="2760">
        <v>7</v>
      </c>
      <c r="C801" s="817" t="s">
        <v>9640</v>
      </c>
      <c r="D801" s="2700" t="s">
        <v>9646</v>
      </c>
      <c r="E801" s="7" t="s">
        <v>8553</v>
      </c>
      <c r="F801" s="5">
        <v>1</v>
      </c>
      <c r="G801" s="5">
        <v>1</v>
      </c>
      <c r="H801" s="5"/>
      <c r="I801" s="5"/>
      <c r="J801" s="5"/>
      <c r="K801" s="5"/>
      <c r="L801" s="817"/>
      <c r="M801" s="817"/>
      <c r="N801" s="817"/>
      <c r="O801" s="817"/>
      <c r="P801" s="2828">
        <v>43939</v>
      </c>
      <c r="Q801" s="2828"/>
      <c r="R801" s="2706" t="s">
        <v>9647</v>
      </c>
      <c r="S801" s="2770"/>
      <c r="T801" s="836" t="s">
        <v>15</v>
      </c>
      <c r="U801" s="2694">
        <v>0.38263888888888892</v>
      </c>
      <c r="V801" s="836" t="s">
        <v>972</v>
      </c>
      <c r="W801" s="2681">
        <v>100</v>
      </c>
      <c r="X801" s="817" t="s">
        <v>2900</v>
      </c>
      <c r="Y801" s="2772" t="s">
        <v>10807</v>
      </c>
      <c r="Z801" s="817"/>
      <c r="AA801" s="817"/>
      <c r="AB801" s="817" t="s">
        <v>17</v>
      </c>
      <c r="AC801" s="817" t="s">
        <v>7451</v>
      </c>
      <c r="AD801" s="2696"/>
      <c r="AG801" s="2711"/>
    </row>
    <row r="802" spans="1:33" s="1592" customFormat="1" ht="43.5" hidden="1" x14ac:dyDescent="0.35">
      <c r="A802" s="2769">
        <v>43931</v>
      </c>
      <c r="B802" s="2760">
        <v>8</v>
      </c>
      <c r="C802" s="817" t="s">
        <v>9167</v>
      </c>
      <c r="D802" s="2712" t="s">
        <v>9166</v>
      </c>
      <c r="E802" s="7" t="s">
        <v>7935</v>
      </c>
      <c r="F802" s="2682">
        <v>1</v>
      </c>
      <c r="G802" s="2682">
        <v>1</v>
      </c>
      <c r="H802" s="2682"/>
      <c r="I802" s="2682"/>
      <c r="J802" s="2682"/>
      <c r="K802" s="2682"/>
      <c r="L802" s="817"/>
      <c r="M802" s="817"/>
      <c r="N802" s="817"/>
      <c r="O802" s="817"/>
      <c r="P802" s="2769">
        <v>43939</v>
      </c>
      <c r="Q802" s="2769"/>
      <c r="R802" s="2770" t="s">
        <v>9168</v>
      </c>
      <c r="S802" s="2770"/>
      <c r="T802" s="2694" t="s">
        <v>15</v>
      </c>
      <c r="U802" s="2694">
        <v>0.39097222222222222</v>
      </c>
      <c r="V802" s="2694" t="s">
        <v>972</v>
      </c>
      <c r="W802" s="2681">
        <v>100</v>
      </c>
      <c r="X802" s="817" t="s">
        <v>2900</v>
      </c>
      <c r="Y802" s="2772" t="s">
        <v>10807</v>
      </c>
      <c r="Z802" s="817"/>
      <c r="AA802" s="817"/>
      <c r="AB802" s="817" t="s">
        <v>17</v>
      </c>
      <c r="AC802" s="817" t="s">
        <v>7451</v>
      </c>
      <c r="AD802" s="2700" t="s">
        <v>9166</v>
      </c>
      <c r="AG802" s="2711"/>
    </row>
    <row r="803" spans="1:33" s="1592" customFormat="1" ht="43.5" hidden="1" x14ac:dyDescent="0.35">
      <c r="A803" s="1899">
        <v>43934</v>
      </c>
      <c r="B803" s="2759">
        <v>9</v>
      </c>
      <c r="C803" s="7" t="s">
        <v>10444</v>
      </c>
      <c r="D803" s="2707" t="s">
        <v>10445</v>
      </c>
      <c r="E803" s="7" t="s">
        <v>8073</v>
      </c>
      <c r="F803" s="7">
        <v>1</v>
      </c>
      <c r="G803" s="7"/>
      <c r="H803" s="7"/>
      <c r="I803" s="7">
        <v>1</v>
      </c>
      <c r="J803" s="7"/>
      <c r="K803" s="7"/>
      <c r="L803" s="817"/>
      <c r="M803" s="817"/>
      <c r="N803" s="817"/>
      <c r="O803" s="817"/>
      <c r="P803" s="1899">
        <v>43939</v>
      </c>
      <c r="Q803" s="2769"/>
      <c r="R803" s="2708" t="s">
        <v>10446</v>
      </c>
      <c r="S803" s="2770"/>
      <c r="T803" s="836" t="s">
        <v>15</v>
      </c>
      <c r="U803" s="2694">
        <v>0.39930555555555558</v>
      </c>
      <c r="V803" s="836" t="s">
        <v>972</v>
      </c>
      <c r="W803" s="1956">
        <v>100</v>
      </c>
      <c r="X803" s="817" t="s">
        <v>8625</v>
      </c>
      <c r="Y803" s="2772" t="s">
        <v>10807</v>
      </c>
      <c r="Z803" s="7"/>
      <c r="AA803" s="7"/>
      <c r="AB803" s="7" t="s">
        <v>17</v>
      </c>
      <c r="AC803" s="7" t="s">
        <v>7451</v>
      </c>
      <c r="AD803" s="2696"/>
      <c r="AG803" s="2711"/>
    </row>
    <row r="804" spans="1:33" s="1592" customFormat="1" ht="29" hidden="1" x14ac:dyDescent="0.35">
      <c r="A804" s="2769">
        <v>43934</v>
      </c>
      <c r="B804" s="2760">
        <v>10</v>
      </c>
      <c r="C804" s="817" t="s">
        <v>9640</v>
      </c>
      <c r="D804" s="2700" t="s">
        <v>10364</v>
      </c>
      <c r="E804" s="817" t="s">
        <v>8553</v>
      </c>
      <c r="F804" s="5">
        <v>1</v>
      </c>
      <c r="G804" s="5">
        <v>1</v>
      </c>
      <c r="H804" s="5"/>
      <c r="I804" s="5"/>
      <c r="J804" s="5"/>
      <c r="K804" s="5"/>
      <c r="L804" s="817"/>
      <c r="M804" s="817"/>
      <c r="N804" s="817"/>
      <c r="O804" s="817"/>
      <c r="P804" s="2769">
        <v>43939</v>
      </c>
      <c r="Q804" s="2769"/>
      <c r="R804" s="2770" t="s">
        <v>10363</v>
      </c>
      <c r="S804" s="2770"/>
      <c r="T804" s="2694" t="s">
        <v>15</v>
      </c>
      <c r="U804" s="2694">
        <v>0.40763888888888888</v>
      </c>
      <c r="V804" s="2694" t="s">
        <v>972</v>
      </c>
      <c r="W804" s="1956">
        <v>100</v>
      </c>
      <c r="X804" s="817" t="s">
        <v>257</v>
      </c>
      <c r="Y804" s="2772" t="s">
        <v>10807</v>
      </c>
      <c r="Z804" s="817"/>
      <c r="AA804" s="817"/>
      <c r="AB804" s="817" t="s">
        <v>17</v>
      </c>
      <c r="AC804" s="817" t="s">
        <v>7451</v>
      </c>
      <c r="AD804" s="2696"/>
      <c r="AG804" s="2711"/>
    </row>
    <row r="805" spans="1:33" s="1592" customFormat="1" ht="43.5" hidden="1" x14ac:dyDescent="0.35">
      <c r="A805" s="2828">
        <v>43934</v>
      </c>
      <c r="B805" s="2760">
        <v>11</v>
      </c>
      <c r="C805" s="5" t="s">
        <v>10532</v>
      </c>
      <c r="D805" s="2700" t="s">
        <v>10533</v>
      </c>
      <c r="E805" s="5" t="s">
        <v>10872</v>
      </c>
      <c r="F805" s="2679">
        <v>1</v>
      </c>
      <c r="G805" s="5"/>
      <c r="H805" s="5"/>
      <c r="I805" s="5"/>
      <c r="J805" s="5"/>
      <c r="K805" s="5">
        <v>1</v>
      </c>
      <c r="L805" s="817"/>
      <c r="M805" s="817"/>
      <c r="N805" s="817"/>
      <c r="O805" s="817"/>
      <c r="P805" s="2486">
        <v>43939</v>
      </c>
      <c r="Q805" s="2828"/>
      <c r="R805" s="824" t="s">
        <v>10534</v>
      </c>
      <c r="S805" s="2770"/>
      <c r="T805" s="836" t="s">
        <v>15</v>
      </c>
      <c r="U805" s="2694">
        <v>0.41597222222222219</v>
      </c>
      <c r="V805" s="836" t="s">
        <v>972</v>
      </c>
      <c r="W805" s="1956">
        <v>100</v>
      </c>
      <c r="X805" s="817" t="s">
        <v>8625</v>
      </c>
      <c r="Y805" s="2772" t="s">
        <v>10807</v>
      </c>
      <c r="Z805" s="7"/>
      <c r="AA805" s="7"/>
      <c r="AB805" s="7" t="s">
        <v>17</v>
      </c>
      <c r="AC805" s="7" t="s">
        <v>7451</v>
      </c>
      <c r="AD805" s="2696"/>
      <c r="AG805" s="2711"/>
    </row>
    <row r="806" spans="1:33" s="1592" customFormat="1" ht="29" hidden="1" x14ac:dyDescent="0.35">
      <c r="A806" s="2486">
        <v>43938</v>
      </c>
      <c r="B806" s="2760">
        <v>12</v>
      </c>
      <c r="C806" s="7" t="s">
        <v>9640</v>
      </c>
      <c r="D806" s="2707" t="s">
        <v>10860</v>
      </c>
      <c r="E806" s="7" t="s">
        <v>8622</v>
      </c>
      <c r="F806" s="2717">
        <v>1</v>
      </c>
      <c r="G806" s="7">
        <v>1</v>
      </c>
      <c r="H806" s="7"/>
      <c r="I806" s="7"/>
      <c r="J806" s="7"/>
      <c r="K806" s="2685"/>
      <c r="L806" s="7"/>
      <c r="M806" s="7"/>
      <c r="N806" s="7"/>
      <c r="O806" s="7"/>
      <c r="P806" s="1899">
        <v>43939</v>
      </c>
      <c r="Q806" s="2769"/>
      <c r="R806" s="2708" t="s">
        <v>10861</v>
      </c>
      <c r="S806" s="2737"/>
      <c r="T806" s="836" t="s">
        <v>15</v>
      </c>
      <c r="U806" s="836">
        <v>0.4236111111111111</v>
      </c>
      <c r="V806" s="2694"/>
      <c r="W806" s="1956">
        <v>100</v>
      </c>
      <c r="X806" s="2694" t="s">
        <v>257</v>
      </c>
      <c r="Y806" s="2772" t="s">
        <v>10807</v>
      </c>
      <c r="Z806" s="817"/>
      <c r="AA806" s="817"/>
      <c r="AB806" s="817"/>
      <c r="AC806" s="817"/>
      <c r="AD806" s="2700"/>
      <c r="AG806" s="2711"/>
    </row>
    <row r="807" spans="1:33" s="1592" customFormat="1" ht="58" hidden="1" x14ac:dyDescent="0.35">
      <c r="A807" s="1899">
        <v>43931</v>
      </c>
      <c r="B807" s="2759">
        <v>13</v>
      </c>
      <c r="C807" s="7" t="s">
        <v>9053</v>
      </c>
      <c r="D807" s="2712" t="s">
        <v>9726</v>
      </c>
      <c r="E807" s="7" t="s">
        <v>9050</v>
      </c>
      <c r="F807" s="2685">
        <v>2</v>
      </c>
      <c r="G807" s="2685">
        <v>2</v>
      </c>
      <c r="H807" s="2685"/>
      <c r="I807" s="2685"/>
      <c r="J807" s="2685"/>
      <c r="K807" s="2685"/>
      <c r="L807" s="817"/>
      <c r="M807" s="817"/>
      <c r="N807" s="817"/>
      <c r="O807" s="817"/>
      <c r="P807" s="1899">
        <v>43939</v>
      </c>
      <c r="Q807" s="1899"/>
      <c r="R807" s="881" t="s">
        <v>9051</v>
      </c>
      <c r="S807" s="2829"/>
      <c r="T807" s="836" t="s">
        <v>15</v>
      </c>
      <c r="U807" s="2694">
        <v>0.43194444444444446</v>
      </c>
      <c r="V807" s="2694" t="s">
        <v>972</v>
      </c>
      <c r="W807" s="2681">
        <v>200</v>
      </c>
      <c r="X807" s="817" t="s">
        <v>257</v>
      </c>
      <c r="Y807" s="2772" t="s">
        <v>10807</v>
      </c>
      <c r="Z807" s="7"/>
      <c r="AA807" s="7"/>
      <c r="AB807" s="7" t="s">
        <v>17</v>
      </c>
      <c r="AC807" s="7" t="s">
        <v>7451</v>
      </c>
      <c r="AD807" s="2695"/>
      <c r="AG807" s="2711"/>
    </row>
    <row r="808" spans="1:33" s="1592" customFormat="1" ht="87" hidden="1" x14ac:dyDescent="0.35">
      <c r="A808" s="2769">
        <v>43919</v>
      </c>
      <c r="B808" s="2760">
        <v>14</v>
      </c>
      <c r="C808" s="817" t="s">
        <v>7543</v>
      </c>
      <c r="D808" s="2712" t="s">
        <v>10089</v>
      </c>
      <c r="E808" s="817" t="s">
        <v>7542</v>
      </c>
      <c r="F808" s="817">
        <v>2</v>
      </c>
      <c r="G808" s="817">
        <v>2</v>
      </c>
      <c r="H808" s="817"/>
      <c r="I808" s="817"/>
      <c r="J808" s="817"/>
      <c r="K808" s="817"/>
      <c r="L808" s="817"/>
      <c r="M808" s="817"/>
      <c r="N808" s="817"/>
      <c r="O808" s="817"/>
      <c r="P808" s="2769">
        <v>43939</v>
      </c>
      <c r="Q808" s="2769"/>
      <c r="R808" s="2829" t="s">
        <v>7541</v>
      </c>
      <c r="S808" s="2770"/>
      <c r="T808" s="2829" t="s">
        <v>15</v>
      </c>
      <c r="U808" s="2694">
        <v>0.44166666666666665</v>
      </c>
      <c r="V808" s="2694" t="s">
        <v>3213</v>
      </c>
      <c r="W808" s="1956">
        <v>200</v>
      </c>
      <c r="X808" s="817" t="s">
        <v>257</v>
      </c>
      <c r="Y808" s="2772" t="s">
        <v>10807</v>
      </c>
      <c r="Z808" s="817"/>
      <c r="AA808" s="817"/>
      <c r="AB808" s="817" t="s">
        <v>17</v>
      </c>
      <c r="AC808" s="817" t="s">
        <v>7451</v>
      </c>
      <c r="AD808" s="2699"/>
      <c r="AG808" s="2711"/>
    </row>
    <row r="809" spans="1:33" s="1592" customFormat="1" ht="43.5" hidden="1" x14ac:dyDescent="0.35">
      <c r="A809" s="2769">
        <v>43929</v>
      </c>
      <c r="B809" s="2760">
        <v>15</v>
      </c>
      <c r="C809" s="817" t="s">
        <v>8651</v>
      </c>
      <c r="D809" s="2712" t="s">
        <v>10117</v>
      </c>
      <c r="E809" s="817" t="s">
        <v>8649</v>
      </c>
      <c r="F809" s="2682">
        <v>1</v>
      </c>
      <c r="G809" s="2682">
        <v>1</v>
      </c>
      <c r="H809" s="2682">
        <v>1</v>
      </c>
      <c r="I809" s="2682"/>
      <c r="J809" s="2682"/>
      <c r="K809" s="2682"/>
      <c r="L809" s="817"/>
      <c r="M809" s="817"/>
      <c r="N809" s="817"/>
      <c r="O809" s="817"/>
      <c r="P809" s="2769">
        <v>43939</v>
      </c>
      <c r="Q809" s="2769"/>
      <c r="R809" s="2770" t="s">
        <v>8650</v>
      </c>
      <c r="S809" s="2770"/>
      <c r="T809" s="2694" t="s">
        <v>15</v>
      </c>
      <c r="U809" s="2694">
        <v>0.44930555555555557</v>
      </c>
      <c r="V809" s="2694" t="s">
        <v>972</v>
      </c>
      <c r="W809" s="2681">
        <v>165</v>
      </c>
      <c r="X809" s="836" t="s">
        <v>257</v>
      </c>
      <c r="Y809" s="2772" t="s">
        <v>10807</v>
      </c>
      <c r="Z809" s="817"/>
      <c r="AA809" s="817"/>
      <c r="AB809" s="7" t="s">
        <v>17</v>
      </c>
      <c r="AC809" s="817" t="s">
        <v>7451</v>
      </c>
      <c r="AD809" s="2695"/>
      <c r="AG809" s="2711"/>
    </row>
    <row r="810" spans="1:33" s="1592" customFormat="1" ht="43.5" hidden="1" x14ac:dyDescent="0.35">
      <c r="A810" s="2828">
        <v>43926</v>
      </c>
      <c r="B810" s="2760">
        <v>16</v>
      </c>
      <c r="C810" s="2828" t="s">
        <v>8096</v>
      </c>
      <c r="D810" s="2712" t="s">
        <v>10081</v>
      </c>
      <c r="E810" s="817" t="s">
        <v>7935</v>
      </c>
      <c r="F810" s="5">
        <v>1</v>
      </c>
      <c r="G810" s="5">
        <v>1</v>
      </c>
      <c r="H810" s="5"/>
      <c r="I810" s="5"/>
      <c r="J810" s="5"/>
      <c r="K810" s="5"/>
      <c r="L810" s="5"/>
      <c r="M810" s="5"/>
      <c r="N810" s="5"/>
      <c r="O810" s="5"/>
      <c r="P810" s="2828">
        <v>43939</v>
      </c>
      <c r="Q810" s="2769"/>
      <c r="R810" s="2829" t="s">
        <v>8101</v>
      </c>
      <c r="S810" s="2770"/>
      <c r="T810" s="2694" t="s">
        <v>15</v>
      </c>
      <c r="U810" s="2694">
        <v>0.45763888888888887</v>
      </c>
      <c r="V810" s="2694" t="s">
        <v>3213</v>
      </c>
      <c r="W810" s="1956">
        <v>100</v>
      </c>
      <c r="X810" s="817" t="s">
        <v>7424</v>
      </c>
      <c r="Y810" s="2772" t="s">
        <v>10807</v>
      </c>
      <c r="Z810" s="817"/>
      <c r="AA810" s="817"/>
      <c r="AB810" s="817" t="s">
        <v>17</v>
      </c>
      <c r="AC810" s="817" t="s">
        <v>7451</v>
      </c>
      <c r="AD810" s="2699"/>
      <c r="AG810" s="2711"/>
    </row>
    <row r="811" spans="1:33" s="1592" customFormat="1" ht="43.5" hidden="1" x14ac:dyDescent="0.35">
      <c r="A811" s="2486">
        <v>43925</v>
      </c>
      <c r="B811" s="2718">
        <v>17</v>
      </c>
      <c r="C811" s="7" t="s">
        <v>7988</v>
      </c>
      <c r="D811" s="2712" t="s">
        <v>10102</v>
      </c>
      <c r="E811" s="817" t="s">
        <v>7972</v>
      </c>
      <c r="F811" s="5">
        <v>1</v>
      </c>
      <c r="G811" s="5">
        <v>1</v>
      </c>
      <c r="H811" s="5"/>
      <c r="I811" s="5"/>
      <c r="J811" s="5"/>
      <c r="K811" s="5"/>
      <c r="L811" s="5"/>
      <c r="M811" s="5"/>
      <c r="N811" s="5"/>
      <c r="O811" s="5"/>
      <c r="P811" s="2486">
        <v>43939</v>
      </c>
      <c r="Q811" s="2486"/>
      <c r="R811" s="824" t="s">
        <v>7989</v>
      </c>
      <c r="S811" s="824"/>
      <c r="T811" s="6" t="s">
        <v>15</v>
      </c>
      <c r="U811" s="2694">
        <v>0.46666666666666662</v>
      </c>
      <c r="V811" s="2694" t="s">
        <v>972</v>
      </c>
      <c r="W811" s="2724">
        <v>100</v>
      </c>
      <c r="X811" s="817" t="s">
        <v>257</v>
      </c>
      <c r="Y811" s="2772" t="s">
        <v>10807</v>
      </c>
      <c r="Z811" s="817"/>
      <c r="AA811" s="817"/>
      <c r="AB811" s="817" t="s">
        <v>17</v>
      </c>
      <c r="AC811" s="817" t="s">
        <v>7451</v>
      </c>
      <c r="AD811" s="2699"/>
      <c r="AG811" s="2711"/>
    </row>
    <row r="812" spans="1:33" s="1592" customFormat="1" ht="43.5" hidden="1" x14ac:dyDescent="0.35">
      <c r="A812" s="2486">
        <v>43930</v>
      </c>
      <c r="B812" s="2718">
        <v>18</v>
      </c>
      <c r="C812" s="5" t="s">
        <v>8810</v>
      </c>
      <c r="D812" s="2712" t="s">
        <v>10009</v>
      </c>
      <c r="E812" s="7" t="s">
        <v>8622</v>
      </c>
      <c r="F812" s="2686">
        <v>1</v>
      </c>
      <c r="G812" s="2682">
        <v>1</v>
      </c>
      <c r="H812" s="2682"/>
      <c r="I812" s="2682"/>
      <c r="J812" s="2682"/>
      <c r="K812" s="2682"/>
      <c r="L812" s="817"/>
      <c r="M812" s="817"/>
      <c r="N812" s="817"/>
      <c r="O812" s="817"/>
      <c r="P812" s="2486">
        <v>43939</v>
      </c>
      <c r="Q812" s="2486"/>
      <c r="R812" s="824" t="s">
        <v>8811</v>
      </c>
      <c r="S812" s="2770"/>
      <c r="T812" s="6" t="s">
        <v>15</v>
      </c>
      <c r="U812" s="2694">
        <v>0.47638888888888892</v>
      </c>
      <c r="V812" s="2694" t="s">
        <v>972</v>
      </c>
      <c r="W812" s="1956">
        <v>100</v>
      </c>
      <c r="X812" s="836" t="s">
        <v>8625</v>
      </c>
      <c r="Y812" s="2772" t="s">
        <v>10807</v>
      </c>
      <c r="Z812" s="817"/>
      <c r="AA812" s="817"/>
      <c r="AB812" s="7" t="s">
        <v>17</v>
      </c>
      <c r="AC812" s="817" t="s">
        <v>7451</v>
      </c>
      <c r="AD812" s="2700"/>
      <c r="AG812" s="2711"/>
    </row>
    <row r="813" spans="1:33" s="1592" customFormat="1" ht="43.5" hidden="1" x14ac:dyDescent="0.35">
      <c r="A813" s="2486">
        <v>43928</v>
      </c>
      <c r="B813" s="2718">
        <v>19</v>
      </c>
      <c r="C813" s="7" t="s">
        <v>8418</v>
      </c>
      <c r="D813" s="2712" t="s">
        <v>10056</v>
      </c>
      <c r="E813" s="7" t="s">
        <v>8149</v>
      </c>
      <c r="F813" s="2679">
        <v>1</v>
      </c>
      <c r="G813" s="5">
        <v>1</v>
      </c>
      <c r="H813" s="5"/>
      <c r="I813" s="5"/>
      <c r="J813" s="5"/>
      <c r="K813" s="5"/>
      <c r="L813" s="817"/>
      <c r="M813" s="817"/>
      <c r="N813" s="817"/>
      <c r="O813" s="817"/>
      <c r="P813" s="2486">
        <v>43939</v>
      </c>
      <c r="Q813" s="2486"/>
      <c r="R813" s="824" t="s">
        <v>8419</v>
      </c>
      <c r="S813" s="2770"/>
      <c r="T813" s="6" t="s">
        <v>15</v>
      </c>
      <c r="U813" s="2694">
        <v>0.48541666666666666</v>
      </c>
      <c r="V813" s="2694" t="s">
        <v>972</v>
      </c>
      <c r="W813" s="1956">
        <v>100</v>
      </c>
      <c r="X813" s="836" t="s">
        <v>257</v>
      </c>
      <c r="Y813" s="2772" t="s">
        <v>10807</v>
      </c>
      <c r="Z813" s="817"/>
      <c r="AA813" s="817"/>
      <c r="AB813" s="7" t="s">
        <v>17</v>
      </c>
      <c r="AC813" s="817" t="s">
        <v>7451</v>
      </c>
      <c r="AD813" s="2699"/>
      <c r="AG813" s="2711"/>
    </row>
    <row r="814" spans="1:33" s="1592" customFormat="1" ht="43.5" hidden="1" x14ac:dyDescent="0.35">
      <c r="A814" s="1899">
        <v>43933</v>
      </c>
      <c r="B814" s="2759">
        <v>20</v>
      </c>
      <c r="C814" s="7" t="s">
        <v>10274</v>
      </c>
      <c r="D814" s="2707" t="s">
        <v>10275</v>
      </c>
      <c r="E814" s="7" t="s">
        <v>8553</v>
      </c>
      <c r="F814" s="2692">
        <v>1</v>
      </c>
      <c r="G814" s="2692">
        <v>1</v>
      </c>
      <c r="H814" s="2692"/>
      <c r="I814" s="2692"/>
      <c r="J814" s="2692"/>
      <c r="K814" s="2692"/>
      <c r="L814" s="817"/>
      <c r="M814" s="817"/>
      <c r="N814" s="817"/>
      <c r="O814" s="817"/>
      <c r="P814" s="1899">
        <v>43939</v>
      </c>
      <c r="Q814" s="2828"/>
      <c r="R814" s="2708" t="s">
        <v>10276</v>
      </c>
      <c r="S814" s="2770"/>
      <c r="T814" s="836" t="s">
        <v>15</v>
      </c>
      <c r="U814" s="2694">
        <v>0.49652777777777773</v>
      </c>
      <c r="V814" s="836" t="s">
        <v>972</v>
      </c>
      <c r="W814" s="1956">
        <v>100</v>
      </c>
      <c r="X814" s="817" t="s">
        <v>8625</v>
      </c>
      <c r="Y814" s="2772" t="s">
        <v>10807</v>
      </c>
      <c r="Z814" s="817"/>
      <c r="AA814" s="817"/>
      <c r="AB814" s="817" t="s">
        <v>17</v>
      </c>
      <c r="AC814" s="817" t="s">
        <v>7451</v>
      </c>
      <c r="AD814" s="2695"/>
      <c r="AG814" s="2711"/>
    </row>
    <row r="815" spans="1:33" s="1592" customFormat="1" ht="58" hidden="1" x14ac:dyDescent="0.35">
      <c r="A815" s="2486">
        <v>43928</v>
      </c>
      <c r="B815" s="2718">
        <v>21</v>
      </c>
      <c r="C815" s="7" t="s">
        <v>8455</v>
      </c>
      <c r="D815" s="2712" t="s">
        <v>10028</v>
      </c>
      <c r="E815" s="7" t="s">
        <v>8406</v>
      </c>
      <c r="F815" s="2678">
        <v>1</v>
      </c>
      <c r="G815" s="2669">
        <v>2</v>
      </c>
      <c r="H815" s="2669"/>
      <c r="I815" s="2669"/>
      <c r="J815" s="2669"/>
      <c r="K815" s="2669"/>
      <c r="L815" s="817"/>
      <c r="M815" s="817"/>
      <c r="N815" s="817"/>
      <c r="O815" s="817"/>
      <c r="P815" s="2486">
        <v>43939</v>
      </c>
      <c r="Q815" s="2486"/>
      <c r="R815" s="824" t="s">
        <v>8456</v>
      </c>
      <c r="S815" s="2688"/>
      <c r="T815" s="836" t="s">
        <v>15</v>
      </c>
      <c r="U815" s="2694">
        <v>0.50902777777777775</v>
      </c>
      <c r="V815" s="2694" t="s">
        <v>972</v>
      </c>
      <c r="W815" s="2660">
        <v>165</v>
      </c>
      <c r="X815" s="2694" t="s">
        <v>8381</v>
      </c>
      <c r="Y815" s="2772" t="s">
        <v>10807</v>
      </c>
      <c r="Z815" s="817"/>
      <c r="AA815" s="817"/>
      <c r="AB815" s="817" t="s">
        <v>17</v>
      </c>
      <c r="AC815" s="817" t="s">
        <v>7451</v>
      </c>
      <c r="AD815" s="2699"/>
      <c r="AG815" s="2711"/>
    </row>
    <row r="816" spans="1:33" s="1592" customFormat="1" ht="43.5" hidden="1" x14ac:dyDescent="0.35">
      <c r="A816" s="2486">
        <v>43934</v>
      </c>
      <c r="B816" s="2718">
        <v>22</v>
      </c>
      <c r="C816" s="5" t="s">
        <v>10555</v>
      </c>
      <c r="D816" s="2700" t="s">
        <v>10554</v>
      </c>
      <c r="E816" s="7" t="s">
        <v>8107</v>
      </c>
      <c r="F816" s="2679">
        <v>1</v>
      </c>
      <c r="G816" s="5"/>
      <c r="H816" s="5">
        <v>1</v>
      </c>
      <c r="I816" s="5"/>
      <c r="J816" s="5"/>
      <c r="K816" s="5"/>
      <c r="L816" s="817"/>
      <c r="M816" s="817"/>
      <c r="N816" s="817"/>
      <c r="O816" s="817"/>
      <c r="P816" s="2486">
        <v>43939</v>
      </c>
      <c r="Q816" s="2769"/>
      <c r="R816" s="2722" t="s">
        <v>10553</v>
      </c>
      <c r="S816" s="2770"/>
      <c r="T816" s="836" t="s">
        <v>15</v>
      </c>
      <c r="U816" s="2694">
        <v>0.52013888888888882</v>
      </c>
      <c r="V816" s="836" t="s">
        <v>972</v>
      </c>
      <c r="W816" s="1956">
        <v>100</v>
      </c>
      <c r="X816" s="817" t="s">
        <v>8625</v>
      </c>
      <c r="Y816" s="2772" t="s">
        <v>10807</v>
      </c>
      <c r="Z816" s="7"/>
      <c r="AA816" s="7"/>
      <c r="AB816" s="7" t="s">
        <v>17</v>
      </c>
      <c r="AC816" s="7" t="s">
        <v>7451</v>
      </c>
      <c r="AD816" s="2696"/>
      <c r="AG816" s="2711"/>
    </row>
    <row r="817" spans="1:33" s="1592" customFormat="1" ht="58" hidden="1" x14ac:dyDescent="0.35">
      <c r="A817" s="1899">
        <v>43929</v>
      </c>
      <c r="B817" s="2759">
        <v>23</v>
      </c>
      <c r="C817" s="7" t="s">
        <v>8763</v>
      </c>
      <c r="D817" s="2712" t="s">
        <v>10096</v>
      </c>
      <c r="E817" s="817" t="s">
        <v>7935</v>
      </c>
      <c r="F817" s="2682">
        <v>1</v>
      </c>
      <c r="G817" s="2682">
        <v>1</v>
      </c>
      <c r="H817" s="2682"/>
      <c r="I817" s="2682"/>
      <c r="J817" s="2682"/>
      <c r="K817" s="2682"/>
      <c r="L817" s="817"/>
      <c r="M817" s="817"/>
      <c r="N817" s="817"/>
      <c r="O817" s="817"/>
      <c r="P817" s="1899">
        <v>43939</v>
      </c>
      <c r="Q817" s="1899"/>
      <c r="R817" s="881" t="s">
        <v>8764</v>
      </c>
      <c r="S817" s="2770"/>
      <c r="T817" s="6" t="s">
        <v>15</v>
      </c>
      <c r="U817" s="2694">
        <v>0.53402777777777777</v>
      </c>
      <c r="V817" s="2694" t="s">
        <v>972</v>
      </c>
      <c r="W817" s="1956">
        <v>100</v>
      </c>
      <c r="X817" s="836" t="s">
        <v>8753</v>
      </c>
      <c r="Y817" s="2772" t="s">
        <v>10807</v>
      </c>
      <c r="Z817" s="817"/>
      <c r="AA817" s="817"/>
      <c r="AB817" s="7" t="s">
        <v>17</v>
      </c>
      <c r="AC817" s="817" t="s">
        <v>7451</v>
      </c>
      <c r="AD817" s="2700"/>
      <c r="AG817" s="2711"/>
    </row>
    <row r="818" spans="1:33" s="1592" customFormat="1" ht="43.5" hidden="1" x14ac:dyDescent="0.35">
      <c r="A818" s="2828">
        <v>43931</v>
      </c>
      <c r="B818" s="2760">
        <v>24</v>
      </c>
      <c r="C818" s="817" t="s">
        <v>9111</v>
      </c>
      <c r="D818" s="2712" t="s">
        <v>9110</v>
      </c>
      <c r="E818" s="7" t="s">
        <v>8107</v>
      </c>
      <c r="F818" s="2682">
        <v>1</v>
      </c>
      <c r="G818" s="2682"/>
      <c r="H818" s="2682">
        <v>1</v>
      </c>
      <c r="I818" s="2682"/>
      <c r="J818" s="2682"/>
      <c r="K818" s="2682"/>
      <c r="L818" s="817"/>
      <c r="M818" s="817"/>
      <c r="N818" s="817"/>
      <c r="O818" s="817"/>
      <c r="P818" s="2828">
        <v>43939</v>
      </c>
      <c r="Q818" s="2828"/>
      <c r="R818" s="2829" t="s">
        <v>9112</v>
      </c>
      <c r="S818" s="2829"/>
      <c r="T818" s="2694" t="s">
        <v>15</v>
      </c>
      <c r="U818" s="2694">
        <v>0.54236111111111118</v>
      </c>
      <c r="V818" s="2694" t="s">
        <v>972</v>
      </c>
      <c r="W818" s="1956">
        <v>100</v>
      </c>
      <c r="X818" s="817" t="s">
        <v>8625</v>
      </c>
      <c r="Y818" s="2772" t="s">
        <v>10807</v>
      </c>
      <c r="Z818" s="817"/>
      <c r="AA818" s="817"/>
      <c r="AB818" s="817" t="s">
        <v>17</v>
      </c>
      <c r="AC818" s="817" t="s">
        <v>7451</v>
      </c>
      <c r="AD818" s="2700" t="s">
        <v>9110</v>
      </c>
      <c r="AG818" s="2711"/>
    </row>
    <row r="819" spans="1:33" s="1592" customFormat="1" ht="72.5" hidden="1" x14ac:dyDescent="0.35">
      <c r="A819" s="1899">
        <v>43931</v>
      </c>
      <c r="B819" s="2759">
        <v>25</v>
      </c>
      <c r="C819" s="7" t="s">
        <v>9020</v>
      </c>
      <c r="D819" s="2712" t="s">
        <v>9978</v>
      </c>
      <c r="E819" s="7" t="s">
        <v>9021</v>
      </c>
      <c r="F819" s="7">
        <v>2</v>
      </c>
      <c r="G819" s="7">
        <v>3</v>
      </c>
      <c r="H819" s="7"/>
      <c r="I819" s="7"/>
      <c r="J819" s="7"/>
      <c r="K819" s="7"/>
      <c r="L819" s="817"/>
      <c r="M819" s="817"/>
      <c r="N819" s="817"/>
      <c r="O819" s="817"/>
      <c r="P819" s="1899">
        <v>43939</v>
      </c>
      <c r="Q819" s="1899"/>
      <c r="R819" s="881" t="s">
        <v>9022</v>
      </c>
      <c r="S819" s="2770"/>
      <c r="T819" s="836" t="s">
        <v>15</v>
      </c>
      <c r="U819" s="2694">
        <v>0.55486111111111114</v>
      </c>
      <c r="V819" s="2694" t="s">
        <v>972</v>
      </c>
      <c r="W819" s="1956">
        <v>250</v>
      </c>
      <c r="X819" s="817" t="s">
        <v>257</v>
      </c>
      <c r="Y819" s="2772" t="s">
        <v>10807</v>
      </c>
      <c r="Z819" s="817"/>
      <c r="AA819" s="817"/>
      <c r="AB819" s="817" t="s">
        <v>17</v>
      </c>
      <c r="AC819" s="817" t="s">
        <v>7451</v>
      </c>
      <c r="AD819" s="2696"/>
      <c r="AG819" s="2711"/>
    </row>
    <row r="820" spans="1:33" s="1592" customFormat="1" ht="58" hidden="1" x14ac:dyDescent="0.35">
      <c r="A820" s="2486">
        <v>43930</v>
      </c>
      <c r="B820" s="2718">
        <v>26</v>
      </c>
      <c r="C820" s="5" t="s">
        <v>8806</v>
      </c>
      <c r="D820" s="2712" t="s">
        <v>10039</v>
      </c>
      <c r="E820" s="7" t="s">
        <v>8622</v>
      </c>
      <c r="F820" s="2686">
        <v>1</v>
      </c>
      <c r="G820" s="2682">
        <v>1</v>
      </c>
      <c r="H820" s="2682"/>
      <c r="I820" s="2682"/>
      <c r="J820" s="2682"/>
      <c r="K820" s="2682"/>
      <c r="L820" s="817"/>
      <c r="M820" s="817"/>
      <c r="N820" s="817"/>
      <c r="O820" s="817"/>
      <c r="P820" s="2486">
        <v>43939</v>
      </c>
      <c r="Q820" s="2486"/>
      <c r="R820" s="824" t="s">
        <v>8807</v>
      </c>
      <c r="S820" s="2770"/>
      <c r="T820" s="6" t="s">
        <v>15</v>
      </c>
      <c r="U820" s="2694">
        <v>0.56458333333333333</v>
      </c>
      <c r="V820" s="2694" t="s">
        <v>972</v>
      </c>
      <c r="W820" s="1956">
        <v>100</v>
      </c>
      <c r="X820" s="836" t="s">
        <v>257</v>
      </c>
      <c r="Y820" s="2772" t="s">
        <v>10807</v>
      </c>
      <c r="Z820" s="817"/>
      <c r="AA820" s="817"/>
      <c r="AB820" s="7" t="s">
        <v>17</v>
      </c>
      <c r="AC820" s="817" t="s">
        <v>7451</v>
      </c>
      <c r="AD820" s="2700"/>
      <c r="AG820" s="2711"/>
    </row>
    <row r="821" spans="1:33" s="1592" customFormat="1" ht="29" hidden="1" x14ac:dyDescent="0.35">
      <c r="A821" s="1899">
        <v>43934</v>
      </c>
      <c r="B821" s="2759">
        <v>27</v>
      </c>
      <c r="C821" s="5" t="s">
        <v>10369</v>
      </c>
      <c r="D821" s="2700" t="s">
        <v>10371</v>
      </c>
      <c r="E821" s="7" t="s">
        <v>5943</v>
      </c>
      <c r="F821" s="2679">
        <v>1</v>
      </c>
      <c r="G821" s="5"/>
      <c r="H821" s="5"/>
      <c r="I821" s="5"/>
      <c r="J821" s="5"/>
      <c r="K821" s="5"/>
      <c r="L821" s="817"/>
      <c r="M821" s="817"/>
      <c r="N821" s="817"/>
      <c r="O821" s="817"/>
      <c r="P821" s="2486">
        <v>43939</v>
      </c>
      <c r="Q821" s="2769"/>
      <c r="R821" s="824" t="s">
        <v>10370</v>
      </c>
      <c r="S821" s="2770"/>
      <c r="T821" s="6" t="s">
        <v>15</v>
      </c>
      <c r="U821" s="2694">
        <v>0.58333333333333337</v>
      </c>
      <c r="V821" s="2694" t="s">
        <v>972</v>
      </c>
      <c r="W821" s="1956">
        <v>65</v>
      </c>
      <c r="X821" s="2694" t="s">
        <v>294</v>
      </c>
      <c r="Y821" s="2772" t="s">
        <v>10807</v>
      </c>
      <c r="Z821" s="817"/>
      <c r="AA821" s="817"/>
      <c r="AB821" s="7" t="s">
        <v>17</v>
      </c>
      <c r="AC821" s="817" t="s">
        <v>7451</v>
      </c>
      <c r="AD821" s="2700"/>
      <c r="AG821" s="2711"/>
    </row>
    <row r="822" spans="1:33" s="1592" customFormat="1" ht="43.5" hidden="1" x14ac:dyDescent="0.35">
      <c r="A822" s="2486">
        <v>43931</v>
      </c>
      <c r="B822" s="2718">
        <v>28</v>
      </c>
      <c r="C822" s="5" t="s">
        <v>9409</v>
      </c>
      <c r="D822" s="2700" t="s">
        <v>9408</v>
      </c>
      <c r="E822" s="5" t="s">
        <v>8553</v>
      </c>
      <c r="F822" s="5">
        <v>1</v>
      </c>
      <c r="G822" s="5">
        <v>1</v>
      </c>
      <c r="H822" s="5"/>
      <c r="I822" s="5"/>
      <c r="J822" s="5"/>
      <c r="K822" s="5"/>
      <c r="L822" s="817"/>
      <c r="M822" s="817"/>
      <c r="N822" s="817"/>
      <c r="O822" s="817"/>
      <c r="P822" s="2486">
        <v>43939</v>
      </c>
      <c r="Q822" s="2486"/>
      <c r="R822" s="2829" t="s">
        <v>9410</v>
      </c>
      <c r="S822" s="2770"/>
      <c r="T822" s="881" t="s">
        <v>15</v>
      </c>
      <c r="U822" s="2694">
        <v>0.59444444444444444</v>
      </c>
      <c r="V822" s="2694" t="s">
        <v>972</v>
      </c>
      <c r="W822" s="2681">
        <v>100</v>
      </c>
      <c r="X822" s="817" t="s">
        <v>10938</v>
      </c>
      <c r="Y822" s="2772" t="s">
        <v>10807</v>
      </c>
      <c r="Z822" s="817"/>
      <c r="AA822" s="817"/>
      <c r="AB822" s="817" t="s">
        <v>17</v>
      </c>
      <c r="AC822" s="817" t="s">
        <v>7451</v>
      </c>
      <c r="AD822" s="2700" t="s">
        <v>9408</v>
      </c>
      <c r="AG822" s="2711"/>
    </row>
    <row r="823" spans="1:33" ht="43.5" hidden="1" x14ac:dyDescent="0.35">
      <c r="A823" s="2828">
        <v>43931</v>
      </c>
      <c r="B823" s="2760">
        <v>29</v>
      </c>
      <c r="C823" s="817" t="s">
        <v>9267</v>
      </c>
      <c r="D823" s="2712" t="s">
        <v>9266</v>
      </c>
      <c r="E823" s="7" t="s">
        <v>8553</v>
      </c>
      <c r="F823" s="2682">
        <v>1</v>
      </c>
      <c r="G823" s="2682">
        <v>1</v>
      </c>
      <c r="H823" s="2682"/>
      <c r="I823" s="2682"/>
      <c r="J823" s="2682"/>
      <c r="K823" s="2682"/>
      <c r="L823" s="817"/>
      <c r="M823" s="817"/>
      <c r="N823" s="817"/>
      <c r="O823" s="817"/>
      <c r="P823" s="2828">
        <v>43939</v>
      </c>
      <c r="Q823" s="2769"/>
      <c r="R823" s="2829" t="s">
        <v>9268</v>
      </c>
      <c r="S823" s="2770"/>
      <c r="T823" s="2694" t="s">
        <v>15</v>
      </c>
      <c r="U823" s="2694">
        <v>0.60277777777777775</v>
      </c>
      <c r="V823" s="2694" t="s">
        <v>972</v>
      </c>
      <c r="W823" s="2681">
        <v>100</v>
      </c>
      <c r="X823" s="817" t="s">
        <v>2900</v>
      </c>
      <c r="Y823" s="2772" t="s">
        <v>10807</v>
      </c>
      <c r="Z823" s="817"/>
      <c r="AA823" s="817"/>
      <c r="AB823" s="817" t="s">
        <v>17</v>
      </c>
      <c r="AC823" s="817" t="s">
        <v>7451</v>
      </c>
      <c r="AD823" s="2700" t="s">
        <v>9266</v>
      </c>
      <c r="AG823" s="2711"/>
    </row>
    <row r="824" spans="1:33" ht="29" hidden="1" x14ac:dyDescent="0.35">
      <c r="A824" s="2828">
        <v>43932</v>
      </c>
      <c r="B824" s="2760">
        <v>30</v>
      </c>
      <c r="C824" s="817" t="s">
        <v>9677</v>
      </c>
      <c r="D824" s="2700" t="s">
        <v>9678</v>
      </c>
      <c r="E824" s="7" t="s">
        <v>8553</v>
      </c>
      <c r="F824" s="5">
        <v>1</v>
      </c>
      <c r="G824" s="5">
        <v>1</v>
      </c>
      <c r="H824" s="5"/>
      <c r="I824" s="5"/>
      <c r="J824" s="5"/>
      <c r="K824" s="5"/>
      <c r="L824" s="817"/>
      <c r="M824" s="817"/>
      <c r="N824" s="817"/>
      <c r="O824" s="817"/>
      <c r="P824" s="2828">
        <v>43939</v>
      </c>
      <c r="Q824" s="2828"/>
      <c r="R824" s="2706" t="s">
        <v>9679</v>
      </c>
      <c r="S824" s="2770"/>
      <c r="T824" s="836" t="s">
        <v>15</v>
      </c>
      <c r="U824" s="2694">
        <v>0.61319444444444449</v>
      </c>
      <c r="V824" s="836" t="s">
        <v>972</v>
      </c>
      <c r="W824" s="2681">
        <v>0</v>
      </c>
      <c r="X824" s="817" t="s">
        <v>9680</v>
      </c>
      <c r="Y824" s="2772" t="s">
        <v>10807</v>
      </c>
      <c r="Z824" s="817"/>
      <c r="AA824" s="817"/>
      <c r="AB824" s="817" t="s">
        <v>17</v>
      </c>
      <c r="AC824" s="817" t="s">
        <v>7451</v>
      </c>
      <c r="AD824" s="2696"/>
      <c r="AG824" s="2711"/>
    </row>
    <row r="825" spans="1:33" ht="58" hidden="1" x14ac:dyDescent="0.35">
      <c r="A825" s="1899">
        <v>43922</v>
      </c>
      <c r="B825" s="2759">
        <v>1</v>
      </c>
      <c r="C825" s="7" t="s">
        <v>7722</v>
      </c>
      <c r="D825" s="2712" t="s">
        <v>10008</v>
      </c>
      <c r="E825" s="7" t="s">
        <v>7693</v>
      </c>
      <c r="F825" s="7">
        <v>1</v>
      </c>
      <c r="G825" s="7">
        <v>1</v>
      </c>
      <c r="H825" s="7"/>
      <c r="I825" s="7"/>
      <c r="J825" s="7"/>
      <c r="K825" s="7"/>
      <c r="L825" s="7"/>
      <c r="M825" s="7"/>
      <c r="N825" s="7"/>
      <c r="O825" s="7"/>
      <c r="P825" s="1899">
        <v>43939</v>
      </c>
      <c r="Q825" s="1899"/>
      <c r="R825" s="881" t="s">
        <v>7723</v>
      </c>
      <c r="S825" s="881"/>
      <c r="T825" s="836" t="s">
        <v>15</v>
      </c>
      <c r="U825" s="2694">
        <v>0.33124999999999999</v>
      </c>
      <c r="V825" s="836" t="s">
        <v>972</v>
      </c>
      <c r="W825" s="1630">
        <v>100</v>
      </c>
      <c r="X825" s="836" t="s">
        <v>7682</v>
      </c>
      <c r="Y825" s="2772" t="s">
        <v>10808</v>
      </c>
      <c r="Z825" s="7"/>
      <c r="AA825" s="7"/>
      <c r="AB825" s="7" t="s">
        <v>17</v>
      </c>
      <c r="AC825" s="7" t="s">
        <v>7451</v>
      </c>
      <c r="AD825" s="2699"/>
      <c r="AG825" s="2711"/>
    </row>
    <row r="826" spans="1:33" ht="43.5" hidden="1" x14ac:dyDescent="0.35">
      <c r="A826" s="1899">
        <v>43930</v>
      </c>
      <c r="B826" s="2759">
        <v>2</v>
      </c>
      <c r="C826" s="5" t="s">
        <v>8943</v>
      </c>
      <c r="D826" s="2712" t="s">
        <v>9986</v>
      </c>
      <c r="E826" s="7" t="s">
        <v>8622</v>
      </c>
      <c r="F826" s="2686">
        <v>1</v>
      </c>
      <c r="G826" s="2682">
        <v>1</v>
      </c>
      <c r="H826" s="2682"/>
      <c r="I826" s="2682"/>
      <c r="J826" s="2682"/>
      <c r="K826" s="2682"/>
      <c r="L826" s="817"/>
      <c r="M826" s="817"/>
      <c r="N826" s="817"/>
      <c r="O826" s="817"/>
      <c r="P826" s="2486">
        <v>43939</v>
      </c>
      <c r="Q826" s="2486"/>
      <c r="R826" s="824" t="s">
        <v>8944</v>
      </c>
      <c r="S826" s="2770"/>
      <c r="T826" s="6" t="s">
        <v>15</v>
      </c>
      <c r="U826" s="2694">
        <v>0.33958333333333335</v>
      </c>
      <c r="V826" s="2694" t="s">
        <v>972</v>
      </c>
      <c r="W826" s="1956">
        <v>100</v>
      </c>
      <c r="X826" s="836" t="s">
        <v>8625</v>
      </c>
      <c r="Y826" s="2772" t="s">
        <v>10808</v>
      </c>
      <c r="Z826" s="817"/>
      <c r="AA826" s="817"/>
      <c r="AB826" s="7" t="s">
        <v>17</v>
      </c>
      <c r="AC826" s="817" t="s">
        <v>7451</v>
      </c>
      <c r="AD826" s="2700"/>
      <c r="AG826" s="2711"/>
    </row>
    <row r="827" spans="1:33" ht="72.5" hidden="1" x14ac:dyDescent="0.35">
      <c r="A827" s="1899">
        <v>43930</v>
      </c>
      <c r="B827" s="2759">
        <v>3</v>
      </c>
      <c r="C827" s="7" t="s">
        <v>8901</v>
      </c>
      <c r="D827" s="2712" t="s">
        <v>10209</v>
      </c>
      <c r="E827" s="7" t="s">
        <v>8149</v>
      </c>
      <c r="F827" s="2719">
        <v>1</v>
      </c>
      <c r="G827" s="2685">
        <v>1</v>
      </c>
      <c r="H827" s="2685"/>
      <c r="I827" s="2685"/>
      <c r="J827" s="2685"/>
      <c r="K827" s="2685"/>
      <c r="L827" s="817"/>
      <c r="M827" s="817"/>
      <c r="N827" s="817"/>
      <c r="O827" s="817"/>
      <c r="P827" s="1899">
        <v>43939</v>
      </c>
      <c r="Q827" s="1899"/>
      <c r="R827" s="881" t="s">
        <v>8898</v>
      </c>
      <c r="S827" s="2770"/>
      <c r="T827" s="836" t="s">
        <v>15</v>
      </c>
      <c r="U827" s="2694">
        <v>0.35069444444444442</v>
      </c>
      <c r="V827" s="2694" t="s">
        <v>972</v>
      </c>
      <c r="W827" s="2681">
        <v>200</v>
      </c>
      <c r="X827" s="836" t="s">
        <v>8903</v>
      </c>
      <c r="Y827" s="2772" t="s">
        <v>10808</v>
      </c>
      <c r="Z827" s="817"/>
      <c r="AA827" s="817"/>
      <c r="AB827" s="7" t="s">
        <v>17</v>
      </c>
      <c r="AC827" s="817" t="s">
        <v>7451</v>
      </c>
      <c r="AD827" s="2695"/>
      <c r="AG827" s="2711"/>
    </row>
    <row r="828" spans="1:33" ht="29" hidden="1" x14ac:dyDescent="0.35">
      <c r="A828" s="2828">
        <v>43926</v>
      </c>
      <c r="B828" s="2760">
        <v>4</v>
      </c>
      <c r="C828" s="2828" t="s">
        <v>8115</v>
      </c>
      <c r="D828" s="2712" t="s">
        <v>10006</v>
      </c>
      <c r="E828" s="817" t="s">
        <v>7935</v>
      </c>
      <c r="F828" s="817">
        <v>1</v>
      </c>
      <c r="G828" s="817">
        <v>1</v>
      </c>
      <c r="H828" s="817"/>
      <c r="I828" s="817"/>
      <c r="J828" s="817"/>
      <c r="K828" s="817"/>
      <c r="L828" s="817"/>
      <c r="M828" s="817"/>
      <c r="N828" s="817"/>
      <c r="O828" s="817"/>
      <c r="P828" s="2828">
        <v>43939</v>
      </c>
      <c r="Q828" s="2769"/>
      <c r="R828" s="2829" t="s">
        <v>8116</v>
      </c>
      <c r="S828" s="2770"/>
      <c r="T828" s="2694" t="s">
        <v>15</v>
      </c>
      <c r="U828" s="2694">
        <v>0.3611111111111111</v>
      </c>
      <c r="V828" s="2694" t="s">
        <v>3213</v>
      </c>
      <c r="W828" s="1956">
        <v>100</v>
      </c>
      <c r="X828" s="817" t="s">
        <v>7424</v>
      </c>
      <c r="Y828" s="2772" t="s">
        <v>10808</v>
      </c>
      <c r="Z828" s="817"/>
      <c r="AA828" s="817"/>
      <c r="AB828" s="817" t="s">
        <v>17</v>
      </c>
      <c r="AC828" s="817" t="s">
        <v>7451</v>
      </c>
      <c r="AD828" s="2699"/>
      <c r="AG828" s="2711"/>
    </row>
    <row r="829" spans="1:33" ht="43.5" hidden="1" x14ac:dyDescent="0.35">
      <c r="A829" s="1899">
        <v>43930</v>
      </c>
      <c r="B829" s="2759">
        <v>5</v>
      </c>
      <c r="C829" s="5" t="s">
        <v>8959</v>
      </c>
      <c r="D829" s="2712" t="s">
        <v>9982</v>
      </c>
      <c r="E829" s="7" t="s">
        <v>8622</v>
      </c>
      <c r="F829" s="2679">
        <v>1</v>
      </c>
      <c r="G829" s="5">
        <v>1</v>
      </c>
      <c r="H829" s="5"/>
      <c r="I829" s="5"/>
      <c r="J829" s="5"/>
      <c r="K829" s="5"/>
      <c r="L829" s="817"/>
      <c r="M829" s="817"/>
      <c r="N829" s="817"/>
      <c r="O829" s="817"/>
      <c r="P829" s="2486">
        <v>43939</v>
      </c>
      <c r="Q829" s="2486"/>
      <c r="R829" s="824" t="s">
        <v>8960</v>
      </c>
      <c r="S829" s="2770"/>
      <c r="T829" s="6" t="s">
        <v>15</v>
      </c>
      <c r="U829" s="2694">
        <v>0.37013888888888885</v>
      </c>
      <c r="V829" s="2694" t="s">
        <v>972</v>
      </c>
      <c r="W829" s="1956">
        <v>100</v>
      </c>
      <c r="X829" s="836" t="s">
        <v>8625</v>
      </c>
      <c r="Y829" s="2772" t="s">
        <v>10808</v>
      </c>
      <c r="Z829" s="817"/>
      <c r="AA829" s="817"/>
      <c r="AB829" s="7" t="s">
        <v>17</v>
      </c>
      <c r="AC829" s="817" t="s">
        <v>7451</v>
      </c>
      <c r="AD829" s="2700"/>
      <c r="AG829" s="2711"/>
    </row>
    <row r="830" spans="1:33" ht="43.5" hidden="1" x14ac:dyDescent="0.35">
      <c r="A830" s="2769">
        <v>43927</v>
      </c>
      <c r="B830" s="2760">
        <v>6</v>
      </c>
      <c r="C830" s="817" t="s">
        <v>8210</v>
      </c>
      <c r="D830" s="2712" t="s">
        <v>10027</v>
      </c>
      <c r="E830" s="817" t="s">
        <v>7935</v>
      </c>
      <c r="F830" s="5">
        <v>1</v>
      </c>
      <c r="G830" s="5">
        <v>1</v>
      </c>
      <c r="H830" s="5"/>
      <c r="I830" s="5"/>
      <c r="J830" s="5"/>
      <c r="K830" s="5"/>
      <c r="L830" s="817"/>
      <c r="M830" s="817"/>
      <c r="N830" s="817"/>
      <c r="O830" s="817"/>
      <c r="P830" s="2769">
        <v>43939</v>
      </c>
      <c r="Q830" s="2769"/>
      <c r="R830" s="2770" t="s">
        <v>8310</v>
      </c>
      <c r="S830" s="2688" t="s">
        <v>8154</v>
      </c>
      <c r="T830" s="2694" t="s">
        <v>15</v>
      </c>
      <c r="U830" s="2694">
        <v>0.38125000000000003</v>
      </c>
      <c r="V830" s="2694" t="s">
        <v>972</v>
      </c>
      <c r="W830" s="1956">
        <v>100</v>
      </c>
      <c r="X830" s="817" t="s">
        <v>8268</v>
      </c>
      <c r="Y830" s="2772" t="s">
        <v>10808</v>
      </c>
      <c r="Z830" s="817"/>
      <c r="AA830" s="817"/>
      <c r="AB830" s="817" t="s">
        <v>17</v>
      </c>
      <c r="AC830" s="817" t="s">
        <v>7451</v>
      </c>
      <c r="AD830" s="2699"/>
      <c r="AG830" s="2711"/>
    </row>
    <row r="831" spans="1:33" ht="29" hidden="1" x14ac:dyDescent="0.35">
      <c r="A831" s="2769">
        <v>43932</v>
      </c>
      <c r="B831" s="2760">
        <v>7</v>
      </c>
      <c r="C831" s="817" t="s">
        <v>9640</v>
      </c>
      <c r="D831" s="2700" t="s">
        <v>9642</v>
      </c>
      <c r="E831" s="7" t="s">
        <v>9641</v>
      </c>
      <c r="F831" s="5">
        <v>1</v>
      </c>
      <c r="G831" s="5"/>
      <c r="H831" s="5">
        <v>1</v>
      </c>
      <c r="I831" s="5"/>
      <c r="J831" s="5"/>
      <c r="K831" s="5"/>
      <c r="L831" s="817"/>
      <c r="M831" s="817"/>
      <c r="N831" s="817"/>
      <c r="O831" s="817"/>
      <c r="P831" s="2769">
        <v>43939</v>
      </c>
      <c r="Q831" s="2769"/>
      <c r="R831" s="2829" t="s">
        <v>9643</v>
      </c>
      <c r="S831" s="2770"/>
      <c r="T831" s="836" t="s">
        <v>15</v>
      </c>
      <c r="U831" s="2694">
        <v>0.38819444444444445</v>
      </c>
      <c r="V831" s="836" t="s">
        <v>972</v>
      </c>
      <c r="W831" s="2681">
        <v>100</v>
      </c>
      <c r="X831" s="817" t="s">
        <v>2900</v>
      </c>
      <c r="Y831" s="2772" t="s">
        <v>10808</v>
      </c>
      <c r="Z831" s="817"/>
      <c r="AA831" s="817"/>
      <c r="AB831" s="817" t="s">
        <v>17</v>
      </c>
      <c r="AC831" s="817" t="s">
        <v>7451</v>
      </c>
      <c r="AD831" s="2696"/>
      <c r="AG831" s="2711"/>
    </row>
    <row r="832" spans="1:33" ht="43.5" hidden="1" x14ac:dyDescent="0.35">
      <c r="A832" s="1899">
        <v>43933</v>
      </c>
      <c r="B832" s="2759">
        <v>8</v>
      </c>
      <c r="C832" s="817" t="s">
        <v>9605</v>
      </c>
      <c r="D832" s="2700" t="s">
        <v>10283</v>
      </c>
      <c r="E832" s="7" t="s">
        <v>8553</v>
      </c>
      <c r="F832" s="817">
        <v>1</v>
      </c>
      <c r="G832" s="817">
        <v>1</v>
      </c>
      <c r="H832" s="817"/>
      <c r="I832" s="817"/>
      <c r="J832" s="817"/>
      <c r="K832" s="817"/>
      <c r="L832" s="817"/>
      <c r="M832" s="817"/>
      <c r="N832" s="817"/>
      <c r="O832" s="817"/>
      <c r="P832" s="2828">
        <v>43939</v>
      </c>
      <c r="Q832" s="2828"/>
      <c r="R832" s="2706" t="s">
        <v>10284</v>
      </c>
      <c r="S832" s="2829"/>
      <c r="T832" s="6" t="s">
        <v>15</v>
      </c>
      <c r="U832" s="2694">
        <v>0.3979166666666667</v>
      </c>
      <c r="V832" s="836" t="s">
        <v>972</v>
      </c>
      <c r="W832" s="2681">
        <v>80</v>
      </c>
      <c r="X832" s="817" t="s">
        <v>2900</v>
      </c>
      <c r="Y832" s="2772" t="s">
        <v>10808</v>
      </c>
      <c r="Z832" s="817"/>
      <c r="AA832" s="817"/>
      <c r="AB832" s="817" t="s">
        <v>17</v>
      </c>
      <c r="AC832" s="817" t="s">
        <v>7451</v>
      </c>
      <c r="AD832" s="2696"/>
      <c r="AG832" s="2711"/>
    </row>
    <row r="833" spans="1:33" ht="43.5" hidden="1" x14ac:dyDescent="0.35">
      <c r="A833" s="1899">
        <v>43933</v>
      </c>
      <c r="B833" s="2759">
        <v>9</v>
      </c>
      <c r="C833" s="7" t="s">
        <v>10277</v>
      </c>
      <c r="D833" s="2707" t="s">
        <v>10278</v>
      </c>
      <c r="E833" s="7" t="s">
        <v>8107</v>
      </c>
      <c r="F833" s="2692">
        <v>1</v>
      </c>
      <c r="G833" s="2692"/>
      <c r="H833" s="2692">
        <v>1</v>
      </c>
      <c r="I833" s="2692"/>
      <c r="J833" s="2692"/>
      <c r="K833" s="2692"/>
      <c r="L833" s="817"/>
      <c r="M833" s="817"/>
      <c r="N833" s="817"/>
      <c r="O833" s="817"/>
      <c r="P833" s="1899">
        <v>43939</v>
      </c>
      <c r="Q833" s="2828"/>
      <c r="R833" s="2708" t="s">
        <v>10279</v>
      </c>
      <c r="S833" s="2770"/>
      <c r="T833" s="6" t="s">
        <v>15</v>
      </c>
      <c r="U833" s="2694">
        <v>0.40902777777777777</v>
      </c>
      <c r="V833" s="836" t="s">
        <v>972</v>
      </c>
      <c r="W833" s="2681">
        <v>100</v>
      </c>
      <c r="X833" s="817" t="s">
        <v>2900</v>
      </c>
      <c r="Y833" s="2772" t="s">
        <v>10808</v>
      </c>
      <c r="Z833" s="817"/>
      <c r="AA833" s="817"/>
      <c r="AB833" s="817" t="s">
        <v>17</v>
      </c>
      <c r="AC833" s="817" t="s">
        <v>7451</v>
      </c>
      <c r="AD833" s="2695"/>
      <c r="AG833" s="2711"/>
    </row>
    <row r="834" spans="1:33" ht="58" hidden="1" x14ac:dyDescent="0.35">
      <c r="A834" s="2828">
        <v>43929</v>
      </c>
      <c r="B834" s="2760">
        <v>10</v>
      </c>
      <c r="C834" s="817" t="s">
        <v>8638</v>
      </c>
      <c r="D834" s="2712" t="s">
        <v>10113</v>
      </c>
      <c r="E834" s="7" t="s">
        <v>8622</v>
      </c>
      <c r="F834" s="2682">
        <v>1</v>
      </c>
      <c r="G834" s="2682">
        <v>1</v>
      </c>
      <c r="H834" s="2682"/>
      <c r="I834" s="2682"/>
      <c r="J834" s="2682"/>
      <c r="K834" s="2682"/>
      <c r="L834" s="817"/>
      <c r="M834" s="817"/>
      <c r="N834" s="817"/>
      <c r="O834" s="817"/>
      <c r="P834" s="2828">
        <v>43939</v>
      </c>
      <c r="Q834" s="2828"/>
      <c r="R834" s="2829" t="s">
        <v>8639</v>
      </c>
      <c r="S834" s="2770"/>
      <c r="T834" s="6" t="s">
        <v>15</v>
      </c>
      <c r="U834" s="2694">
        <v>0.41666666666666669</v>
      </c>
      <c r="V834" s="2694" t="s">
        <v>972</v>
      </c>
      <c r="W834" s="1956">
        <v>100</v>
      </c>
      <c r="X834" s="836" t="s">
        <v>8625</v>
      </c>
      <c r="Y834" s="2772" t="s">
        <v>10808</v>
      </c>
      <c r="Z834" s="817"/>
      <c r="AA834" s="817"/>
      <c r="AB834" s="7" t="s">
        <v>17</v>
      </c>
      <c r="AC834" s="817" t="s">
        <v>7451</v>
      </c>
      <c r="AD834" s="2700"/>
      <c r="AG834" s="2711"/>
    </row>
    <row r="835" spans="1:33" ht="29" hidden="1" x14ac:dyDescent="0.35">
      <c r="A835" s="2486">
        <v>43928</v>
      </c>
      <c r="B835" s="2718">
        <v>11</v>
      </c>
      <c r="C835" s="7" t="s">
        <v>8500</v>
      </c>
      <c r="D835" s="2712" t="s">
        <v>10054</v>
      </c>
      <c r="E835" s="7" t="s">
        <v>8149</v>
      </c>
      <c r="F835" s="2679">
        <v>1</v>
      </c>
      <c r="G835" s="5">
        <v>1</v>
      </c>
      <c r="H835" s="5"/>
      <c r="I835" s="5"/>
      <c r="J835" s="5"/>
      <c r="K835" s="5"/>
      <c r="L835" s="817"/>
      <c r="M835" s="817"/>
      <c r="N835" s="817"/>
      <c r="O835" s="817"/>
      <c r="P835" s="2486">
        <v>43939</v>
      </c>
      <c r="Q835" s="2486"/>
      <c r="R835" s="824" t="s">
        <v>8501</v>
      </c>
      <c r="S835" s="2770"/>
      <c r="T835" s="2687" t="s">
        <v>15</v>
      </c>
      <c r="U835" s="2694">
        <v>0.42430555555555555</v>
      </c>
      <c r="V835" s="2665" t="s">
        <v>972</v>
      </c>
      <c r="W835" s="2819">
        <v>100</v>
      </c>
      <c r="X835" s="2667" t="s">
        <v>257</v>
      </c>
      <c r="Y835" s="2772" t="s">
        <v>10808</v>
      </c>
      <c r="Z835" s="2668"/>
      <c r="AA835" s="2668"/>
      <c r="AB835" s="2664" t="s">
        <v>17</v>
      </c>
      <c r="AC835" s="2668" t="s">
        <v>7451</v>
      </c>
      <c r="AD835" s="2699"/>
      <c r="AG835" s="2711"/>
    </row>
    <row r="836" spans="1:33" ht="43.5" hidden="1" x14ac:dyDescent="0.35">
      <c r="A836" s="1899">
        <v>43933</v>
      </c>
      <c r="B836" s="2759">
        <v>12</v>
      </c>
      <c r="C836" s="7" t="s">
        <v>10254</v>
      </c>
      <c r="D836" s="2707" t="s">
        <v>10255</v>
      </c>
      <c r="E836" s="7" t="s">
        <v>8553</v>
      </c>
      <c r="F836" s="2692">
        <v>1</v>
      </c>
      <c r="G836" s="2692">
        <v>1</v>
      </c>
      <c r="H836" s="2692"/>
      <c r="I836" s="2692"/>
      <c r="J836" s="2692"/>
      <c r="K836" s="2692"/>
      <c r="L836" s="817"/>
      <c r="M836" s="817"/>
      <c r="N836" s="817"/>
      <c r="O836" s="817"/>
      <c r="P836" s="1899">
        <v>43939</v>
      </c>
      <c r="Q836" s="2828"/>
      <c r="R836" s="2708" t="s">
        <v>10256</v>
      </c>
      <c r="S836" s="2770"/>
      <c r="T836" s="836" t="s">
        <v>15</v>
      </c>
      <c r="U836" s="2694">
        <v>0.43263888888888885</v>
      </c>
      <c r="V836" s="836" t="s">
        <v>972</v>
      </c>
      <c r="W836" s="1956">
        <v>100</v>
      </c>
      <c r="X836" s="817" t="s">
        <v>8625</v>
      </c>
      <c r="Y836" s="2772" t="s">
        <v>10808</v>
      </c>
      <c r="Z836" s="817"/>
      <c r="AA836" s="817"/>
      <c r="AB836" s="817" t="s">
        <v>17</v>
      </c>
      <c r="AC836" s="817" t="s">
        <v>7451</v>
      </c>
      <c r="AD836" s="2695"/>
      <c r="AG836" s="2711"/>
    </row>
    <row r="837" spans="1:33" ht="43.5" hidden="1" x14ac:dyDescent="0.35">
      <c r="A837" s="2486">
        <v>43928</v>
      </c>
      <c r="B837" s="2718">
        <v>13</v>
      </c>
      <c r="C837" s="5" t="s">
        <v>8581</v>
      </c>
      <c r="D837" s="2712" t="s">
        <v>10035</v>
      </c>
      <c r="E837" s="5" t="s">
        <v>8561</v>
      </c>
      <c r="F837" s="2679">
        <v>1</v>
      </c>
      <c r="G837" s="5">
        <v>1</v>
      </c>
      <c r="H837" s="5"/>
      <c r="I837" s="5"/>
      <c r="J837" s="5"/>
      <c r="K837" s="5"/>
      <c r="L837" s="817"/>
      <c r="M837" s="817"/>
      <c r="N837" s="817"/>
      <c r="O837" s="817"/>
      <c r="P837" s="2486">
        <v>43939</v>
      </c>
      <c r="Q837" s="2486"/>
      <c r="R837" s="824" t="s">
        <v>8609</v>
      </c>
      <c r="S837" s="824"/>
      <c r="T837" s="6" t="s">
        <v>15</v>
      </c>
      <c r="U837" s="2694">
        <v>0.44097222222222227</v>
      </c>
      <c r="V837" s="6" t="s">
        <v>3213</v>
      </c>
      <c r="W837" s="1630">
        <v>100</v>
      </c>
      <c r="X837" s="5" t="s">
        <v>257</v>
      </c>
      <c r="Y837" s="2772" t="s">
        <v>10808</v>
      </c>
      <c r="Z837" s="5"/>
      <c r="AA837" s="5"/>
      <c r="AB837" s="5" t="s">
        <v>17</v>
      </c>
      <c r="AC837" s="5" t="s">
        <v>7451</v>
      </c>
      <c r="AD837" s="2696"/>
      <c r="AG837" s="2711"/>
    </row>
    <row r="838" spans="1:33" ht="43.5" hidden="1" x14ac:dyDescent="0.35">
      <c r="A838" s="1899">
        <v>43930</v>
      </c>
      <c r="B838" s="2759">
        <v>14</v>
      </c>
      <c r="C838" s="7" t="s">
        <v>8980</v>
      </c>
      <c r="D838" s="2712" t="s">
        <v>9981</v>
      </c>
      <c r="E838" s="7" t="s">
        <v>8622</v>
      </c>
      <c r="F838" s="5">
        <v>1</v>
      </c>
      <c r="G838" s="5">
        <v>1</v>
      </c>
      <c r="H838" s="5"/>
      <c r="I838" s="5"/>
      <c r="J838" s="5"/>
      <c r="K838" s="5"/>
      <c r="L838" s="817"/>
      <c r="M838" s="817"/>
      <c r="N838" s="817"/>
      <c r="O838" s="817"/>
      <c r="P838" s="1899">
        <v>43939</v>
      </c>
      <c r="Q838" s="1899"/>
      <c r="R838" s="881" t="s">
        <v>8981</v>
      </c>
      <c r="S838" s="2688"/>
      <c r="T838" s="6" t="s">
        <v>15</v>
      </c>
      <c r="U838" s="2694">
        <v>0.4513888888888889</v>
      </c>
      <c r="V838" s="2694" t="s">
        <v>972</v>
      </c>
      <c r="W838" s="1956">
        <v>100</v>
      </c>
      <c r="X838" s="836" t="s">
        <v>257</v>
      </c>
      <c r="Y838" s="2772" t="s">
        <v>10808</v>
      </c>
      <c r="Z838" s="817"/>
      <c r="AA838" s="817"/>
      <c r="AB838" s="7" t="s">
        <v>17</v>
      </c>
      <c r="AC838" s="817" t="s">
        <v>7451</v>
      </c>
      <c r="AD838" s="2700"/>
      <c r="AG838" s="2711"/>
    </row>
    <row r="839" spans="1:33" ht="29" hidden="1" x14ac:dyDescent="0.35">
      <c r="A839" s="1899">
        <v>43931</v>
      </c>
      <c r="B839" s="2759">
        <v>15</v>
      </c>
      <c r="C839" s="7" t="s">
        <v>9015</v>
      </c>
      <c r="D839" s="2712" t="s">
        <v>9980</v>
      </c>
      <c r="E839" s="7" t="s">
        <v>8553</v>
      </c>
      <c r="F839" s="7">
        <v>1</v>
      </c>
      <c r="G839" s="7">
        <v>1</v>
      </c>
      <c r="H839" s="7"/>
      <c r="I839" s="7"/>
      <c r="J839" s="7"/>
      <c r="K839" s="7"/>
      <c r="L839" s="817"/>
      <c r="M839" s="817"/>
      <c r="N839" s="817"/>
      <c r="O839" s="817"/>
      <c r="P839" s="1899">
        <v>43939</v>
      </c>
      <c r="Q839" s="1899"/>
      <c r="R839" s="881" t="s">
        <v>9017</v>
      </c>
      <c r="S839" s="2770"/>
      <c r="T839" s="6" t="s">
        <v>15</v>
      </c>
      <c r="U839" s="2694">
        <v>0.46319444444444446</v>
      </c>
      <c r="V839" s="2694" t="s">
        <v>972</v>
      </c>
      <c r="W839" s="1956">
        <v>100</v>
      </c>
      <c r="X839" s="836" t="s">
        <v>257</v>
      </c>
      <c r="Y839" s="2772" t="s">
        <v>10808</v>
      </c>
      <c r="Z839" s="817"/>
      <c r="AA839" s="817"/>
      <c r="AB839" s="7" t="s">
        <v>17</v>
      </c>
      <c r="AC839" s="7" t="s">
        <v>7451</v>
      </c>
      <c r="AD839" s="2696"/>
      <c r="AG839" s="2711"/>
    </row>
    <row r="840" spans="1:33" ht="29" hidden="1" x14ac:dyDescent="0.35">
      <c r="A840" s="2828">
        <v>43927</v>
      </c>
      <c r="B840" s="2760">
        <v>16</v>
      </c>
      <c r="C840" s="817" t="s">
        <v>8201</v>
      </c>
      <c r="D840" s="2712" t="s">
        <v>10078</v>
      </c>
      <c r="E840" s="817" t="s">
        <v>7935</v>
      </c>
      <c r="F840" s="5">
        <v>1</v>
      </c>
      <c r="G840" s="5">
        <v>1</v>
      </c>
      <c r="H840" s="5"/>
      <c r="I840" s="5"/>
      <c r="J840" s="5"/>
      <c r="K840" s="5"/>
      <c r="L840" s="817"/>
      <c r="M840" s="817"/>
      <c r="N840" s="817"/>
      <c r="O840" s="817"/>
      <c r="P840" s="2828">
        <v>43939</v>
      </c>
      <c r="Q840" s="2769"/>
      <c r="R840" s="2829" t="s">
        <v>8302</v>
      </c>
      <c r="S840" s="2770" t="s">
        <v>8303</v>
      </c>
      <c r="T840" s="2694" t="s">
        <v>15</v>
      </c>
      <c r="U840" s="2694">
        <v>0.47291666666666665</v>
      </c>
      <c r="V840" s="2694" t="s">
        <v>972</v>
      </c>
      <c r="W840" s="1956">
        <v>100</v>
      </c>
      <c r="X840" s="817" t="s">
        <v>257</v>
      </c>
      <c r="Y840" s="2772" t="s">
        <v>10808</v>
      </c>
      <c r="Z840" s="2694"/>
      <c r="AA840" s="2694"/>
      <c r="AB840" s="817" t="s">
        <v>17</v>
      </c>
      <c r="AC840" s="817" t="s">
        <v>7451</v>
      </c>
      <c r="AD840" s="2699"/>
      <c r="AG840" s="2711"/>
    </row>
    <row r="841" spans="1:33" ht="43.5" hidden="1" x14ac:dyDescent="0.35">
      <c r="A841" s="2486">
        <v>43930</v>
      </c>
      <c r="B841" s="2718">
        <v>17</v>
      </c>
      <c r="C841" s="5" t="s">
        <v>8776</v>
      </c>
      <c r="D841" s="2712" t="s">
        <v>10021</v>
      </c>
      <c r="E841" s="7" t="s">
        <v>8622</v>
      </c>
      <c r="F841" s="2686">
        <v>1</v>
      </c>
      <c r="G841" s="2682">
        <v>1</v>
      </c>
      <c r="H841" s="2682"/>
      <c r="I841" s="2682"/>
      <c r="J841" s="2682"/>
      <c r="K841" s="2682"/>
      <c r="L841" s="817"/>
      <c r="M841" s="817"/>
      <c r="N841" s="817"/>
      <c r="O841" s="817"/>
      <c r="P841" s="2486">
        <v>43939</v>
      </c>
      <c r="Q841" s="2486"/>
      <c r="R841" s="824" t="s">
        <v>8777</v>
      </c>
      <c r="S841" s="2770"/>
      <c r="T841" s="6" t="s">
        <v>15</v>
      </c>
      <c r="U841" s="2694">
        <v>0.48194444444444445</v>
      </c>
      <c r="V841" s="2694" t="s">
        <v>972</v>
      </c>
      <c r="W841" s="1956">
        <v>100</v>
      </c>
      <c r="X841" s="836" t="s">
        <v>8625</v>
      </c>
      <c r="Y841" s="2772" t="s">
        <v>10808</v>
      </c>
      <c r="Z841" s="817"/>
      <c r="AA841" s="817"/>
      <c r="AB841" s="7" t="s">
        <v>17</v>
      </c>
      <c r="AC841" s="817" t="s">
        <v>7451</v>
      </c>
      <c r="AD841" s="2700"/>
      <c r="AG841" s="2711"/>
    </row>
    <row r="842" spans="1:33" ht="58" hidden="1" x14ac:dyDescent="0.35">
      <c r="A842" s="2828">
        <v>43924</v>
      </c>
      <c r="B842" s="2760">
        <v>18</v>
      </c>
      <c r="C842" s="817" t="s">
        <v>7870</v>
      </c>
      <c r="D842" s="2712" t="s">
        <v>10135</v>
      </c>
      <c r="E842" s="817" t="s">
        <v>7872</v>
      </c>
      <c r="F842" s="817">
        <v>1</v>
      </c>
      <c r="G842" s="817">
        <v>2</v>
      </c>
      <c r="H842" s="817"/>
      <c r="I842" s="817"/>
      <c r="J842" s="817"/>
      <c r="K842" s="817"/>
      <c r="L842" s="817"/>
      <c r="M842" s="817"/>
      <c r="N842" s="817"/>
      <c r="O842" s="817"/>
      <c r="P842" s="2828">
        <v>43939</v>
      </c>
      <c r="Q842" s="2828"/>
      <c r="R842" s="2829" t="s">
        <v>7871</v>
      </c>
      <c r="S842" s="2770"/>
      <c r="T842" s="2694" t="s">
        <v>15</v>
      </c>
      <c r="U842" s="2694">
        <v>0.49305555555555558</v>
      </c>
      <c r="V842" s="2694" t="s">
        <v>972</v>
      </c>
      <c r="W842" s="1956">
        <v>165</v>
      </c>
      <c r="X842" s="817" t="s">
        <v>7634</v>
      </c>
      <c r="Y842" s="2772" t="s">
        <v>10808</v>
      </c>
      <c r="Z842" s="817"/>
      <c r="AA842" s="817"/>
      <c r="AB842" s="817" t="s">
        <v>17</v>
      </c>
      <c r="AC842" s="817" t="s">
        <v>7451</v>
      </c>
      <c r="AD842" s="2699"/>
      <c r="AG842" s="2711"/>
    </row>
    <row r="843" spans="1:33" ht="29" hidden="1" x14ac:dyDescent="0.35">
      <c r="A843" s="2486">
        <v>43930</v>
      </c>
      <c r="B843" s="2718">
        <v>19</v>
      </c>
      <c r="C843" s="2789" t="s">
        <v>8834</v>
      </c>
      <c r="D843" s="2788" t="s">
        <v>10018</v>
      </c>
      <c r="E843" s="2789" t="s">
        <v>8553</v>
      </c>
      <c r="F843" s="2679">
        <v>1</v>
      </c>
      <c r="G843" s="5">
        <v>1</v>
      </c>
      <c r="H843" s="5"/>
      <c r="I843" s="5"/>
      <c r="J843" s="5"/>
      <c r="K843" s="5"/>
      <c r="L843" s="817"/>
      <c r="M843" s="817"/>
      <c r="N843" s="817"/>
      <c r="O843" s="817"/>
      <c r="P843" s="2794">
        <v>43939</v>
      </c>
      <c r="Q843" s="2486"/>
      <c r="R843" s="2795" t="s">
        <v>8835</v>
      </c>
      <c r="S843" s="2770"/>
      <c r="T843" s="2799" t="s">
        <v>15</v>
      </c>
      <c r="U843" s="2694">
        <v>0.50347222222222221</v>
      </c>
      <c r="V843" s="2694" t="s">
        <v>972</v>
      </c>
      <c r="W843" s="1956">
        <v>100</v>
      </c>
      <c r="X843" s="836" t="s">
        <v>8625</v>
      </c>
      <c r="Y843" s="2772" t="s">
        <v>10808</v>
      </c>
      <c r="Z843" s="817"/>
      <c r="AA843" s="817"/>
      <c r="AB843" s="7" t="s">
        <v>17</v>
      </c>
      <c r="AC843" s="817" t="s">
        <v>7451</v>
      </c>
      <c r="AD843" s="2700"/>
      <c r="AG843" s="2711"/>
    </row>
    <row r="844" spans="1:33" ht="43.5" hidden="1" x14ac:dyDescent="0.35">
      <c r="A844" s="2486">
        <v>43929</v>
      </c>
      <c r="B844" s="2718">
        <v>20</v>
      </c>
      <c r="C844" s="2789" t="s">
        <v>8681</v>
      </c>
      <c r="D844" s="2788" t="s">
        <v>10022</v>
      </c>
      <c r="E844" s="2789" t="s">
        <v>8622</v>
      </c>
      <c r="F844" s="2686">
        <v>1</v>
      </c>
      <c r="G844" s="2682">
        <v>1</v>
      </c>
      <c r="H844" s="2682"/>
      <c r="I844" s="2682"/>
      <c r="J844" s="2682"/>
      <c r="K844" s="2682"/>
      <c r="L844" s="817"/>
      <c r="M844" s="817"/>
      <c r="N844" s="817"/>
      <c r="O844" s="817"/>
      <c r="P844" s="2794">
        <v>43939</v>
      </c>
      <c r="Q844" s="2486"/>
      <c r="R844" s="2795" t="s">
        <v>8682</v>
      </c>
      <c r="S844" s="2829"/>
      <c r="T844" s="2799" t="s">
        <v>15</v>
      </c>
      <c r="U844" s="2694">
        <v>0.51180555555555551</v>
      </c>
      <c r="V844" s="2694" t="s">
        <v>972</v>
      </c>
      <c r="W844" s="1956">
        <v>100</v>
      </c>
      <c r="X844" s="836" t="s">
        <v>8625</v>
      </c>
      <c r="Y844" s="2772" t="s">
        <v>10808</v>
      </c>
      <c r="Z844" s="817"/>
      <c r="AA844" s="817"/>
      <c r="AB844" s="7" t="s">
        <v>17</v>
      </c>
      <c r="AC844" s="817" t="s">
        <v>7451</v>
      </c>
      <c r="AD844" s="2700"/>
      <c r="AG844" s="2711"/>
    </row>
    <row r="845" spans="1:33" ht="43.5" hidden="1" x14ac:dyDescent="0.35">
      <c r="A845" s="1899">
        <v>43932</v>
      </c>
      <c r="B845" s="2759">
        <v>21</v>
      </c>
      <c r="C845" s="2789" t="s">
        <v>9485</v>
      </c>
      <c r="D845" s="2791" t="s">
        <v>9486</v>
      </c>
      <c r="E845" s="2789" t="s">
        <v>10870</v>
      </c>
      <c r="F845" s="2682">
        <v>1</v>
      </c>
      <c r="G845" s="2682">
        <v>1</v>
      </c>
      <c r="H845" s="2682"/>
      <c r="I845" s="2682"/>
      <c r="J845" s="2682"/>
      <c r="K845" s="2682"/>
      <c r="L845" s="817"/>
      <c r="M845" s="817"/>
      <c r="N845" s="817"/>
      <c r="O845" s="817"/>
      <c r="P845" s="2794">
        <v>43939</v>
      </c>
      <c r="Q845" s="2828"/>
      <c r="R845" s="2795" t="s">
        <v>9487</v>
      </c>
      <c r="S845" s="2770"/>
      <c r="T845" s="2799" t="s">
        <v>15</v>
      </c>
      <c r="U845" s="2694">
        <v>0.52083333333333337</v>
      </c>
      <c r="V845" s="836" t="s">
        <v>972</v>
      </c>
      <c r="W845" s="1956">
        <v>124</v>
      </c>
      <c r="X845" s="817" t="s">
        <v>8625</v>
      </c>
      <c r="Y845" s="2772" t="s">
        <v>10808</v>
      </c>
      <c r="Z845" s="817"/>
      <c r="AA845" s="817"/>
      <c r="AB845" s="817" t="s">
        <v>17</v>
      </c>
      <c r="AC845" s="817" t="s">
        <v>7451</v>
      </c>
      <c r="AD845" s="2695"/>
      <c r="AG845" s="2711"/>
    </row>
    <row r="846" spans="1:33" ht="43.5" hidden="1" x14ac:dyDescent="0.35">
      <c r="A846" s="2486">
        <v>43930</v>
      </c>
      <c r="B846" s="2718">
        <v>22</v>
      </c>
      <c r="C846" s="5" t="s">
        <v>8802</v>
      </c>
      <c r="D846" s="2712" t="s">
        <v>10103</v>
      </c>
      <c r="E846" s="7" t="s">
        <v>8622</v>
      </c>
      <c r="F846" s="2686">
        <v>1</v>
      </c>
      <c r="G846" s="2682">
        <v>1</v>
      </c>
      <c r="H846" s="2682"/>
      <c r="I846" s="2682"/>
      <c r="J846" s="2682"/>
      <c r="K846" s="2682"/>
      <c r="L846" s="817"/>
      <c r="M846" s="817"/>
      <c r="N846" s="817"/>
      <c r="O846" s="817"/>
      <c r="P846" s="2486">
        <v>43939</v>
      </c>
      <c r="Q846" s="2486"/>
      <c r="R846" s="824" t="s">
        <v>8803</v>
      </c>
      <c r="S846" s="2770"/>
      <c r="T846" s="6" t="s">
        <v>15</v>
      </c>
      <c r="U846" s="2694">
        <v>0.53125</v>
      </c>
      <c r="V846" s="2694" t="s">
        <v>972</v>
      </c>
      <c r="W846" s="1956">
        <v>100</v>
      </c>
      <c r="X846" s="836" t="s">
        <v>8625</v>
      </c>
      <c r="Y846" s="2772" t="s">
        <v>10808</v>
      </c>
      <c r="Z846" s="817"/>
      <c r="AA846" s="817"/>
      <c r="AB846" s="7" t="s">
        <v>17</v>
      </c>
      <c r="AC846" s="817" t="s">
        <v>7451</v>
      </c>
      <c r="AD846" s="2700"/>
      <c r="AG846" s="2711"/>
    </row>
    <row r="847" spans="1:33" ht="87" hidden="1" x14ac:dyDescent="0.35">
      <c r="A847" s="1899">
        <v>43918</v>
      </c>
      <c r="B847" s="2759">
        <v>23</v>
      </c>
      <c r="C847" s="7" t="s">
        <v>7532</v>
      </c>
      <c r="D847" s="2712" t="s">
        <v>10120</v>
      </c>
      <c r="E847" s="7" t="s">
        <v>10871</v>
      </c>
      <c r="F847" s="7">
        <v>1</v>
      </c>
      <c r="G847" s="7"/>
      <c r="H847" s="7"/>
      <c r="I847" s="7">
        <v>1</v>
      </c>
      <c r="J847" s="7"/>
      <c r="K847" s="7"/>
      <c r="L847" s="7"/>
      <c r="M847" s="7"/>
      <c r="N847" s="7"/>
      <c r="O847" s="7"/>
      <c r="P847" s="1899">
        <v>43939</v>
      </c>
      <c r="Q847" s="1899"/>
      <c r="R847" s="881" t="s">
        <v>7535</v>
      </c>
      <c r="S847" s="881"/>
      <c r="T847" s="836" t="s">
        <v>15</v>
      </c>
      <c r="U847" s="2694">
        <v>0.53888888888888886</v>
      </c>
      <c r="V847" s="2694" t="s">
        <v>3213</v>
      </c>
      <c r="W847" s="1956">
        <v>100</v>
      </c>
      <c r="X847" s="817" t="s">
        <v>257</v>
      </c>
      <c r="Y847" s="2772" t="s">
        <v>10808</v>
      </c>
      <c r="Z847" s="817"/>
      <c r="AA847" s="817"/>
      <c r="AB847" s="817" t="s">
        <v>17</v>
      </c>
      <c r="AC847" s="817" t="s">
        <v>7451</v>
      </c>
      <c r="AD847" s="2699"/>
      <c r="AG847" s="2711"/>
    </row>
    <row r="848" spans="1:33" ht="43.5" hidden="1" x14ac:dyDescent="0.35">
      <c r="A848" s="1899">
        <v>43928</v>
      </c>
      <c r="B848" s="2759">
        <v>24</v>
      </c>
      <c r="C848" s="2789" t="s">
        <v>8389</v>
      </c>
      <c r="D848" s="2788" t="s">
        <v>10052</v>
      </c>
      <c r="E848" s="2789" t="s">
        <v>8149</v>
      </c>
      <c r="F848" s="2684">
        <v>1</v>
      </c>
      <c r="G848" s="2661">
        <v>1</v>
      </c>
      <c r="H848" s="2661"/>
      <c r="I848" s="2661"/>
      <c r="J848" s="2661"/>
      <c r="K848" s="2661"/>
      <c r="L848" s="817"/>
      <c r="M848" s="817"/>
      <c r="N848" s="817"/>
      <c r="O848" s="817"/>
      <c r="P848" s="2794">
        <v>43939</v>
      </c>
      <c r="Q848" s="1899"/>
      <c r="R848" s="2795" t="s">
        <v>8388</v>
      </c>
      <c r="S848" s="2770"/>
      <c r="T848" s="2799" t="s">
        <v>15</v>
      </c>
      <c r="U848" s="2694">
        <v>0.54999999999999993</v>
      </c>
      <c r="V848" s="2694" t="s">
        <v>972</v>
      </c>
      <c r="W848" s="2660">
        <v>100</v>
      </c>
      <c r="X848" s="2694" t="s">
        <v>8381</v>
      </c>
      <c r="Y848" s="2772" t="s">
        <v>10808</v>
      </c>
      <c r="Z848" s="817"/>
      <c r="AA848" s="817"/>
      <c r="AB848" s="817" t="s">
        <v>17</v>
      </c>
      <c r="AC848" s="817" t="s">
        <v>7451</v>
      </c>
      <c r="AD848" s="2699"/>
      <c r="AG848" s="2711"/>
    </row>
    <row r="849" spans="1:33" ht="72.5" hidden="1" x14ac:dyDescent="0.35">
      <c r="A849" s="1899">
        <v>43918</v>
      </c>
      <c r="B849" s="2759">
        <v>25</v>
      </c>
      <c r="C849" s="7" t="s">
        <v>7515</v>
      </c>
      <c r="D849" s="2712" t="s">
        <v>10106</v>
      </c>
      <c r="E849" s="7" t="s">
        <v>7453</v>
      </c>
      <c r="F849" s="7">
        <v>1</v>
      </c>
      <c r="G849" s="7">
        <v>1</v>
      </c>
      <c r="H849" s="7"/>
      <c r="I849" s="7"/>
      <c r="J849" s="7"/>
      <c r="K849" s="7"/>
      <c r="L849" s="7"/>
      <c r="M849" s="7"/>
      <c r="N849" s="7"/>
      <c r="O849" s="7"/>
      <c r="P849" s="1899">
        <v>43939</v>
      </c>
      <c r="Q849" s="1899"/>
      <c r="R849" s="881" t="s">
        <v>7510</v>
      </c>
      <c r="S849" s="881"/>
      <c r="T849" s="836" t="s">
        <v>15</v>
      </c>
      <c r="U849" s="2694">
        <v>0.56458333333333333</v>
      </c>
      <c r="V849" s="836" t="s">
        <v>3213</v>
      </c>
      <c r="W849" s="1630">
        <v>100</v>
      </c>
      <c r="X849" s="7" t="s">
        <v>257</v>
      </c>
      <c r="Y849" s="2772" t="s">
        <v>10808</v>
      </c>
      <c r="Z849" s="7"/>
      <c r="AA849" s="7"/>
      <c r="AB849" s="7" t="s">
        <v>17</v>
      </c>
      <c r="AC849" s="7" t="s">
        <v>7451</v>
      </c>
      <c r="AD849" s="2699"/>
      <c r="AG849" s="2711"/>
    </row>
    <row r="850" spans="1:33" ht="29" hidden="1" x14ac:dyDescent="0.35">
      <c r="A850" s="2828">
        <v>43931</v>
      </c>
      <c r="B850" s="2760">
        <v>26</v>
      </c>
      <c r="C850" s="817" t="s">
        <v>9092</v>
      </c>
      <c r="D850" s="2712" t="s">
        <v>9091</v>
      </c>
      <c r="E850" s="7" t="s">
        <v>8553</v>
      </c>
      <c r="F850" s="2682">
        <v>1</v>
      </c>
      <c r="G850" s="2682">
        <v>1</v>
      </c>
      <c r="H850" s="2682"/>
      <c r="I850" s="2682"/>
      <c r="J850" s="2682"/>
      <c r="K850" s="2682"/>
      <c r="L850" s="817"/>
      <c r="M850" s="817"/>
      <c r="N850" s="817"/>
      <c r="O850" s="817"/>
      <c r="P850" s="2828">
        <v>43939</v>
      </c>
      <c r="Q850" s="2828"/>
      <c r="R850" s="2829" t="s">
        <v>9093</v>
      </c>
      <c r="S850" s="2770"/>
      <c r="T850" s="2694" t="s">
        <v>15</v>
      </c>
      <c r="U850" s="2694">
        <v>0.57638888888888895</v>
      </c>
      <c r="V850" s="2694" t="s">
        <v>972</v>
      </c>
      <c r="W850" s="1956">
        <v>100</v>
      </c>
      <c r="X850" s="817" t="s">
        <v>8625</v>
      </c>
      <c r="Y850" s="2772" t="s">
        <v>10808</v>
      </c>
      <c r="Z850" s="817"/>
      <c r="AA850" s="817"/>
      <c r="AB850" s="817" t="s">
        <v>17</v>
      </c>
      <c r="AC850" s="817" t="s">
        <v>7451</v>
      </c>
      <c r="AD850" s="2700" t="s">
        <v>9091</v>
      </c>
      <c r="AG850" s="2711"/>
    </row>
    <row r="851" spans="1:33" ht="43.5" hidden="1" x14ac:dyDescent="0.35">
      <c r="A851" s="2486">
        <v>43924</v>
      </c>
      <c r="B851" s="2718">
        <v>27</v>
      </c>
      <c r="C851" s="7" t="s">
        <v>7937</v>
      </c>
      <c r="D851" s="2712" t="s">
        <v>10087</v>
      </c>
      <c r="E851" s="817" t="s">
        <v>7954</v>
      </c>
      <c r="F851" s="5">
        <v>3</v>
      </c>
      <c r="G851" s="5">
        <v>2</v>
      </c>
      <c r="H851" s="5">
        <v>1</v>
      </c>
      <c r="I851" s="5"/>
      <c r="J851" s="5"/>
      <c r="K851" s="5"/>
      <c r="L851" s="5"/>
      <c r="M851" s="5"/>
      <c r="N851" s="5"/>
      <c r="O851" s="5"/>
      <c r="P851" s="2486">
        <v>43939</v>
      </c>
      <c r="Q851" s="2486"/>
      <c r="R851" s="824" t="s">
        <v>7938</v>
      </c>
      <c r="S851" s="824"/>
      <c r="T851" s="6" t="s">
        <v>15</v>
      </c>
      <c r="U851" s="2694">
        <v>0.59583333333333333</v>
      </c>
      <c r="V851" s="2694" t="s">
        <v>3213</v>
      </c>
      <c r="W851" s="1956">
        <v>300</v>
      </c>
      <c r="X851" s="817" t="s">
        <v>6722</v>
      </c>
      <c r="Y851" s="2772" t="s">
        <v>10808</v>
      </c>
      <c r="Z851" s="817"/>
      <c r="AA851" s="817"/>
      <c r="AB851" s="817" t="s">
        <v>17</v>
      </c>
      <c r="AC851" s="817" t="s">
        <v>7451</v>
      </c>
      <c r="AD851" s="2699"/>
      <c r="AG851" s="2711"/>
    </row>
    <row r="852" spans="1:33" ht="29" hidden="1" x14ac:dyDescent="0.35">
      <c r="A852" s="1899">
        <v>43934</v>
      </c>
      <c r="B852" s="2759">
        <v>28</v>
      </c>
      <c r="C852" s="2789" t="s">
        <v>10398</v>
      </c>
      <c r="D852" s="2791" t="s">
        <v>10399</v>
      </c>
      <c r="E852" s="2789" t="s">
        <v>8553</v>
      </c>
      <c r="F852" s="7">
        <v>1</v>
      </c>
      <c r="G852" s="7">
        <v>1</v>
      </c>
      <c r="H852" s="7"/>
      <c r="I852" s="7"/>
      <c r="J852" s="7"/>
      <c r="K852" s="7"/>
      <c r="L852" s="817"/>
      <c r="M852" s="817"/>
      <c r="N852" s="817"/>
      <c r="O852" s="817"/>
      <c r="P852" s="2794">
        <v>43939</v>
      </c>
      <c r="Q852" s="2769"/>
      <c r="R852" s="2796" t="s">
        <v>10400</v>
      </c>
      <c r="S852" s="2770"/>
      <c r="T852" s="2799" t="s">
        <v>15</v>
      </c>
      <c r="U852" s="2694">
        <v>0.61388888888888882</v>
      </c>
      <c r="V852" s="836" t="s">
        <v>972</v>
      </c>
      <c r="W852" s="1630">
        <v>100</v>
      </c>
      <c r="X852" s="7" t="s">
        <v>3173</v>
      </c>
      <c r="Y852" s="2772" t="s">
        <v>10808</v>
      </c>
      <c r="Z852" s="7"/>
      <c r="AA852" s="7"/>
      <c r="AB852" s="7" t="s">
        <v>17</v>
      </c>
      <c r="AC852" s="7" t="s">
        <v>7451</v>
      </c>
      <c r="AD852" s="2696"/>
      <c r="AG852" s="2711"/>
    </row>
    <row r="853" spans="1:33" ht="43.5" hidden="1" x14ac:dyDescent="0.35">
      <c r="A853" s="2828">
        <v>43927</v>
      </c>
      <c r="B853" s="2760">
        <v>29</v>
      </c>
      <c r="C853" s="2787" t="s">
        <v>8241</v>
      </c>
      <c r="D853" s="2788" t="s">
        <v>10012</v>
      </c>
      <c r="E853" s="2787" t="s">
        <v>7935</v>
      </c>
      <c r="F853" s="5">
        <v>1</v>
      </c>
      <c r="G853" s="5">
        <v>1</v>
      </c>
      <c r="H853" s="5"/>
      <c r="I853" s="5"/>
      <c r="J853" s="5"/>
      <c r="K853" s="5"/>
      <c r="L853" s="817"/>
      <c r="M853" s="817"/>
      <c r="N853" s="817"/>
      <c r="O853" s="817"/>
      <c r="P853" s="2793">
        <v>43939</v>
      </c>
      <c r="Q853" s="2828"/>
      <c r="R853" s="2797" t="s">
        <v>8334</v>
      </c>
      <c r="S853" s="2770" t="s">
        <v>8154</v>
      </c>
      <c r="T853" s="2798" t="s">
        <v>15</v>
      </c>
      <c r="U853" s="2694">
        <v>0.62291666666666667</v>
      </c>
      <c r="V853" s="2694" t="s">
        <v>3213</v>
      </c>
      <c r="W853" s="1956">
        <v>100</v>
      </c>
      <c r="X853" s="817" t="s">
        <v>257</v>
      </c>
      <c r="Y853" s="2772" t="s">
        <v>10808</v>
      </c>
      <c r="Z853" s="817"/>
      <c r="AA853" s="817"/>
      <c r="AB853" s="817" t="s">
        <v>17</v>
      </c>
      <c r="AC853" s="817" t="s">
        <v>7451</v>
      </c>
      <c r="AD853" s="2699"/>
      <c r="AG853" s="2711"/>
    </row>
    <row r="854" spans="1:33" ht="43.5" hidden="1" x14ac:dyDescent="0.35">
      <c r="A854" s="1899">
        <v>43929</v>
      </c>
      <c r="B854" s="2759">
        <v>30</v>
      </c>
      <c r="C854" s="2789" t="s">
        <v>8760</v>
      </c>
      <c r="D854" s="2788" t="s">
        <v>10032</v>
      </c>
      <c r="E854" s="2787" t="s">
        <v>7935</v>
      </c>
      <c r="F854" s="2682">
        <v>1</v>
      </c>
      <c r="G854" s="2682">
        <v>1</v>
      </c>
      <c r="H854" s="2682"/>
      <c r="I854" s="2682"/>
      <c r="J854" s="2682"/>
      <c r="K854" s="2682"/>
      <c r="L854" s="817"/>
      <c r="M854" s="817"/>
      <c r="N854" s="817"/>
      <c r="O854" s="817"/>
      <c r="P854" s="2794">
        <v>43939</v>
      </c>
      <c r="Q854" s="1899"/>
      <c r="R854" s="2795" t="s">
        <v>8759</v>
      </c>
      <c r="S854" s="2829"/>
      <c r="T854" s="2799" t="s">
        <v>15</v>
      </c>
      <c r="U854" s="2694">
        <v>0.63194444444444442</v>
      </c>
      <c r="V854" s="2694" t="s">
        <v>972</v>
      </c>
      <c r="W854" s="1956">
        <v>100</v>
      </c>
      <c r="X854" s="836" t="s">
        <v>8753</v>
      </c>
      <c r="Y854" s="2772" t="s">
        <v>10808</v>
      </c>
      <c r="Z854" s="817"/>
      <c r="AA854" s="817"/>
      <c r="AB854" s="7" t="s">
        <v>17</v>
      </c>
      <c r="AC854" s="817" t="s">
        <v>7451</v>
      </c>
      <c r="AD854" s="2700"/>
      <c r="AG854" s="2711"/>
    </row>
    <row r="855" spans="1:33" ht="29" hidden="1" x14ac:dyDescent="0.35">
      <c r="A855" s="2486">
        <v>43928</v>
      </c>
      <c r="B855" s="2718">
        <v>31</v>
      </c>
      <c r="C855" s="2789" t="s">
        <v>8408</v>
      </c>
      <c r="D855" s="2788" t="s">
        <v>10090</v>
      </c>
      <c r="E855" s="2789" t="s">
        <v>8149</v>
      </c>
      <c r="F855" s="2679">
        <v>1</v>
      </c>
      <c r="G855" s="5">
        <v>1</v>
      </c>
      <c r="H855" s="5"/>
      <c r="I855" s="5"/>
      <c r="J855" s="5"/>
      <c r="K855" s="5"/>
      <c r="L855" s="817"/>
      <c r="M855" s="817"/>
      <c r="N855" s="817"/>
      <c r="O855" s="817"/>
      <c r="P855" s="2794">
        <v>43939</v>
      </c>
      <c r="Q855" s="2486"/>
      <c r="R855" s="2795" t="s">
        <v>8407</v>
      </c>
      <c r="S855" s="2770"/>
      <c r="T855" s="2799" t="s">
        <v>15</v>
      </c>
      <c r="U855" s="2694">
        <v>0.64583333333333337</v>
      </c>
      <c r="V855" s="2694" t="s">
        <v>972</v>
      </c>
      <c r="W855" s="1956">
        <v>100</v>
      </c>
      <c r="X855" s="836" t="s">
        <v>257</v>
      </c>
      <c r="Y855" s="2772" t="s">
        <v>10808</v>
      </c>
      <c r="Z855" s="817"/>
      <c r="AA855" s="817"/>
      <c r="AB855" s="7" t="s">
        <v>17</v>
      </c>
      <c r="AC855" s="817" t="s">
        <v>7451</v>
      </c>
      <c r="AD855" s="2699"/>
      <c r="AG855" s="2711"/>
    </row>
    <row r="856" spans="1:33" ht="29" hidden="1" x14ac:dyDescent="0.35">
      <c r="A856" s="1899">
        <v>43932</v>
      </c>
      <c r="B856" s="2759">
        <v>1</v>
      </c>
      <c r="C856" s="7" t="s">
        <v>9477</v>
      </c>
      <c r="D856" s="2707" t="s">
        <v>9478</v>
      </c>
      <c r="E856" s="7" t="s">
        <v>9480</v>
      </c>
      <c r="F856" s="2682">
        <v>1</v>
      </c>
      <c r="G856" s="2682"/>
      <c r="H856" s="2682"/>
      <c r="I856" s="2682">
        <v>1</v>
      </c>
      <c r="J856" s="2682"/>
      <c r="K856" s="2682"/>
      <c r="L856" s="817"/>
      <c r="M856" s="817"/>
      <c r="N856" s="817"/>
      <c r="O856" s="817"/>
      <c r="P856" s="1899">
        <v>43939</v>
      </c>
      <c r="Q856" s="2828"/>
      <c r="R856" s="881" t="s">
        <v>9479</v>
      </c>
      <c r="S856" s="2829"/>
      <c r="T856" s="836" t="s">
        <v>15</v>
      </c>
      <c r="U856" s="2694">
        <v>0.31527777777777777</v>
      </c>
      <c r="V856" s="836" t="s">
        <v>972</v>
      </c>
      <c r="W856" s="2681">
        <v>100</v>
      </c>
      <c r="X856" s="817" t="s">
        <v>2900</v>
      </c>
      <c r="Y856" s="2772" t="s">
        <v>10475</v>
      </c>
      <c r="Z856" s="817"/>
      <c r="AA856" s="817"/>
      <c r="AB856" s="817" t="s">
        <v>17</v>
      </c>
      <c r="AC856" s="817" t="s">
        <v>7451</v>
      </c>
      <c r="AD856" s="2695"/>
      <c r="AG856" s="2711"/>
    </row>
    <row r="857" spans="1:33" ht="58" hidden="1" x14ac:dyDescent="0.35">
      <c r="A857" s="2486">
        <v>43929</v>
      </c>
      <c r="B857" s="2718">
        <v>2</v>
      </c>
      <c r="C857" s="5" t="s">
        <v>8717</v>
      </c>
      <c r="D857" s="2712" t="s">
        <v>10085</v>
      </c>
      <c r="E857" s="7" t="s">
        <v>8622</v>
      </c>
      <c r="F857" s="2686">
        <v>1</v>
      </c>
      <c r="G857" s="2682">
        <v>1</v>
      </c>
      <c r="H857" s="2682"/>
      <c r="I857" s="2682"/>
      <c r="J857" s="2682"/>
      <c r="K857" s="2682"/>
      <c r="L857" s="817"/>
      <c r="M857" s="817"/>
      <c r="N857" s="817"/>
      <c r="O857" s="817"/>
      <c r="P857" s="2486">
        <v>43939</v>
      </c>
      <c r="Q857" s="2486"/>
      <c r="R857" s="824" t="s">
        <v>8718</v>
      </c>
      <c r="S857" s="2770"/>
      <c r="T857" s="6" t="s">
        <v>15</v>
      </c>
      <c r="U857" s="2694">
        <v>0.32291666666666669</v>
      </c>
      <c r="V857" s="2694" t="s">
        <v>972</v>
      </c>
      <c r="W857" s="1956">
        <v>100</v>
      </c>
      <c r="X857" s="836" t="s">
        <v>8625</v>
      </c>
      <c r="Y857" s="2772" t="s">
        <v>10475</v>
      </c>
      <c r="Z857" s="817"/>
      <c r="AA857" s="817"/>
      <c r="AB857" s="7" t="s">
        <v>17</v>
      </c>
      <c r="AC857" s="817" t="s">
        <v>7451</v>
      </c>
      <c r="AD857" s="2700"/>
      <c r="AG857" s="2711"/>
    </row>
    <row r="858" spans="1:33" ht="58" hidden="1" x14ac:dyDescent="0.35">
      <c r="A858" s="2828">
        <v>43920</v>
      </c>
      <c r="B858" s="2760">
        <v>3</v>
      </c>
      <c r="C858" s="817" t="s">
        <v>7582</v>
      </c>
      <c r="D858" s="2712" t="s">
        <v>10154</v>
      </c>
      <c r="E858" s="817" t="s">
        <v>7581</v>
      </c>
      <c r="F858" s="817">
        <v>1</v>
      </c>
      <c r="G858" s="817">
        <v>2</v>
      </c>
      <c r="H858" s="817"/>
      <c r="I858" s="817"/>
      <c r="J858" s="817"/>
      <c r="K858" s="817"/>
      <c r="L858" s="817"/>
      <c r="M858" s="817"/>
      <c r="N858" s="817"/>
      <c r="O858" s="817"/>
      <c r="P858" s="2828">
        <v>43939</v>
      </c>
      <c r="Q858" s="2828"/>
      <c r="R858" s="2829" t="s">
        <v>7465</v>
      </c>
      <c r="S858" s="2829"/>
      <c r="T858" s="2694" t="s">
        <v>15</v>
      </c>
      <c r="U858" s="2694">
        <v>0.33124999999999999</v>
      </c>
      <c r="V858" s="2694" t="s">
        <v>972</v>
      </c>
      <c r="W858" s="1956">
        <v>165</v>
      </c>
      <c r="X858" s="817" t="s">
        <v>257</v>
      </c>
      <c r="Y858" s="2772" t="s">
        <v>10475</v>
      </c>
      <c r="Z858" s="817"/>
      <c r="AA858" s="817"/>
      <c r="AB858" s="817" t="s">
        <v>17</v>
      </c>
      <c r="AC858" s="817" t="s">
        <v>7451</v>
      </c>
      <c r="AD858" s="2699"/>
      <c r="AG858" s="2711"/>
    </row>
    <row r="859" spans="1:33" ht="43.5" hidden="1" x14ac:dyDescent="0.35">
      <c r="A859" s="2828">
        <v>43928</v>
      </c>
      <c r="B859" s="2760">
        <v>4</v>
      </c>
      <c r="C859" s="817" t="s">
        <v>8399</v>
      </c>
      <c r="D859" s="2712" t="s">
        <v>10059</v>
      </c>
      <c r="E859" s="817" t="s">
        <v>7935</v>
      </c>
      <c r="F859" s="2678">
        <v>1</v>
      </c>
      <c r="G859" s="2669">
        <v>1</v>
      </c>
      <c r="H859" s="2669"/>
      <c r="I859" s="2669"/>
      <c r="J859" s="2669"/>
      <c r="K859" s="2669"/>
      <c r="L859" s="817"/>
      <c r="M859" s="817"/>
      <c r="N859" s="817"/>
      <c r="O859" s="817"/>
      <c r="P859" s="2828">
        <v>43939</v>
      </c>
      <c r="Q859" s="2769"/>
      <c r="R859" s="2829" t="s">
        <v>8400</v>
      </c>
      <c r="S859" s="2770"/>
      <c r="T859" s="2694" t="s">
        <v>15</v>
      </c>
      <c r="U859" s="2694">
        <v>0.34236111111111112</v>
      </c>
      <c r="V859" s="2694" t="s">
        <v>3213</v>
      </c>
      <c r="W859" s="1956">
        <v>100</v>
      </c>
      <c r="X859" s="817" t="s">
        <v>8268</v>
      </c>
      <c r="Y859" s="2772" t="s">
        <v>10475</v>
      </c>
      <c r="Z859" s="817"/>
      <c r="AA859" s="817"/>
      <c r="AB859" s="817" t="s">
        <v>17</v>
      </c>
      <c r="AC859" s="817" t="s">
        <v>7451</v>
      </c>
      <c r="AD859" s="2699"/>
      <c r="AG859" s="2711"/>
    </row>
    <row r="860" spans="1:33" ht="29" hidden="1" x14ac:dyDescent="0.35">
      <c r="A860" s="1899">
        <v>43932</v>
      </c>
      <c r="B860" s="2759">
        <v>5</v>
      </c>
      <c r="C860" s="817" t="s">
        <v>9576</v>
      </c>
      <c r="D860" s="2700" t="s">
        <v>9577</v>
      </c>
      <c r="E860" s="7" t="s">
        <v>8553</v>
      </c>
      <c r="F860" s="5">
        <v>1</v>
      </c>
      <c r="G860" s="5">
        <v>1</v>
      </c>
      <c r="H860" s="5"/>
      <c r="I860" s="5"/>
      <c r="J860" s="5"/>
      <c r="K860" s="5"/>
      <c r="L860" s="817"/>
      <c r="M860" s="817"/>
      <c r="N860" s="817"/>
      <c r="O860" s="817"/>
      <c r="P860" s="2828">
        <v>43939</v>
      </c>
      <c r="Q860" s="2769"/>
      <c r="R860" s="2706" t="s">
        <v>9578</v>
      </c>
      <c r="S860" s="2770"/>
      <c r="T860" s="836" t="s">
        <v>15</v>
      </c>
      <c r="U860" s="2694">
        <v>0.35000000000000003</v>
      </c>
      <c r="V860" s="836" t="s">
        <v>972</v>
      </c>
      <c r="W860" s="1956">
        <v>100</v>
      </c>
      <c r="X860" s="817" t="s">
        <v>8625</v>
      </c>
      <c r="Y860" s="2772" t="s">
        <v>10475</v>
      </c>
      <c r="Z860" s="817"/>
      <c r="AA860" s="817"/>
      <c r="AB860" s="817" t="s">
        <v>17</v>
      </c>
      <c r="AC860" s="817" t="s">
        <v>7451</v>
      </c>
      <c r="AD860" s="2696"/>
      <c r="AG860" s="2711"/>
    </row>
    <row r="861" spans="1:33" ht="43.5" hidden="1" x14ac:dyDescent="0.35">
      <c r="A861" s="1899">
        <v>43932</v>
      </c>
      <c r="B861" s="2759">
        <v>6</v>
      </c>
      <c r="C861" s="817" t="s">
        <v>9589</v>
      </c>
      <c r="D861" s="2700" t="s">
        <v>9590</v>
      </c>
      <c r="E861" s="7" t="s">
        <v>8553</v>
      </c>
      <c r="F861" s="5">
        <v>1</v>
      </c>
      <c r="G861" s="5">
        <v>1</v>
      </c>
      <c r="H861" s="5"/>
      <c r="I861" s="5"/>
      <c r="J861" s="5"/>
      <c r="K861" s="5"/>
      <c r="L861" s="817"/>
      <c r="M861" s="817"/>
      <c r="N861" s="817"/>
      <c r="O861" s="817"/>
      <c r="P861" s="2828">
        <v>43939</v>
      </c>
      <c r="Q861" s="2828"/>
      <c r="R861" s="2829" t="s">
        <v>9591</v>
      </c>
      <c r="S861" s="2770"/>
      <c r="T861" s="836" t="s">
        <v>15</v>
      </c>
      <c r="U861" s="2694">
        <v>0.35833333333333334</v>
      </c>
      <c r="V861" s="836" t="s">
        <v>972</v>
      </c>
      <c r="W861" s="1956">
        <v>100</v>
      </c>
      <c r="X861" s="817" t="s">
        <v>8625</v>
      </c>
      <c r="Y861" s="2772" t="s">
        <v>10475</v>
      </c>
      <c r="Z861" s="817"/>
      <c r="AA861" s="817"/>
      <c r="AB861" s="817" t="s">
        <v>17</v>
      </c>
      <c r="AC861" s="817" t="s">
        <v>7451</v>
      </c>
      <c r="AD861" s="2696"/>
      <c r="AG861" s="2711"/>
    </row>
    <row r="862" spans="1:33" ht="72.5" hidden="1" x14ac:dyDescent="0.35">
      <c r="A862" s="1899">
        <v>43918</v>
      </c>
      <c r="B862" s="2759">
        <v>7</v>
      </c>
      <c r="C862" s="7" t="s">
        <v>7522</v>
      </c>
      <c r="D862" s="2712" t="s">
        <v>10071</v>
      </c>
      <c r="E862" s="7" t="s">
        <v>7506</v>
      </c>
      <c r="F862" s="7">
        <v>1</v>
      </c>
      <c r="G862" s="7">
        <v>1</v>
      </c>
      <c r="H862" s="7"/>
      <c r="I862" s="7"/>
      <c r="J862" s="7"/>
      <c r="K862" s="7"/>
      <c r="L862" s="7"/>
      <c r="M862" s="7"/>
      <c r="N862" s="7"/>
      <c r="O862" s="7"/>
      <c r="P862" s="1899">
        <v>43939</v>
      </c>
      <c r="Q862" s="1899"/>
      <c r="R862" s="881" t="s">
        <v>7509</v>
      </c>
      <c r="S862" s="881"/>
      <c r="T862" s="836" t="s">
        <v>15</v>
      </c>
      <c r="U862" s="2694">
        <v>0.36944444444444446</v>
      </c>
      <c r="V862" s="836" t="s">
        <v>972</v>
      </c>
      <c r="W862" s="1630">
        <v>100</v>
      </c>
      <c r="X862" s="836" t="s">
        <v>257</v>
      </c>
      <c r="Y862" s="2772" t="s">
        <v>10475</v>
      </c>
      <c r="Z862" s="836"/>
      <c r="AA862" s="836"/>
      <c r="AB862" s="7" t="s">
        <v>17</v>
      </c>
      <c r="AC862" s="7" t="s">
        <v>7451</v>
      </c>
      <c r="AD862" s="2699"/>
      <c r="AG862" s="2711"/>
    </row>
    <row r="863" spans="1:33" ht="58" hidden="1" x14ac:dyDescent="0.35">
      <c r="A863" s="1899">
        <v>43932</v>
      </c>
      <c r="B863" s="2759">
        <v>8</v>
      </c>
      <c r="C863" s="7" t="s">
        <v>9514</v>
      </c>
      <c r="D863" s="2707" t="s">
        <v>9515</v>
      </c>
      <c r="E863" s="7" t="s">
        <v>8553</v>
      </c>
      <c r="F863" s="5">
        <v>1</v>
      </c>
      <c r="G863" s="5">
        <v>1</v>
      </c>
      <c r="H863" s="5"/>
      <c r="I863" s="5"/>
      <c r="J863" s="5"/>
      <c r="K863" s="5"/>
      <c r="L863" s="817"/>
      <c r="M863" s="817"/>
      <c r="N863" s="817"/>
      <c r="O863" s="817"/>
      <c r="P863" s="1899">
        <v>43939</v>
      </c>
      <c r="Q863" s="2769"/>
      <c r="R863" s="881" t="s">
        <v>9516</v>
      </c>
      <c r="S863" s="2770"/>
      <c r="T863" s="836" t="s">
        <v>15</v>
      </c>
      <c r="U863" s="2694">
        <v>0.37986111111111115</v>
      </c>
      <c r="V863" s="836" t="s">
        <v>972</v>
      </c>
      <c r="W863" s="2681">
        <v>100</v>
      </c>
      <c r="X863" s="817" t="s">
        <v>2900</v>
      </c>
      <c r="Y863" s="2772" t="s">
        <v>10475</v>
      </c>
      <c r="Z863" s="817"/>
      <c r="AA863" s="817"/>
      <c r="AB863" s="817" t="s">
        <v>17</v>
      </c>
      <c r="AC863" s="817" t="s">
        <v>7451</v>
      </c>
      <c r="AD863" s="2696"/>
      <c r="AG863" s="2711"/>
    </row>
    <row r="864" spans="1:33" ht="58" hidden="1" x14ac:dyDescent="0.35">
      <c r="A864" s="1899">
        <v>43928</v>
      </c>
      <c r="B864" s="2759">
        <v>9</v>
      </c>
      <c r="C864" s="7" t="s">
        <v>8373</v>
      </c>
      <c r="D864" s="2712" t="s">
        <v>10015</v>
      </c>
      <c r="E864" s="7" t="s">
        <v>8532</v>
      </c>
      <c r="F864" s="2684">
        <v>3</v>
      </c>
      <c r="G864" s="2661">
        <v>3</v>
      </c>
      <c r="H864" s="2661">
        <v>1</v>
      </c>
      <c r="I864" s="2661"/>
      <c r="J864" s="2661"/>
      <c r="K864" s="2661"/>
      <c r="L864" s="817"/>
      <c r="M864" s="817"/>
      <c r="N864" s="817"/>
      <c r="O864" s="817"/>
      <c r="P864" s="1899">
        <v>43939</v>
      </c>
      <c r="Q864" s="1899"/>
      <c r="R864" s="881" t="s">
        <v>8374</v>
      </c>
      <c r="S864" s="2770"/>
      <c r="T864" s="836" t="s">
        <v>15</v>
      </c>
      <c r="U864" s="2694">
        <v>0.38819444444444445</v>
      </c>
      <c r="V864" s="2694" t="s">
        <v>972</v>
      </c>
      <c r="W864" s="2660">
        <v>350</v>
      </c>
      <c r="X864" s="2694" t="s">
        <v>257</v>
      </c>
      <c r="Y864" s="2772" t="s">
        <v>10475</v>
      </c>
      <c r="Z864" s="817"/>
      <c r="AA864" s="817"/>
      <c r="AB864" s="817" t="s">
        <v>17</v>
      </c>
      <c r="AC864" s="817" t="s">
        <v>7451</v>
      </c>
      <c r="AD864" s="2696" t="s">
        <v>1710</v>
      </c>
      <c r="AG864" s="2711"/>
    </row>
    <row r="865" spans="1:33" ht="43.5" hidden="1" x14ac:dyDescent="0.35">
      <c r="A865" s="1899">
        <v>43933</v>
      </c>
      <c r="B865" s="2759">
        <v>10</v>
      </c>
      <c r="C865" s="7" t="s">
        <v>10265</v>
      </c>
      <c r="D865" s="2707" t="s">
        <v>10266</v>
      </c>
      <c r="E865" s="7" t="s">
        <v>8553</v>
      </c>
      <c r="F865" s="2692">
        <v>1</v>
      </c>
      <c r="G865" s="2692">
        <v>1</v>
      </c>
      <c r="H865" s="2692"/>
      <c r="I865" s="2692"/>
      <c r="J865" s="2692"/>
      <c r="K865" s="2692"/>
      <c r="L865" s="817"/>
      <c r="M865" s="817"/>
      <c r="N865" s="817"/>
      <c r="O865" s="817"/>
      <c r="P865" s="1899">
        <v>43939</v>
      </c>
      <c r="Q865" s="2769"/>
      <c r="R865" s="2708" t="s">
        <v>10267</v>
      </c>
      <c r="S865" s="2770"/>
      <c r="T865" s="836" t="s">
        <v>15</v>
      </c>
      <c r="U865" s="2694">
        <v>0.39652777777777781</v>
      </c>
      <c r="V865" s="836" t="s">
        <v>972</v>
      </c>
      <c r="W865" s="1956">
        <v>100</v>
      </c>
      <c r="X865" s="817" t="s">
        <v>8625</v>
      </c>
      <c r="Y865" s="2772" t="s">
        <v>10475</v>
      </c>
      <c r="Z865" s="817"/>
      <c r="AA865" s="817"/>
      <c r="AB865" s="817" t="s">
        <v>17</v>
      </c>
      <c r="AC865" s="817" t="s">
        <v>7451</v>
      </c>
      <c r="AD865" s="2695"/>
      <c r="AG865" s="2711"/>
    </row>
    <row r="866" spans="1:33" ht="29" hidden="1" x14ac:dyDescent="0.35">
      <c r="A866" s="2769">
        <v>43929</v>
      </c>
      <c r="B866" s="2760">
        <v>11</v>
      </c>
      <c r="C866" s="817" t="s">
        <v>8672</v>
      </c>
      <c r="D866" s="2712" t="s">
        <v>10019</v>
      </c>
      <c r="E866" s="7" t="s">
        <v>8622</v>
      </c>
      <c r="F866" s="5">
        <v>1</v>
      </c>
      <c r="G866" s="5">
        <v>1</v>
      </c>
      <c r="H866" s="5"/>
      <c r="I866" s="5"/>
      <c r="J866" s="5"/>
      <c r="K866" s="5"/>
      <c r="L866" s="817"/>
      <c r="M866" s="817"/>
      <c r="N866" s="817"/>
      <c r="O866" s="817"/>
      <c r="P866" s="2769">
        <v>43939</v>
      </c>
      <c r="Q866" s="2769"/>
      <c r="R866" s="2770" t="s">
        <v>8671</v>
      </c>
      <c r="S866" s="2770"/>
      <c r="T866" s="2694" t="s">
        <v>15</v>
      </c>
      <c r="U866" s="2694">
        <v>0.40416666666666662</v>
      </c>
      <c r="V866" s="2694" t="s">
        <v>972</v>
      </c>
      <c r="W866" s="2681">
        <v>100</v>
      </c>
      <c r="X866" s="836" t="s">
        <v>257</v>
      </c>
      <c r="Y866" s="2772" t="s">
        <v>10475</v>
      </c>
      <c r="Z866" s="817"/>
      <c r="AA866" s="817"/>
      <c r="AB866" s="7" t="s">
        <v>17</v>
      </c>
      <c r="AC866" s="817" t="s">
        <v>7451</v>
      </c>
      <c r="AD866" s="2696"/>
      <c r="AG866" s="2711"/>
    </row>
    <row r="867" spans="1:33" ht="29" hidden="1" x14ac:dyDescent="0.35">
      <c r="A867" s="2486">
        <v>43938</v>
      </c>
      <c r="B867" s="2760">
        <v>12</v>
      </c>
      <c r="C867" s="2792" t="s">
        <v>10475</v>
      </c>
      <c r="D867" s="2790" t="s">
        <v>10844</v>
      </c>
      <c r="E867" s="2789" t="s">
        <v>10841</v>
      </c>
      <c r="F867" s="2741">
        <v>1</v>
      </c>
      <c r="G867" s="2741"/>
      <c r="H867" s="2741"/>
      <c r="I867" s="2741"/>
      <c r="J867" s="2741"/>
      <c r="K867" s="5"/>
      <c r="L867" s="817"/>
      <c r="M867" s="817"/>
      <c r="N867" s="817"/>
      <c r="O867" s="817"/>
      <c r="P867" s="2794">
        <v>43939</v>
      </c>
      <c r="Q867" s="2769"/>
      <c r="R867" s="2796" t="s">
        <v>10845</v>
      </c>
      <c r="S867" s="2770"/>
      <c r="T867" s="2799" t="s">
        <v>15</v>
      </c>
      <c r="U867" s="2694">
        <v>0.41111111111111115</v>
      </c>
      <c r="V867" s="2771"/>
      <c r="W867" s="2742">
        <v>65</v>
      </c>
      <c r="X867" s="2694" t="s">
        <v>10846</v>
      </c>
      <c r="Y867" s="2772" t="s">
        <v>10475</v>
      </c>
      <c r="Z867" s="2694"/>
      <c r="AA867" s="2694"/>
      <c r="AB867" s="2744"/>
      <c r="AC867" s="2744"/>
      <c r="AD867" s="2739"/>
      <c r="AG867" s="2711"/>
    </row>
    <row r="868" spans="1:33" ht="58" hidden="1" x14ac:dyDescent="0.35">
      <c r="A868" s="2828">
        <v>43924</v>
      </c>
      <c r="B868" s="2760">
        <v>13</v>
      </c>
      <c r="C868" s="817" t="s">
        <v>7857</v>
      </c>
      <c r="D868" s="2712" t="s">
        <v>10034</v>
      </c>
      <c r="E868" s="817" t="s">
        <v>7829</v>
      </c>
      <c r="F868" s="817">
        <v>1</v>
      </c>
      <c r="G868" s="817">
        <v>1</v>
      </c>
      <c r="H868" s="817"/>
      <c r="I868" s="817"/>
      <c r="J868" s="817"/>
      <c r="K868" s="817"/>
      <c r="L868" s="817"/>
      <c r="M868" s="817"/>
      <c r="N868" s="817"/>
      <c r="O868" s="817"/>
      <c r="P868" s="2769">
        <v>43939</v>
      </c>
      <c r="Q868" s="2769"/>
      <c r="R868" s="2770" t="s">
        <v>7856</v>
      </c>
      <c r="S868" s="2770"/>
      <c r="T868" s="2694" t="s">
        <v>15</v>
      </c>
      <c r="U868" s="2694">
        <v>0.4201388888888889</v>
      </c>
      <c r="V868" s="2694" t="s">
        <v>972</v>
      </c>
      <c r="W868" s="1956">
        <v>100</v>
      </c>
      <c r="X868" s="817" t="s">
        <v>7634</v>
      </c>
      <c r="Y868" s="2772" t="s">
        <v>10475</v>
      </c>
      <c r="Z868" s="817"/>
      <c r="AA868" s="817"/>
      <c r="AB868" s="817" t="s">
        <v>17</v>
      </c>
      <c r="AC868" s="817" t="s">
        <v>7451</v>
      </c>
      <c r="AD868" s="2699"/>
      <c r="AG868" s="2711"/>
    </row>
    <row r="869" spans="1:33" ht="43.5" hidden="1" x14ac:dyDescent="0.35">
      <c r="A869" s="2828">
        <v>43931</v>
      </c>
      <c r="B869" s="2760">
        <v>14</v>
      </c>
      <c r="C869" s="817" t="s">
        <v>9170</v>
      </c>
      <c r="D869" s="2712" t="s">
        <v>9169</v>
      </c>
      <c r="E869" s="7" t="s">
        <v>7935</v>
      </c>
      <c r="F869" s="2682">
        <v>1</v>
      </c>
      <c r="G869" s="2682">
        <v>1</v>
      </c>
      <c r="H869" s="2682"/>
      <c r="I869" s="2682"/>
      <c r="J869" s="2682"/>
      <c r="K869" s="2682"/>
      <c r="L869" s="817"/>
      <c r="M869" s="817"/>
      <c r="N869" s="817"/>
      <c r="O869" s="817"/>
      <c r="P869" s="2828">
        <v>43939</v>
      </c>
      <c r="Q869" s="2828"/>
      <c r="R869" s="2829" t="s">
        <v>9171</v>
      </c>
      <c r="S869" s="2829"/>
      <c r="T869" s="2694" t="s">
        <v>15</v>
      </c>
      <c r="U869" s="2694">
        <v>0.43055555555555558</v>
      </c>
      <c r="V869" s="2694" t="s">
        <v>972</v>
      </c>
      <c r="W869" s="2681">
        <v>100</v>
      </c>
      <c r="X869" s="817" t="s">
        <v>2900</v>
      </c>
      <c r="Y869" s="2772" t="s">
        <v>10475</v>
      </c>
      <c r="Z869" s="817"/>
      <c r="AA869" s="817"/>
      <c r="AB869" s="817" t="s">
        <v>17</v>
      </c>
      <c r="AC869" s="817" t="s">
        <v>7451</v>
      </c>
      <c r="AD869" s="2700" t="s">
        <v>9169</v>
      </c>
      <c r="AG869" s="2711"/>
    </row>
    <row r="870" spans="1:33" ht="43.5" hidden="1" x14ac:dyDescent="0.35">
      <c r="A870" s="2828">
        <v>43931</v>
      </c>
      <c r="B870" s="2760">
        <v>15</v>
      </c>
      <c r="C870" s="817" t="s">
        <v>9219</v>
      </c>
      <c r="D870" s="2712" t="s">
        <v>9218</v>
      </c>
      <c r="E870" s="7" t="s">
        <v>8553</v>
      </c>
      <c r="F870" s="2682">
        <v>1</v>
      </c>
      <c r="G870" s="2682">
        <v>1</v>
      </c>
      <c r="H870" s="2682"/>
      <c r="I870" s="2682"/>
      <c r="J870" s="2682"/>
      <c r="K870" s="2682"/>
      <c r="L870" s="817"/>
      <c r="M870" s="817"/>
      <c r="N870" s="817"/>
      <c r="O870" s="817"/>
      <c r="P870" s="2828">
        <v>43939</v>
      </c>
      <c r="Q870" s="2769"/>
      <c r="R870" s="2829" t="s">
        <v>9220</v>
      </c>
      <c r="S870" s="2770"/>
      <c r="T870" s="2694" t="s">
        <v>15</v>
      </c>
      <c r="U870" s="2694">
        <v>0.43958333333333338</v>
      </c>
      <c r="V870" s="2694" t="s">
        <v>972</v>
      </c>
      <c r="W870" s="1956">
        <v>100</v>
      </c>
      <c r="X870" s="817" t="s">
        <v>8625</v>
      </c>
      <c r="Y870" s="2772" t="s">
        <v>10475</v>
      </c>
      <c r="Z870" s="817"/>
      <c r="AA870" s="817"/>
      <c r="AB870" s="817" t="s">
        <v>17</v>
      </c>
      <c r="AC870" s="817" t="s">
        <v>7451</v>
      </c>
      <c r="AD870" s="2700" t="s">
        <v>9218</v>
      </c>
      <c r="AG870" s="2711"/>
    </row>
    <row r="871" spans="1:33" ht="29" hidden="1" x14ac:dyDescent="0.35">
      <c r="A871" s="2828">
        <v>43926</v>
      </c>
      <c r="B871" s="2760">
        <v>16</v>
      </c>
      <c r="C871" s="2828" t="s">
        <v>8138</v>
      </c>
      <c r="D871" s="2712" t="s">
        <v>10100</v>
      </c>
      <c r="E871" s="817" t="s">
        <v>7935</v>
      </c>
      <c r="F871" s="817">
        <v>1</v>
      </c>
      <c r="G871" s="817">
        <v>1</v>
      </c>
      <c r="H871" s="817"/>
      <c r="I871" s="817"/>
      <c r="J871" s="817"/>
      <c r="K871" s="817"/>
      <c r="L871" s="817"/>
      <c r="M871" s="817"/>
      <c r="N871" s="817"/>
      <c r="O871" s="817"/>
      <c r="P871" s="2828">
        <v>43939</v>
      </c>
      <c r="Q871" s="2828"/>
      <c r="R871" s="817" t="s">
        <v>8139</v>
      </c>
      <c r="S871" s="817"/>
      <c r="T871" s="2694" t="s">
        <v>15</v>
      </c>
      <c r="U871" s="2694">
        <v>0.44861111111111113</v>
      </c>
      <c r="V871" s="2694" t="s">
        <v>3213</v>
      </c>
      <c r="W871" s="1956">
        <v>100</v>
      </c>
      <c r="X871" s="817" t="s">
        <v>7424</v>
      </c>
      <c r="Y871" s="2772" t="s">
        <v>10475</v>
      </c>
      <c r="Z871" s="817"/>
      <c r="AA871" s="817"/>
      <c r="AB871" s="817" t="s">
        <v>17</v>
      </c>
      <c r="AC871" s="817" t="s">
        <v>7451</v>
      </c>
      <c r="AD871" s="2699"/>
      <c r="AG871" s="2711"/>
    </row>
    <row r="872" spans="1:33" ht="87" hidden="1" x14ac:dyDescent="0.35">
      <c r="A872" s="2828">
        <v>43916</v>
      </c>
      <c r="B872" s="2760">
        <v>17</v>
      </c>
      <c r="C872" s="817" t="s">
        <v>7518</v>
      </c>
      <c r="D872" s="2712" t="s">
        <v>10123</v>
      </c>
      <c r="E872" s="817" t="s">
        <v>7460</v>
      </c>
      <c r="F872" s="817">
        <v>1</v>
      </c>
      <c r="G872" s="817"/>
      <c r="H872" s="817"/>
      <c r="I872" s="817">
        <v>1</v>
      </c>
      <c r="J872" s="817"/>
      <c r="K872" s="817"/>
      <c r="L872" s="817"/>
      <c r="M872" s="817"/>
      <c r="N872" s="817"/>
      <c r="O872" s="817"/>
      <c r="P872" s="2828">
        <v>43939</v>
      </c>
      <c r="Q872" s="2769"/>
      <c r="R872" s="2829" t="s">
        <v>7461</v>
      </c>
      <c r="S872" s="2770"/>
      <c r="T872" s="2694" t="s">
        <v>15</v>
      </c>
      <c r="U872" s="2694">
        <v>0.46180555555555558</v>
      </c>
      <c r="V872" s="2694" t="s">
        <v>972</v>
      </c>
      <c r="W872" s="1956">
        <v>100</v>
      </c>
      <c r="X872" s="817" t="s">
        <v>7476</v>
      </c>
      <c r="Y872" s="2772" t="s">
        <v>10475</v>
      </c>
      <c r="Z872" s="817"/>
      <c r="AA872" s="817"/>
      <c r="AB872" s="817" t="s">
        <v>17</v>
      </c>
      <c r="AC872" s="817" t="s">
        <v>7451</v>
      </c>
      <c r="AD872" s="2699"/>
      <c r="AG872" s="2711"/>
    </row>
    <row r="873" spans="1:33" ht="58" hidden="1" x14ac:dyDescent="0.35">
      <c r="A873" s="1899">
        <v>43932</v>
      </c>
      <c r="B873" s="2759">
        <v>18</v>
      </c>
      <c r="C873" s="7" t="s">
        <v>9553</v>
      </c>
      <c r="D873" s="2707" t="s">
        <v>9554</v>
      </c>
      <c r="E873" s="7" t="s">
        <v>8553</v>
      </c>
      <c r="F873" s="5">
        <v>1</v>
      </c>
      <c r="G873" s="5">
        <v>1</v>
      </c>
      <c r="H873" s="5"/>
      <c r="I873" s="5"/>
      <c r="J873" s="5"/>
      <c r="K873" s="5"/>
      <c r="L873" s="817"/>
      <c r="M873" s="817"/>
      <c r="N873" s="817"/>
      <c r="O873" s="817"/>
      <c r="P873" s="1899">
        <v>43939</v>
      </c>
      <c r="Q873" s="2769"/>
      <c r="R873" s="881" t="s">
        <v>9555</v>
      </c>
      <c r="S873" s="2770"/>
      <c r="T873" s="836" t="s">
        <v>15</v>
      </c>
      <c r="U873" s="2694">
        <v>0.47291666666666665</v>
      </c>
      <c r="V873" s="836" t="s">
        <v>972</v>
      </c>
      <c r="W873" s="1956">
        <v>100</v>
      </c>
      <c r="X873" s="817" t="s">
        <v>8625</v>
      </c>
      <c r="Y873" s="2772" t="s">
        <v>10475</v>
      </c>
      <c r="Z873" s="817"/>
      <c r="AA873" s="817"/>
      <c r="AB873" s="817" t="s">
        <v>17</v>
      </c>
      <c r="AC873" s="817" t="s">
        <v>7451</v>
      </c>
      <c r="AD873" s="2696"/>
      <c r="AG873" s="2711"/>
    </row>
    <row r="874" spans="1:33" ht="72.5" hidden="1" x14ac:dyDescent="0.35">
      <c r="A874" s="1899">
        <v>43918</v>
      </c>
      <c r="B874" s="2759">
        <v>19</v>
      </c>
      <c r="C874" s="7" t="s">
        <v>7523</v>
      </c>
      <c r="D874" s="2712" t="s">
        <v>10077</v>
      </c>
      <c r="E874" s="7" t="s">
        <v>7506</v>
      </c>
      <c r="F874" s="7">
        <v>1</v>
      </c>
      <c r="G874" s="7">
        <v>1</v>
      </c>
      <c r="H874" s="7"/>
      <c r="I874" s="7"/>
      <c r="J874" s="7"/>
      <c r="K874" s="7"/>
      <c r="L874" s="7"/>
      <c r="M874" s="7"/>
      <c r="N874" s="7"/>
      <c r="O874" s="7"/>
      <c r="P874" s="1899">
        <v>43939</v>
      </c>
      <c r="Q874" s="1899"/>
      <c r="R874" s="881" t="s">
        <v>7508</v>
      </c>
      <c r="S874" s="881"/>
      <c r="T874" s="836" t="s">
        <v>15</v>
      </c>
      <c r="U874" s="2694">
        <v>0.48194444444444445</v>
      </c>
      <c r="V874" s="836" t="s">
        <v>972</v>
      </c>
      <c r="W874" s="2819">
        <v>100</v>
      </c>
      <c r="X874" s="836" t="s">
        <v>257</v>
      </c>
      <c r="Y874" s="2772" t="s">
        <v>10475</v>
      </c>
      <c r="Z874" s="836"/>
      <c r="AA874" s="836"/>
      <c r="AB874" s="7" t="s">
        <v>17</v>
      </c>
      <c r="AC874" s="7" t="s">
        <v>7451</v>
      </c>
      <c r="AD874" s="2699"/>
      <c r="AG874" s="2711"/>
    </row>
    <row r="875" spans="1:33" ht="58" hidden="1" x14ac:dyDescent="0.35">
      <c r="A875" s="2486">
        <v>43923</v>
      </c>
      <c r="B875" s="2718">
        <v>20</v>
      </c>
      <c r="C875" s="5" t="s">
        <v>7757</v>
      </c>
      <c r="D875" s="2712" t="s">
        <v>10003</v>
      </c>
      <c r="E875" s="5" t="s">
        <v>7506</v>
      </c>
      <c r="F875" s="5">
        <v>1</v>
      </c>
      <c r="G875" s="5">
        <v>1</v>
      </c>
      <c r="H875" s="5"/>
      <c r="I875" s="5"/>
      <c r="J875" s="5"/>
      <c r="K875" s="5"/>
      <c r="L875" s="5"/>
      <c r="M875" s="5"/>
      <c r="N875" s="5"/>
      <c r="O875" s="5"/>
      <c r="P875" s="2486">
        <v>43939</v>
      </c>
      <c r="Q875" s="2486"/>
      <c r="R875" s="824" t="s">
        <v>7758</v>
      </c>
      <c r="S875" s="824"/>
      <c r="T875" s="6" t="s">
        <v>15</v>
      </c>
      <c r="U875" s="2694">
        <v>0.4916666666666667</v>
      </c>
      <c r="V875" s="2694" t="s">
        <v>3213</v>
      </c>
      <c r="W875" s="1956">
        <v>100</v>
      </c>
      <c r="X875" s="2694" t="s">
        <v>7682</v>
      </c>
      <c r="Y875" s="2772" t="s">
        <v>10475</v>
      </c>
      <c r="Z875" s="2694"/>
      <c r="AA875" s="2694"/>
      <c r="AB875" s="817" t="s">
        <v>17</v>
      </c>
      <c r="AC875" s="817" t="s">
        <v>7451</v>
      </c>
      <c r="AD875" s="2699"/>
      <c r="AG875" s="2711"/>
    </row>
    <row r="876" spans="1:33" ht="29" hidden="1" x14ac:dyDescent="0.35">
      <c r="A876" s="2769">
        <v>43932</v>
      </c>
      <c r="B876" s="2760">
        <v>21</v>
      </c>
      <c r="C876" s="817" t="s">
        <v>10219</v>
      </c>
      <c r="D876" s="2700" t="s">
        <v>10220</v>
      </c>
      <c r="E876" s="7" t="s">
        <v>8553</v>
      </c>
      <c r="F876" s="2692">
        <v>1</v>
      </c>
      <c r="G876" s="2692">
        <v>1</v>
      </c>
      <c r="H876" s="2692"/>
      <c r="I876" s="2692"/>
      <c r="J876" s="2692"/>
      <c r="K876" s="2692"/>
      <c r="L876" s="817"/>
      <c r="M876" s="817"/>
      <c r="N876" s="817"/>
      <c r="O876" s="817"/>
      <c r="P876" s="2769">
        <v>43939</v>
      </c>
      <c r="Q876" s="2769"/>
      <c r="R876" s="2706" t="s">
        <v>10222</v>
      </c>
      <c r="S876" s="2688"/>
      <c r="T876" s="836" t="s">
        <v>15</v>
      </c>
      <c r="U876" s="2694">
        <v>0.4993055555555555</v>
      </c>
      <c r="V876" s="2694">
        <v>0.53125</v>
      </c>
      <c r="W876" s="1956">
        <v>100</v>
      </c>
      <c r="X876" s="817" t="s">
        <v>8625</v>
      </c>
      <c r="Y876" s="2772" t="s">
        <v>10475</v>
      </c>
      <c r="Z876" s="817"/>
      <c r="AA876" s="817"/>
      <c r="AB876" s="817" t="s">
        <v>17</v>
      </c>
      <c r="AC876" s="817" t="s">
        <v>7451</v>
      </c>
      <c r="AD876" s="2695"/>
      <c r="AG876" s="2711"/>
    </row>
    <row r="877" spans="1:33" ht="58" hidden="1" x14ac:dyDescent="0.35">
      <c r="A877" s="2486">
        <v>43935</v>
      </c>
      <c r="B877" s="2718">
        <v>1</v>
      </c>
      <c r="C877" s="7" t="s">
        <v>10607</v>
      </c>
      <c r="D877" s="2700" t="s">
        <v>10609</v>
      </c>
      <c r="E877" s="7" t="s">
        <v>10868</v>
      </c>
      <c r="F877" s="2740">
        <v>1</v>
      </c>
      <c r="G877" s="2741"/>
      <c r="H877" s="2741"/>
      <c r="I877" s="2741"/>
      <c r="J877" s="2741">
        <v>1</v>
      </c>
      <c r="K877" s="2741"/>
      <c r="L877" s="817"/>
      <c r="M877" s="817"/>
      <c r="N877" s="817"/>
      <c r="O877" s="817"/>
      <c r="P877" s="2486">
        <v>43939</v>
      </c>
      <c r="Q877" s="2769"/>
      <c r="R877" s="824" t="s">
        <v>10608</v>
      </c>
      <c r="S877" s="2770"/>
      <c r="T877" s="6" t="s">
        <v>15</v>
      </c>
      <c r="U877" s="2694">
        <v>0.32708333333333334</v>
      </c>
      <c r="V877" s="2694" t="s">
        <v>972</v>
      </c>
      <c r="W877" s="1956">
        <v>199</v>
      </c>
      <c r="X877" s="2694" t="s">
        <v>7682</v>
      </c>
      <c r="Y877" s="2772" t="s">
        <v>10792</v>
      </c>
      <c r="Z877" s="817"/>
      <c r="AA877" s="817"/>
      <c r="AB877" s="817" t="s">
        <v>17</v>
      </c>
      <c r="AC877" s="817" t="s">
        <v>7451</v>
      </c>
      <c r="AD877" s="2739"/>
      <c r="AG877" s="2711"/>
    </row>
    <row r="878" spans="1:33" ht="58" hidden="1" x14ac:dyDescent="0.35">
      <c r="A878" s="1899">
        <v>43934</v>
      </c>
      <c r="B878" s="2759">
        <v>2</v>
      </c>
      <c r="C878" s="7" t="s">
        <v>10412</v>
      </c>
      <c r="D878" s="2707" t="s">
        <v>9182</v>
      </c>
      <c r="E878" s="7" t="s">
        <v>8553</v>
      </c>
      <c r="F878" s="7">
        <v>1</v>
      </c>
      <c r="G878" s="7">
        <v>1</v>
      </c>
      <c r="H878" s="7"/>
      <c r="I878" s="7"/>
      <c r="J878" s="7"/>
      <c r="K878" s="7"/>
      <c r="L878" s="817"/>
      <c r="M878" s="817"/>
      <c r="N878" s="817"/>
      <c r="O878" s="817"/>
      <c r="P878" s="1899">
        <v>43939</v>
      </c>
      <c r="Q878" s="2769"/>
      <c r="R878" s="881" t="s">
        <v>10411</v>
      </c>
      <c r="S878" s="2829"/>
      <c r="T878" s="836" t="s">
        <v>15</v>
      </c>
      <c r="U878" s="2694">
        <v>0.33958333333333335</v>
      </c>
      <c r="V878" s="836" t="s">
        <v>972</v>
      </c>
      <c r="W878" s="1630">
        <v>100</v>
      </c>
      <c r="X878" s="7" t="s">
        <v>3173</v>
      </c>
      <c r="Y878" s="2772" t="s">
        <v>10792</v>
      </c>
      <c r="Z878" s="7"/>
      <c r="AA878" s="7"/>
      <c r="AB878" s="7" t="s">
        <v>17</v>
      </c>
      <c r="AC878" s="7" t="s">
        <v>7451</v>
      </c>
      <c r="AD878" s="2696"/>
      <c r="AG878" s="2711"/>
    </row>
    <row r="879" spans="1:33" ht="58" hidden="1" x14ac:dyDescent="0.35">
      <c r="A879" s="2769">
        <v>43920</v>
      </c>
      <c r="B879" s="2760">
        <v>3</v>
      </c>
      <c r="C879" s="817" t="s">
        <v>7599</v>
      </c>
      <c r="D879" s="2712" t="s">
        <v>10036</v>
      </c>
      <c r="E879" s="817" t="s">
        <v>7597</v>
      </c>
      <c r="F879" s="817">
        <v>1</v>
      </c>
      <c r="G879" s="817">
        <v>1</v>
      </c>
      <c r="H879" s="817"/>
      <c r="I879" s="817"/>
      <c r="J879" s="817"/>
      <c r="K879" s="817"/>
      <c r="L879" s="817"/>
      <c r="M879" s="817"/>
      <c r="N879" s="817"/>
      <c r="O879" s="817"/>
      <c r="P879" s="2769">
        <v>43939</v>
      </c>
      <c r="Q879" s="2769"/>
      <c r="R879" s="2828" t="s">
        <v>7598</v>
      </c>
      <c r="S879" s="2828"/>
      <c r="T879" s="2828" t="s">
        <v>15</v>
      </c>
      <c r="U879" s="2694">
        <v>0.35138888888888892</v>
      </c>
      <c r="V879" s="2694" t="s">
        <v>972</v>
      </c>
      <c r="W879" s="2784">
        <v>100</v>
      </c>
      <c r="X879" s="817" t="s">
        <v>10944</v>
      </c>
      <c r="Y879" s="2772" t="s">
        <v>10792</v>
      </c>
      <c r="Z879" s="817"/>
      <c r="AA879" s="817"/>
      <c r="AB879" s="817" t="s">
        <v>17</v>
      </c>
      <c r="AC879" s="817" t="s">
        <v>7451</v>
      </c>
      <c r="AD879" s="2699"/>
      <c r="AG879" s="2711"/>
    </row>
    <row r="880" spans="1:33" ht="29" hidden="1" x14ac:dyDescent="0.35">
      <c r="A880" s="2486">
        <v>43930</v>
      </c>
      <c r="B880" s="2718">
        <v>4</v>
      </c>
      <c r="C880" s="5" t="s">
        <v>8832</v>
      </c>
      <c r="D880" s="2712" t="s">
        <v>10079</v>
      </c>
      <c r="E880" s="7" t="s">
        <v>8107</v>
      </c>
      <c r="F880" s="2679">
        <v>1</v>
      </c>
      <c r="G880" s="5"/>
      <c r="H880" s="5">
        <v>1</v>
      </c>
      <c r="I880" s="5"/>
      <c r="J880" s="5"/>
      <c r="K880" s="5"/>
      <c r="L880" s="817"/>
      <c r="M880" s="817"/>
      <c r="N880" s="817"/>
      <c r="O880" s="817"/>
      <c r="P880" s="2486">
        <v>43939</v>
      </c>
      <c r="Q880" s="2486"/>
      <c r="R880" s="824" t="s">
        <v>8833</v>
      </c>
      <c r="S880" s="2770"/>
      <c r="T880" s="6" t="s">
        <v>15</v>
      </c>
      <c r="U880" s="2694">
        <v>0.3611111111111111</v>
      </c>
      <c r="V880" s="2694" t="s">
        <v>972</v>
      </c>
      <c r="W880" s="1956">
        <v>100</v>
      </c>
      <c r="X880" s="836" t="s">
        <v>257</v>
      </c>
      <c r="Y880" s="2772" t="s">
        <v>10792</v>
      </c>
      <c r="Z880" s="817"/>
      <c r="AA880" s="817"/>
      <c r="AB880" s="7" t="s">
        <v>17</v>
      </c>
      <c r="AC880" s="817" t="s">
        <v>7451</v>
      </c>
      <c r="AD880" s="2700"/>
      <c r="AG880" s="2711"/>
    </row>
    <row r="881" spans="1:33" ht="43.5" hidden="1" x14ac:dyDescent="0.35">
      <c r="A881" s="1899">
        <v>43935</v>
      </c>
      <c r="B881" s="2759">
        <v>5</v>
      </c>
      <c r="C881" s="7" t="s">
        <v>10649</v>
      </c>
      <c r="D881" s="2700" t="s">
        <v>10650</v>
      </c>
      <c r="E881" s="7" t="s">
        <v>8553</v>
      </c>
      <c r="F881" s="2735">
        <v>1</v>
      </c>
      <c r="G881" s="2735">
        <v>1</v>
      </c>
      <c r="H881" s="2735"/>
      <c r="I881" s="2735"/>
      <c r="J881" s="2735"/>
      <c r="K881" s="2735"/>
      <c r="L881" s="817"/>
      <c r="M881" s="817"/>
      <c r="N881" s="817"/>
      <c r="O881" s="817"/>
      <c r="P881" s="1899">
        <v>43939</v>
      </c>
      <c r="Q881" s="2828"/>
      <c r="R881" s="2708" t="s">
        <v>10651</v>
      </c>
      <c r="S881" s="2829"/>
      <c r="T881" s="2694" t="s">
        <v>15</v>
      </c>
      <c r="U881" s="2694">
        <v>0.3743055555555555</v>
      </c>
      <c r="V881" s="2694" t="s">
        <v>972</v>
      </c>
      <c r="W881" s="1956">
        <v>100</v>
      </c>
      <c r="X881" s="817" t="s">
        <v>8625</v>
      </c>
      <c r="Y881" s="2772" t="s">
        <v>10792</v>
      </c>
      <c r="Z881" s="817"/>
      <c r="AA881" s="817"/>
      <c r="AB881" s="817" t="s">
        <v>17</v>
      </c>
      <c r="AC881" s="817" t="s">
        <v>7451</v>
      </c>
      <c r="AD881" s="2739"/>
      <c r="AG881" s="2711"/>
    </row>
    <row r="882" spans="1:33" ht="87" hidden="1" x14ac:dyDescent="0.35">
      <c r="A882" s="1899">
        <v>43930</v>
      </c>
      <c r="B882" s="2759">
        <v>6</v>
      </c>
      <c r="C882" s="7" t="s">
        <v>8900</v>
      </c>
      <c r="D882" s="2712" t="s">
        <v>10210</v>
      </c>
      <c r="E882" s="7" t="s">
        <v>8149</v>
      </c>
      <c r="F882" s="2719">
        <v>1</v>
      </c>
      <c r="G882" s="2685">
        <v>1</v>
      </c>
      <c r="H882" s="2685"/>
      <c r="I882" s="2685"/>
      <c r="J882" s="2685"/>
      <c r="K882" s="2685"/>
      <c r="L882" s="817"/>
      <c r="M882" s="817"/>
      <c r="N882" s="817"/>
      <c r="O882" s="817"/>
      <c r="P882" s="1899">
        <v>43939</v>
      </c>
      <c r="Q882" s="1899"/>
      <c r="R882" s="881" t="s">
        <v>8899</v>
      </c>
      <c r="S882" s="2829"/>
      <c r="T882" s="836" t="s">
        <v>15</v>
      </c>
      <c r="U882" s="2694">
        <v>0.38611111111111113</v>
      </c>
      <c r="V882" s="2694" t="s">
        <v>972</v>
      </c>
      <c r="W882" s="2680">
        <v>0</v>
      </c>
      <c r="X882" s="836" t="s">
        <v>8902</v>
      </c>
      <c r="Y882" s="2772" t="s">
        <v>10792</v>
      </c>
      <c r="Z882" s="817"/>
      <c r="AA882" s="817"/>
      <c r="AB882" s="7" t="s">
        <v>17</v>
      </c>
      <c r="AC882" s="817" t="s">
        <v>7451</v>
      </c>
      <c r="AD882" s="2695"/>
      <c r="AG882" s="2711"/>
    </row>
    <row r="883" spans="1:33" ht="29" hidden="1" x14ac:dyDescent="0.35">
      <c r="A883" s="2769">
        <v>43935</v>
      </c>
      <c r="B883" s="2760">
        <v>7</v>
      </c>
      <c r="C883" s="2828" t="s">
        <v>10666</v>
      </c>
      <c r="D883" s="2700" t="s">
        <v>10665</v>
      </c>
      <c r="E883" s="817" t="s">
        <v>10661</v>
      </c>
      <c r="F883" s="2744">
        <v>1</v>
      </c>
      <c r="G883" s="2744">
        <v>1</v>
      </c>
      <c r="H883" s="2744"/>
      <c r="I883" s="2744"/>
      <c r="J883" s="2744"/>
      <c r="K883" s="2744"/>
      <c r="L883" s="817"/>
      <c r="M883" s="817"/>
      <c r="N883" s="817"/>
      <c r="O883" s="817"/>
      <c r="P883" s="2769">
        <v>43939</v>
      </c>
      <c r="Q883" s="2769"/>
      <c r="R883" s="2829" t="s">
        <v>10664</v>
      </c>
      <c r="S883" s="2770"/>
      <c r="T883" s="6" t="s">
        <v>15</v>
      </c>
      <c r="U883" s="2694">
        <v>0.3979166666666667</v>
      </c>
      <c r="V883" s="2694" t="s">
        <v>3213</v>
      </c>
      <c r="W883" s="1956">
        <v>100</v>
      </c>
      <c r="X883" s="817" t="s">
        <v>257</v>
      </c>
      <c r="Y883" s="2772" t="s">
        <v>10792</v>
      </c>
      <c r="Z883" s="817"/>
      <c r="AA883" s="817"/>
      <c r="AB883" s="817" t="s">
        <v>17</v>
      </c>
      <c r="AC883" s="817" t="s">
        <v>7451</v>
      </c>
      <c r="AD883" s="2739"/>
      <c r="AG883" s="2711"/>
    </row>
    <row r="884" spans="1:33" ht="43.5" hidden="1" x14ac:dyDescent="0.35">
      <c r="A884" s="2828">
        <v>43926</v>
      </c>
      <c r="B884" s="2760">
        <v>8</v>
      </c>
      <c r="C884" s="2828" t="s">
        <v>8134</v>
      </c>
      <c r="D884" s="2712" t="s">
        <v>10091</v>
      </c>
      <c r="E884" s="817" t="s">
        <v>10867</v>
      </c>
      <c r="F884" s="817">
        <v>1</v>
      </c>
      <c r="G884" s="817">
        <v>1</v>
      </c>
      <c r="H884" s="817"/>
      <c r="I884" s="817"/>
      <c r="J884" s="817"/>
      <c r="K884" s="817"/>
      <c r="L884" s="817"/>
      <c r="M884" s="817"/>
      <c r="N884" s="817"/>
      <c r="O884" s="817"/>
      <c r="P884" s="2828">
        <v>43939</v>
      </c>
      <c r="Q884" s="2769"/>
      <c r="R884" s="817" t="s">
        <v>8133</v>
      </c>
      <c r="S884" s="817"/>
      <c r="T884" s="2694" t="s">
        <v>15</v>
      </c>
      <c r="U884" s="2694">
        <v>0.40833333333333338</v>
      </c>
      <c r="V884" s="2694" t="s">
        <v>3213</v>
      </c>
      <c r="W884" s="1956">
        <v>115</v>
      </c>
      <c r="X884" s="817" t="s">
        <v>7424</v>
      </c>
      <c r="Y884" s="2772" t="s">
        <v>10792</v>
      </c>
      <c r="Z884" s="817"/>
      <c r="AA884" s="817"/>
      <c r="AB884" s="817" t="s">
        <v>17</v>
      </c>
      <c r="AC884" s="817" t="s">
        <v>7451</v>
      </c>
      <c r="AD884" s="2699"/>
      <c r="AG884" s="2711"/>
    </row>
    <row r="885" spans="1:33" ht="43.5" hidden="1" x14ac:dyDescent="0.35">
      <c r="A885" s="2486">
        <v>43931</v>
      </c>
      <c r="B885" s="2718">
        <v>9</v>
      </c>
      <c r="C885" s="5" t="s">
        <v>9432</v>
      </c>
      <c r="D885" s="2700" t="s">
        <v>9431</v>
      </c>
      <c r="E885" s="5" t="s">
        <v>8177</v>
      </c>
      <c r="F885" s="5">
        <v>2</v>
      </c>
      <c r="G885" s="5">
        <v>2</v>
      </c>
      <c r="H885" s="5"/>
      <c r="I885" s="5"/>
      <c r="J885" s="5"/>
      <c r="K885" s="5"/>
      <c r="L885" s="817"/>
      <c r="M885" s="817"/>
      <c r="N885" s="817"/>
      <c r="O885" s="817"/>
      <c r="P885" s="2486">
        <v>43939</v>
      </c>
      <c r="Q885" s="2486"/>
      <c r="R885" s="2829" t="s">
        <v>9433</v>
      </c>
      <c r="S885" s="2770"/>
      <c r="T885" s="881" t="s">
        <v>15</v>
      </c>
      <c r="U885" s="2694">
        <v>0.41736111111111113</v>
      </c>
      <c r="V885" s="2694" t="s">
        <v>972</v>
      </c>
      <c r="W885" s="1956">
        <v>200</v>
      </c>
      <c r="X885" s="817" t="s">
        <v>8625</v>
      </c>
      <c r="Y885" s="2772" t="s">
        <v>10792</v>
      </c>
      <c r="Z885" s="817"/>
      <c r="AA885" s="817"/>
      <c r="AB885" s="817" t="s">
        <v>17</v>
      </c>
      <c r="AC885" s="817" t="s">
        <v>7451</v>
      </c>
      <c r="AD885" s="2700" t="s">
        <v>9431</v>
      </c>
      <c r="AG885" s="2711"/>
    </row>
    <row r="886" spans="1:33" ht="72.5" hidden="1" x14ac:dyDescent="0.35">
      <c r="A886" s="2486">
        <v>43930</v>
      </c>
      <c r="B886" s="2718">
        <v>10</v>
      </c>
      <c r="C886" s="5" t="s">
        <v>8781</v>
      </c>
      <c r="D886" s="2712" t="s">
        <v>10093</v>
      </c>
      <c r="E886" s="7" t="s">
        <v>8629</v>
      </c>
      <c r="F886" s="2686">
        <v>1</v>
      </c>
      <c r="G886" s="2682"/>
      <c r="H886" s="2682"/>
      <c r="I886" s="2682">
        <v>1</v>
      </c>
      <c r="J886" s="2682"/>
      <c r="K886" s="2682"/>
      <c r="L886" s="817"/>
      <c r="M886" s="817"/>
      <c r="N886" s="817"/>
      <c r="O886" s="817"/>
      <c r="P886" s="2486">
        <v>43939</v>
      </c>
      <c r="Q886" s="2486"/>
      <c r="R886" s="824" t="s">
        <v>8782</v>
      </c>
      <c r="S886" s="2829"/>
      <c r="T886" s="6" t="s">
        <v>15</v>
      </c>
      <c r="U886" s="2694">
        <v>0.42708333333333331</v>
      </c>
      <c r="V886" s="2694" t="s">
        <v>972</v>
      </c>
      <c r="W886" s="1956">
        <v>100</v>
      </c>
      <c r="X886" s="836" t="s">
        <v>8625</v>
      </c>
      <c r="Y886" s="2772" t="s">
        <v>10792</v>
      </c>
      <c r="Z886" s="817"/>
      <c r="AA886" s="817"/>
      <c r="AB886" s="7" t="s">
        <v>17</v>
      </c>
      <c r="AC886" s="817" t="s">
        <v>7451</v>
      </c>
      <c r="AD886" s="2700"/>
      <c r="AG886" s="2711"/>
    </row>
    <row r="887" spans="1:33" ht="58" hidden="1" x14ac:dyDescent="0.35">
      <c r="A887" s="2486">
        <v>43928</v>
      </c>
      <c r="B887" s="2718">
        <v>11</v>
      </c>
      <c r="C887" s="7" t="s">
        <v>8495</v>
      </c>
      <c r="D887" s="2712" t="s">
        <v>9801</v>
      </c>
      <c r="E887" s="7" t="s">
        <v>8149</v>
      </c>
      <c r="F887" s="2679">
        <v>1</v>
      </c>
      <c r="G887" s="5">
        <v>1</v>
      </c>
      <c r="H887" s="5"/>
      <c r="I887" s="5"/>
      <c r="J887" s="5"/>
      <c r="K887" s="5"/>
      <c r="L887" s="817"/>
      <c r="M887" s="817"/>
      <c r="N887" s="817"/>
      <c r="O887" s="817"/>
      <c r="P887" s="2486">
        <v>43939</v>
      </c>
      <c r="Q887" s="2486"/>
      <c r="R887" s="824" t="s">
        <v>8507</v>
      </c>
      <c r="S887" s="2770"/>
      <c r="T887" s="6" t="s">
        <v>15</v>
      </c>
      <c r="U887" s="2694">
        <v>0.43541666666666662</v>
      </c>
      <c r="V887" s="2694" t="s">
        <v>972</v>
      </c>
      <c r="W887" s="2660">
        <v>100</v>
      </c>
      <c r="X887" s="2694" t="s">
        <v>8381</v>
      </c>
      <c r="Y887" s="2772" t="s">
        <v>10792</v>
      </c>
      <c r="Z887" s="817"/>
      <c r="AA887" s="817"/>
      <c r="AB887" s="7" t="s">
        <v>17</v>
      </c>
      <c r="AC887" s="817" t="s">
        <v>7451</v>
      </c>
      <c r="AD887" s="2699"/>
      <c r="AG887" s="2711"/>
    </row>
    <row r="888" spans="1:33" ht="29" hidden="1" x14ac:dyDescent="0.35">
      <c r="A888" s="1899">
        <v>43931</v>
      </c>
      <c r="B888" s="2759">
        <v>12</v>
      </c>
      <c r="C888" s="7" t="s">
        <v>9381</v>
      </c>
      <c r="D888" s="2712" t="s">
        <v>10196</v>
      </c>
      <c r="E888" s="7" t="s">
        <v>8553</v>
      </c>
      <c r="F888" s="7">
        <v>1</v>
      </c>
      <c r="G888" s="7">
        <v>1</v>
      </c>
      <c r="H888" s="7"/>
      <c r="I888" s="7"/>
      <c r="J888" s="7"/>
      <c r="K888" s="7"/>
      <c r="L888" s="817"/>
      <c r="M888" s="817"/>
      <c r="N888" s="817"/>
      <c r="O888" s="817"/>
      <c r="P888" s="1899">
        <v>43939</v>
      </c>
      <c r="Q888" s="1899"/>
      <c r="R888" s="881" t="s">
        <v>9380</v>
      </c>
      <c r="S888" s="2770"/>
      <c r="T888" s="836" t="s">
        <v>15</v>
      </c>
      <c r="U888" s="2694">
        <v>0.44513888888888892</v>
      </c>
      <c r="V888" s="2694" t="s">
        <v>972</v>
      </c>
      <c r="W888" s="2681">
        <v>100</v>
      </c>
      <c r="X888" s="817" t="s">
        <v>257</v>
      </c>
      <c r="Y888" s="2772" t="s">
        <v>10792</v>
      </c>
      <c r="Z888" s="7"/>
      <c r="AA888" s="7"/>
      <c r="AB888" s="7" t="s">
        <v>17</v>
      </c>
      <c r="AC888" s="7" t="s">
        <v>7451</v>
      </c>
      <c r="AD888" s="2696"/>
      <c r="AG888" s="2711"/>
    </row>
    <row r="889" spans="1:33" ht="43.5" hidden="1" x14ac:dyDescent="0.35">
      <c r="A889" s="2828">
        <v>43927</v>
      </c>
      <c r="B889" s="2760">
        <v>13</v>
      </c>
      <c r="C889" s="817" t="s">
        <v>8236</v>
      </c>
      <c r="D889" s="2712" t="s">
        <v>10082</v>
      </c>
      <c r="E889" s="817" t="s">
        <v>8073</v>
      </c>
      <c r="F889" s="5">
        <v>1</v>
      </c>
      <c r="G889" s="5"/>
      <c r="H889" s="5"/>
      <c r="I889" s="5">
        <v>1</v>
      </c>
      <c r="J889" s="5"/>
      <c r="K889" s="5"/>
      <c r="L889" s="817"/>
      <c r="M889" s="817"/>
      <c r="N889" s="817"/>
      <c r="O889" s="817"/>
      <c r="P889" s="2828">
        <v>43939</v>
      </c>
      <c r="Q889" s="2828"/>
      <c r="R889" s="2829" t="s">
        <v>8330</v>
      </c>
      <c r="S889" s="2770"/>
      <c r="T889" s="2694" t="s">
        <v>15</v>
      </c>
      <c r="U889" s="2694">
        <v>0.4548611111111111</v>
      </c>
      <c r="V889" s="2694" t="s">
        <v>3213</v>
      </c>
      <c r="W889" s="1956">
        <v>100</v>
      </c>
      <c r="X889" s="817" t="s">
        <v>8268</v>
      </c>
      <c r="Y889" s="2772" t="s">
        <v>10792</v>
      </c>
      <c r="Z889" s="817"/>
      <c r="AA889" s="817"/>
      <c r="AB889" s="817" t="s">
        <v>17</v>
      </c>
      <c r="AC889" s="817" t="s">
        <v>7451</v>
      </c>
      <c r="AD889" s="2699"/>
      <c r="AG889" s="2711"/>
    </row>
    <row r="890" spans="1:33" ht="43.5" hidden="1" x14ac:dyDescent="0.35">
      <c r="A890" s="2486">
        <v>43935</v>
      </c>
      <c r="B890" s="2718">
        <v>14</v>
      </c>
      <c r="C890" s="5" t="s">
        <v>10633</v>
      </c>
      <c r="D890" s="2712" t="s">
        <v>10016</v>
      </c>
      <c r="E890" s="5" t="s">
        <v>10632</v>
      </c>
      <c r="F890" s="2686">
        <v>1</v>
      </c>
      <c r="G890" s="2682">
        <v>1</v>
      </c>
      <c r="H890" s="2682"/>
      <c r="I890" s="2682">
        <v>1</v>
      </c>
      <c r="J890" s="2682"/>
      <c r="K890" s="2682"/>
      <c r="L890" s="817"/>
      <c r="M890" s="817"/>
      <c r="N890" s="817"/>
      <c r="O890" s="817"/>
      <c r="P890" s="2486">
        <v>43939</v>
      </c>
      <c r="Q890" s="2486"/>
      <c r="R890" s="824" t="s">
        <v>8696</v>
      </c>
      <c r="S890" s="2770"/>
      <c r="T890" s="6" t="s">
        <v>15</v>
      </c>
      <c r="U890" s="2694">
        <v>0.46249999999999997</v>
      </c>
      <c r="V890" s="2694" t="s">
        <v>972</v>
      </c>
      <c r="W890" s="1956">
        <v>165</v>
      </c>
      <c r="X890" s="836" t="s">
        <v>257</v>
      </c>
      <c r="Y890" s="2772" t="s">
        <v>10792</v>
      </c>
      <c r="Z890" s="817"/>
      <c r="AA890" s="817"/>
      <c r="AB890" s="7" t="s">
        <v>17</v>
      </c>
      <c r="AC890" s="817" t="s">
        <v>7451</v>
      </c>
      <c r="AD890" s="2695"/>
      <c r="AG890" s="2711"/>
    </row>
    <row r="891" spans="1:33" ht="29" hidden="1" x14ac:dyDescent="0.35">
      <c r="A891" s="2486">
        <v>43938</v>
      </c>
      <c r="B891" s="2760">
        <v>15</v>
      </c>
      <c r="C891" s="7" t="s">
        <v>10852</v>
      </c>
      <c r="D891" s="2707" t="s">
        <v>10853</v>
      </c>
      <c r="E891" s="7" t="s">
        <v>7935</v>
      </c>
      <c r="F891" s="2735"/>
      <c r="G891" s="2735"/>
      <c r="H891" s="2735"/>
      <c r="I891" s="2735"/>
      <c r="J891" s="2735"/>
      <c r="K891" s="2685"/>
      <c r="L891" s="7"/>
      <c r="M891" s="7"/>
      <c r="N891" s="7"/>
      <c r="O891" s="7"/>
      <c r="P891" s="1899">
        <v>43939</v>
      </c>
      <c r="Q891" s="2769"/>
      <c r="R891" s="2708" t="s">
        <v>10854</v>
      </c>
      <c r="S891" s="2829"/>
      <c r="T891" s="836" t="s">
        <v>15</v>
      </c>
      <c r="U891" s="836">
        <v>0.47013888888888888</v>
      </c>
      <c r="V891" s="2771"/>
      <c r="W891" s="2742">
        <v>100</v>
      </c>
      <c r="X891" s="817" t="s">
        <v>2900</v>
      </c>
      <c r="Y891" s="2772" t="s">
        <v>10792</v>
      </c>
      <c r="Z891" s="817"/>
      <c r="AA891" s="817"/>
      <c r="AB891" s="2744"/>
      <c r="AC891" s="2744"/>
      <c r="AD891" s="2745"/>
      <c r="AG891" s="2711"/>
    </row>
    <row r="892" spans="1:33" ht="29" hidden="1" x14ac:dyDescent="0.35">
      <c r="A892" s="2828">
        <v>43927</v>
      </c>
      <c r="B892" s="2760">
        <v>16</v>
      </c>
      <c r="C892" s="817" t="s">
        <v>8196</v>
      </c>
      <c r="D892" s="2712" t="s">
        <v>10132</v>
      </c>
      <c r="E892" s="817" t="s">
        <v>7935</v>
      </c>
      <c r="F892" s="5">
        <v>1</v>
      </c>
      <c r="G892" s="5">
        <v>1</v>
      </c>
      <c r="H892" s="5"/>
      <c r="I892" s="5"/>
      <c r="J892" s="5"/>
      <c r="K892" s="5"/>
      <c r="L892" s="817"/>
      <c r="M892" s="817"/>
      <c r="N892" s="817"/>
      <c r="O892" s="817"/>
      <c r="P892" s="2828">
        <v>43939</v>
      </c>
      <c r="Q892" s="2828"/>
      <c r="R892" s="2770" t="s">
        <v>8296</v>
      </c>
      <c r="S892" s="2770" t="s">
        <v>8272</v>
      </c>
      <c r="T892" s="2694" t="s">
        <v>15</v>
      </c>
      <c r="U892" s="2694">
        <v>0.48125000000000001</v>
      </c>
      <c r="V892" s="2694" t="s">
        <v>972</v>
      </c>
      <c r="W892" s="1956">
        <v>100</v>
      </c>
      <c r="X892" s="817" t="s">
        <v>257</v>
      </c>
      <c r="Y892" s="2772" t="s">
        <v>10792</v>
      </c>
      <c r="Z892" s="2694"/>
      <c r="AA892" s="2694"/>
      <c r="AB892" s="817" t="s">
        <v>17</v>
      </c>
      <c r="AC892" s="817" t="s">
        <v>7451</v>
      </c>
      <c r="AD892" s="2699"/>
      <c r="AG892" s="2711"/>
    </row>
    <row r="893" spans="1:33" ht="43.5" hidden="1" x14ac:dyDescent="0.35">
      <c r="A893" s="2486">
        <v>43931</v>
      </c>
      <c r="B893" s="2718">
        <v>17</v>
      </c>
      <c r="C893" s="5" t="s">
        <v>9406</v>
      </c>
      <c r="D893" s="2700" t="s">
        <v>9405</v>
      </c>
      <c r="E893" s="5" t="s">
        <v>8553</v>
      </c>
      <c r="F893" s="5">
        <v>1</v>
      </c>
      <c r="G893" s="5">
        <v>1</v>
      </c>
      <c r="H893" s="5"/>
      <c r="I893" s="5"/>
      <c r="J893" s="5"/>
      <c r="K893" s="5"/>
      <c r="L893" s="817"/>
      <c r="M893" s="817"/>
      <c r="N893" s="817"/>
      <c r="O893" s="817"/>
      <c r="P893" s="2486">
        <v>43939</v>
      </c>
      <c r="Q893" s="2486"/>
      <c r="R893" s="2829" t="s">
        <v>9407</v>
      </c>
      <c r="S893" s="2770"/>
      <c r="T893" s="881" t="s">
        <v>15</v>
      </c>
      <c r="U893" s="2694">
        <v>0.48888888888888887</v>
      </c>
      <c r="V893" s="2694" t="s">
        <v>972</v>
      </c>
      <c r="W893" s="2681">
        <v>100</v>
      </c>
      <c r="X893" s="817" t="s">
        <v>2900</v>
      </c>
      <c r="Y893" s="2772" t="s">
        <v>10792</v>
      </c>
      <c r="Z893" s="817"/>
      <c r="AA893" s="817"/>
      <c r="AB893" s="817" t="s">
        <v>17</v>
      </c>
      <c r="AC893" s="817" t="s">
        <v>7451</v>
      </c>
      <c r="AD893" s="2700" t="s">
        <v>9405</v>
      </c>
      <c r="AG893" s="2711"/>
    </row>
    <row r="894" spans="1:33" ht="58" hidden="1" x14ac:dyDescent="0.35">
      <c r="A894" s="1899">
        <v>43922</v>
      </c>
      <c r="B894" s="2759">
        <v>18</v>
      </c>
      <c r="C894" s="7" t="s">
        <v>7666</v>
      </c>
      <c r="D894" s="2712" t="s">
        <v>9717</v>
      </c>
      <c r="E894" s="7" t="s">
        <v>7667</v>
      </c>
      <c r="F894" s="7">
        <v>1</v>
      </c>
      <c r="G894" s="7"/>
      <c r="H894" s="7"/>
      <c r="I894" s="7"/>
      <c r="J894" s="7">
        <v>1</v>
      </c>
      <c r="K894" s="7"/>
      <c r="L894" s="7"/>
      <c r="M894" s="7"/>
      <c r="N894" s="7"/>
      <c r="O894" s="7"/>
      <c r="P894" s="1899">
        <v>43939</v>
      </c>
      <c r="Q894" s="1899"/>
      <c r="R894" s="881" t="s">
        <v>7668</v>
      </c>
      <c r="S894" s="881"/>
      <c r="T894" s="836" t="s">
        <v>15</v>
      </c>
      <c r="U894" s="2694">
        <v>0.49791666666666662</v>
      </c>
      <c r="V894" s="836" t="s">
        <v>972</v>
      </c>
      <c r="W894" s="1630">
        <v>100</v>
      </c>
      <c r="X894" s="836" t="s">
        <v>257</v>
      </c>
      <c r="Y894" s="2772" t="s">
        <v>10792</v>
      </c>
      <c r="Z894" s="7"/>
      <c r="AA894" s="7"/>
      <c r="AB894" s="7" t="s">
        <v>17</v>
      </c>
      <c r="AC894" s="7" t="s">
        <v>7451</v>
      </c>
      <c r="AD894" s="2699"/>
      <c r="AG894" s="2711"/>
    </row>
    <row r="895" spans="1:33" ht="43.5" hidden="1" x14ac:dyDescent="0.35">
      <c r="A895" s="1899">
        <v>43933</v>
      </c>
      <c r="B895" s="2759">
        <v>19</v>
      </c>
      <c r="C895" s="817" t="s">
        <v>10294</v>
      </c>
      <c r="D895" s="2700" t="s">
        <v>10295</v>
      </c>
      <c r="E895" s="7" t="s">
        <v>8553</v>
      </c>
      <c r="F895" s="817">
        <v>1</v>
      </c>
      <c r="G895" s="817">
        <v>1</v>
      </c>
      <c r="H895" s="817"/>
      <c r="I895" s="817"/>
      <c r="J895" s="817"/>
      <c r="K895" s="817"/>
      <c r="L895" s="817"/>
      <c r="M895" s="817"/>
      <c r="N895" s="817"/>
      <c r="O895" s="817"/>
      <c r="P895" s="2828">
        <v>43939</v>
      </c>
      <c r="Q895" s="2828"/>
      <c r="R895" s="2706" t="s">
        <v>10296</v>
      </c>
      <c r="S895" s="2770"/>
      <c r="T895" s="6" t="s">
        <v>15</v>
      </c>
      <c r="U895" s="2694">
        <v>0.51250000000000007</v>
      </c>
      <c r="V895" s="836" t="s">
        <v>972</v>
      </c>
      <c r="W895" s="1956">
        <v>100</v>
      </c>
      <c r="X895" s="817" t="s">
        <v>8625</v>
      </c>
      <c r="Y895" s="2772" t="s">
        <v>10792</v>
      </c>
      <c r="Z895" s="817"/>
      <c r="AA895" s="817"/>
      <c r="AB895" s="817" t="s">
        <v>17</v>
      </c>
      <c r="AC895" s="817" t="s">
        <v>7451</v>
      </c>
      <c r="AD895" s="2696"/>
      <c r="AG895" s="2711"/>
    </row>
    <row r="896" spans="1:33" ht="43.5" hidden="1" x14ac:dyDescent="0.35">
      <c r="A896" s="1899">
        <v>43934</v>
      </c>
      <c r="B896" s="2759">
        <v>20</v>
      </c>
      <c r="C896" s="7" t="s">
        <v>10447</v>
      </c>
      <c r="D896" s="2707" t="s">
        <v>10448</v>
      </c>
      <c r="E896" s="7" t="s">
        <v>8553</v>
      </c>
      <c r="F896" s="7">
        <v>1</v>
      </c>
      <c r="G896" s="7">
        <v>1</v>
      </c>
      <c r="H896" s="7"/>
      <c r="I896" s="7"/>
      <c r="J896" s="7"/>
      <c r="K896" s="7"/>
      <c r="L896" s="817"/>
      <c r="M896" s="817"/>
      <c r="N896" s="817"/>
      <c r="O896" s="817"/>
      <c r="P896" s="1899">
        <v>43939</v>
      </c>
      <c r="Q896" s="2769"/>
      <c r="R896" s="2708" t="s">
        <v>10449</v>
      </c>
      <c r="S896" s="2770"/>
      <c r="T896" s="836" t="s">
        <v>15</v>
      </c>
      <c r="U896" s="2694">
        <v>0.51944444444444449</v>
      </c>
      <c r="V896" s="836" t="s">
        <v>972</v>
      </c>
      <c r="W896" s="1956">
        <v>100</v>
      </c>
      <c r="X896" s="817" t="s">
        <v>8625</v>
      </c>
      <c r="Y896" s="2772" t="s">
        <v>10792</v>
      </c>
      <c r="Z896" s="7"/>
      <c r="AA896" s="7"/>
      <c r="AB896" s="7" t="s">
        <v>17</v>
      </c>
      <c r="AC896" s="7" t="s">
        <v>7451</v>
      </c>
      <c r="AD896" s="2696"/>
      <c r="AG896" s="2711"/>
    </row>
    <row r="897" spans="1:33" ht="58" hidden="1" x14ac:dyDescent="0.35">
      <c r="A897" s="1899">
        <v>43935</v>
      </c>
      <c r="B897" s="2759">
        <v>21</v>
      </c>
      <c r="C897" s="7" t="s">
        <v>10634</v>
      </c>
      <c r="D897" s="2700" t="s">
        <v>10635</v>
      </c>
      <c r="E897" s="7" t="s">
        <v>10643</v>
      </c>
      <c r="F897" s="2735">
        <v>4</v>
      </c>
      <c r="G897" s="2735">
        <v>4</v>
      </c>
      <c r="H897" s="2735"/>
      <c r="I897" s="2735"/>
      <c r="J897" s="2735"/>
      <c r="K897" s="2735"/>
      <c r="L897" s="817"/>
      <c r="M897" s="817"/>
      <c r="N897" s="817"/>
      <c r="O897" s="817"/>
      <c r="P897" s="1899">
        <v>43939</v>
      </c>
      <c r="Q897" s="2828"/>
      <c r="R897" s="2708" t="s">
        <v>10636</v>
      </c>
      <c r="S897" s="2770"/>
      <c r="T897" s="836" t="s">
        <v>15</v>
      </c>
      <c r="U897" s="2694">
        <v>0.52777777777777779</v>
      </c>
      <c r="V897" s="836" t="s">
        <v>972</v>
      </c>
      <c r="W897" s="1956">
        <f>4*100*0.7</f>
        <v>280</v>
      </c>
      <c r="X897" s="817" t="s">
        <v>10637</v>
      </c>
      <c r="Y897" s="2772" t="s">
        <v>10792</v>
      </c>
      <c r="Z897" s="7"/>
      <c r="AA897" s="7"/>
      <c r="AB897" s="7" t="s">
        <v>17</v>
      </c>
      <c r="AC897" s="7" t="s">
        <v>7451</v>
      </c>
      <c r="AD897" s="2739"/>
      <c r="AG897" s="2711"/>
    </row>
    <row r="898" spans="1:33" ht="43.5" hidden="1" x14ac:dyDescent="0.35">
      <c r="A898" s="2828">
        <v>43932</v>
      </c>
      <c r="B898" s="2760">
        <v>22</v>
      </c>
      <c r="C898" s="817" t="s">
        <v>9640</v>
      </c>
      <c r="D898" s="2700" t="s">
        <v>9660</v>
      </c>
      <c r="E898" s="7" t="s">
        <v>9659</v>
      </c>
      <c r="F898" s="5">
        <v>1</v>
      </c>
      <c r="G898" s="5">
        <v>1</v>
      </c>
      <c r="H898" s="5"/>
      <c r="I898" s="5">
        <v>1</v>
      </c>
      <c r="J898" s="5"/>
      <c r="K898" s="5"/>
      <c r="L898" s="817"/>
      <c r="M898" s="817"/>
      <c r="N898" s="817"/>
      <c r="O898" s="817"/>
      <c r="P898" s="2828">
        <v>43939</v>
      </c>
      <c r="Q898" s="2769"/>
      <c r="R898" s="2706" t="s">
        <v>9658</v>
      </c>
      <c r="S898" s="2770"/>
      <c r="T898" s="836" t="s">
        <v>15</v>
      </c>
      <c r="U898" s="2694">
        <v>0.53819444444444442</v>
      </c>
      <c r="V898" s="836" t="s">
        <v>972</v>
      </c>
      <c r="W898" s="2681">
        <v>150</v>
      </c>
      <c r="X898" s="817" t="s">
        <v>2900</v>
      </c>
      <c r="Y898" s="2772" t="s">
        <v>10792</v>
      </c>
      <c r="Z898" s="817"/>
      <c r="AA898" s="817"/>
      <c r="AB898" s="817" t="s">
        <v>17</v>
      </c>
      <c r="AC898" s="817" t="s">
        <v>7451</v>
      </c>
      <c r="AD898" s="2696"/>
      <c r="AG898" s="2711"/>
    </row>
    <row r="899" spans="1:33" ht="43.5" hidden="1" x14ac:dyDescent="0.35">
      <c r="A899" s="2769">
        <v>43920</v>
      </c>
      <c r="B899" s="2760">
        <v>23</v>
      </c>
      <c r="C899" s="817" t="s">
        <v>7600</v>
      </c>
      <c r="D899" s="2712" t="s">
        <v>10131</v>
      </c>
      <c r="E899" s="817" t="s">
        <v>7601</v>
      </c>
      <c r="F899" s="817">
        <v>1</v>
      </c>
      <c r="G899" s="817"/>
      <c r="H899" s="817"/>
      <c r="I899" s="817">
        <v>1</v>
      </c>
      <c r="J899" s="817"/>
      <c r="K899" s="817"/>
      <c r="L899" s="817"/>
      <c r="M899" s="817"/>
      <c r="N899" s="817"/>
      <c r="O899" s="817"/>
      <c r="P899" s="2769">
        <v>43939</v>
      </c>
      <c r="Q899" s="2769"/>
      <c r="R899" s="2770" t="s">
        <v>7602</v>
      </c>
      <c r="S899" s="2747"/>
      <c r="T899" s="2829" t="s">
        <v>15</v>
      </c>
      <c r="U899" s="2694">
        <v>0.55208333333333337</v>
      </c>
      <c r="V899" s="2694" t="s">
        <v>3213</v>
      </c>
      <c r="W899" s="1956">
        <v>100</v>
      </c>
      <c r="X899" s="2829" t="s">
        <v>257</v>
      </c>
      <c r="Y899" s="2772" t="s">
        <v>10792</v>
      </c>
      <c r="Z899" s="2829"/>
      <c r="AA899" s="2829"/>
      <c r="AB899" s="2829" t="s">
        <v>17</v>
      </c>
      <c r="AC899" s="2829" t="s">
        <v>7451</v>
      </c>
      <c r="AD899" s="2699"/>
      <c r="AG899" s="2711"/>
    </row>
    <row r="900" spans="1:33" ht="43.5" hidden="1" x14ac:dyDescent="0.35">
      <c r="A900" s="2486">
        <v>43930</v>
      </c>
      <c r="B900" s="2718">
        <v>24</v>
      </c>
      <c r="C900" s="5" t="s">
        <v>8867</v>
      </c>
      <c r="D900" s="2712" t="s">
        <v>10029</v>
      </c>
      <c r="E900" s="7" t="s">
        <v>8553</v>
      </c>
      <c r="F900" s="2679">
        <v>1</v>
      </c>
      <c r="G900" s="5">
        <v>1</v>
      </c>
      <c r="H900" s="5"/>
      <c r="I900" s="5"/>
      <c r="J900" s="5"/>
      <c r="K900" s="5"/>
      <c r="L900" s="817"/>
      <c r="M900" s="817"/>
      <c r="N900" s="817"/>
      <c r="O900" s="817"/>
      <c r="P900" s="2486">
        <v>43939</v>
      </c>
      <c r="Q900" s="2486"/>
      <c r="R900" s="824" t="s">
        <v>8868</v>
      </c>
      <c r="S900" s="2770"/>
      <c r="T900" s="6" t="s">
        <v>15</v>
      </c>
      <c r="U900" s="2694">
        <v>0.56527777777777777</v>
      </c>
      <c r="V900" s="2694" t="s">
        <v>972</v>
      </c>
      <c r="W900" s="1956">
        <v>100</v>
      </c>
      <c r="X900" s="836" t="s">
        <v>8625</v>
      </c>
      <c r="Y900" s="2772" t="s">
        <v>10792</v>
      </c>
      <c r="Z900" s="817"/>
      <c r="AA900" s="817"/>
      <c r="AB900" s="7" t="s">
        <v>17</v>
      </c>
      <c r="AC900" s="817" t="s">
        <v>7451</v>
      </c>
      <c r="AD900" s="2700"/>
      <c r="AG900" s="2711"/>
    </row>
    <row r="901" spans="1:33" ht="29" hidden="1" x14ac:dyDescent="0.35">
      <c r="A901" s="1899">
        <v>43933</v>
      </c>
      <c r="B901" s="2759">
        <v>25</v>
      </c>
      <c r="C901" s="817" t="s">
        <v>10285</v>
      </c>
      <c r="D901" s="2700" t="s">
        <v>10286</v>
      </c>
      <c r="E901" s="7" t="s">
        <v>8177</v>
      </c>
      <c r="F901" s="817">
        <v>2</v>
      </c>
      <c r="G901" s="817">
        <v>2</v>
      </c>
      <c r="H901" s="817"/>
      <c r="I901" s="817"/>
      <c r="J901" s="817"/>
      <c r="K901" s="817"/>
      <c r="L901" s="817"/>
      <c r="M901" s="817"/>
      <c r="N901" s="817"/>
      <c r="O901" s="817"/>
      <c r="P901" s="2828">
        <v>43939</v>
      </c>
      <c r="Q901" s="2828"/>
      <c r="R901" s="2706" t="s">
        <v>10287</v>
      </c>
      <c r="S901" s="2829"/>
      <c r="T901" s="6" t="s">
        <v>15</v>
      </c>
      <c r="U901" s="2694">
        <v>0.57361111111111118</v>
      </c>
      <c r="V901" s="836" t="s">
        <v>972</v>
      </c>
      <c r="W901" s="1956">
        <v>200</v>
      </c>
      <c r="X901" s="817" t="s">
        <v>8625</v>
      </c>
      <c r="Y901" s="2772" t="s">
        <v>10792</v>
      </c>
      <c r="Z901" s="817"/>
      <c r="AA901" s="817"/>
      <c r="AB901" s="817" t="s">
        <v>17</v>
      </c>
      <c r="AC901" s="817" t="s">
        <v>7451</v>
      </c>
      <c r="AD901" s="2696"/>
      <c r="AG901" s="2711"/>
    </row>
    <row r="902" spans="1:33" ht="43.5" hidden="1" x14ac:dyDescent="0.35">
      <c r="A902" s="2828">
        <v>43926</v>
      </c>
      <c r="B902" s="2760">
        <v>26</v>
      </c>
      <c r="C902" s="2828" t="s">
        <v>8075</v>
      </c>
      <c r="D902" s="2712" t="s">
        <v>10129</v>
      </c>
      <c r="E902" s="817" t="s">
        <v>7935</v>
      </c>
      <c r="F902" s="817">
        <v>1</v>
      </c>
      <c r="G902" s="817">
        <v>1</v>
      </c>
      <c r="H902" s="817"/>
      <c r="I902" s="817"/>
      <c r="J902" s="817"/>
      <c r="K902" s="817"/>
      <c r="L902" s="817"/>
      <c r="M902" s="817"/>
      <c r="N902" s="817"/>
      <c r="O902" s="817"/>
      <c r="P902" s="2769">
        <v>43939</v>
      </c>
      <c r="Q902" s="2769"/>
      <c r="R902" s="2829" t="s">
        <v>8076</v>
      </c>
      <c r="S902" s="2770"/>
      <c r="T902" s="2694" t="s">
        <v>15</v>
      </c>
      <c r="U902" s="2694">
        <v>0.58194444444444449</v>
      </c>
      <c r="V902" s="2694" t="s">
        <v>3213</v>
      </c>
      <c r="W902" s="1956">
        <v>100</v>
      </c>
      <c r="X902" s="817" t="s">
        <v>7424</v>
      </c>
      <c r="Y902" s="2772" t="s">
        <v>10792</v>
      </c>
      <c r="Z902" s="817"/>
      <c r="AA902" s="817"/>
      <c r="AB902" s="817" t="s">
        <v>17</v>
      </c>
      <c r="AC902" s="817" t="s">
        <v>7451</v>
      </c>
      <c r="AD902" s="2699"/>
      <c r="AG902" s="2711"/>
    </row>
    <row r="903" spans="1:33" ht="58" hidden="1" x14ac:dyDescent="0.35">
      <c r="A903" s="2486">
        <v>43934</v>
      </c>
      <c r="B903" s="2718">
        <v>27</v>
      </c>
      <c r="C903" s="5" t="s">
        <v>10325</v>
      </c>
      <c r="D903" s="2700" t="s">
        <v>10326</v>
      </c>
      <c r="E903" s="7" t="s">
        <v>8553</v>
      </c>
      <c r="F903" s="2686">
        <v>1</v>
      </c>
      <c r="G903" s="2682">
        <v>1</v>
      </c>
      <c r="H903" s="2682"/>
      <c r="I903" s="2682"/>
      <c r="J903" s="2682"/>
      <c r="K903" s="2682"/>
      <c r="L903" s="817"/>
      <c r="M903" s="817"/>
      <c r="N903" s="817"/>
      <c r="O903" s="817"/>
      <c r="P903" s="2486">
        <v>43939</v>
      </c>
      <c r="Q903" s="2769"/>
      <c r="R903" s="2722" t="s">
        <v>10330</v>
      </c>
      <c r="S903" s="2770"/>
      <c r="T903" s="6" t="s">
        <v>15</v>
      </c>
      <c r="U903" s="2694">
        <v>0.58958333333333335</v>
      </c>
      <c r="V903" s="836" t="s">
        <v>972</v>
      </c>
      <c r="W903" s="1956">
        <v>100</v>
      </c>
      <c r="X903" s="817" t="s">
        <v>8625</v>
      </c>
      <c r="Y903" s="2772" t="s">
        <v>10792</v>
      </c>
      <c r="Z903" s="817"/>
      <c r="AA903" s="817"/>
      <c r="AB903" s="817" t="s">
        <v>17</v>
      </c>
      <c r="AC903" s="817" t="s">
        <v>7451</v>
      </c>
      <c r="AD903" s="2695"/>
      <c r="AG903" s="2711"/>
    </row>
    <row r="904" spans="1:33" ht="58" hidden="1" x14ac:dyDescent="0.35">
      <c r="A904" s="2828">
        <v>43931</v>
      </c>
      <c r="B904" s="2760">
        <v>28</v>
      </c>
      <c r="C904" s="817" t="s">
        <v>9284</v>
      </c>
      <c r="D904" s="2712" t="s">
        <v>9286</v>
      </c>
      <c r="E904" s="817" t="s">
        <v>10869</v>
      </c>
      <c r="F904" s="2679">
        <v>1</v>
      </c>
      <c r="G904" s="5">
        <v>2</v>
      </c>
      <c r="H904" s="5"/>
      <c r="I904" s="5"/>
      <c r="J904" s="5"/>
      <c r="K904" s="5">
        <v>1</v>
      </c>
      <c r="L904" s="817"/>
      <c r="M904" s="817"/>
      <c r="N904" s="817"/>
      <c r="O904" s="817"/>
      <c r="P904" s="2828">
        <v>43939</v>
      </c>
      <c r="Q904" s="2769"/>
      <c r="R904" s="2829" t="s">
        <v>9285</v>
      </c>
      <c r="S904" s="2770"/>
      <c r="T904" s="6" t="s">
        <v>15</v>
      </c>
      <c r="U904" s="2694">
        <v>0.59861111111111109</v>
      </c>
      <c r="V904" s="2694" t="s">
        <v>3213</v>
      </c>
      <c r="W904" s="1956">
        <v>200</v>
      </c>
      <c r="X904" s="817" t="s">
        <v>257</v>
      </c>
      <c r="Y904" s="2772" t="s">
        <v>10792</v>
      </c>
      <c r="Z904" s="817"/>
      <c r="AA904" s="817"/>
      <c r="AB904" s="817" t="s">
        <v>22</v>
      </c>
      <c r="AC904" s="817" t="s">
        <v>7451</v>
      </c>
      <c r="AD904" s="2696" t="s">
        <v>9286</v>
      </c>
      <c r="AG904" s="2711"/>
    </row>
    <row r="905" spans="1:33" ht="58" hidden="1" x14ac:dyDescent="0.35">
      <c r="A905" s="2769">
        <v>43924</v>
      </c>
      <c r="B905" s="2760">
        <v>29</v>
      </c>
      <c r="C905" s="817" t="s">
        <v>7845</v>
      </c>
      <c r="D905" s="2712" t="s">
        <v>10046</v>
      </c>
      <c r="E905" s="817" t="s">
        <v>7829</v>
      </c>
      <c r="F905" s="817">
        <v>1</v>
      </c>
      <c r="G905" s="817">
        <v>1</v>
      </c>
      <c r="H905" s="817"/>
      <c r="I905" s="817"/>
      <c r="J905" s="817"/>
      <c r="K905" s="817"/>
      <c r="L905" s="817"/>
      <c r="M905" s="817"/>
      <c r="N905" s="817"/>
      <c r="O905" s="817"/>
      <c r="P905" s="2769">
        <v>43939</v>
      </c>
      <c r="Q905" s="2769"/>
      <c r="R905" s="2829" t="s">
        <v>7846</v>
      </c>
      <c r="S905" s="2770"/>
      <c r="T905" s="2694" t="s">
        <v>15</v>
      </c>
      <c r="U905" s="2694">
        <v>0.60555555555555551</v>
      </c>
      <c r="V905" s="2694" t="s">
        <v>972</v>
      </c>
      <c r="W905" s="1956">
        <v>100</v>
      </c>
      <c r="X905" s="817" t="s">
        <v>7634</v>
      </c>
      <c r="Y905" s="2772" t="s">
        <v>10792</v>
      </c>
      <c r="Z905" s="817"/>
      <c r="AA905" s="817"/>
      <c r="AB905" s="817" t="s">
        <v>17</v>
      </c>
      <c r="AC905" s="817" t="s">
        <v>7451</v>
      </c>
      <c r="AD905" s="2699"/>
      <c r="AG905" s="2711"/>
    </row>
    <row r="906" spans="1:33" ht="29" hidden="1" x14ac:dyDescent="0.35">
      <c r="A906" s="2769">
        <v>43933</v>
      </c>
      <c r="B906" s="2760">
        <v>30</v>
      </c>
      <c r="C906" s="817" t="s">
        <v>10301</v>
      </c>
      <c r="D906" s="2700" t="s">
        <v>10302</v>
      </c>
      <c r="E906" s="2188" t="s">
        <v>10303</v>
      </c>
      <c r="F906" s="817"/>
      <c r="G906" s="817"/>
      <c r="H906" s="817"/>
      <c r="I906" s="817"/>
      <c r="J906" s="817">
        <v>1</v>
      </c>
      <c r="K906" s="817"/>
      <c r="L906" s="817"/>
      <c r="M906" s="817"/>
      <c r="N906" s="817"/>
      <c r="O906" s="817"/>
      <c r="P906" s="2769">
        <v>43939</v>
      </c>
      <c r="Q906" s="2769"/>
      <c r="R906" s="2706" t="s">
        <v>10304</v>
      </c>
      <c r="S906" s="2770"/>
      <c r="T906" s="836" t="s">
        <v>15</v>
      </c>
      <c r="U906" s="2694">
        <v>0.61527777777777781</v>
      </c>
      <c r="V906" s="836" t="s">
        <v>972</v>
      </c>
      <c r="W906" s="1956">
        <v>65</v>
      </c>
      <c r="X906" s="817" t="s">
        <v>8625</v>
      </c>
      <c r="Y906" s="2772" t="s">
        <v>10792</v>
      </c>
      <c r="Z906" s="817"/>
      <c r="AA906" s="817"/>
      <c r="AB906" s="817" t="s">
        <v>17</v>
      </c>
      <c r="AC906" s="817" t="s">
        <v>7451</v>
      </c>
      <c r="AD906" s="2696"/>
      <c r="AG906" s="2711"/>
    </row>
    <row r="907" spans="1:33" ht="87" hidden="1" x14ac:dyDescent="0.35">
      <c r="A907" s="2828">
        <v>43923</v>
      </c>
      <c r="B907" s="2760">
        <v>1</v>
      </c>
      <c r="C907" s="817" t="s">
        <v>7660</v>
      </c>
      <c r="D907" s="2712" t="s">
        <v>10153</v>
      </c>
      <c r="E907" s="817" t="s">
        <v>10780</v>
      </c>
      <c r="F907" s="817">
        <v>2</v>
      </c>
      <c r="G907" s="817">
        <v>2</v>
      </c>
      <c r="H907" s="817"/>
      <c r="I907" s="817"/>
      <c r="J907" s="817"/>
      <c r="K907" s="817"/>
      <c r="L907" s="817"/>
      <c r="M907" s="817"/>
      <c r="N907" s="817"/>
      <c r="O907" s="817"/>
      <c r="P907" s="2828">
        <v>43939</v>
      </c>
      <c r="Q907" s="2828"/>
      <c r="R907" s="2829" t="s">
        <v>7662</v>
      </c>
      <c r="S907" s="2770"/>
      <c r="T907" s="2694" t="s">
        <v>15</v>
      </c>
      <c r="U907" s="2694">
        <v>0.32291666666666669</v>
      </c>
      <c r="V907" s="2694" t="s">
        <v>972</v>
      </c>
      <c r="W907" s="1956">
        <v>200</v>
      </c>
      <c r="X907" s="817" t="s">
        <v>7634</v>
      </c>
      <c r="Y907" s="2772" t="s">
        <v>140</v>
      </c>
      <c r="Z907" s="817"/>
      <c r="AA907" s="817"/>
      <c r="AB907" s="817" t="s">
        <v>17</v>
      </c>
      <c r="AC907" s="817" t="s">
        <v>7451</v>
      </c>
      <c r="AD907" s="2699"/>
      <c r="AG907" s="2711"/>
    </row>
    <row r="908" spans="1:33" ht="43.5" hidden="1" x14ac:dyDescent="0.35">
      <c r="A908" s="2486">
        <v>43923</v>
      </c>
      <c r="B908" s="2718">
        <v>2</v>
      </c>
      <c r="C908" s="5" t="s">
        <v>7807</v>
      </c>
      <c r="D908" s="2712" t="s">
        <v>10203</v>
      </c>
      <c r="E908" s="5" t="s">
        <v>7809</v>
      </c>
      <c r="F908" s="5">
        <v>2</v>
      </c>
      <c r="G908" s="5"/>
      <c r="H908" s="5"/>
      <c r="I908" s="5">
        <v>1</v>
      </c>
      <c r="J908" s="5"/>
      <c r="K908" s="5"/>
      <c r="L908" s="5"/>
      <c r="M908" s="5"/>
      <c r="N908" s="5"/>
      <c r="O908" s="5"/>
      <c r="P908" s="2486">
        <v>43939</v>
      </c>
      <c r="Q908" s="2486"/>
      <c r="R908" s="824" t="s">
        <v>7808</v>
      </c>
      <c r="S908" s="824"/>
      <c r="T908" s="6" t="s">
        <v>15</v>
      </c>
      <c r="U908" s="2694">
        <v>0.33124999999999999</v>
      </c>
      <c r="V908" s="2694" t="s">
        <v>3213</v>
      </c>
      <c r="W908" s="1956">
        <v>150</v>
      </c>
      <c r="X908" s="2694" t="s">
        <v>257</v>
      </c>
      <c r="Y908" s="2772" t="s">
        <v>140</v>
      </c>
      <c r="Z908" s="2694"/>
      <c r="AA908" s="2694"/>
      <c r="AB908" s="817" t="s">
        <v>17</v>
      </c>
      <c r="AC908" s="817" t="s">
        <v>7451</v>
      </c>
      <c r="AD908" s="2699"/>
      <c r="AG908" s="2711"/>
    </row>
    <row r="909" spans="1:33" ht="101.5" hidden="1" x14ac:dyDescent="0.35">
      <c r="A909" s="2486">
        <v>43923</v>
      </c>
      <c r="B909" s="2718">
        <v>3</v>
      </c>
      <c r="C909" s="5" t="s">
        <v>7803</v>
      </c>
      <c r="D909" s="2712" t="s">
        <v>10068</v>
      </c>
      <c r="E909" s="5" t="s">
        <v>10866</v>
      </c>
      <c r="F909" s="5"/>
      <c r="G909" s="5"/>
      <c r="H909" s="5"/>
      <c r="I909" s="5"/>
      <c r="J909" s="5">
        <v>1</v>
      </c>
      <c r="K909" s="5">
        <v>1</v>
      </c>
      <c r="L909" s="5"/>
      <c r="M909" s="5"/>
      <c r="N909" s="5"/>
      <c r="O909" s="5"/>
      <c r="P909" s="2486">
        <v>43939</v>
      </c>
      <c r="Q909" s="2486"/>
      <c r="R909" s="824" t="s">
        <v>7804</v>
      </c>
      <c r="S909" s="824"/>
      <c r="T909" s="6" t="s">
        <v>15</v>
      </c>
      <c r="U909" s="2694">
        <v>0.34027777777777773</v>
      </c>
      <c r="V909" s="2694" t="s">
        <v>3213</v>
      </c>
      <c r="W909" s="1956">
        <v>100</v>
      </c>
      <c r="X909" s="2694" t="s">
        <v>257</v>
      </c>
      <c r="Y909" s="2772" t="s">
        <v>140</v>
      </c>
      <c r="Z909" s="2694"/>
      <c r="AA909" s="2694"/>
      <c r="AB909" s="817" t="s">
        <v>17</v>
      </c>
      <c r="AC909" s="817" t="s">
        <v>7451</v>
      </c>
      <c r="AD909" s="2699"/>
      <c r="AG909" s="2711"/>
    </row>
    <row r="910" spans="1:33" ht="29" hidden="1" x14ac:dyDescent="0.35">
      <c r="A910" s="2828">
        <v>43927</v>
      </c>
      <c r="B910" s="2760">
        <v>4</v>
      </c>
      <c r="C910" s="817" t="s">
        <v>8250</v>
      </c>
      <c r="D910" s="2712" t="s">
        <v>10127</v>
      </c>
      <c r="E910" s="817" t="s">
        <v>8073</v>
      </c>
      <c r="F910" s="5">
        <v>1</v>
      </c>
      <c r="G910" s="5"/>
      <c r="H910" s="5"/>
      <c r="I910" s="5">
        <v>1</v>
      </c>
      <c r="J910" s="5"/>
      <c r="K910" s="5"/>
      <c r="L910" s="817"/>
      <c r="M910" s="817"/>
      <c r="N910" s="817"/>
      <c r="O910" s="817"/>
      <c r="P910" s="2828">
        <v>43939</v>
      </c>
      <c r="Q910" s="2769"/>
      <c r="R910" s="2829" t="s">
        <v>8341</v>
      </c>
      <c r="S910" s="2770"/>
      <c r="T910" s="2694" t="s">
        <v>15</v>
      </c>
      <c r="U910" s="2694">
        <v>0.34930555555555554</v>
      </c>
      <c r="V910" s="2694" t="s">
        <v>3213</v>
      </c>
      <c r="W910" s="1956">
        <v>100</v>
      </c>
      <c r="X910" s="817" t="s">
        <v>257</v>
      </c>
      <c r="Y910" s="2772" t="s">
        <v>140</v>
      </c>
      <c r="Z910" s="817"/>
      <c r="AA910" s="817"/>
      <c r="AB910" s="817" t="s">
        <v>17</v>
      </c>
      <c r="AC910" s="817" t="s">
        <v>7451</v>
      </c>
      <c r="AD910" s="2699"/>
      <c r="AG910" s="2711"/>
    </row>
    <row r="911" spans="1:33" s="1592" customFormat="1" ht="72.5" hidden="1" x14ac:dyDescent="0.35">
      <c r="A911" s="1899">
        <v>43918</v>
      </c>
      <c r="B911" s="2759">
        <v>5</v>
      </c>
      <c r="C911" s="7" t="s">
        <v>7525</v>
      </c>
      <c r="D911" s="2712" t="s">
        <v>10031</v>
      </c>
      <c r="E911" s="7" t="s">
        <v>7504</v>
      </c>
      <c r="F911" s="7">
        <v>1</v>
      </c>
      <c r="G911" s="7"/>
      <c r="H911" s="7">
        <v>1</v>
      </c>
      <c r="I911" s="7"/>
      <c r="J911" s="7"/>
      <c r="K911" s="7"/>
      <c r="L911" s="7"/>
      <c r="M911" s="7"/>
      <c r="N911" s="7"/>
      <c r="O911" s="7"/>
      <c r="P911" s="1899">
        <v>43939</v>
      </c>
      <c r="Q911" s="1899"/>
      <c r="R911" s="881" t="s">
        <v>7505</v>
      </c>
      <c r="S911" s="881"/>
      <c r="T911" s="836" t="s">
        <v>15</v>
      </c>
      <c r="U911" s="2694">
        <v>0.35833333333333334</v>
      </c>
      <c r="V911" s="836" t="s">
        <v>972</v>
      </c>
      <c r="W911" s="1956">
        <v>100</v>
      </c>
      <c r="X911" s="836" t="s">
        <v>257</v>
      </c>
      <c r="Y911" s="2772" t="s">
        <v>140</v>
      </c>
      <c r="Z911" s="836"/>
      <c r="AA911" s="836"/>
      <c r="AB911" s="7" t="s">
        <v>17</v>
      </c>
      <c r="AC911" s="7" t="s">
        <v>7451</v>
      </c>
      <c r="AD911" s="2699"/>
      <c r="AG911" s="2711"/>
    </row>
    <row r="912" spans="1:33" s="1592" customFormat="1" ht="29" hidden="1" x14ac:dyDescent="0.35">
      <c r="A912" s="2769">
        <v>43932</v>
      </c>
      <c r="B912" s="2760">
        <v>6</v>
      </c>
      <c r="C912" s="817" t="s">
        <v>9668</v>
      </c>
      <c r="D912" s="2700" t="s">
        <v>9665</v>
      </c>
      <c r="E912" s="7" t="s">
        <v>8553</v>
      </c>
      <c r="F912" s="5">
        <v>1</v>
      </c>
      <c r="G912" s="5">
        <v>1</v>
      </c>
      <c r="H912" s="5"/>
      <c r="I912" s="5"/>
      <c r="J912" s="5"/>
      <c r="K912" s="5"/>
      <c r="L912" s="817"/>
      <c r="M912" s="817"/>
      <c r="N912" s="817"/>
      <c r="O912" s="817"/>
      <c r="P912" s="2769">
        <v>43939</v>
      </c>
      <c r="Q912" s="2769"/>
      <c r="R912" s="2706" t="s">
        <v>9664</v>
      </c>
      <c r="S912" s="2770"/>
      <c r="T912" s="6" t="s">
        <v>15</v>
      </c>
      <c r="U912" s="2694">
        <v>0.36874999999999997</v>
      </c>
      <c r="V912" s="2694" t="s">
        <v>1497</v>
      </c>
      <c r="W912" s="1956">
        <v>100</v>
      </c>
      <c r="X912" s="817" t="s">
        <v>2900</v>
      </c>
      <c r="Y912" s="2772" t="s">
        <v>140</v>
      </c>
      <c r="Z912" s="817"/>
      <c r="AA912" s="817"/>
      <c r="AB912" s="817" t="s">
        <v>17</v>
      </c>
      <c r="AC912" s="817" t="s">
        <v>7451</v>
      </c>
      <c r="AD912" s="2696"/>
      <c r="AG912" s="2711"/>
    </row>
    <row r="913" spans="1:33" s="1592" customFormat="1" ht="29" hidden="1" x14ac:dyDescent="0.35">
      <c r="A913" s="2769">
        <v>43927</v>
      </c>
      <c r="B913" s="2760">
        <v>7</v>
      </c>
      <c r="C913" s="817" t="s">
        <v>8255</v>
      </c>
      <c r="D913" s="2712" t="s">
        <v>10045</v>
      </c>
      <c r="E913" s="817" t="s">
        <v>7935</v>
      </c>
      <c r="F913" s="5">
        <v>1</v>
      </c>
      <c r="G913" s="5">
        <v>1</v>
      </c>
      <c r="H913" s="5"/>
      <c r="I913" s="5"/>
      <c r="J913" s="5"/>
      <c r="K913" s="5"/>
      <c r="L913" s="817"/>
      <c r="M913" s="817"/>
      <c r="N913" s="817"/>
      <c r="O913" s="817"/>
      <c r="P913" s="2769">
        <v>43939</v>
      </c>
      <c r="Q913" s="2769"/>
      <c r="R913" s="2829" t="s">
        <v>8346</v>
      </c>
      <c r="S913" s="2770" t="s">
        <v>8285</v>
      </c>
      <c r="T913" s="2694" t="s">
        <v>15</v>
      </c>
      <c r="U913" s="2694">
        <v>0.37916666666666665</v>
      </c>
      <c r="V913" s="2694" t="s">
        <v>3213</v>
      </c>
      <c r="W913" s="1956">
        <v>100</v>
      </c>
      <c r="X913" s="817" t="s">
        <v>8268</v>
      </c>
      <c r="Y913" s="2772" t="s">
        <v>140</v>
      </c>
      <c r="Z913" s="817"/>
      <c r="AA913" s="817"/>
      <c r="AB913" s="817" t="s">
        <v>17</v>
      </c>
      <c r="AC913" s="817" t="s">
        <v>7451</v>
      </c>
      <c r="AD913" s="2699"/>
      <c r="AG913" s="2711"/>
    </row>
    <row r="914" spans="1:33" s="1592" customFormat="1" ht="43.5" hidden="1" x14ac:dyDescent="0.35">
      <c r="A914" s="2486">
        <v>43928</v>
      </c>
      <c r="B914" s="2718">
        <v>8</v>
      </c>
      <c r="C914" s="7" t="s">
        <v>8493</v>
      </c>
      <c r="D914" s="2712" t="s">
        <v>10086</v>
      </c>
      <c r="E914" s="7" t="s">
        <v>8149</v>
      </c>
      <c r="F914" s="2678">
        <v>1</v>
      </c>
      <c r="G914" s="2669">
        <v>1</v>
      </c>
      <c r="H914" s="2669"/>
      <c r="I914" s="2669"/>
      <c r="J914" s="2669"/>
      <c r="K914" s="2669"/>
      <c r="L914" s="817"/>
      <c r="M914" s="817"/>
      <c r="N914" s="817"/>
      <c r="O914" s="817"/>
      <c r="P914" s="2486">
        <v>43939</v>
      </c>
      <c r="Q914" s="2486"/>
      <c r="R914" s="824" t="s">
        <v>8492</v>
      </c>
      <c r="S914" s="2770"/>
      <c r="T914" s="6" t="s">
        <v>15</v>
      </c>
      <c r="U914" s="2694">
        <v>0.38750000000000001</v>
      </c>
      <c r="V914" s="2694" t="s">
        <v>972</v>
      </c>
      <c r="W914" s="2660">
        <v>100</v>
      </c>
      <c r="X914" s="2694" t="s">
        <v>8381</v>
      </c>
      <c r="Y914" s="2772" t="s">
        <v>140</v>
      </c>
      <c r="Z914" s="817"/>
      <c r="AA914" s="817"/>
      <c r="AB914" s="7" t="s">
        <v>17</v>
      </c>
      <c r="AC914" s="817" t="s">
        <v>7451</v>
      </c>
      <c r="AD914" s="2699"/>
      <c r="AG914" s="2711"/>
    </row>
    <row r="915" spans="1:33" s="1592" customFormat="1" ht="43.5" hidden="1" x14ac:dyDescent="0.35">
      <c r="A915" s="1899">
        <v>43932</v>
      </c>
      <c r="B915" s="2759">
        <v>9</v>
      </c>
      <c r="C915" s="7" t="s">
        <v>9559</v>
      </c>
      <c r="D915" s="2707" t="s">
        <v>9560</v>
      </c>
      <c r="E915" s="7" t="s">
        <v>8073</v>
      </c>
      <c r="F915" s="5">
        <v>1</v>
      </c>
      <c r="G915" s="5"/>
      <c r="H915" s="5"/>
      <c r="I915" s="5">
        <v>1</v>
      </c>
      <c r="J915" s="5"/>
      <c r="K915" s="5"/>
      <c r="L915" s="817"/>
      <c r="M915" s="817"/>
      <c r="N915" s="817"/>
      <c r="O915" s="817"/>
      <c r="P915" s="1899">
        <v>43939</v>
      </c>
      <c r="Q915" s="2828"/>
      <c r="R915" s="2708" t="s">
        <v>9561</v>
      </c>
      <c r="S915" s="2829"/>
      <c r="T915" s="836" t="s">
        <v>15</v>
      </c>
      <c r="U915" s="2694">
        <v>0.3972222222222222</v>
      </c>
      <c r="V915" s="836" t="s">
        <v>972</v>
      </c>
      <c r="W915" s="2681">
        <v>100</v>
      </c>
      <c r="X915" s="817" t="s">
        <v>2900</v>
      </c>
      <c r="Y915" s="2772" t="s">
        <v>140</v>
      </c>
      <c r="Z915" s="817"/>
      <c r="AA915" s="817"/>
      <c r="AB915" s="817" t="s">
        <v>17</v>
      </c>
      <c r="AC915" s="817" t="s">
        <v>7451</v>
      </c>
      <c r="AD915" s="2696"/>
      <c r="AG915" s="2711"/>
    </row>
    <row r="916" spans="1:33" s="1592" customFormat="1" ht="43.5" hidden="1" x14ac:dyDescent="0.35">
      <c r="A916" s="2828">
        <v>43931</v>
      </c>
      <c r="B916" s="2760">
        <v>10</v>
      </c>
      <c r="C916" s="817" t="s">
        <v>9216</v>
      </c>
      <c r="D916" s="2712" t="s">
        <v>9215</v>
      </c>
      <c r="E916" s="7" t="s">
        <v>8553</v>
      </c>
      <c r="F916" s="2682">
        <v>1</v>
      </c>
      <c r="G916" s="2682">
        <v>1</v>
      </c>
      <c r="H916" s="2682"/>
      <c r="I916" s="2682"/>
      <c r="J916" s="2682"/>
      <c r="K916" s="2682"/>
      <c r="L916" s="817"/>
      <c r="M916" s="817"/>
      <c r="N916" s="817"/>
      <c r="O916" s="817"/>
      <c r="P916" s="2828">
        <v>43939</v>
      </c>
      <c r="Q916" s="2828"/>
      <c r="R916" s="2829" t="s">
        <v>9217</v>
      </c>
      <c r="S916" s="2829"/>
      <c r="T916" s="2694" t="s">
        <v>15</v>
      </c>
      <c r="U916" s="2694">
        <v>0.40763888888888888</v>
      </c>
      <c r="V916" s="2694" t="s">
        <v>972</v>
      </c>
      <c r="W916" s="2821">
        <v>100</v>
      </c>
      <c r="X916" s="817" t="s">
        <v>10946</v>
      </c>
      <c r="Y916" s="2772" t="s">
        <v>140</v>
      </c>
      <c r="Z916" s="817"/>
      <c r="AA916" s="817"/>
      <c r="AB916" s="817" t="s">
        <v>17</v>
      </c>
      <c r="AC916" s="817" t="s">
        <v>7451</v>
      </c>
      <c r="AD916" s="2700" t="s">
        <v>9215</v>
      </c>
      <c r="AG916" s="2711"/>
    </row>
    <row r="917" spans="1:33" s="1592" customFormat="1" ht="29" hidden="1" x14ac:dyDescent="0.35">
      <c r="A917" s="1899">
        <v>43932</v>
      </c>
      <c r="B917" s="2759">
        <v>11</v>
      </c>
      <c r="C917" s="7" t="s">
        <v>9499</v>
      </c>
      <c r="D917" s="2707" t="s">
        <v>9500</v>
      </c>
      <c r="E917" s="7" t="s">
        <v>8107</v>
      </c>
      <c r="F917" s="2682">
        <v>1</v>
      </c>
      <c r="G917" s="2682"/>
      <c r="H917" s="2682">
        <v>1</v>
      </c>
      <c r="I917" s="2682"/>
      <c r="J917" s="2682"/>
      <c r="K917" s="2682"/>
      <c r="L917" s="817"/>
      <c r="M917" s="817"/>
      <c r="N917" s="817"/>
      <c r="O917" s="817"/>
      <c r="P917" s="1899">
        <v>43939</v>
      </c>
      <c r="Q917" s="2769"/>
      <c r="R917" s="2708" t="s">
        <v>9501</v>
      </c>
      <c r="S917" s="2770"/>
      <c r="T917" s="836" t="s">
        <v>15</v>
      </c>
      <c r="U917" s="2694">
        <v>0.41805555555555557</v>
      </c>
      <c r="V917" s="836" t="s">
        <v>972</v>
      </c>
      <c r="W917" s="2681">
        <v>100</v>
      </c>
      <c r="X917" s="817" t="s">
        <v>2900</v>
      </c>
      <c r="Y917" s="2772" t="s">
        <v>140</v>
      </c>
      <c r="Z917" s="817"/>
      <c r="AA917" s="817"/>
      <c r="AB917" s="817" t="s">
        <v>17</v>
      </c>
      <c r="AC917" s="817" t="s">
        <v>7451</v>
      </c>
      <c r="AD917" s="2695"/>
      <c r="AG917" s="2711"/>
    </row>
    <row r="918" spans="1:33" s="1592" customFormat="1" ht="101.5" hidden="1" x14ac:dyDescent="0.35">
      <c r="A918" s="1899">
        <v>43934</v>
      </c>
      <c r="B918" s="2759">
        <v>12</v>
      </c>
      <c r="C918" s="7" t="s">
        <v>10414</v>
      </c>
      <c r="D918" s="2707" t="s">
        <v>10415</v>
      </c>
      <c r="E918" s="7" t="s">
        <v>8553</v>
      </c>
      <c r="F918" s="7">
        <v>1</v>
      </c>
      <c r="G918" s="7">
        <v>1</v>
      </c>
      <c r="H918" s="7"/>
      <c r="I918" s="7"/>
      <c r="J918" s="7"/>
      <c r="K918" s="7"/>
      <c r="L918" s="817"/>
      <c r="M918" s="817"/>
      <c r="N918" s="817"/>
      <c r="O918" s="817"/>
      <c r="P918" s="1899">
        <v>43939</v>
      </c>
      <c r="Q918" s="2828"/>
      <c r="R918" s="2708" t="s">
        <v>10413</v>
      </c>
      <c r="S918" s="2829"/>
      <c r="T918" s="6" t="s">
        <v>15</v>
      </c>
      <c r="U918" s="2694">
        <v>0.42708333333333331</v>
      </c>
      <c r="V918" s="836" t="s">
        <v>972</v>
      </c>
      <c r="W918" s="1956">
        <v>100</v>
      </c>
      <c r="X918" s="817" t="s">
        <v>8625</v>
      </c>
      <c r="Y918" s="2772" t="s">
        <v>140</v>
      </c>
      <c r="Z918" s="817"/>
      <c r="AA918" s="817"/>
      <c r="AB918" s="817" t="s">
        <v>17</v>
      </c>
      <c r="AC918" s="817" t="s">
        <v>7451</v>
      </c>
      <c r="AD918" s="2696"/>
      <c r="AG918" s="2711"/>
    </row>
    <row r="919" spans="1:33" s="1592" customFormat="1" ht="29" hidden="1" x14ac:dyDescent="0.35">
      <c r="A919" s="2769">
        <v>43929</v>
      </c>
      <c r="B919" s="2760">
        <v>13</v>
      </c>
      <c r="C919" s="817" t="s">
        <v>8633</v>
      </c>
      <c r="D919" s="2712" t="s">
        <v>10025</v>
      </c>
      <c r="E919" s="7" t="s">
        <v>8622</v>
      </c>
      <c r="F919" s="2682">
        <v>1</v>
      </c>
      <c r="G919" s="2682">
        <v>1</v>
      </c>
      <c r="H919" s="2682"/>
      <c r="I919" s="2682"/>
      <c r="J919" s="2682"/>
      <c r="K919" s="2682"/>
      <c r="L919" s="817"/>
      <c r="M919" s="817"/>
      <c r="N919" s="817"/>
      <c r="O919" s="817"/>
      <c r="P919" s="2769">
        <v>43939</v>
      </c>
      <c r="Q919" s="2769"/>
      <c r="R919" s="2829" t="s">
        <v>8635</v>
      </c>
      <c r="S919" s="2770"/>
      <c r="T919" s="6" t="s">
        <v>15</v>
      </c>
      <c r="U919" s="2694">
        <v>0.4375</v>
      </c>
      <c r="V919" s="2694" t="s">
        <v>972</v>
      </c>
      <c r="W919" s="1956">
        <v>100</v>
      </c>
      <c r="X919" s="836" t="s">
        <v>8625</v>
      </c>
      <c r="Y919" s="2772" t="s">
        <v>140</v>
      </c>
      <c r="Z919" s="817"/>
      <c r="AA919" s="817"/>
      <c r="AB919" s="7" t="s">
        <v>17</v>
      </c>
      <c r="AC919" s="817" t="s">
        <v>7451</v>
      </c>
      <c r="AD919" s="2695"/>
      <c r="AG919" s="2711"/>
    </row>
    <row r="920" spans="1:33" s="1592" customFormat="1" ht="72.5" hidden="1" x14ac:dyDescent="0.35">
      <c r="A920" s="1899">
        <v>43917</v>
      </c>
      <c r="B920" s="2759">
        <v>14</v>
      </c>
      <c r="C920" s="7" t="s">
        <v>7470</v>
      </c>
      <c r="D920" s="2712" t="s">
        <v>10064</v>
      </c>
      <c r="E920" s="7" t="s">
        <v>7472</v>
      </c>
      <c r="F920" s="7">
        <v>1</v>
      </c>
      <c r="G920" s="7">
        <v>2</v>
      </c>
      <c r="H920" s="7"/>
      <c r="I920" s="7"/>
      <c r="J920" s="7"/>
      <c r="K920" s="7"/>
      <c r="L920" s="7"/>
      <c r="M920" s="7"/>
      <c r="N920" s="7"/>
      <c r="O920" s="7"/>
      <c r="P920" s="1899">
        <v>43939</v>
      </c>
      <c r="Q920" s="1899"/>
      <c r="R920" s="881" t="s">
        <v>7469</v>
      </c>
      <c r="S920" s="881"/>
      <c r="T920" s="836" t="s">
        <v>15</v>
      </c>
      <c r="U920" s="2694">
        <v>0.4458333333333333</v>
      </c>
      <c r="V920" s="836" t="s">
        <v>972</v>
      </c>
      <c r="W920" s="1630">
        <v>165</v>
      </c>
      <c r="X920" s="7" t="s">
        <v>257</v>
      </c>
      <c r="Y920" s="2772" t="s">
        <v>140</v>
      </c>
      <c r="Z920" s="7"/>
      <c r="AA920" s="7"/>
      <c r="AB920" s="7" t="s">
        <v>17</v>
      </c>
      <c r="AC920" s="7" t="s">
        <v>7451</v>
      </c>
      <c r="AD920" s="2699"/>
      <c r="AG920" s="2711"/>
    </row>
    <row r="921" spans="1:33" s="1592" customFormat="1" ht="43.5" hidden="1" x14ac:dyDescent="0.35">
      <c r="A921" s="1899">
        <v>43934</v>
      </c>
      <c r="B921" s="2759">
        <v>15</v>
      </c>
      <c r="C921" s="7" t="s">
        <v>10463</v>
      </c>
      <c r="D921" s="2707" t="s">
        <v>10464</v>
      </c>
      <c r="E921" s="7" t="s">
        <v>8553</v>
      </c>
      <c r="F921" s="7">
        <v>1</v>
      </c>
      <c r="G921" s="7">
        <v>1</v>
      </c>
      <c r="H921" s="7"/>
      <c r="I921" s="7"/>
      <c r="J921" s="7"/>
      <c r="K921" s="7"/>
      <c r="L921" s="817"/>
      <c r="M921" s="817"/>
      <c r="N921" s="817"/>
      <c r="O921" s="817"/>
      <c r="P921" s="1899">
        <v>43939</v>
      </c>
      <c r="Q921" s="2828"/>
      <c r="R921" s="2708" t="s">
        <v>10462</v>
      </c>
      <c r="S921" s="2770"/>
      <c r="T921" s="836" t="s">
        <v>15</v>
      </c>
      <c r="U921" s="2694">
        <v>0.45833333333333331</v>
      </c>
      <c r="V921" s="836" t="s">
        <v>972</v>
      </c>
      <c r="W921" s="1956">
        <v>100</v>
      </c>
      <c r="X921" s="817" t="s">
        <v>8625</v>
      </c>
      <c r="Y921" s="2772" t="s">
        <v>140</v>
      </c>
      <c r="Z921" s="7"/>
      <c r="AA921" s="7"/>
      <c r="AB921" s="7" t="s">
        <v>17</v>
      </c>
      <c r="AC921" s="7" t="s">
        <v>7451</v>
      </c>
      <c r="AD921" s="2696"/>
      <c r="AG921" s="2711"/>
    </row>
    <row r="922" spans="1:33" s="1592" customFormat="1" ht="43.5" hidden="1" x14ac:dyDescent="0.35">
      <c r="A922" s="1899">
        <v>43932</v>
      </c>
      <c r="B922" s="2759">
        <v>16</v>
      </c>
      <c r="C922" s="817" t="s">
        <v>9573</v>
      </c>
      <c r="D922" s="2700" t="s">
        <v>9574</v>
      </c>
      <c r="E922" s="7" t="s">
        <v>8553</v>
      </c>
      <c r="F922" s="5">
        <v>1</v>
      </c>
      <c r="G922" s="5">
        <v>1</v>
      </c>
      <c r="H922" s="5"/>
      <c r="I922" s="5"/>
      <c r="J922" s="5"/>
      <c r="K922" s="5"/>
      <c r="L922" s="817"/>
      <c r="M922" s="817"/>
      <c r="N922" s="817"/>
      <c r="O922" s="817"/>
      <c r="P922" s="2828">
        <v>43939</v>
      </c>
      <c r="Q922" s="2769"/>
      <c r="R922" s="2706" t="s">
        <v>9575</v>
      </c>
      <c r="S922" s="2770"/>
      <c r="T922" s="836" t="s">
        <v>15</v>
      </c>
      <c r="U922" s="2694">
        <v>0.47152777777777777</v>
      </c>
      <c r="V922" s="836" t="s">
        <v>972</v>
      </c>
      <c r="W922" s="1956">
        <v>100</v>
      </c>
      <c r="X922" s="817" t="s">
        <v>8625</v>
      </c>
      <c r="Y922" s="2772" t="s">
        <v>140</v>
      </c>
      <c r="Z922" s="817"/>
      <c r="AA922" s="817"/>
      <c r="AB922" s="817" t="s">
        <v>17</v>
      </c>
      <c r="AC922" s="817" t="s">
        <v>7451</v>
      </c>
      <c r="AD922" s="2696"/>
      <c r="AG922" s="2711"/>
    </row>
    <row r="923" spans="1:33" s="1592" customFormat="1" ht="43.5" hidden="1" x14ac:dyDescent="0.35">
      <c r="A923" s="2769">
        <v>43927</v>
      </c>
      <c r="B923" s="2760">
        <v>17</v>
      </c>
      <c r="C923" s="817" t="s">
        <v>8215</v>
      </c>
      <c r="D923" s="2712" t="s">
        <v>10070</v>
      </c>
      <c r="E923" s="817" t="s">
        <v>7935</v>
      </c>
      <c r="F923" s="5">
        <v>1</v>
      </c>
      <c r="G923" s="5">
        <v>1</v>
      </c>
      <c r="H923" s="5"/>
      <c r="I923" s="5"/>
      <c r="J923" s="5"/>
      <c r="K923" s="5"/>
      <c r="L923" s="817"/>
      <c r="M923" s="817"/>
      <c r="N923" s="817"/>
      <c r="O923" s="817"/>
      <c r="P923" s="2769">
        <v>43939</v>
      </c>
      <c r="Q923" s="2769"/>
      <c r="R923" s="2770" t="s">
        <v>8315</v>
      </c>
      <c r="S923" s="2770" t="s">
        <v>8265</v>
      </c>
      <c r="T923" s="2694" t="s">
        <v>15</v>
      </c>
      <c r="U923" s="2694">
        <v>0.49791666666666662</v>
      </c>
      <c r="V923" s="2694">
        <v>0.41666666666666669</v>
      </c>
      <c r="W923" s="1956">
        <v>100</v>
      </c>
      <c r="X923" s="817" t="s">
        <v>8268</v>
      </c>
      <c r="Y923" s="2772" t="s">
        <v>140</v>
      </c>
      <c r="Z923" s="817"/>
      <c r="AA923" s="817"/>
      <c r="AB923" s="817" t="s">
        <v>17</v>
      </c>
      <c r="AC923" s="817" t="s">
        <v>7451</v>
      </c>
      <c r="AD923" s="2699"/>
      <c r="AG923" s="2711"/>
    </row>
    <row r="924" spans="1:33" s="1592" customFormat="1" ht="43.5" hidden="1" x14ac:dyDescent="0.35">
      <c r="A924" s="1899">
        <v>43928</v>
      </c>
      <c r="B924" s="2759">
        <v>18</v>
      </c>
      <c r="C924" s="7" t="s">
        <v>8379</v>
      </c>
      <c r="D924" s="2712" t="s">
        <v>10105</v>
      </c>
      <c r="E924" s="7" t="s">
        <v>8149</v>
      </c>
      <c r="F924" s="2684">
        <v>1</v>
      </c>
      <c r="G924" s="2661">
        <v>1</v>
      </c>
      <c r="H924" s="2661"/>
      <c r="I924" s="2661"/>
      <c r="J924" s="2661"/>
      <c r="K924" s="2661"/>
      <c r="L924" s="817"/>
      <c r="M924" s="817"/>
      <c r="N924" s="817"/>
      <c r="O924" s="817"/>
      <c r="P924" s="1899">
        <v>43939</v>
      </c>
      <c r="Q924" s="1899"/>
      <c r="R924" s="881" t="s">
        <v>8380</v>
      </c>
      <c r="S924" s="2770"/>
      <c r="T924" s="836" t="s">
        <v>15</v>
      </c>
      <c r="U924" s="2694">
        <v>0.51041666666666663</v>
      </c>
      <c r="V924" s="2694" t="s">
        <v>972</v>
      </c>
      <c r="W924" s="2660">
        <v>100</v>
      </c>
      <c r="X924" s="836" t="s">
        <v>257</v>
      </c>
      <c r="Y924" s="2772" t="s">
        <v>140</v>
      </c>
      <c r="Z924" s="817"/>
      <c r="AA924" s="817"/>
      <c r="AB924" s="7" t="s">
        <v>17</v>
      </c>
      <c r="AC924" s="817" t="s">
        <v>7451</v>
      </c>
      <c r="AD924" s="2699"/>
      <c r="AG924" s="2711"/>
    </row>
    <row r="925" spans="1:33" s="1592" customFormat="1" ht="58" hidden="1" x14ac:dyDescent="0.35">
      <c r="A925" s="1899">
        <v>43935</v>
      </c>
      <c r="B925" s="2759">
        <v>19</v>
      </c>
      <c r="C925" s="7" t="s">
        <v>10652</v>
      </c>
      <c r="D925" s="2700" t="s">
        <v>10653</v>
      </c>
      <c r="E925" s="7" t="s">
        <v>8553</v>
      </c>
      <c r="F925" s="2735">
        <v>1</v>
      </c>
      <c r="G925" s="2735">
        <v>1</v>
      </c>
      <c r="H925" s="2735"/>
      <c r="I925" s="2735"/>
      <c r="J925" s="2735"/>
      <c r="K925" s="2735"/>
      <c r="L925" s="817"/>
      <c r="M925" s="817"/>
      <c r="N925" s="817"/>
      <c r="O925" s="817"/>
      <c r="P925" s="1899">
        <v>43939</v>
      </c>
      <c r="Q925" s="2769"/>
      <c r="R925" s="881" t="s">
        <v>10654</v>
      </c>
      <c r="S925" s="2770"/>
      <c r="T925" s="2694" t="s">
        <v>15</v>
      </c>
      <c r="U925" s="2694">
        <v>0.53749999999999998</v>
      </c>
      <c r="V925" s="2694" t="s">
        <v>972</v>
      </c>
      <c r="W925" s="1956">
        <v>100</v>
      </c>
      <c r="X925" s="817" t="s">
        <v>8625</v>
      </c>
      <c r="Y925" s="2772" t="s">
        <v>140</v>
      </c>
      <c r="Z925" s="817"/>
      <c r="AA925" s="817"/>
      <c r="AB925" s="817" t="s">
        <v>17</v>
      </c>
      <c r="AC925" s="817" t="s">
        <v>7451</v>
      </c>
      <c r="AD925" s="2739"/>
      <c r="AG925" s="2711"/>
    </row>
    <row r="926" spans="1:33" s="1592" customFormat="1" ht="58" hidden="1" x14ac:dyDescent="0.35">
      <c r="A926" s="2486">
        <v>43925</v>
      </c>
      <c r="B926" s="2718">
        <v>20</v>
      </c>
      <c r="C926" s="7" t="s">
        <v>7990</v>
      </c>
      <c r="D926" s="2712" t="s">
        <v>10080</v>
      </c>
      <c r="E926" s="817" t="s">
        <v>7991</v>
      </c>
      <c r="F926" s="5">
        <v>2</v>
      </c>
      <c r="G926" s="5">
        <v>1</v>
      </c>
      <c r="H926" s="5"/>
      <c r="I926" s="5">
        <v>1</v>
      </c>
      <c r="J926" s="5"/>
      <c r="K926" s="5"/>
      <c r="L926" s="5"/>
      <c r="M926" s="5"/>
      <c r="N926" s="5"/>
      <c r="O926" s="5"/>
      <c r="P926" s="2486">
        <v>43939</v>
      </c>
      <c r="Q926" s="2486"/>
      <c r="R926" s="824" t="s">
        <v>7992</v>
      </c>
      <c r="S926" s="824"/>
      <c r="T926" s="6" t="s">
        <v>15</v>
      </c>
      <c r="U926" s="2694">
        <v>0.55138888888888882</v>
      </c>
      <c r="V926" s="2694" t="s">
        <v>972</v>
      </c>
      <c r="W926" s="2724">
        <v>200</v>
      </c>
      <c r="X926" s="817" t="s">
        <v>257</v>
      </c>
      <c r="Y926" s="2772" t="s">
        <v>140</v>
      </c>
      <c r="Z926" s="817"/>
      <c r="AA926" s="817"/>
      <c r="AB926" s="817" t="s">
        <v>17</v>
      </c>
      <c r="AC926" s="817" t="s">
        <v>7451</v>
      </c>
      <c r="AD926" s="2699"/>
      <c r="AG926" s="2711"/>
    </row>
    <row r="927" spans="1:33" s="1592" customFormat="1" ht="72.5" hidden="1" x14ac:dyDescent="0.35">
      <c r="A927" s="1899">
        <v>43917</v>
      </c>
      <c r="B927" s="2759">
        <v>21</v>
      </c>
      <c r="C927" s="7" t="s">
        <v>7521</v>
      </c>
      <c r="D927" s="2712" t="s">
        <v>10146</v>
      </c>
      <c r="E927" s="7" t="s">
        <v>7473</v>
      </c>
      <c r="F927" s="7">
        <v>1</v>
      </c>
      <c r="G927" s="7">
        <v>1</v>
      </c>
      <c r="H927" s="7"/>
      <c r="I927" s="7"/>
      <c r="J927" s="7"/>
      <c r="K927" s="7"/>
      <c r="L927" s="7"/>
      <c r="M927" s="7"/>
      <c r="N927" s="7"/>
      <c r="O927" s="7"/>
      <c r="P927" s="1899">
        <v>43939</v>
      </c>
      <c r="Q927" s="1899"/>
      <c r="R927" s="881" t="s">
        <v>7491</v>
      </c>
      <c r="S927" s="881"/>
      <c r="T927" s="836" t="s">
        <v>15</v>
      </c>
      <c r="U927" s="2694">
        <v>0.55972222222222223</v>
      </c>
      <c r="V927" s="836" t="s">
        <v>972</v>
      </c>
      <c r="W927" s="2128">
        <v>100</v>
      </c>
      <c r="X927" s="7" t="s">
        <v>10947</v>
      </c>
      <c r="Y927" s="2772" t="s">
        <v>140</v>
      </c>
      <c r="Z927" s="7"/>
      <c r="AA927" s="7"/>
      <c r="AB927" s="7" t="s">
        <v>17</v>
      </c>
      <c r="AC927" s="7" t="s">
        <v>7451</v>
      </c>
      <c r="AD927" s="2699"/>
      <c r="AG927" s="2711"/>
    </row>
    <row r="928" spans="1:33" s="1592" customFormat="1" ht="43.5" hidden="1" x14ac:dyDescent="0.35">
      <c r="A928" s="2828">
        <v>43921</v>
      </c>
      <c r="B928" s="2760">
        <v>22</v>
      </c>
      <c r="C928" s="817" t="s">
        <v>7614</v>
      </c>
      <c r="D928" s="2712" t="s">
        <v>10058</v>
      </c>
      <c r="E928" s="817" t="s">
        <v>7473</v>
      </c>
      <c r="F928" s="817">
        <v>1</v>
      </c>
      <c r="G928" s="817">
        <v>1</v>
      </c>
      <c r="H928" s="817"/>
      <c r="I928" s="817"/>
      <c r="J928" s="817"/>
      <c r="K928" s="817"/>
      <c r="L928" s="817"/>
      <c r="M928" s="817"/>
      <c r="N928" s="817"/>
      <c r="O928" s="817"/>
      <c r="P928" s="2828">
        <v>43939</v>
      </c>
      <c r="Q928" s="2769"/>
      <c r="R928" s="2829" t="s">
        <v>7615</v>
      </c>
      <c r="S928" s="2770"/>
      <c r="T928" s="2694" t="s">
        <v>15</v>
      </c>
      <c r="U928" s="2694">
        <v>0.5708333333333333</v>
      </c>
      <c r="V928" s="2694" t="s">
        <v>3213</v>
      </c>
      <c r="W928" s="1956">
        <v>100</v>
      </c>
      <c r="X928" s="817" t="s">
        <v>257</v>
      </c>
      <c r="Y928" s="2772" t="s">
        <v>140</v>
      </c>
      <c r="Z928" s="817"/>
      <c r="AA928" s="817"/>
      <c r="AB928" s="817" t="s">
        <v>22</v>
      </c>
      <c r="AC928" s="2829" t="s">
        <v>7451</v>
      </c>
      <c r="AD928" s="2699"/>
      <c r="AG928" s="2711"/>
    </row>
    <row r="929" spans="1:33" s="1592" customFormat="1" ht="29" hidden="1" x14ac:dyDescent="0.35">
      <c r="A929" s="1899">
        <v>43932</v>
      </c>
      <c r="B929" s="2759">
        <v>23</v>
      </c>
      <c r="C929" s="7" t="s">
        <v>9474</v>
      </c>
      <c r="D929" s="2707" t="s">
        <v>9475</v>
      </c>
      <c r="E929" s="7" t="s">
        <v>8553</v>
      </c>
      <c r="F929" s="2682">
        <v>1</v>
      </c>
      <c r="G929" s="2682">
        <v>1</v>
      </c>
      <c r="H929" s="2682"/>
      <c r="I929" s="2682"/>
      <c r="J929" s="2682"/>
      <c r="K929" s="2682"/>
      <c r="L929" s="817"/>
      <c r="M929" s="817"/>
      <c r="N929" s="817"/>
      <c r="O929" s="817"/>
      <c r="P929" s="1899">
        <v>43939</v>
      </c>
      <c r="Q929" s="2769"/>
      <c r="R929" s="881" t="s">
        <v>9476</v>
      </c>
      <c r="S929" s="2770"/>
      <c r="T929" s="836" t="s">
        <v>15</v>
      </c>
      <c r="U929" s="2694">
        <v>0.5805555555555556</v>
      </c>
      <c r="V929" s="836" t="s">
        <v>972</v>
      </c>
      <c r="W929" s="1956">
        <v>100</v>
      </c>
      <c r="X929" s="817" t="s">
        <v>8625</v>
      </c>
      <c r="Y929" s="2772" t="s">
        <v>140</v>
      </c>
      <c r="Z929" s="817"/>
      <c r="AA929" s="817"/>
      <c r="AB929" s="817" t="s">
        <v>17</v>
      </c>
      <c r="AC929" s="817" t="s">
        <v>7451</v>
      </c>
      <c r="AD929" s="2695"/>
      <c r="AG929" s="2711"/>
    </row>
    <row r="930" spans="1:33" s="1592" customFormat="1" ht="43.5" hidden="1" x14ac:dyDescent="0.35">
      <c r="A930" s="2486">
        <v>43925</v>
      </c>
      <c r="B930" s="2759">
        <v>24</v>
      </c>
      <c r="C930" s="7" t="s">
        <v>8023</v>
      </c>
      <c r="D930" s="2810" t="s">
        <v>10075</v>
      </c>
      <c r="E930" s="7" t="s">
        <v>7972</v>
      </c>
      <c r="F930" s="5">
        <v>1</v>
      </c>
      <c r="G930" s="5">
        <v>1</v>
      </c>
      <c r="H930" s="5"/>
      <c r="I930" s="5"/>
      <c r="J930" s="5"/>
      <c r="K930" s="5"/>
      <c r="L930" s="5"/>
      <c r="M930" s="5"/>
      <c r="N930" s="5"/>
      <c r="O930" s="5"/>
      <c r="P930" s="1899">
        <v>43939</v>
      </c>
      <c r="Q930" s="2486"/>
      <c r="R930" s="881" t="s">
        <v>8024</v>
      </c>
      <c r="S930" s="824"/>
      <c r="T930" s="836" t="s">
        <v>15</v>
      </c>
      <c r="U930" s="836">
        <v>0.60138888888888886</v>
      </c>
      <c r="V930" s="2694" t="s">
        <v>972</v>
      </c>
      <c r="W930" s="2724">
        <v>100</v>
      </c>
      <c r="X930" s="817" t="s">
        <v>257</v>
      </c>
      <c r="Y930" s="2772" t="s">
        <v>140</v>
      </c>
      <c r="Z930" s="817"/>
      <c r="AA930" s="817"/>
      <c r="AB930" s="817" t="s">
        <v>17</v>
      </c>
      <c r="AC930" s="817" t="s">
        <v>7451</v>
      </c>
      <c r="AD930" s="2699"/>
      <c r="AG930" s="2711"/>
    </row>
    <row r="931" spans="1:33" s="1592" customFormat="1" ht="43.5" hidden="1" x14ac:dyDescent="0.35">
      <c r="A931" s="2828">
        <v>43921</v>
      </c>
      <c r="B931" s="2760">
        <v>1</v>
      </c>
      <c r="C931" s="817" t="s">
        <v>7646</v>
      </c>
      <c r="D931" s="2712" t="s">
        <v>10001</v>
      </c>
      <c r="E931" s="817" t="s">
        <v>7648</v>
      </c>
      <c r="F931" s="817">
        <v>2</v>
      </c>
      <c r="G931" s="817">
        <v>2</v>
      </c>
      <c r="H931" s="817"/>
      <c r="I931" s="817"/>
      <c r="J931" s="817"/>
      <c r="K931" s="817"/>
      <c r="L931" s="817"/>
      <c r="M931" s="817"/>
      <c r="N931" s="817"/>
      <c r="O931" s="817"/>
      <c r="P931" s="2828">
        <v>43939</v>
      </c>
      <c r="Q931" s="2828"/>
      <c r="R931" s="2829" t="s">
        <v>7647</v>
      </c>
      <c r="S931" s="2770"/>
      <c r="T931" s="2694" t="s">
        <v>15</v>
      </c>
      <c r="U931" s="2694">
        <v>0.3298611111111111</v>
      </c>
      <c r="V931" s="2694" t="s">
        <v>3213</v>
      </c>
      <c r="W931" s="1956">
        <v>200</v>
      </c>
      <c r="X931" s="817" t="s">
        <v>257</v>
      </c>
      <c r="Y931" s="2772" t="s">
        <v>119</v>
      </c>
      <c r="Z931" s="817"/>
      <c r="AA931" s="817"/>
      <c r="AB931" s="817" t="s">
        <v>17</v>
      </c>
      <c r="AC931" s="2829" t="s">
        <v>7451</v>
      </c>
      <c r="AD931" s="2699"/>
      <c r="AG931" s="2711"/>
    </row>
    <row r="932" spans="1:33" s="1592" customFormat="1" ht="43.5" hidden="1" x14ac:dyDescent="0.35">
      <c r="A932" s="2486">
        <v>43938</v>
      </c>
      <c r="B932" s="2759">
        <v>2</v>
      </c>
      <c r="C932" s="7" t="s">
        <v>10856</v>
      </c>
      <c r="D932" s="2707" t="s">
        <v>10857</v>
      </c>
      <c r="E932" s="7" t="s">
        <v>10865</v>
      </c>
      <c r="F932" s="2741">
        <v>1</v>
      </c>
      <c r="G932" s="2741">
        <v>2</v>
      </c>
      <c r="H932" s="2741"/>
      <c r="I932" s="2741"/>
      <c r="J932" s="2741"/>
      <c r="K932" s="5"/>
      <c r="L932" s="817"/>
      <c r="M932" s="817"/>
      <c r="N932" s="817"/>
      <c r="O932" s="817"/>
      <c r="P932" s="1899">
        <v>43939</v>
      </c>
      <c r="Q932" s="2769"/>
      <c r="R932" s="2708" t="s">
        <v>10858</v>
      </c>
      <c r="S932" s="2770"/>
      <c r="T932" s="836" t="s">
        <v>15</v>
      </c>
      <c r="U932" s="836">
        <v>0.34097222222222223</v>
      </c>
      <c r="V932" s="2771"/>
      <c r="W932" s="2738">
        <v>0</v>
      </c>
      <c r="X932" s="817" t="s">
        <v>10859</v>
      </c>
      <c r="Y932" s="2772" t="s">
        <v>119</v>
      </c>
      <c r="Z932" s="817"/>
      <c r="AA932" s="817"/>
      <c r="AB932" s="2744"/>
      <c r="AC932" s="2744"/>
      <c r="AD932" s="2739"/>
      <c r="AG932" s="2711"/>
    </row>
    <row r="933" spans="1:33" s="1592" customFormat="1" ht="72.5" hidden="1" x14ac:dyDescent="0.35">
      <c r="A933" s="1899">
        <v>43917</v>
      </c>
      <c r="B933" s="2759">
        <v>3</v>
      </c>
      <c r="C933" s="7" t="s">
        <v>7519</v>
      </c>
      <c r="D933" s="2712" t="s">
        <v>10111</v>
      </c>
      <c r="E933" s="7" t="s">
        <v>7473</v>
      </c>
      <c r="F933" s="7">
        <v>1</v>
      </c>
      <c r="G933" s="7">
        <v>1</v>
      </c>
      <c r="H933" s="7"/>
      <c r="I933" s="7"/>
      <c r="J933" s="7"/>
      <c r="K933" s="7"/>
      <c r="L933" s="7"/>
      <c r="M933" s="7"/>
      <c r="N933" s="7"/>
      <c r="O933" s="7"/>
      <c r="P933" s="1899">
        <v>43939</v>
      </c>
      <c r="Q933" s="1899"/>
      <c r="R933" s="881" t="s">
        <v>7489</v>
      </c>
      <c r="S933" s="881"/>
      <c r="T933" s="836" t="s">
        <v>15</v>
      </c>
      <c r="U933" s="2694">
        <v>0.35069444444444442</v>
      </c>
      <c r="V933" s="836" t="s">
        <v>972</v>
      </c>
      <c r="W933" s="1630">
        <v>100</v>
      </c>
      <c r="X933" s="7" t="s">
        <v>257</v>
      </c>
      <c r="Y933" s="2772" t="s">
        <v>119</v>
      </c>
      <c r="Z933" s="7"/>
      <c r="AA933" s="7"/>
      <c r="AB933" s="7" t="s">
        <v>17</v>
      </c>
      <c r="AC933" s="7" t="s">
        <v>7451</v>
      </c>
      <c r="AD933" s="2699"/>
      <c r="AG933" s="2711"/>
    </row>
    <row r="934" spans="1:33" s="1592" customFormat="1" ht="29" hidden="1" x14ac:dyDescent="0.35">
      <c r="A934" s="2828">
        <v>43934</v>
      </c>
      <c r="B934" s="2760">
        <v>4</v>
      </c>
      <c r="C934" s="817" t="s">
        <v>314</v>
      </c>
      <c r="D934" s="2700" t="s">
        <v>10345</v>
      </c>
      <c r="E934" s="7" t="s">
        <v>8177</v>
      </c>
      <c r="F934" s="2692">
        <v>2</v>
      </c>
      <c r="G934" s="2692">
        <v>2</v>
      </c>
      <c r="H934" s="2692"/>
      <c r="I934" s="2692"/>
      <c r="J934" s="2692"/>
      <c r="K934" s="2692"/>
      <c r="L934" s="817"/>
      <c r="M934" s="817"/>
      <c r="N934" s="817"/>
      <c r="O934" s="817"/>
      <c r="P934" s="2828">
        <v>43939</v>
      </c>
      <c r="Q934" s="2828"/>
      <c r="R934" s="2706" t="s">
        <v>10346</v>
      </c>
      <c r="S934" s="2829"/>
      <c r="T934" s="6" t="s">
        <v>15</v>
      </c>
      <c r="U934" s="2694">
        <v>0.35833333333333334</v>
      </c>
      <c r="V934" s="836" t="s">
        <v>972</v>
      </c>
      <c r="W934" s="2821">
        <v>200</v>
      </c>
      <c r="X934" s="817" t="s">
        <v>10942</v>
      </c>
      <c r="Y934" s="2772" t="s">
        <v>119</v>
      </c>
      <c r="Z934" s="817"/>
      <c r="AA934" s="817"/>
      <c r="AB934" s="817" t="s">
        <v>17</v>
      </c>
      <c r="AC934" s="817" t="s">
        <v>7451</v>
      </c>
      <c r="AD934" s="2695"/>
      <c r="AG934" s="2711"/>
    </row>
    <row r="935" spans="1:33" s="1592" customFormat="1" ht="29" hidden="1" x14ac:dyDescent="0.35">
      <c r="A935" s="1899">
        <v>43931</v>
      </c>
      <c r="B935" s="2759">
        <v>5</v>
      </c>
      <c r="C935" s="7" t="s">
        <v>9048</v>
      </c>
      <c r="D935" s="2712" t="s">
        <v>10199</v>
      </c>
      <c r="E935" s="7" t="s">
        <v>8553</v>
      </c>
      <c r="F935" s="7">
        <v>1</v>
      </c>
      <c r="G935" s="7">
        <v>1</v>
      </c>
      <c r="H935" s="7"/>
      <c r="I935" s="7"/>
      <c r="J935" s="7"/>
      <c r="K935" s="7"/>
      <c r="L935" s="817"/>
      <c r="M935" s="817"/>
      <c r="N935" s="817"/>
      <c r="O935" s="817"/>
      <c r="P935" s="1899">
        <v>43939</v>
      </c>
      <c r="Q935" s="1899"/>
      <c r="R935" s="881" t="s">
        <v>9049</v>
      </c>
      <c r="S935" s="2770"/>
      <c r="T935" s="836" t="s">
        <v>15</v>
      </c>
      <c r="U935" s="2694">
        <v>0.36736111111111108</v>
      </c>
      <c r="V935" s="2694" t="s">
        <v>972</v>
      </c>
      <c r="W935" s="1956">
        <v>100</v>
      </c>
      <c r="X935" s="817" t="s">
        <v>257</v>
      </c>
      <c r="Y935" s="2772" t="s">
        <v>119</v>
      </c>
      <c r="Z935" s="817"/>
      <c r="AA935" s="817"/>
      <c r="AB935" s="817" t="s">
        <v>17</v>
      </c>
      <c r="AC935" s="817" t="s">
        <v>7451</v>
      </c>
      <c r="AD935" s="2696"/>
      <c r="AG935" s="2711"/>
    </row>
    <row r="936" spans="1:33" s="1592" customFormat="1" ht="29" hidden="1" x14ac:dyDescent="0.35">
      <c r="A936" s="1899">
        <v>43931</v>
      </c>
      <c r="B936" s="2759">
        <v>6</v>
      </c>
      <c r="C936" s="7" t="s">
        <v>9386</v>
      </c>
      <c r="D936" s="2712" t="s">
        <v>10213</v>
      </c>
      <c r="E936" s="7" t="s">
        <v>8553</v>
      </c>
      <c r="F936" s="7">
        <v>1</v>
      </c>
      <c r="G936" s="7">
        <v>1</v>
      </c>
      <c r="H936" s="7"/>
      <c r="I936" s="7"/>
      <c r="J936" s="7"/>
      <c r="K936" s="7"/>
      <c r="L936" s="817"/>
      <c r="M936" s="817"/>
      <c r="N936" s="817"/>
      <c r="O936" s="817"/>
      <c r="P936" s="1899">
        <v>43939</v>
      </c>
      <c r="Q936" s="1899"/>
      <c r="R936" s="881" t="s">
        <v>9387</v>
      </c>
      <c r="S936" s="2770"/>
      <c r="T936" s="836" t="s">
        <v>15</v>
      </c>
      <c r="U936" s="2694">
        <v>0.37708333333333338</v>
      </c>
      <c r="V936" s="2694" t="s">
        <v>972</v>
      </c>
      <c r="W936" s="2681">
        <v>100</v>
      </c>
      <c r="X936" s="817" t="s">
        <v>257</v>
      </c>
      <c r="Y936" s="2772" t="s">
        <v>119</v>
      </c>
      <c r="Z936" s="7"/>
      <c r="AA936" s="7"/>
      <c r="AB936" s="7" t="s">
        <v>17</v>
      </c>
      <c r="AC936" s="7" t="s">
        <v>7451</v>
      </c>
      <c r="AD936" s="2696"/>
      <c r="AG936" s="2711"/>
    </row>
    <row r="937" spans="1:33" s="1592" customFormat="1" ht="29" hidden="1" x14ac:dyDescent="0.35">
      <c r="A937" s="2828">
        <v>43927</v>
      </c>
      <c r="B937" s="2760">
        <v>7</v>
      </c>
      <c r="C937" s="817" t="s">
        <v>8253</v>
      </c>
      <c r="D937" s="2712" t="s">
        <v>10010</v>
      </c>
      <c r="E937" s="817" t="s">
        <v>7935</v>
      </c>
      <c r="F937" s="5">
        <v>1</v>
      </c>
      <c r="G937" s="5">
        <v>1</v>
      </c>
      <c r="H937" s="5"/>
      <c r="I937" s="5"/>
      <c r="J937" s="5"/>
      <c r="K937" s="5"/>
      <c r="L937" s="817"/>
      <c r="M937" s="817"/>
      <c r="N937" s="817"/>
      <c r="O937" s="817"/>
      <c r="P937" s="2828">
        <v>43939</v>
      </c>
      <c r="Q937" s="2828"/>
      <c r="R937" s="2829" t="s">
        <v>8344</v>
      </c>
      <c r="S937" s="2829" t="s">
        <v>8289</v>
      </c>
      <c r="T937" s="2694" t="s">
        <v>15</v>
      </c>
      <c r="U937" s="2694">
        <v>0.38680555555555557</v>
      </c>
      <c r="V937" s="2694" t="s">
        <v>3213</v>
      </c>
      <c r="W937" s="1956">
        <v>100</v>
      </c>
      <c r="X937" s="817" t="s">
        <v>257</v>
      </c>
      <c r="Y937" s="2772" t="s">
        <v>119</v>
      </c>
      <c r="Z937" s="817"/>
      <c r="AA937" s="817"/>
      <c r="AB937" s="817" t="s">
        <v>17</v>
      </c>
      <c r="AC937" s="817" t="s">
        <v>7451</v>
      </c>
      <c r="AD937" s="2699"/>
      <c r="AG937" s="2711"/>
    </row>
    <row r="938" spans="1:33" s="1592" customFormat="1" ht="43.5" hidden="1" x14ac:dyDescent="0.35">
      <c r="A938" s="1899">
        <v>43934</v>
      </c>
      <c r="B938" s="2759">
        <v>8</v>
      </c>
      <c r="C938" s="7" t="s">
        <v>10408</v>
      </c>
      <c r="D938" s="2701" t="s">
        <v>10410</v>
      </c>
      <c r="E938" s="7" t="s">
        <v>10862</v>
      </c>
      <c r="F938" s="7">
        <v>1</v>
      </c>
      <c r="G938" s="7"/>
      <c r="H938" s="7"/>
      <c r="I938" s="7"/>
      <c r="J938" s="7">
        <v>1</v>
      </c>
      <c r="K938" s="7"/>
      <c r="L938" s="817"/>
      <c r="M938" s="817"/>
      <c r="N938" s="817"/>
      <c r="O938" s="817"/>
      <c r="P938" s="1899">
        <v>43939</v>
      </c>
      <c r="Q938" s="2769"/>
      <c r="R938" s="2708" t="s">
        <v>10409</v>
      </c>
      <c r="S938" s="2770"/>
      <c r="T938" s="836" t="s">
        <v>15</v>
      </c>
      <c r="U938" s="2694">
        <v>0.39583333333333331</v>
      </c>
      <c r="V938" s="836" t="s">
        <v>972</v>
      </c>
      <c r="W938" s="1630">
        <v>100</v>
      </c>
      <c r="X938" s="7" t="s">
        <v>3173</v>
      </c>
      <c r="Y938" s="2772" t="s">
        <v>119</v>
      </c>
      <c r="Z938" s="7"/>
      <c r="AA938" s="7"/>
      <c r="AB938" s="7" t="s">
        <v>17</v>
      </c>
      <c r="AC938" s="7" t="s">
        <v>7451</v>
      </c>
      <c r="AD938" s="2696"/>
      <c r="AG938" s="2711"/>
    </row>
    <row r="939" spans="1:33" s="1592" customFormat="1" ht="43.5" hidden="1" x14ac:dyDescent="0.35">
      <c r="A939" s="1899">
        <v>43921</v>
      </c>
      <c r="B939" s="2759">
        <v>9</v>
      </c>
      <c r="C939" s="7" t="s">
        <v>7621</v>
      </c>
      <c r="D939" s="2712" t="s">
        <v>10104</v>
      </c>
      <c r="E939" s="817" t="s">
        <v>7619</v>
      </c>
      <c r="F939" s="817">
        <v>1</v>
      </c>
      <c r="G939" s="817">
        <v>1</v>
      </c>
      <c r="H939" s="817"/>
      <c r="I939" s="817"/>
      <c r="J939" s="817"/>
      <c r="K939" s="817"/>
      <c r="L939" s="817"/>
      <c r="M939" s="817"/>
      <c r="N939" s="817"/>
      <c r="O939" s="817"/>
      <c r="P939" s="1899">
        <v>43939</v>
      </c>
      <c r="Q939" s="1899"/>
      <c r="R939" s="881" t="s">
        <v>10358</v>
      </c>
      <c r="S939" s="881"/>
      <c r="T939" s="2829" t="s">
        <v>15</v>
      </c>
      <c r="U939" s="2694">
        <v>0.40486111111111112</v>
      </c>
      <c r="V939" s="2694" t="s">
        <v>3213</v>
      </c>
      <c r="W939" s="1956">
        <v>100</v>
      </c>
      <c r="X939" s="2829" t="s">
        <v>257</v>
      </c>
      <c r="Y939" s="2772" t="s">
        <v>119</v>
      </c>
      <c r="Z939" s="2829"/>
      <c r="AA939" s="2829"/>
      <c r="AB939" s="2829" t="s">
        <v>17</v>
      </c>
      <c r="AC939" s="2829" t="s">
        <v>7451</v>
      </c>
      <c r="AD939" s="2699"/>
      <c r="AG939" s="2711"/>
    </row>
    <row r="940" spans="1:33" s="1592" customFormat="1" ht="87" hidden="1" x14ac:dyDescent="0.35">
      <c r="A940" s="1899">
        <v>43917</v>
      </c>
      <c r="B940" s="2759">
        <v>10</v>
      </c>
      <c r="C940" s="7" t="s">
        <v>7484</v>
      </c>
      <c r="D940" s="2712" t="s">
        <v>9720</v>
      </c>
      <c r="E940" s="7" t="s">
        <v>7473</v>
      </c>
      <c r="F940" s="7">
        <v>1</v>
      </c>
      <c r="G940" s="7">
        <v>1</v>
      </c>
      <c r="H940" s="7"/>
      <c r="I940" s="7"/>
      <c r="J940" s="7"/>
      <c r="K940" s="7"/>
      <c r="L940" s="7"/>
      <c r="M940" s="7"/>
      <c r="N940" s="7"/>
      <c r="O940" s="7"/>
      <c r="P940" s="1899">
        <v>43939</v>
      </c>
      <c r="Q940" s="1899"/>
      <c r="R940" s="881" t="s">
        <v>7471</v>
      </c>
      <c r="S940" s="881"/>
      <c r="T940" s="836" t="s">
        <v>15</v>
      </c>
      <c r="U940" s="2694">
        <v>0.4152777777777778</v>
      </c>
      <c r="V940" s="836" t="s">
        <v>972</v>
      </c>
      <c r="W940" s="1630">
        <v>100</v>
      </c>
      <c r="X940" s="7" t="s">
        <v>257</v>
      </c>
      <c r="Y940" s="2772" t="s">
        <v>119</v>
      </c>
      <c r="Z940" s="7"/>
      <c r="AA940" s="7"/>
      <c r="AB940" s="7" t="s">
        <v>17</v>
      </c>
      <c r="AC940" s="7" t="s">
        <v>7451</v>
      </c>
      <c r="AD940" s="2699"/>
      <c r="AG940" s="2711"/>
    </row>
    <row r="941" spans="1:33" s="1592" customFormat="1" ht="29" hidden="1" x14ac:dyDescent="0.35">
      <c r="A941" s="2769">
        <v>43937</v>
      </c>
      <c r="B941" s="2806">
        <v>11</v>
      </c>
      <c r="C941" s="2434" t="s">
        <v>8262</v>
      </c>
      <c r="D941" s="2807" t="s">
        <v>9868</v>
      </c>
      <c r="E941" s="2808" t="s">
        <v>10863</v>
      </c>
      <c r="F941" s="1090"/>
      <c r="G941" s="1090"/>
      <c r="H941" s="1090"/>
      <c r="I941" s="1090"/>
      <c r="J941" s="1090"/>
      <c r="K941" s="1090"/>
      <c r="L941" s="2434"/>
      <c r="M941" s="2434"/>
      <c r="N941" s="2434"/>
      <c r="O941" s="2434"/>
      <c r="P941" s="2657">
        <v>43939</v>
      </c>
      <c r="Q941" s="2769"/>
      <c r="R941" s="2521" t="s">
        <v>15</v>
      </c>
      <c r="S941" s="2770" t="s">
        <v>8508</v>
      </c>
      <c r="T941" s="2670" t="s">
        <v>15</v>
      </c>
      <c r="U941" s="2670">
        <v>0.42777777777777781</v>
      </c>
      <c r="V941" s="2694" t="s">
        <v>3213</v>
      </c>
      <c r="W941" s="2658">
        <v>0</v>
      </c>
      <c r="X941" s="2434" t="s">
        <v>15</v>
      </c>
      <c r="Y941" s="2809" t="s">
        <v>15</v>
      </c>
      <c r="Z941" s="817"/>
      <c r="AA941" s="817"/>
      <c r="AB941" s="817" t="s">
        <v>17</v>
      </c>
      <c r="AC941" s="817" t="s">
        <v>2262</v>
      </c>
      <c r="AD941" s="2699"/>
      <c r="AG941" s="2711"/>
    </row>
    <row r="942" spans="1:33" s="1592" customFormat="1" ht="43.5" hidden="1" x14ac:dyDescent="0.35">
      <c r="A942" s="2828">
        <v>43928</v>
      </c>
      <c r="B942" s="2760">
        <v>12</v>
      </c>
      <c r="C942" s="817" t="s">
        <v>8530</v>
      </c>
      <c r="D942" s="2712" t="s">
        <v>10156</v>
      </c>
      <c r="E942" s="817" t="s">
        <v>7935</v>
      </c>
      <c r="F942" s="2678">
        <v>1</v>
      </c>
      <c r="G942" s="2669">
        <v>1</v>
      </c>
      <c r="H942" s="2669"/>
      <c r="I942" s="2669"/>
      <c r="J942" s="2669"/>
      <c r="K942" s="2669"/>
      <c r="L942" s="817"/>
      <c r="M942" s="817"/>
      <c r="N942" s="817"/>
      <c r="O942" s="817"/>
      <c r="P942" s="2828">
        <v>43939</v>
      </c>
      <c r="Q942" s="2828"/>
      <c r="R942" s="2829" t="s">
        <v>8531</v>
      </c>
      <c r="S942" s="2770" t="s">
        <v>8508</v>
      </c>
      <c r="T942" s="2694" t="s">
        <v>15</v>
      </c>
      <c r="U942" s="2694">
        <v>0.43958333333333338</v>
      </c>
      <c r="V942" s="2694" t="s">
        <v>3213</v>
      </c>
      <c r="W942" s="2660">
        <v>100</v>
      </c>
      <c r="X942" s="817" t="s">
        <v>257</v>
      </c>
      <c r="Y942" s="2772" t="s">
        <v>119</v>
      </c>
      <c r="Z942" s="817"/>
      <c r="AA942" s="817"/>
      <c r="AB942" s="817" t="s">
        <v>22</v>
      </c>
      <c r="AC942" s="817" t="s">
        <v>7451</v>
      </c>
      <c r="AD942" s="2696" t="s">
        <v>1710</v>
      </c>
      <c r="AG942" s="2711"/>
    </row>
    <row r="943" spans="1:33" s="1592" customFormat="1" ht="58" hidden="1" x14ac:dyDescent="0.35">
      <c r="A943" s="2486">
        <v>43924</v>
      </c>
      <c r="B943" s="2718">
        <v>13</v>
      </c>
      <c r="C943" s="7" t="s">
        <v>7910</v>
      </c>
      <c r="D943" s="2810" t="s">
        <v>10149</v>
      </c>
      <c r="E943" s="7" t="s">
        <v>7911</v>
      </c>
      <c r="F943" s="5">
        <v>1</v>
      </c>
      <c r="G943" s="5"/>
      <c r="H943" s="5">
        <v>1</v>
      </c>
      <c r="I943" s="5"/>
      <c r="J943" s="5"/>
      <c r="K943" s="5"/>
      <c r="L943" s="5"/>
      <c r="M943" s="5"/>
      <c r="N943" s="5"/>
      <c r="O943" s="5"/>
      <c r="P943" s="1899">
        <v>43939</v>
      </c>
      <c r="Q943" s="2486"/>
      <c r="R943" s="881" t="s">
        <v>7912</v>
      </c>
      <c r="S943" s="824"/>
      <c r="T943" s="836" t="s">
        <v>15</v>
      </c>
      <c r="U943" s="2694">
        <v>0.45416666666666666</v>
      </c>
      <c r="V943" s="2694" t="s">
        <v>972</v>
      </c>
      <c r="W943" s="1956">
        <v>100</v>
      </c>
      <c r="X943" s="817" t="s">
        <v>257</v>
      </c>
      <c r="Y943" s="2772" t="s">
        <v>119</v>
      </c>
      <c r="Z943" s="817"/>
      <c r="AA943" s="817"/>
      <c r="AB943" s="817" t="s">
        <v>17</v>
      </c>
      <c r="AC943" s="817" t="s">
        <v>7451</v>
      </c>
      <c r="AD943" s="2699"/>
      <c r="AG943" s="2711"/>
    </row>
    <row r="944" spans="1:33" s="1592" customFormat="1" ht="29" hidden="1" x14ac:dyDescent="0.35">
      <c r="A944" s="1899">
        <v>43932</v>
      </c>
      <c r="B944" s="2759">
        <v>14</v>
      </c>
      <c r="C944" s="7" t="s">
        <v>9520</v>
      </c>
      <c r="D944" s="2707" t="s">
        <v>9521</v>
      </c>
      <c r="E944" s="7" t="s">
        <v>8553</v>
      </c>
      <c r="F944" s="5">
        <v>1</v>
      </c>
      <c r="G944" s="5">
        <v>1</v>
      </c>
      <c r="H944" s="5"/>
      <c r="I944" s="5"/>
      <c r="J944" s="5"/>
      <c r="K944" s="5"/>
      <c r="L944" s="817"/>
      <c r="M944" s="817"/>
      <c r="N944" s="817"/>
      <c r="O944" s="817"/>
      <c r="P944" s="1899">
        <v>43939</v>
      </c>
      <c r="Q944" s="2769"/>
      <c r="R944" s="2708" t="s">
        <v>9522</v>
      </c>
      <c r="S944" s="2770"/>
      <c r="T944" s="836" t="s">
        <v>15</v>
      </c>
      <c r="U944" s="2694">
        <v>0.46597222222222223</v>
      </c>
      <c r="V944" s="836" t="s">
        <v>972</v>
      </c>
      <c r="W944" s="1956">
        <v>100</v>
      </c>
      <c r="X944" s="817" t="s">
        <v>8625</v>
      </c>
      <c r="Y944" s="2772" t="s">
        <v>119</v>
      </c>
      <c r="Z944" s="817"/>
      <c r="AA944" s="817"/>
      <c r="AB944" s="817" t="s">
        <v>17</v>
      </c>
      <c r="AC944" s="817" t="s">
        <v>7451</v>
      </c>
      <c r="AD944" s="2696"/>
      <c r="AG944" s="2711"/>
    </row>
    <row r="945" spans="1:33" s="1592" customFormat="1" ht="29" hidden="1" x14ac:dyDescent="0.35">
      <c r="A945" s="1899">
        <v>43934</v>
      </c>
      <c r="B945" s="2759">
        <v>15</v>
      </c>
      <c r="C945" s="7" t="s">
        <v>10465</v>
      </c>
      <c r="D945" s="2707" t="s">
        <v>10466</v>
      </c>
      <c r="E945" s="7" t="s">
        <v>8553</v>
      </c>
      <c r="F945" s="7">
        <v>1</v>
      </c>
      <c r="G945" s="7">
        <v>1</v>
      </c>
      <c r="H945" s="7"/>
      <c r="I945" s="7"/>
      <c r="J945" s="7"/>
      <c r="K945" s="7"/>
      <c r="L945" s="817"/>
      <c r="M945" s="817"/>
      <c r="N945" s="817"/>
      <c r="O945" s="817"/>
      <c r="P945" s="1899">
        <v>43939</v>
      </c>
      <c r="Q945" s="2769"/>
      <c r="R945" s="2708" t="s">
        <v>10467</v>
      </c>
      <c r="S945" s="2770"/>
      <c r="T945" s="836" t="s">
        <v>15</v>
      </c>
      <c r="U945" s="2694">
        <v>0.48125000000000001</v>
      </c>
      <c r="V945" s="836" t="s">
        <v>972</v>
      </c>
      <c r="W945" s="1630">
        <v>100</v>
      </c>
      <c r="X945" s="7" t="s">
        <v>3173</v>
      </c>
      <c r="Y945" s="2772" t="s">
        <v>119</v>
      </c>
      <c r="Z945" s="7"/>
      <c r="AA945" s="7"/>
      <c r="AB945" s="7" t="s">
        <v>17</v>
      </c>
      <c r="AC945" s="7" t="s">
        <v>7451</v>
      </c>
      <c r="AD945" s="2696"/>
      <c r="AG945" s="2711"/>
    </row>
    <row r="946" spans="1:33" s="1592" customFormat="1" ht="29" hidden="1" x14ac:dyDescent="0.35">
      <c r="A946" s="2486">
        <v>43903</v>
      </c>
      <c r="B946" s="2718">
        <v>16</v>
      </c>
      <c r="C946" s="7" t="s">
        <v>9640</v>
      </c>
      <c r="D946" s="2707" t="s">
        <v>10382</v>
      </c>
      <c r="E946" s="7" t="s">
        <v>9007</v>
      </c>
      <c r="F946" s="5">
        <v>1</v>
      </c>
      <c r="G946" s="5">
        <v>2</v>
      </c>
      <c r="H946" s="5"/>
      <c r="I946" s="5"/>
      <c r="J946" s="5"/>
      <c r="K946" s="5"/>
      <c r="L946" s="817"/>
      <c r="M946" s="817"/>
      <c r="N946" s="817"/>
      <c r="O946" s="817"/>
      <c r="P946" s="1899">
        <v>43939</v>
      </c>
      <c r="Q946" s="2828"/>
      <c r="R946" s="881" t="s">
        <v>10381</v>
      </c>
      <c r="S946" s="2829"/>
      <c r="T946" s="836" t="s">
        <v>15</v>
      </c>
      <c r="U946" s="2694">
        <v>0.49374999999999997</v>
      </c>
      <c r="V946" s="2694" t="s">
        <v>3213</v>
      </c>
      <c r="W946" s="1956">
        <v>165</v>
      </c>
      <c r="X946" s="2822" t="s">
        <v>10943</v>
      </c>
      <c r="Y946" s="2772" t="s">
        <v>119</v>
      </c>
      <c r="Z946" s="817"/>
      <c r="AA946" s="817"/>
      <c r="AB946" s="817" t="s">
        <v>17</v>
      </c>
      <c r="AC946" s="817" t="s">
        <v>7451</v>
      </c>
      <c r="AD946" s="2696"/>
      <c r="AG946" s="2711"/>
    </row>
    <row r="947" spans="1:33" s="1592" customFormat="1" ht="29" hidden="1" x14ac:dyDescent="0.35">
      <c r="A947" s="2828">
        <v>43929</v>
      </c>
      <c r="B947" s="2760">
        <v>17</v>
      </c>
      <c r="C947" s="7" t="s">
        <v>8661</v>
      </c>
      <c r="D947" s="2810" t="s">
        <v>10004</v>
      </c>
      <c r="E947" s="7" t="s">
        <v>8622</v>
      </c>
      <c r="F947" s="5">
        <v>1</v>
      </c>
      <c r="G947" s="5">
        <v>1</v>
      </c>
      <c r="H947" s="5"/>
      <c r="I947" s="5"/>
      <c r="J947" s="5"/>
      <c r="K947" s="5"/>
      <c r="L947" s="817"/>
      <c r="M947" s="817"/>
      <c r="N947" s="817"/>
      <c r="O947" s="817"/>
      <c r="P947" s="1899">
        <v>43939</v>
      </c>
      <c r="Q947" s="2828"/>
      <c r="R947" s="881" t="s">
        <v>8662</v>
      </c>
      <c r="S947" s="2829"/>
      <c r="T947" s="836" t="s">
        <v>15</v>
      </c>
      <c r="U947" s="2694">
        <v>0.50208333333333333</v>
      </c>
      <c r="V947" s="2694" t="s">
        <v>972</v>
      </c>
      <c r="W947" s="2681">
        <v>100</v>
      </c>
      <c r="X947" s="836" t="s">
        <v>257</v>
      </c>
      <c r="Y947" s="2772" t="s">
        <v>119</v>
      </c>
      <c r="Z947" s="817"/>
      <c r="AA947" s="817"/>
      <c r="AB947" s="7" t="s">
        <v>17</v>
      </c>
      <c r="AC947" s="817" t="s">
        <v>7451</v>
      </c>
      <c r="AD947" s="2700"/>
      <c r="AG947" s="2711"/>
    </row>
    <row r="948" spans="1:33" s="1592" customFormat="1" ht="58" hidden="1" x14ac:dyDescent="0.35">
      <c r="A948" s="1899">
        <v>43932</v>
      </c>
      <c r="B948" s="2759">
        <v>18</v>
      </c>
      <c r="C948" s="7" t="s">
        <v>9592</v>
      </c>
      <c r="D948" s="2707" t="s">
        <v>9593</v>
      </c>
      <c r="E948" s="7" t="s">
        <v>10864</v>
      </c>
      <c r="F948" s="5">
        <v>1</v>
      </c>
      <c r="G948" s="5"/>
      <c r="H948" s="5"/>
      <c r="I948" s="5"/>
      <c r="J948" s="5">
        <v>1</v>
      </c>
      <c r="K948" s="5"/>
      <c r="L948" s="817"/>
      <c r="M948" s="817"/>
      <c r="N948" s="817"/>
      <c r="O948" s="817"/>
      <c r="P948" s="1899">
        <v>43939</v>
      </c>
      <c r="Q948" s="2769"/>
      <c r="R948" s="2708" t="s">
        <v>9594</v>
      </c>
      <c r="S948" s="2770"/>
      <c r="T948" s="836" t="s">
        <v>15</v>
      </c>
      <c r="U948" s="2694">
        <v>0.5131944444444444</v>
      </c>
      <c r="V948" s="836" t="s">
        <v>972</v>
      </c>
      <c r="W948" s="1956">
        <v>100</v>
      </c>
      <c r="X948" s="817" t="s">
        <v>8625</v>
      </c>
      <c r="Y948" s="2772" t="s">
        <v>119</v>
      </c>
      <c r="Z948" s="817"/>
      <c r="AA948" s="817"/>
      <c r="AB948" s="817" t="s">
        <v>17</v>
      </c>
      <c r="AC948" s="817" t="s">
        <v>7451</v>
      </c>
      <c r="AD948" s="2696"/>
      <c r="AG948" s="2711"/>
    </row>
    <row r="949" spans="1:33" s="1592" customFormat="1" ht="58" hidden="1" x14ac:dyDescent="0.35">
      <c r="A949" s="2486">
        <v>43935</v>
      </c>
      <c r="B949" s="2718">
        <v>19</v>
      </c>
      <c r="C949" s="7" t="s">
        <v>10584</v>
      </c>
      <c r="D949" s="2707" t="s">
        <v>10585</v>
      </c>
      <c r="E949" s="7" t="s">
        <v>8149</v>
      </c>
      <c r="F949" s="2740">
        <v>1</v>
      </c>
      <c r="G949" s="2741">
        <v>1</v>
      </c>
      <c r="H949" s="2741"/>
      <c r="I949" s="2741"/>
      <c r="J949" s="2741"/>
      <c r="K949" s="2741"/>
      <c r="L949" s="817"/>
      <c r="M949" s="817"/>
      <c r="N949" s="817"/>
      <c r="O949" s="817"/>
      <c r="P949" s="1899">
        <v>43939</v>
      </c>
      <c r="Q949" s="2769"/>
      <c r="R949" s="2708" t="s">
        <v>10586</v>
      </c>
      <c r="S949" s="2770"/>
      <c r="T949" s="836" t="s">
        <v>15</v>
      </c>
      <c r="U949" s="2694">
        <v>0.52500000000000002</v>
      </c>
      <c r="V949" s="2694" t="s">
        <v>972</v>
      </c>
      <c r="W949" s="1956">
        <v>100</v>
      </c>
      <c r="X949" s="2694" t="s">
        <v>257</v>
      </c>
      <c r="Y949" s="2772" t="s">
        <v>119</v>
      </c>
      <c r="Z949" s="817"/>
      <c r="AA949" s="817"/>
      <c r="AB949" s="817" t="s">
        <v>17</v>
      </c>
      <c r="AC949" s="817" t="s">
        <v>7451</v>
      </c>
      <c r="AD949" s="2739"/>
      <c r="AG949" s="2711"/>
    </row>
    <row r="950" spans="1:33" s="1592" customFormat="1" ht="43.5" hidden="1" x14ac:dyDescent="0.35">
      <c r="A950" s="2486">
        <v>43930</v>
      </c>
      <c r="B950" s="2718">
        <v>20</v>
      </c>
      <c r="C950" s="7" t="s">
        <v>8878</v>
      </c>
      <c r="D950" s="2810" t="s">
        <v>10202</v>
      </c>
      <c r="E950" s="7" t="s">
        <v>8879</v>
      </c>
      <c r="F950" s="2679">
        <v>1</v>
      </c>
      <c r="G950" s="5">
        <v>1</v>
      </c>
      <c r="H950" s="5"/>
      <c r="I950" s="5">
        <v>1</v>
      </c>
      <c r="J950" s="5"/>
      <c r="K950" s="5"/>
      <c r="L950" s="817"/>
      <c r="M950" s="817"/>
      <c r="N950" s="817"/>
      <c r="O950" s="817"/>
      <c r="P950" s="1899">
        <v>43939</v>
      </c>
      <c r="Q950" s="2486"/>
      <c r="R950" s="881" t="s">
        <v>8877</v>
      </c>
      <c r="S950" s="2829"/>
      <c r="T950" s="836" t="s">
        <v>15</v>
      </c>
      <c r="U950" s="2694">
        <v>0.54097222222222219</v>
      </c>
      <c r="V950" s="2694" t="s">
        <v>972</v>
      </c>
      <c r="W950" s="1956">
        <v>100</v>
      </c>
      <c r="X950" s="836" t="s">
        <v>257</v>
      </c>
      <c r="Y950" s="2772" t="s">
        <v>119</v>
      </c>
      <c r="Z950" s="817"/>
      <c r="AA950" s="817"/>
      <c r="AB950" s="7" t="s">
        <v>17</v>
      </c>
      <c r="AC950" s="817" t="s">
        <v>7451</v>
      </c>
      <c r="AD950" s="2700"/>
      <c r="AG950" s="2711"/>
    </row>
    <row r="951" spans="1:33" s="1592" customFormat="1" ht="29" hidden="1" x14ac:dyDescent="0.35">
      <c r="A951" s="2828">
        <v>43931</v>
      </c>
      <c r="B951" s="2760">
        <v>21</v>
      </c>
      <c r="C951" s="7" t="s">
        <v>9143</v>
      </c>
      <c r="D951" s="2810" t="s">
        <v>9141</v>
      </c>
      <c r="E951" s="7" t="s">
        <v>8107</v>
      </c>
      <c r="F951" s="2682">
        <v>1</v>
      </c>
      <c r="G951" s="2682"/>
      <c r="H951" s="2682">
        <v>1</v>
      </c>
      <c r="I951" s="2682"/>
      <c r="J951" s="2682"/>
      <c r="K951" s="2682"/>
      <c r="L951" s="817"/>
      <c r="M951" s="817"/>
      <c r="N951" s="817"/>
      <c r="O951" s="817"/>
      <c r="P951" s="1899">
        <v>43939</v>
      </c>
      <c r="Q951" s="2769"/>
      <c r="R951" s="881" t="s">
        <v>9144</v>
      </c>
      <c r="S951" s="2770"/>
      <c r="T951" s="836" t="s">
        <v>15</v>
      </c>
      <c r="U951" s="2694">
        <v>0.55277777777777781</v>
      </c>
      <c r="V951" s="2694" t="s">
        <v>972</v>
      </c>
      <c r="W951" s="2681">
        <v>100</v>
      </c>
      <c r="X951" s="817" t="s">
        <v>2900</v>
      </c>
      <c r="Y951" s="2772" t="s">
        <v>119</v>
      </c>
      <c r="Z951" s="817"/>
      <c r="AA951" s="817"/>
      <c r="AB951" s="817" t="s">
        <v>17</v>
      </c>
      <c r="AC951" s="817" t="s">
        <v>7451</v>
      </c>
      <c r="AD951" s="2700" t="s">
        <v>9141</v>
      </c>
      <c r="AG951" s="2711"/>
    </row>
    <row r="952" spans="1:33" s="1592" customFormat="1" ht="58" hidden="1" x14ac:dyDescent="0.35">
      <c r="A952" s="2828">
        <v>43924</v>
      </c>
      <c r="B952" s="2760">
        <v>22</v>
      </c>
      <c r="C952" s="7" t="s">
        <v>7853</v>
      </c>
      <c r="D952" s="2810" t="s">
        <v>10157</v>
      </c>
      <c r="E952" s="7" t="s">
        <v>7854</v>
      </c>
      <c r="F952" s="817">
        <v>1</v>
      </c>
      <c r="G952" s="817"/>
      <c r="H952" s="817"/>
      <c r="I952" s="817">
        <v>1</v>
      </c>
      <c r="J952" s="817"/>
      <c r="K952" s="817"/>
      <c r="L952" s="817"/>
      <c r="M952" s="817"/>
      <c r="N952" s="817"/>
      <c r="O952" s="817"/>
      <c r="P952" s="1899">
        <v>43939</v>
      </c>
      <c r="Q952" s="2769"/>
      <c r="R952" s="881" t="s">
        <v>7855</v>
      </c>
      <c r="S952" s="2770"/>
      <c r="T952" s="836" t="s">
        <v>15</v>
      </c>
      <c r="U952" s="2694">
        <v>0.56180555555555556</v>
      </c>
      <c r="V952" s="2694" t="s">
        <v>972</v>
      </c>
      <c r="W952" s="1956">
        <v>100</v>
      </c>
      <c r="X952" s="817" t="s">
        <v>7634</v>
      </c>
      <c r="Y952" s="2772" t="s">
        <v>119</v>
      </c>
      <c r="Z952" s="817"/>
      <c r="AA952" s="817"/>
      <c r="AB952" s="817" t="s">
        <v>17</v>
      </c>
      <c r="AC952" s="817" t="s">
        <v>7451</v>
      </c>
      <c r="AD952" s="2699"/>
      <c r="AG952" s="2711"/>
    </row>
    <row r="953" spans="1:33" s="1592" customFormat="1" ht="29" hidden="1" x14ac:dyDescent="0.35">
      <c r="A953" s="2828">
        <v>43933</v>
      </c>
      <c r="B953" s="2760">
        <v>23</v>
      </c>
      <c r="C953" s="7" t="s">
        <v>10305</v>
      </c>
      <c r="D953" s="2707" t="s">
        <v>10307</v>
      </c>
      <c r="E953" s="7" t="s">
        <v>8553</v>
      </c>
      <c r="F953" s="817">
        <v>1</v>
      </c>
      <c r="G953" s="817">
        <v>1</v>
      </c>
      <c r="H953" s="817"/>
      <c r="I953" s="817"/>
      <c r="J953" s="817"/>
      <c r="K953" s="817"/>
      <c r="L953" s="817"/>
      <c r="M953" s="817"/>
      <c r="N953" s="817"/>
      <c r="O953" s="817"/>
      <c r="P953" s="1899">
        <v>43939</v>
      </c>
      <c r="Q953" s="2769"/>
      <c r="R953" s="2708" t="s">
        <v>10306</v>
      </c>
      <c r="S953" s="2770"/>
      <c r="T953" s="836" t="s">
        <v>15</v>
      </c>
      <c r="U953" s="2694">
        <v>0.57361111111111118</v>
      </c>
      <c r="V953" s="2694" t="s">
        <v>3213</v>
      </c>
      <c r="W953" s="1956">
        <v>100</v>
      </c>
      <c r="X953" s="817" t="s">
        <v>10308</v>
      </c>
      <c r="Y953" s="2772" t="s">
        <v>119</v>
      </c>
      <c r="Z953" s="817"/>
      <c r="AA953" s="817"/>
      <c r="AB953" s="817" t="s">
        <v>17</v>
      </c>
      <c r="AC953" s="817" t="s">
        <v>7451</v>
      </c>
      <c r="AD953" s="2696"/>
      <c r="AG953" s="2711"/>
    </row>
    <row r="954" spans="1:33" s="1592" customFormat="1" ht="43.5" hidden="1" x14ac:dyDescent="0.35">
      <c r="A954" s="2769">
        <v>43931</v>
      </c>
      <c r="B954" s="2760">
        <v>24</v>
      </c>
      <c r="C954" s="7" t="s">
        <v>9236</v>
      </c>
      <c r="D954" s="2810" t="s">
        <v>9235</v>
      </c>
      <c r="E954" s="7" t="s">
        <v>9238</v>
      </c>
      <c r="F954" s="2682">
        <v>2</v>
      </c>
      <c r="G954" s="2682">
        <v>1</v>
      </c>
      <c r="H954" s="2682"/>
      <c r="I954" s="2682">
        <v>1</v>
      </c>
      <c r="J954" s="2682"/>
      <c r="K954" s="2682"/>
      <c r="L954" s="817"/>
      <c r="M954" s="817"/>
      <c r="N954" s="817"/>
      <c r="O954" s="817"/>
      <c r="P954" s="1899">
        <v>43939</v>
      </c>
      <c r="Q954" s="2769"/>
      <c r="R954" s="881" t="s">
        <v>9237</v>
      </c>
      <c r="S954" s="2770"/>
      <c r="T954" s="836" t="s">
        <v>15</v>
      </c>
      <c r="U954" s="2694">
        <v>0.5854166666666667</v>
      </c>
      <c r="V954" s="2694" t="s">
        <v>972</v>
      </c>
      <c r="W954" s="2681">
        <v>200</v>
      </c>
      <c r="X954" s="817" t="s">
        <v>2900</v>
      </c>
      <c r="Y954" s="2772" t="s">
        <v>119</v>
      </c>
      <c r="Z954" s="817"/>
      <c r="AA954" s="817"/>
      <c r="AB954" s="817" t="s">
        <v>17</v>
      </c>
      <c r="AC954" s="817" t="s">
        <v>7451</v>
      </c>
      <c r="AD954" s="2700" t="s">
        <v>9235</v>
      </c>
      <c r="AG954" s="2711"/>
    </row>
    <row r="955" spans="1:33" s="1592" customFormat="1" ht="29" hidden="1" x14ac:dyDescent="0.35">
      <c r="A955" s="2486">
        <v>43928</v>
      </c>
      <c r="B955" s="2718">
        <v>25</v>
      </c>
      <c r="C955" s="7" t="s">
        <v>8411</v>
      </c>
      <c r="D955" s="2810" t="s">
        <v>10112</v>
      </c>
      <c r="E955" s="7" t="s">
        <v>8149</v>
      </c>
      <c r="F955" s="2679">
        <v>1</v>
      </c>
      <c r="G955" s="5">
        <v>1</v>
      </c>
      <c r="H955" s="5"/>
      <c r="I955" s="5"/>
      <c r="J955" s="5"/>
      <c r="K955" s="5"/>
      <c r="L955" s="817"/>
      <c r="M955" s="817"/>
      <c r="N955" s="817"/>
      <c r="O955" s="817"/>
      <c r="P955" s="1899">
        <v>43939</v>
      </c>
      <c r="Q955" s="2486"/>
      <c r="R955" s="881" t="s">
        <v>8412</v>
      </c>
      <c r="S955" s="2770"/>
      <c r="T955" s="836" t="s">
        <v>15</v>
      </c>
      <c r="U955" s="2694">
        <v>0.59375</v>
      </c>
      <c r="V955" s="2694" t="s">
        <v>972</v>
      </c>
      <c r="W955" s="1956">
        <v>100</v>
      </c>
      <c r="X955" s="836" t="s">
        <v>257</v>
      </c>
      <c r="Y955" s="2772" t="s">
        <v>119</v>
      </c>
      <c r="Z955" s="817"/>
      <c r="AA955" s="817"/>
      <c r="AB955" s="7" t="s">
        <v>17</v>
      </c>
      <c r="AC955" s="817" t="s">
        <v>7451</v>
      </c>
      <c r="AD955" s="2699"/>
      <c r="AG955" s="2711"/>
    </row>
    <row r="956" spans="1:33" s="1592" customFormat="1" ht="29" hidden="1" x14ac:dyDescent="0.35">
      <c r="A956" s="2828">
        <v>43927</v>
      </c>
      <c r="B956" s="2760">
        <v>26</v>
      </c>
      <c r="C956" s="7" t="s">
        <v>8212</v>
      </c>
      <c r="D956" s="2810" t="s">
        <v>10116</v>
      </c>
      <c r="E956" s="7" t="s">
        <v>7935</v>
      </c>
      <c r="F956" s="5">
        <v>1</v>
      </c>
      <c r="G956" s="5">
        <v>1</v>
      </c>
      <c r="H956" s="5"/>
      <c r="I956" s="5"/>
      <c r="J956" s="5"/>
      <c r="K956" s="5"/>
      <c r="L956" s="817"/>
      <c r="M956" s="817"/>
      <c r="N956" s="817"/>
      <c r="O956" s="817"/>
      <c r="P956" s="1899">
        <v>43939</v>
      </c>
      <c r="Q956" s="2769"/>
      <c r="R956" s="881" t="s">
        <v>8312</v>
      </c>
      <c r="S956" s="2770" t="s">
        <v>8313</v>
      </c>
      <c r="T956" s="836" t="s">
        <v>15</v>
      </c>
      <c r="U956" s="2694">
        <v>0.60625000000000007</v>
      </c>
      <c r="V956" s="2694" t="s">
        <v>972</v>
      </c>
      <c r="W956" s="1956">
        <v>100</v>
      </c>
      <c r="X956" s="817" t="s">
        <v>8268</v>
      </c>
      <c r="Y956" s="2772" t="s">
        <v>119</v>
      </c>
      <c r="Z956" s="817"/>
      <c r="AA956" s="817"/>
      <c r="AB956" s="817" t="s">
        <v>17</v>
      </c>
      <c r="AC956" s="817" t="s">
        <v>7451</v>
      </c>
      <c r="AD956" s="2699"/>
      <c r="AG956" s="2711"/>
    </row>
    <row r="957" spans="1:33" s="1592" customFormat="1" ht="29" hidden="1" x14ac:dyDescent="0.35">
      <c r="A957" s="1899">
        <v>43932</v>
      </c>
      <c r="B957" s="2759">
        <v>27</v>
      </c>
      <c r="C957" s="7" t="s">
        <v>9640</v>
      </c>
      <c r="D957" s="2707" t="s">
        <v>10239</v>
      </c>
      <c r="E957" s="7" t="s">
        <v>8553</v>
      </c>
      <c r="F957" s="2685">
        <v>1</v>
      </c>
      <c r="G957" s="2685">
        <v>1</v>
      </c>
      <c r="H957" s="2685"/>
      <c r="I957" s="2685"/>
      <c r="J957" s="2685"/>
      <c r="K957" s="2685"/>
      <c r="L957" s="817"/>
      <c r="M957" s="817"/>
      <c r="N957" s="817"/>
      <c r="O957" s="817"/>
      <c r="P957" s="1899">
        <v>43939</v>
      </c>
      <c r="Q957" s="2828"/>
      <c r="R957" s="2708" t="s">
        <v>10240</v>
      </c>
      <c r="S957" s="2770"/>
      <c r="T957" s="836" t="s">
        <v>15</v>
      </c>
      <c r="U957" s="2694">
        <v>0.61597222222222225</v>
      </c>
      <c r="V957" s="2694" t="s">
        <v>972</v>
      </c>
      <c r="W957" s="1956">
        <v>100</v>
      </c>
      <c r="X957" s="836" t="s">
        <v>257</v>
      </c>
      <c r="Y957" s="2772" t="s">
        <v>119</v>
      </c>
      <c r="Z957" s="817"/>
      <c r="AA957" s="817"/>
      <c r="AB957" s="7" t="s">
        <v>17</v>
      </c>
      <c r="AC957" s="817" t="s">
        <v>7451</v>
      </c>
      <c r="AD957" s="2695"/>
      <c r="AG957" s="2711"/>
    </row>
    <row r="958" spans="1:33" s="1592" customFormat="1" ht="58" hidden="1" x14ac:dyDescent="0.35">
      <c r="A958" s="2486">
        <v>43925</v>
      </c>
      <c r="B958" s="2718">
        <v>28</v>
      </c>
      <c r="C958" s="7" t="s">
        <v>8026</v>
      </c>
      <c r="D958" s="2810" t="s">
        <v>10119</v>
      </c>
      <c r="E958" s="7" t="s">
        <v>7972</v>
      </c>
      <c r="F958" s="5">
        <v>1</v>
      </c>
      <c r="G958" s="5">
        <v>1</v>
      </c>
      <c r="H958" s="5"/>
      <c r="I958" s="5"/>
      <c r="J958" s="5"/>
      <c r="K958" s="5"/>
      <c r="L958" s="5"/>
      <c r="M958" s="5"/>
      <c r="N958" s="5"/>
      <c r="O958" s="5"/>
      <c r="P958" s="1899">
        <v>43939</v>
      </c>
      <c r="Q958" s="2486"/>
      <c r="R958" s="881" t="s">
        <v>8025</v>
      </c>
      <c r="S958" s="824"/>
      <c r="T958" s="836" t="s">
        <v>15</v>
      </c>
      <c r="U958" s="2694">
        <v>0.6430555555555556</v>
      </c>
      <c r="V958" s="2694" t="s">
        <v>972</v>
      </c>
      <c r="W958" s="2724">
        <v>100</v>
      </c>
      <c r="X958" s="817" t="s">
        <v>257</v>
      </c>
      <c r="Y958" s="2772" t="s">
        <v>119</v>
      </c>
      <c r="Z958" s="817"/>
      <c r="AA958" s="817"/>
      <c r="AB958" s="817" t="s">
        <v>17</v>
      </c>
      <c r="AC958" s="817" t="s">
        <v>7451</v>
      </c>
      <c r="AD958" s="2699"/>
      <c r="AG958" s="2711"/>
    </row>
    <row r="959" spans="1:33" s="1592" customFormat="1" ht="43.5" hidden="1" x14ac:dyDescent="0.35">
      <c r="A959" s="2769">
        <v>43927</v>
      </c>
      <c r="B959" s="2760">
        <v>1</v>
      </c>
      <c r="C959" s="817" t="s">
        <v>8238</v>
      </c>
      <c r="D959" s="2712" t="s">
        <v>10114</v>
      </c>
      <c r="E959" s="817" t="s">
        <v>8239</v>
      </c>
      <c r="F959" s="5"/>
      <c r="G959" s="5">
        <v>3</v>
      </c>
      <c r="H959" s="5"/>
      <c r="I959" s="5"/>
      <c r="J959" s="5"/>
      <c r="K959" s="5">
        <v>2</v>
      </c>
      <c r="L959" s="817"/>
      <c r="M959" s="817"/>
      <c r="N959" s="817"/>
      <c r="O959" s="817"/>
      <c r="P959" s="2828">
        <v>43939</v>
      </c>
      <c r="Q959" s="2769"/>
      <c r="R959" s="2829" t="s">
        <v>8332</v>
      </c>
      <c r="S959" s="2770" t="s">
        <v>8272</v>
      </c>
      <c r="T959" s="2694" t="s">
        <v>15</v>
      </c>
      <c r="U959" s="2694">
        <v>0.31388888888888888</v>
      </c>
      <c r="V959" s="2694" t="s">
        <v>3213</v>
      </c>
      <c r="W959" s="1956">
        <v>250</v>
      </c>
      <c r="X959" s="817" t="s">
        <v>257</v>
      </c>
      <c r="Y959" s="2772" t="s">
        <v>22</v>
      </c>
      <c r="Z959" s="817"/>
      <c r="AA959" s="817"/>
      <c r="AB959" s="817" t="s">
        <v>17</v>
      </c>
      <c r="AC959" s="817" t="s">
        <v>7451</v>
      </c>
      <c r="AD959" s="2699"/>
      <c r="AG959" s="2711"/>
    </row>
    <row r="960" spans="1:33" s="1592" customFormat="1" ht="72.5" hidden="1" x14ac:dyDescent="0.35">
      <c r="A960" s="2769">
        <v>43920</v>
      </c>
      <c r="B960" s="2760">
        <v>2</v>
      </c>
      <c r="C960" s="2787" t="s">
        <v>7555</v>
      </c>
      <c r="D960" s="2788" t="s">
        <v>9923</v>
      </c>
      <c r="E960" s="2787" t="s">
        <v>10841</v>
      </c>
      <c r="F960" s="817">
        <v>1</v>
      </c>
      <c r="G960" s="817"/>
      <c r="H960" s="817"/>
      <c r="I960" s="817"/>
      <c r="J960" s="817"/>
      <c r="K960" s="817"/>
      <c r="L960" s="817"/>
      <c r="M960" s="817"/>
      <c r="N960" s="817"/>
      <c r="O960" s="817"/>
      <c r="P960" s="2793">
        <v>43939</v>
      </c>
      <c r="Q960" s="2769"/>
      <c r="R960" s="2797" t="s">
        <v>7554</v>
      </c>
      <c r="S960" s="2770"/>
      <c r="T960" s="2798" t="s">
        <v>15</v>
      </c>
      <c r="U960" s="2694">
        <v>0.32291666666666669</v>
      </c>
      <c r="V960" s="2694" t="s">
        <v>3213</v>
      </c>
      <c r="W960" s="1956">
        <v>0</v>
      </c>
      <c r="X960" s="817" t="s">
        <v>10842</v>
      </c>
      <c r="Y960" s="2772" t="s">
        <v>22</v>
      </c>
      <c r="Z960" s="817"/>
      <c r="AA960" s="817"/>
      <c r="AB960" s="817" t="s">
        <v>17</v>
      </c>
      <c r="AC960" s="817" t="s">
        <v>7451</v>
      </c>
      <c r="AD960" s="2699"/>
      <c r="AG960" s="2711"/>
    </row>
    <row r="961" spans="1:33" s="1592" customFormat="1" ht="29" hidden="1" x14ac:dyDescent="0.35">
      <c r="A961" s="2769">
        <v>43932</v>
      </c>
      <c r="B961" s="2760">
        <v>3</v>
      </c>
      <c r="C961" s="817" t="s">
        <v>9640</v>
      </c>
      <c r="D961" s="2700" t="s">
        <v>9644</v>
      </c>
      <c r="E961" s="7" t="s">
        <v>8553</v>
      </c>
      <c r="F961" s="5">
        <v>1</v>
      </c>
      <c r="G961" s="5">
        <v>1</v>
      </c>
      <c r="H961" s="5"/>
      <c r="I961" s="5"/>
      <c r="J961" s="5"/>
      <c r="K961" s="5"/>
      <c r="L961" s="817"/>
      <c r="M961" s="817"/>
      <c r="N961" s="817"/>
      <c r="O961" s="817"/>
      <c r="P961" s="2828">
        <v>43939</v>
      </c>
      <c r="Q961" s="2769"/>
      <c r="R961" s="2706" t="s">
        <v>9645</v>
      </c>
      <c r="S961" s="2770"/>
      <c r="T961" s="836" t="s">
        <v>15</v>
      </c>
      <c r="U961" s="2694">
        <v>0.33263888888888887</v>
      </c>
      <c r="V961" s="836" t="s">
        <v>972</v>
      </c>
      <c r="W961" s="2681">
        <v>100</v>
      </c>
      <c r="X961" s="817" t="s">
        <v>2900</v>
      </c>
      <c r="Y961" s="2772" t="s">
        <v>10879</v>
      </c>
      <c r="Z961" s="817"/>
      <c r="AA961" s="817"/>
      <c r="AB961" s="817" t="s">
        <v>17</v>
      </c>
      <c r="AC961" s="817" t="s">
        <v>7451</v>
      </c>
      <c r="AD961" s="2696"/>
      <c r="AG961" s="2711"/>
    </row>
    <row r="962" spans="1:33" s="1592" customFormat="1" ht="43.5" hidden="1" x14ac:dyDescent="0.35">
      <c r="A962" s="2828">
        <v>43929</v>
      </c>
      <c r="B962" s="2760">
        <v>4</v>
      </c>
      <c r="C962" s="817" t="s">
        <v>5362</v>
      </c>
      <c r="D962" s="2712" t="s">
        <v>10094</v>
      </c>
      <c r="E962" s="7" t="s">
        <v>8669</v>
      </c>
      <c r="F962" s="5">
        <v>1</v>
      </c>
      <c r="G962" s="5">
        <v>1</v>
      </c>
      <c r="H962" s="5"/>
      <c r="I962" s="5">
        <v>1</v>
      </c>
      <c r="J962" s="5"/>
      <c r="K962" s="5"/>
      <c r="L962" s="817"/>
      <c r="M962" s="817"/>
      <c r="N962" s="817"/>
      <c r="O962" s="817"/>
      <c r="P962" s="2828">
        <v>43939</v>
      </c>
      <c r="Q962" s="2828"/>
      <c r="R962" s="2829" t="s">
        <v>8670</v>
      </c>
      <c r="S962" s="2770"/>
      <c r="T962" s="2694" t="s">
        <v>15</v>
      </c>
      <c r="U962" s="2694">
        <v>0.34513888888888888</v>
      </c>
      <c r="V962" s="2694" t="s">
        <v>972</v>
      </c>
      <c r="W962" s="1956">
        <v>165</v>
      </c>
      <c r="X962" s="836" t="s">
        <v>8625</v>
      </c>
      <c r="Y962" s="2772" t="s">
        <v>22</v>
      </c>
      <c r="Z962" s="817"/>
      <c r="AA962" s="817"/>
      <c r="AB962" s="7" t="s">
        <v>17</v>
      </c>
      <c r="AC962" s="817" t="s">
        <v>7451</v>
      </c>
      <c r="AD962" s="2700"/>
      <c r="AG962" s="2711"/>
    </row>
    <row r="963" spans="1:33" s="1592" customFormat="1" ht="72.5" hidden="1" x14ac:dyDescent="0.35">
      <c r="A963" s="1899">
        <v>43931</v>
      </c>
      <c r="B963" s="2759">
        <v>5</v>
      </c>
      <c r="C963" s="7" t="s">
        <v>9029</v>
      </c>
      <c r="D963" s="2712" t="s">
        <v>9975</v>
      </c>
      <c r="E963" s="7" t="s">
        <v>9025</v>
      </c>
      <c r="F963" s="7">
        <v>2</v>
      </c>
      <c r="G963" s="7">
        <v>1</v>
      </c>
      <c r="H963" s="7">
        <v>1</v>
      </c>
      <c r="I963" s="7"/>
      <c r="J963" s="7"/>
      <c r="K963" s="7"/>
      <c r="L963" s="817"/>
      <c r="M963" s="817"/>
      <c r="N963" s="817"/>
      <c r="O963" s="817"/>
      <c r="P963" s="1899">
        <v>43939</v>
      </c>
      <c r="Q963" s="1899"/>
      <c r="R963" s="881" t="s">
        <v>9026</v>
      </c>
      <c r="S963" s="2721"/>
      <c r="T963" s="836" t="s">
        <v>15</v>
      </c>
      <c r="U963" s="2694">
        <v>0.3520833333333333</v>
      </c>
      <c r="V963" s="2694" t="s">
        <v>9002</v>
      </c>
      <c r="W963" s="1809">
        <v>0</v>
      </c>
      <c r="X963" s="817" t="s">
        <v>10832</v>
      </c>
      <c r="Y963" s="2772" t="s">
        <v>22</v>
      </c>
      <c r="Z963" s="817"/>
      <c r="AA963" s="817"/>
      <c r="AB963" s="817" t="s">
        <v>17</v>
      </c>
      <c r="AC963" s="817" t="s">
        <v>7451</v>
      </c>
      <c r="AD963" s="2696"/>
      <c r="AG963" s="2711"/>
    </row>
    <row r="964" spans="1:33" s="1592" customFormat="1" ht="29" hidden="1" x14ac:dyDescent="0.35">
      <c r="A964" s="2828">
        <v>43931</v>
      </c>
      <c r="B964" s="2760">
        <v>6</v>
      </c>
      <c r="C964" s="817" t="s">
        <v>9158</v>
      </c>
      <c r="D964" s="2712" t="s">
        <v>9972</v>
      </c>
      <c r="E964" s="7" t="s">
        <v>7935</v>
      </c>
      <c r="F964" s="2682">
        <v>1</v>
      </c>
      <c r="G964" s="2682">
        <v>1</v>
      </c>
      <c r="H964" s="2682"/>
      <c r="I964" s="2682"/>
      <c r="J964" s="2682"/>
      <c r="K964" s="2682"/>
      <c r="L964" s="817"/>
      <c r="M964" s="817"/>
      <c r="N964" s="817"/>
      <c r="O964" s="817"/>
      <c r="P964" s="2828">
        <v>43939</v>
      </c>
      <c r="Q964" s="2769"/>
      <c r="R964" s="2829" t="s">
        <v>9157</v>
      </c>
      <c r="S964" s="2770"/>
      <c r="T964" s="2694" t="s">
        <v>15</v>
      </c>
      <c r="U964" s="2694">
        <v>0.36249999999999999</v>
      </c>
      <c r="V964" s="2694" t="s">
        <v>972</v>
      </c>
      <c r="W964" s="2681">
        <v>100</v>
      </c>
      <c r="X964" s="817" t="s">
        <v>2900</v>
      </c>
      <c r="Y964" s="2772" t="s">
        <v>22</v>
      </c>
      <c r="Z964" s="817"/>
      <c r="AA964" s="817"/>
      <c r="AB964" s="817" t="s">
        <v>17</v>
      </c>
      <c r="AC964" s="817" t="s">
        <v>7451</v>
      </c>
      <c r="AD964" s="2702"/>
      <c r="AG964" s="2711"/>
    </row>
    <row r="965" spans="1:33" s="1592" customFormat="1" ht="72.5" hidden="1" x14ac:dyDescent="0.35">
      <c r="A965" s="1899">
        <v>43920</v>
      </c>
      <c r="B965" s="2759">
        <v>7</v>
      </c>
      <c r="C965" s="7" t="s">
        <v>7576</v>
      </c>
      <c r="D965" s="2712" t="s">
        <v>10151</v>
      </c>
      <c r="E965" s="7" t="s">
        <v>7579</v>
      </c>
      <c r="F965" s="7">
        <v>2</v>
      </c>
      <c r="G965" s="7">
        <v>2</v>
      </c>
      <c r="H965" s="7"/>
      <c r="I965" s="7"/>
      <c r="J965" s="7"/>
      <c r="K965" s="7"/>
      <c r="L965" s="7"/>
      <c r="M965" s="7"/>
      <c r="N965" s="7"/>
      <c r="O965" s="7"/>
      <c r="P965" s="1899">
        <v>43939</v>
      </c>
      <c r="Q965" s="1899"/>
      <c r="R965" s="881" t="s">
        <v>7574</v>
      </c>
      <c r="S965" s="881"/>
      <c r="T965" s="836" t="s">
        <v>15</v>
      </c>
      <c r="U965" s="2694">
        <v>0.37222222222222223</v>
      </c>
      <c r="V965" s="2694" t="s">
        <v>3213</v>
      </c>
      <c r="W965" s="1100">
        <v>0</v>
      </c>
      <c r="X965" s="7" t="s">
        <v>7580</v>
      </c>
      <c r="Y965" s="2772" t="s">
        <v>22</v>
      </c>
      <c r="Z965" s="7"/>
      <c r="AA965" s="7"/>
      <c r="AB965" s="7" t="s">
        <v>17</v>
      </c>
      <c r="AC965" s="7" t="s">
        <v>7451</v>
      </c>
      <c r="AD965" s="2699"/>
      <c r="AG965" s="2711"/>
    </row>
    <row r="966" spans="1:33" ht="43.5" hidden="1" x14ac:dyDescent="0.35">
      <c r="A966" s="2486">
        <v>43925</v>
      </c>
      <c r="B966" s="2718">
        <v>8</v>
      </c>
      <c r="C966" s="7" t="s">
        <v>7986</v>
      </c>
      <c r="D966" s="2712" t="s">
        <v>10051</v>
      </c>
      <c r="E966" s="817" t="s">
        <v>7972</v>
      </c>
      <c r="F966" s="5">
        <v>1</v>
      </c>
      <c r="G966" s="5">
        <v>1</v>
      </c>
      <c r="H966" s="5"/>
      <c r="I966" s="5"/>
      <c r="J966" s="5"/>
      <c r="K966" s="5"/>
      <c r="L966" s="5"/>
      <c r="M966" s="5"/>
      <c r="N966" s="5"/>
      <c r="O966" s="5"/>
      <c r="P966" s="2486">
        <v>43939</v>
      </c>
      <c r="Q966" s="2486"/>
      <c r="R966" s="824" t="s">
        <v>7987</v>
      </c>
      <c r="S966" s="824"/>
      <c r="T966" s="6" t="s">
        <v>15</v>
      </c>
      <c r="U966" s="2694">
        <v>0.38472222222222219</v>
      </c>
      <c r="V966" s="2694" t="s">
        <v>972</v>
      </c>
      <c r="W966" s="2724">
        <v>100</v>
      </c>
      <c r="X966" s="817" t="s">
        <v>257</v>
      </c>
      <c r="Y966" s="2772" t="s">
        <v>22</v>
      </c>
      <c r="Z966" s="817"/>
      <c r="AA966" s="817"/>
      <c r="AB966" s="817" t="s">
        <v>17</v>
      </c>
      <c r="AC966" s="817" t="s">
        <v>7451</v>
      </c>
      <c r="AD966" s="2699"/>
      <c r="AG966" s="2711"/>
    </row>
    <row r="967" spans="1:33" ht="43.5" hidden="1" x14ac:dyDescent="0.35">
      <c r="A967" s="1899">
        <v>43921</v>
      </c>
      <c r="B967" s="2759">
        <v>9</v>
      </c>
      <c r="C967" s="7" t="s">
        <v>7625</v>
      </c>
      <c r="D967" s="2712" t="s">
        <v>10150</v>
      </c>
      <c r="E967" s="7" t="s">
        <v>7626</v>
      </c>
      <c r="F967" s="7">
        <v>2</v>
      </c>
      <c r="G967" s="7">
        <v>2</v>
      </c>
      <c r="H967" s="7"/>
      <c r="I967" s="7"/>
      <c r="J967" s="7"/>
      <c r="K967" s="7"/>
      <c r="L967" s="7"/>
      <c r="M967" s="7"/>
      <c r="N967" s="7"/>
      <c r="O967" s="7"/>
      <c r="P967" s="1899">
        <v>43939</v>
      </c>
      <c r="Q967" s="1899"/>
      <c r="R967" s="881" t="s">
        <v>7628</v>
      </c>
      <c r="S967" s="881"/>
      <c r="T967" s="2829" t="s">
        <v>15</v>
      </c>
      <c r="U967" s="2694">
        <v>0.39374999999999999</v>
      </c>
      <c r="V967" s="2694" t="s">
        <v>3213</v>
      </c>
      <c r="W967" s="2658">
        <v>200</v>
      </c>
      <c r="X967" s="2829" t="s">
        <v>10941</v>
      </c>
      <c r="Y967" s="2772" t="s">
        <v>22</v>
      </c>
      <c r="Z967" s="2829"/>
      <c r="AA967" s="2829"/>
      <c r="AB967" s="2829" t="s">
        <v>17</v>
      </c>
      <c r="AC967" s="2829" t="s">
        <v>7451</v>
      </c>
      <c r="AD967" s="2699"/>
      <c r="AG967" s="2711"/>
    </row>
    <row r="968" spans="1:33" ht="29" hidden="1" x14ac:dyDescent="0.35">
      <c r="A968" s="1899">
        <v>43930</v>
      </c>
      <c r="B968" s="2759">
        <v>10</v>
      </c>
      <c r="C968" s="5" t="s">
        <v>8957</v>
      </c>
      <c r="D968" s="2712" t="s">
        <v>9983</v>
      </c>
      <c r="E968" s="7" t="s">
        <v>8622</v>
      </c>
      <c r="F968" s="2679">
        <v>1</v>
      </c>
      <c r="G968" s="5">
        <v>1</v>
      </c>
      <c r="H968" s="5"/>
      <c r="I968" s="5"/>
      <c r="J968" s="5"/>
      <c r="K968" s="5"/>
      <c r="L968" s="817"/>
      <c r="M968" s="817"/>
      <c r="N968" s="817"/>
      <c r="O968" s="817"/>
      <c r="P968" s="2486">
        <v>43939</v>
      </c>
      <c r="Q968" s="2486"/>
      <c r="R968" s="824" t="s">
        <v>8958</v>
      </c>
      <c r="S968" s="2770"/>
      <c r="T968" s="6" t="s">
        <v>15</v>
      </c>
      <c r="U968" s="2694">
        <v>0.41111111111111115</v>
      </c>
      <c r="V968" s="2694" t="s">
        <v>972</v>
      </c>
      <c r="W968" s="1956">
        <v>100</v>
      </c>
      <c r="X968" s="836" t="s">
        <v>8625</v>
      </c>
      <c r="Y968" s="2772" t="s">
        <v>22</v>
      </c>
      <c r="Z968" s="817"/>
      <c r="AA968" s="817"/>
      <c r="AB968" s="7" t="s">
        <v>17</v>
      </c>
      <c r="AC968" s="817" t="s">
        <v>7451</v>
      </c>
      <c r="AD968" s="2700"/>
      <c r="AG968" s="2711"/>
    </row>
    <row r="969" spans="1:33" ht="43.5" hidden="1" x14ac:dyDescent="0.35">
      <c r="A969" s="2486">
        <v>43928</v>
      </c>
      <c r="B969" s="2718">
        <v>11</v>
      </c>
      <c r="C969" s="7" t="s">
        <v>8464</v>
      </c>
      <c r="D969" s="2712" t="s">
        <v>10208</v>
      </c>
      <c r="E969" s="7" t="s">
        <v>8149</v>
      </c>
      <c r="F969" s="2679">
        <v>1</v>
      </c>
      <c r="G969" s="5">
        <v>1</v>
      </c>
      <c r="H969" s="5"/>
      <c r="I969" s="5"/>
      <c r="J969" s="5"/>
      <c r="K969" s="5"/>
      <c r="L969" s="817"/>
      <c r="M969" s="817"/>
      <c r="N969" s="817"/>
      <c r="O969" s="817"/>
      <c r="P969" s="2486">
        <v>43939</v>
      </c>
      <c r="Q969" s="2486"/>
      <c r="R969" s="824" t="s">
        <v>8465</v>
      </c>
      <c r="S969" s="2770"/>
      <c r="T969" s="6" t="s">
        <v>15</v>
      </c>
      <c r="U969" s="2694">
        <v>0.4201388888888889</v>
      </c>
      <c r="V969" s="2694" t="s">
        <v>972</v>
      </c>
      <c r="W969" s="1956">
        <v>100</v>
      </c>
      <c r="X969" s="836" t="s">
        <v>257</v>
      </c>
      <c r="Y969" s="2772" t="s">
        <v>22</v>
      </c>
      <c r="Z969" s="817"/>
      <c r="AA969" s="817"/>
      <c r="AB969" s="7" t="s">
        <v>17</v>
      </c>
      <c r="AC969" s="817" t="s">
        <v>7451</v>
      </c>
      <c r="AD969" s="2699"/>
      <c r="AG969" s="2711"/>
    </row>
    <row r="970" spans="1:33" ht="29" hidden="1" x14ac:dyDescent="0.35">
      <c r="A970" s="2486">
        <v>43931</v>
      </c>
      <c r="B970" s="2718">
        <v>12</v>
      </c>
      <c r="C970" s="5" t="s">
        <v>9425</v>
      </c>
      <c r="D970" s="2700" t="s">
        <v>9424</v>
      </c>
      <c r="E970" s="5" t="s">
        <v>8553</v>
      </c>
      <c r="F970" s="5">
        <v>1</v>
      </c>
      <c r="G970" s="5">
        <v>1</v>
      </c>
      <c r="H970" s="5"/>
      <c r="I970" s="5"/>
      <c r="J970" s="5"/>
      <c r="K970" s="5"/>
      <c r="L970" s="817"/>
      <c r="M970" s="817"/>
      <c r="N970" s="817"/>
      <c r="O970" s="817"/>
      <c r="P970" s="2486">
        <v>43939</v>
      </c>
      <c r="Q970" s="2486"/>
      <c r="R970" s="2829" t="s">
        <v>9426</v>
      </c>
      <c r="S970" s="2770"/>
      <c r="T970" s="881" t="s">
        <v>15</v>
      </c>
      <c r="U970" s="2694">
        <v>0.42777777777777781</v>
      </c>
      <c r="V970" s="2694" t="s">
        <v>972</v>
      </c>
      <c r="W970" s="2681">
        <v>100</v>
      </c>
      <c r="X970" s="817" t="s">
        <v>2900</v>
      </c>
      <c r="Y970" s="2772" t="s">
        <v>22</v>
      </c>
      <c r="Z970" s="817"/>
      <c r="AA970" s="817"/>
      <c r="AB970" s="817" t="s">
        <v>17</v>
      </c>
      <c r="AC970" s="817" t="s">
        <v>7451</v>
      </c>
      <c r="AD970" s="2700" t="s">
        <v>9424</v>
      </c>
      <c r="AG970" s="2711"/>
    </row>
    <row r="971" spans="1:33" ht="58" hidden="1" x14ac:dyDescent="0.35">
      <c r="A971" s="2769">
        <v>43926</v>
      </c>
      <c r="B971" s="2760">
        <v>13</v>
      </c>
      <c r="C971" s="2828" t="s">
        <v>8137</v>
      </c>
      <c r="D971" s="2712" t="s">
        <v>10063</v>
      </c>
      <c r="E971" s="817" t="s">
        <v>8136</v>
      </c>
      <c r="F971" s="817">
        <v>2</v>
      </c>
      <c r="G971" s="817">
        <v>2</v>
      </c>
      <c r="H971" s="817"/>
      <c r="I971" s="817"/>
      <c r="J971" s="817"/>
      <c r="K971" s="817"/>
      <c r="L971" s="817"/>
      <c r="M971" s="817"/>
      <c r="N971" s="817"/>
      <c r="O971" s="817"/>
      <c r="P971" s="2769">
        <v>43939</v>
      </c>
      <c r="Q971" s="2769"/>
      <c r="R971" s="817" t="s">
        <v>8135</v>
      </c>
      <c r="S971" s="817"/>
      <c r="T971" s="2694" t="s">
        <v>15</v>
      </c>
      <c r="U971" s="2694">
        <v>0.4368055555555555</v>
      </c>
      <c r="V971" s="2694" t="s">
        <v>3213</v>
      </c>
      <c r="W971" s="1956">
        <v>200</v>
      </c>
      <c r="X971" s="817" t="s">
        <v>7424</v>
      </c>
      <c r="Y971" s="2772" t="s">
        <v>22</v>
      </c>
      <c r="Z971" s="817"/>
      <c r="AA971" s="817"/>
      <c r="AB971" s="817" t="s">
        <v>17</v>
      </c>
      <c r="AC971" s="817" t="s">
        <v>7451</v>
      </c>
      <c r="AD971" s="2699"/>
      <c r="AG971" s="2711"/>
    </row>
    <row r="972" spans="1:33" ht="87" hidden="1" x14ac:dyDescent="0.35">
      <c r="A972" s="2486">
        <v>43929</v>
      </c>
      <c r="B972" s="2718">
        <v>14</v>
      </c>
      <c r="C972" s="7" t="s">
        <v>8699</v>
      </c>
      <c r="D972" s="2712" t="s">
        <v>10118</v>
      </c>
      <c r="E972" s="817" t="s">
        <v>8697</v>
      </c>
      <c r="F972" s="2682"/>
      <c r="G972" s="2682"/>
      <c r="H972" s="2682"/>
      <c r="I972" s="2682"/>
      <c r="J972" s="2682">
        <v>1</v>
      </c>
      <c r="K972" s="2682">
        <v>1</v>
      </c>
      <c r="L972" s="817"/>
      <c r="M972" s="817"/>
      <c r="N972" s="817"/>
      <c r="O972" s="817"/>
      <c r="P972" s="2486">
        <v>43939</v>
      </c>
      <c r="Q972" s="2486"/>
      <c r="R972" s="824" t="s">
        <v>8698</v>
      </c>
      <c r="S972" s="2829"/>
      <c r="T972" s="6" t="s">
        <v>15</v>
      </c>
      <c r="U972" s="2694">
        <v>0.44722222222222219</v>
      </c>
      <c r="V972" s="2694" t="s">
        <v>972</v>
      </c>
      <c r="W972" s="2681">
        <v>100</v>
      </c>
      <c r="X972" s="817" t="s">
        <v>257</v>
      </c>
      <c r="Y972" s="2772" t="s">
        <v>22</v>
      </c>
      <c r="Z972" s="817"/>
      <c r="AA972" s="817"/>
      <c r="AB972" s="817" t="s">
        <v>17</v>
      </c>
      <c r="AC972" s="817" t="s">
        <v>7451</v>
      </c>
      <c r="AD972" s="2695"/>
      <c r="AG972" s="2711"/>
    </row>
    <row r="973" spans="1:33" ht="43.5" hidden="1" x14ac:dyDescent="0.35">
      <c r="A973" s="2486">
        <v>43929</v>
      </c>
      <c r="B973" s="2718">
        <v>15</v>
      </c>
      <c r="C973" s="5" t="s">
        <v>8724</v>
      </c>
      <c r="D973" s="2712" t="s">
        <v>10037</v>
      </c>
      <c r="E973" s="7" t="s">
        <v>8622</v>
      </c>
      <c r="F973" s="2686">
        <v>1</v>
      </c>
      <c r="G973" s="2682">
        <v>1</v>
      </c>
      <c r="H973" s="2682"/>
      <c r="I973" s="2682"/>
      <c r="J973" s="2682"/>
      <c r="K973" s="2682"/>
      <c r="L973" s="817"/>
      <c r="M973" s="817"/>
      <c r="N973" s="817"/>
      <c r="O973" s="817"/>
      <c r="P973" s="2486">
        <v>43939</v>
      </c>
      <c r="Q973" s="2486"/>
      <c r="R973" s="824" t="s">
        <v>8725</v>
      </c>
      <c r="S973" s="2829"/>
      <c r="T973" s="6" t="s">
        <v>15</v>
      </c>
      <c r="U973" s="2694">
        <v>0.45555555555555555</v>
      </c>
      <c r="V973" s="2694" t="s">
        <v>972</v>
      </c>
      <c r="W973" s="1956">
        <v>100</v>
      </c>
      <c r="X973" s="836" t="s">
        <v>257</v>
      </c>
      <c r="Y973" s="2772" t="s">
        <v>22</v>
      </c>
      <c r="Z973" s="817"/>
      <c r="AA973" s="817"/>
      <c r="AB973" s="7" t="s">
        <v>17</v>
      </c>
      <c r="AC973" s="817" t="s">
        <v>7451</v>
      </c>
      <c r="AD973" s="2700"/>
      <c r="AG973" s="2711"/>
    </row>
    <row r="974" spans="1:33" ht="29" hidden="1" x14ac:dyDescent="0.35">
      <c r="A974" s="2828">
        <v>43928</v>
      </c>
      <c r="B974" s="2760">
        <v>16</v>
      </c>
      <c r="C974" s="817" t="s">
        <v>8537</v>
      </c>
      <c r="D974" s="2712" t="s">
        <v>9709</v>
      </c>
      <c r="E974" s="817" t="s">
        <v>7935</v>
      </c>
      <c r="F974" s="2678">
        <v>1</v>
      </c>
      <c r="G974" s="2669">
        <v>1</v>
      </c>
      <c r="H974" s="2669"/>
      <c r="I974" s="2669"/>
      <c r="J974" s="2669"/>
      <c r="K974" s="2669"/>
      <c r="L974" s="817"/>
      <c r="M974" s="817"/>
      <c r="N974" s="817"/>
      <c r="O974" s="817"/>
      <c r="P974" s="2828">
        <v>43939</v>
      </c>
      <c r="Q974" s="2828"/>
      <c r="R974" s="2829" t="s">
        <v>8538</v>
      </c>
      <c r="S974" s="2829" t="s">
        <v>8272</v>
      </c>
      <c r="T974" s="2694" t="s">
        <v>15</v>
      </c>
      <c r="U974" s="2694">
        <v>0.46319444444444446</v>
      </c>
      <c r="V974" s="2694" t="s">
        <v>3213</v>
      </c>
      <c r="W974" s="1956">
        <v>100</v>
      </c>
      <c r="X974" s="817" t="s">
        <v>257</v>
      </c>
      <c r="Y974" s="2772" t="s">
        <v>22</v>
      </c>
      <c r="Z974" s="2663"/>
      <c r="AA974" s="2663"/>
      <c r="AB974" s="817" t="s">
        <v>974</v>
      </c>
      <c r="AC974" s="817" t="s">
        <v>7451</v>
      </c>
      <c r="AD974" s="2699"/>
      <c r="AG974" s="2711"/>
    </row>
    <row r="975" spans="1:33" ht="29" hidden="1" x14ac:dyDescent="0.35">
      <c r="A975" s="2828">
        <v>43936</v>
      </c>
      <c r="B975" s="2760">
        <v>17</v>
      </c>
      <c r="C975" s="817" t="s">
        <v>8176</v>
      </c>
      <c r="D975" s="2712" t="s">
        <v>10214</v>
      </c>
      <c r="E975" s="817" t="s">
        <v>10720</v>
      </c>
      <c r="F975" s="5">
        <v>2</v>
      </c>
      <c r="G975" s="5">
        <v>3</v>
      </c>
      <c r="H975" s="5"/>
      <c r="I975" s="5"/>
      <c r="J975" s="5"/>
      <c r="K975" s="5"/>
      <c r="L975" s="817"/>
      <c r="M975" s="817"/>
      <c r="N975" s="817"/>
      <c r="O975" s="817"/>
      <c r="P975" s="2828">
        <v>43939</v>
      </c>
      <c r="Q975" s="2828"/>
      <c r="R975" s="2829" t="s">
        <v>8277</v>
      </c>
      <c r="S975" s="2770"/>
      <c r="T975" s="2694" t="s">
        <v>15</v>
      </c>
      <c r="U975" s="2694">
        <v>0.47430555555555554</v>
      </c>
      <c r="V975" s="2694" t="s">
        <v>8278</v>
      </c>
      <c r="W975" s="1956">
        <v>250</v>
      </c>
      <c r="X975" s="817" t="s">
        <v>257</v>
      </c>
      <c r="Y975" s="2772" t="s">
        <v>22</v>
      </c>
      <c r="Z975" s="817"/>
      <c r="AA975" s="817"/>
      <c r="AB975" s="817" t="s">
        <v>17</v>
      </c>
      <c r="AC975" s="817" t="s">
        <v>7451</v>
      </c>
      <c r="AD975" s="2696" t="s">
        <v>8773</v>
      </c>
      <c r="AG975" s="2711"/>
    </row>
    <row r="976" spans="1:33" ht="43.5" hidden="1" x14ac:dyDescent="0.35">
      <c r="A976" s="2486">
        <v>43930</v>
      </c>
      <c r="B976" s="2718">
        <v>18</v>
      </c>
      <c r="C976" s="5" t="s">
        <v>8817</v>
      </c>
      <c r="D976" s="2712" t="s">
        <v>10115</v>
      </c>
      <c r="E976" s="7" t="s">
        <v>8526</v>
      </c>
      <c r="F976" s="2686">
        <v>2</v>
      </c>
      <c r="G976" s="2682">
        <v>2</v>
      </c>
      <c r="H976" s="2682"/>
      <c r="I976" s="2682"/>
      <c r="J976" s="2682"/>
      <c r="K976" s="2682"/>
      <c r="L976" s="817"/>
      <c r="M976" s="817"/>
      <c r="N976" s="817"/>
      <c r="O976" s="817"/>
      <c r="P976" s="2486">
        <v>43939</v>
      </c>
      <c r="Q976" s="2486"/>
      <c r="R976" s="824" t="s">
        <v>8818</v>
      </c>
      <c r="S976" s="2770"/>
      <c r="T976" s="6" t="s">
        <v>15</v>
      </c>
      <c r="U976" s="2694">
        <v>0.48472222222222222</v>
      </c>
      <c r="V976" s="2694" t="s">
        <v>972</v>
      </c>
      <c r="W976" s="1956">
        <v>200</v>
      </c>
      <c r="X976" s="836" t="s">
        <v>8625</v>
      </c>
      <c r="Y976" s="2772" t="s">
        <v>22</v>
      </c>
      <c r="Z976" s="817"/>
      <c r="AA976" s="817"/>
      <c r="AB976" s="7" t="s">
        <v>17</v>
      </c>
      <c r="AC976" s="817" t="s">
        <v>7451</v>
      </c>
      <c r="AD976" s="2700"/>
      <c r="AG976" s="2711"/>
    </row>
    <row r="977" spans="1:33" ht="58" hidden="1" x14ac:dyDescent="0.35">
      <c r="A977" s="1899">
        <v>43930</v>
      </c>
      <c r="B977" s="2759">
        <v>19</v>
      </c>
      <c r="C977" s="5" t="s">
        <v>8955</v>
      </c>
      <c r="D977" s="2712" t="s">
        <v>9984</v>
      </c>
      <c r="E977" s="7" t="s">
        <v>8622</v>
      </c>
      <c r="F977" s="2679">
        <v>1</v>
      </c>
      <c r="G977" s="5">
        <v>1</v>
      </c>
      <c r="H977" s="5"/>
      <c r="I977" s="5"/>
      <c r="J977" s="5"/>
      <c r="K977" s="5"/>
      <c r="L977" s="817"/>
      <c r="M977" s="817"/>
      <c r="N977" s="817"/>
      <c r="O977" s="817"/>
      <c r="P977" s="2486">
        <v>43939</v>
      </c>
      <c r="Q977" s="2486"/>
      <c r="R977" s="824" t="s">
        <v>8956</v>
      </c>
      <c r="S977" s="2770"/>
      <c r="T977" s="6" t="s">
        <v>15</v>
      </c>
      <c r="U977" s="2694">
        <v>0.4916666666666667</v>
      </c>
      <c r="V977" s="2694" t="s">
        <v>972</v>
      </c>
      <c r="W977" s="1956">
        <v>100</v>
      </c>
      <c r="X977" s="836" t="s">
        <v>8625</v>
      </c>
      <c r="Y977" s="2772" t="s">
        <v>22</v>
      </c>
      <c r="Z977" s="817"/>
      <c r="AA977" s="817"/>
      <c r="AB977" s="7" t="s">
        <v>17</v>
      </c>
      <c r="AC977" s="817" t="s">
        <v>7451</v>
      </c>
      <c r="AD977" s="2700"/>
      <c r="AG977" s="2711"/>
    </row>
    <row r="978" spans="1:33" ht="43.5" hidden="1" x14ac:dyDescent="0.35">
      <c r="A978" s="1899">
        <v>43934</v>
      </c>
      <c r="B978" s="2759">
        <v>20</v>
      </c>
      <c r="C978" s="7" t="s">
        <v>10475</v>
      </c>
      <c r="D978" s="2700" t="s">
        <v>10476</v>
      </c>
      <c r="E978" s="7" t="s">
        <v>8553</v>
      </c>
      <c r="F978" s="7">
        <v>1</v>
      </c>
      <c r="G978" s="7">
        <v>1</v>
      </c>
      <c r="H978" s="7"/>
      <c r="I978" s="7"/>
      <c r="J978" s="7"/>
      <c r="K978" s="7"/>
      <c r="L978" s="817"/>
      <c r="M978" s="817"/>
      <c r="N978" s="817"/>
      <c r="O978" s="817"/>
      <c r="P978" s="1899">
        <v>43939</v>
      </c>
      <c r="Q978" s="2769"/>
      <c r="R978" s="2708" t="s">
        <v>10479</v>
      </c>
      <c r="S978" s="2829"/>
      <c r="T978" s="836" t="s">
        <v>15</v>
      </c>
      <c r="U978" s="2694">
        <v>0.5</v>
      </c>
      <c r="V978" s="836" t="s">
        <v>972</v>
      </c>
      <c r="W978" s="1630">
        <v>100</v>
      </c>
      <c r="X978" s="7" t="s">
        <v>3173</v>
      </c>
      <c r="Y978" s="2772" t="s">
        <v>22</v>
      </c>
      <c r="Z978" s="7"/>
      <c r="AA978" s="7"/>
      <c r="AB978" s="7" t="s">
        <v>17</v>
      </c>
      <c r="AC978" s="7" t="s">
        <v>7451</v>
      </c>
      <c r="AD978" s="2696"/>
      <c r="AG978" s="2711"/>
    </row>
    <row r="979" spans="1:33" ht="29" hidden="1" x14ac:dyDescent="0.35">
      <c r="A979" s="2828">
        <v>43927</v>
      </c>
      <c r="B979" s="2760">
        <v>21</v>
      </c>
      <c r="C979" s="817" t="s">
        <v>8222</v>
      </c>
      <c r="D979" s="2712" t="s">
        <v>10110</v>
      </c>
      <c r="E979" s="817" t="s">
        <v>8073</v>
      </c>
      <c r="F979" s="5"/>
      <c r="G979" s="5">
        <v>1</v>
      </c>
      <c r="H979" s="5"/>
      <c r="I979" s="5">
        <v>1</v>
      </c>
      <c r="J979" s="5"/>
      <c r="K979" s="5"/>
      <c r="L979" s="817"/>
      <c r="M979" s="817"/>
      <c r="N979" s="817"/>
      <c r="O979" s="817"/>
      <c r="P979" s="2828">
        <v>43939</v>
      </c>
      <c r="Q979" s="2828"/>
      <c r="R979" s="2829" t="s">
        <v>8320</v>
      </c>
      <c r="S979" s="2770" t="s">
        <v>8272</v>
      </c>
      <c r="T979" s="2694" t="s">
        <v>15</v>
      </c>
      <c r="U979" s="2694">
        <v>0.50763888888888886</v>
      </c>
      <c r="V979" s="2694">
        <v>0.41666666666666669</v>
      </c>
      <c r="W979" s="1956">
        <v>100</v>
      </c>
      <c r="X979" s="817" t="s">
        <v>257</v>
      </c>
      <c r="Y979" s="2772" t="s">
        <v>22</v>
      </c>
      <c r="Z979" s="817"/>
      <c r="AA979" s="817"/>
      <c r="AB979" s="817" t="s">
        <v>17</v>
      </c>
      <c r="AC979" s="817" t="s">
        <v>7451</v>
      </c>
      <c r="AD979" s="2699"/>
      <c r="AG979" s="2711"/>
    </row>
    <row r="980" spans="1:33" ht="58" hidden="1" x14ac:dyDescent="0.35">
      <c r="A980" s="2828">
        <v>43929</v>
      </c>
      <c r="B980" s="2760">
        <v>22</v>
      </c>
      <c r="C980" s="817" t="s">
        <v>8623</v>
      </c>
      <c r="D980" s="2712" t="s">
        <v>9943</v>
      </c>
      <c r="E980" s="7" t="s">
        <v>8622</v>
      </c>
      <c r="F980" s="2682">
        <v>1</v>
      </c>
      <c r="G980" s="2682">
        <v>1</v>
      </c>
      <c r="H980" s="2682"/>
      <c r="I980" s="2682"/>
      <c r="J980" s="2682"/>
      <c r="K980" s="2682"/>
      <c r="L980" s="817"/>
      <c r="M980" s="817"/>
      <c r="N980" s="817"/>
      <c r="O980" s="817"/>
      <c r="P980" s="2828">
        <v>43939</v>
      </c>
      <c r="Q980" s="2828"/>
      <c r="R980" s="2829" t="s">
        <v>8624</v>
      </c>
      <c r="S980" s="2770"/>
      <c r="T980" s="6" t="s">
        <v>15</v>
      </c>
      <c r="U980" s="2694">
        <v>0.51736111111111105</v>
      </c>
      <c r="V980" s="2694" t="s">
        <v>972</v>
      </c>
      <c r="W980" s="1956">
        <v>100</v>
      </c>
      <c r="X980" s="836" t="s">
        <v>8625</v>
      </c>
      <c r="Y980" s="2772" t="s">
        <v>22</v>
      </c>
      <c r="Z980" s="817"/>
      <c r="AA980" s="817"/>
      <c r="AB980" s="7" t="s">
        <v>17</v>
      </c>
      <c r="AC980" s="817" t="s">
        <v>7451</v>
      </c>
      <c r="AD980" s="2700"/>
      <c r="AG980" s="2711"/>
    </row>
    <row r="981" spans="1:33" ht="29" hidden="1" x14ac:dyDescent="0.35">
      <c r="A981" s="2769">
        <v>43929</v>
      </c>
      <c r="B981" s="2760">
        <v>23</v>
      </c>
      <c r="C981" s="817" t="s">
        <v>8679</v>
      </c>
      <c r="D981" s="2712" t="s">
        <v>9987</v>
      </c>
      <c r="E981" s="7" t="s">
        <v>8622</v>
      </c>
      <c r="F981" s="5">
        <v>1</v>
      </c>
      <c r="G981" s="5">
        <v>1</v>
      </c>
      <c r="H981" s="5"/>
      <c r="I981" s="5"/>
      <c r="J981" s="5"/>
      <c r="K981" s="5"/>
      <c r="L981" s="817"/>
      <c r="M981" s="817"/>
      <c r="N981" s="817"/>
      <c r="O981" s="817"/>
      <c r="P981" s="2769">
        <v>43939</v>
      </c>
      <c r="Q981" s="2769"/>
      <c r="R981" s="2770" t="s">
        <v>8680</v>
      </c>
      <c r="S981" s="2770"/>
      <c r="T981" s="2694" t="s">
        <v>15</v>
      </c>
      <c r="U981" s="2694">
        <v>0.52708333333333335</v>
      </c>
      <c r="V981" s="2694" t="s">
        <v>972</v>
      </c>
      <c r="W981" s="1956">
        <v>100</v>
      </c>
      <c r="X981" s="836" t="s">
        <v>8625</v>
      </c>
      <c r="Y981" s="2772" t="s">
        <v>22</v>
      </c>
      <c r="Z981" s="817"/>
      <c r="AA981" s="817"/>
      <c r="AB981" s="7" t="s">
        <v>17</v>
      </c>
      <c r="AC981" s="817" t="s">
        <v>7451</v>
      </c>
      <c r="AD981" s="2700"/>
      <c r="AG981" s="2711"/>
    </row>
    <row r="982" spans="1:33" ht="58" hidden="1" x14ac:dyDescent="0.35">
      <c r="A982" s="2486">
        <v>43923</v>
      </c>
      <c r="B982" s="2718">
        <v>24</v>
      </c>
      <c r="C982" s="5" t="s">
        <v>7785</v>
      </c>
      <c r="D982" s="2712" t="s">
        <v>10128</v>
      </c>
      <c r="E982" s="5" t="s">
        <v>7786</v>
      </c>
      <c r="F982" s="5">
        <v>2</v>
      </c>
      <c r="G982" s="5">
        <v>2</v>
      </c>
      <c r="H982" s="5"/>
      <c r="I982" s="5"/>
      <c r="J982" s="5"/>
      <c r="K982" s="5"/>
      <c r="L982" s="5"/>
      <c r="M982" s="5"/>
      <c r="N982" s="5"/>
      <c r="O982" s="5"/>
      <c r="P982" s="2486">
        <v>43939</v>
      </c>
      <c r="Q982" s="2486"/>
      <c r="R982" s="824" t="s">
        <v>7787</v>
      </c>
      <c r="S982" s="824"/>
      <c r="T982" s="6" t="s">
        <v>15</v>
      </c>
      <c r="U982" s="2694">
        <v>0.53819444444444442</v>
      </c>
      <c r="V982" s="2694" t="s">
        <v>3213</v>
      </c>
      <c r="W982" s="1956">
        <v>200</v>
      </c>
      <c r="X982" s="2694" t="s">
        <v>257</v>
      </c>
      <c r="Y982" s="2772" t="s">
        <v>22</v>
      </c>
      <c r="Z982" s="2694"/>
      <c r="AA982" s="2694"/>
      <c r="AB982" s="817" t="s">
        <v>17</v>
      </c>
      <c r="AC982" s="817" t="s">
        <v>7451</v>
      </c>
      <c r="AD982" s="2699"/>
      <c r="AG982" s="2662"/>
    </row>
    <row r="983" spans="1:33" ht="72.5" hidden="1" x14ac:dyDescent="0.35">
      <c r="A983" s="1899">
        <v>43917</v>
      </c>
      <c r="B983" s="2759">
        <v>25</v>
      </c>
      <c r="C983" s="7" t="s">
        <v>7483</v>
      </c>
      <c r="D983" s="2712" t="s">
        <v>10160</v>
      </c>
      <c r="E983" s="7" t="s">
        <v>7473</v>
      </c>
      <c r="F983" s="7">
        <v>1</v>
      </c>
      <c r="G983" s="7">
        <v>1</v>
      </c>
      <c r="H983" s="7"/>
      <c r="I983" s="7"/>
      <c r="J983" s="7"/>
      <c r="K983" s="7"/>
      <c r="L983" s="7"/>
      <c r="M983" s="7"/>
      <c r="N983" s="7"/>
      <c r="O983" s="7"/>
      <c r="P983" s="1899">
        <v>43939</v>
      </c>
      <c r="Q983" s="1899"/>
      <c r="R983" s="881" t="s">
        <v>7474</v>
      </c>
      <c r="S983" s="881"/>
      <c r="T983" s="836" t="s">
        <v>15</v>
      </c>
      <c r="U983" s="2694">
        <v>0.55138888888888882</v>
      </c>
      <c r="V983" s="836" t="s">
        <v>972</v>
      </c>
      <c r="W983" s="1630">
        <v>100</v>
      </c>
      <c r="X983" s="7" t="s">
        <v>257</v>
      </c>
      <c r="Y983" s="2772" t="s">
        <v>22</v>
      </c>
      <c r="Z983" s="7"/>
      <c r="AA983" s="7"/>
      <c r="AB983" s="7" t="s">
        <v>17</v>
      </c>
      <c r="AC983" s="7" t="s">
        <v>7451</v>
      </c>
      <c r="AD983" s="2699"/>
      <c r="AG983" s="2711"/>
    </row>
    <row r="984" spans="1:33" ht="58" hidden="1" x14ac:dyDescent="0.35">
      <c r="A984" s="1899">
        <v>43934</v>
      </c>
      <c r="B984" s="2759">
        <v>4</v>
      </c>
      <c r="C984" s="7" t="s">
        <v>10422</v>
      </c>
      <c r="D984" s="2707" t="s">
        <v>10423</v>
      </c>
      <c r="E984" s="7" t="s">
        <v>10429</v>
      </c>
      <c r="F984" s="7">
        <v>1</v>
      </c>
      <c r="G984" s="7"/>
      <c r="H984" s="7"/>
      <c r="I984" s="7"/>
      <c r="J984" s="7"/>
      <c r="K984" s="7"/>
      <c r="L984" s="817"/>
      <c r="M984" s="817"/>
      <c r="N984" s="817"/>
      <c r="O984" s="817" t="s">
        <v>8148</v>
      </c>
      <c r="P984" s="1899">
        <v>43939</v>
      </c>
      <c r="Q984" s="2828"/>
      <c r="R984" s="2708" t="s">
        <v>10430</v>
      </c>
      <c r="S984" s="2770"/>
      <c r="T984" s="6" t="s">
        <v>15</v>
      </c>
      <c r="U984" s="6">
        <v>0.64583333333333337</v>
      </c>
      <c r="V984" s="836" t="s">
        <v>972</v>
      </c>
      <c r="W984" s="1956">
        <v>165</v>
      </c>
      <c r="X984" s="817" t="s">
        <v>8625</v>
      </c>
      <c r="Y984" s="2772" t="s">
        <v>10831</v>
      </c>
      <c r="Z984" s="817"/>
      <c r="AA984" s="817"/>
      <c r="AB984" s="817" t="s">
        <v>17</v>
      </c>
      <c r="AC984" s="817" t="s">
        <v>7451</v>
      </c>
      <c r="AD984" s="2696"/>
      <c r="AG984" s="2711"/>
    </row>
    <row r="985" spans="1:33" ht="87" hidden="1" x14ac:dyDescent="0.35">
      <c r="A985" s="2828">
        <v>43924</v>
      </c>
      <c r="B985" s="2760">
        <v>1</v>
      </c>
      <c r="C985" s="817" t="s">
        <v>7859</v>
      </c>
      <c r="D985" s="2699"/>
      <c r="E985" s="7" t="s">
        <v>8971</v>
      </c>
      <c r="F985" s="817"/>
      <c r="G985" s="817"/>
      <c r="H985" s="817"/>
      <c r="I985" s="817"/>
      <c r="J985" s="817"/>
      <c r="K985" s="817"/>
      <c r="L985" s="817"/>
      <c r="M985" s="817"/>
      <c r="N985" s="817"/>
      <c r="O985" s="817"/>
      <c r="P985" s="2828">
        <v>43942</v>
      </c>
      <c r="Q985" s="2769"/>
      <c r="R985" s="2829" t="s">
        <v>7858</v>
      </c>
      <c r="S985" s="2770"/>
      <c r="T985" s="2694" t="s">
        <v>15</v>
      </c>
      <c r="U985" s="2694" t="s">
        <v>972</v>
      </c>
      <c r="V985" s="2694" t="s">
        <v>972</v>
      </c>
      <c r="W985" s="1809">
        <v>0</v>
      </c>
      <c r="X985" s="817" t="s">
        <v>8904</v>
      </c>
      <c r="Y985" s="2772" t="s">
        <v>15</v>
      </c>
      <c r="Z985" s="817"/>
      <c r="AA985" s="817"/>
      <c r="AB985" s="817" t="s">
        <v>17</v>
      </c>
      <c r="AC985" s="817" t="s">
        <v>6041</v>
      </c>
      <c r="AD985" s="2699"/>
      <c r="AG985" s="2711"/>
    </row>
    <row r="986" spans="1:33" ht="58" hidden="1" x14ac:dyDescent="0.35">
      <c r="A986" s="1899">
        <v>43932</v>
      </c>
      <c r="B986" s="2759">
        <v>3</v>
      </c>
      <c r="C986" s="7" t="s">
        <v>9546</v>
      </c>
      <c r="D986" s="2707" t="s">
        <v>9547</v>
      </c>
      <c r="E986" s="7" t="s">
        <v>9548</v>
      </c>
      <c r="F986" s="5"/>
      <c r="G986" s="5"/>
      <c r="H986" s="5"/>
      <c r="I986" s="5"/>
      <c r="J986" s="5"/>
      <c r="K986" s="5"/>
      <c r="L986" s="817"/>
      <c r="M986" s="817"/>
      <c r="N986" s="817"/>
      <c r="O986" s="817"/>
      <c r="P986" s="1899">
        <v>43942</v>
      </c>
      <c r="Q986" s="2769"/>
      <c r="R986" s="2708" t="s">
        <v>9545</v>
      </c>
      <c r="S986" s="2770"/>
      <c r="T986" s="836" t="s">
        <v>15</v>
      </c>
      <c r="U986" s="836">
        <v>0.45833333333333331</v>
      </c>
      <c r="V986" s="836">
        <v>0.45833333333333331</v>
      </c>
      <c r="W986" s="2681">
        <v>120</v>
      </c>
      <c r="X986" s="817" t="s">
        <v>10896</v>
      </c>
      <c r="Y986" s="2772" t="s">
        <v>15</v>
      </c>
      <c r="Z986" s="817"/>
      <c r="AA986" s="817"/>
      <c r="AB986" s="817" t="s">
        <v>17</v>
      </c>
      <c r="AC986" s="817" t="s">
        <v>7451</v>
      </c>
      <c r="AD986" s="2696"/>
      <c r="AG986" s="2711"/>
    </row>
    <row r="987" spans="1:33" ht="43.5" hidden="1" x14ac:dyDescent="0.35">
      <c r="A987" s="2486">
        <v>43938</v>
      </c>
      <c r="B987" s="2760">
        <v>4</v>
      </c>
      <c r="C987" s="2725" t="s">
        <v>10850</v>
      </c>
      <c r="D987" s="2700" t="s">
        <v>10848</v>
      </c>
      <c r="E987" s="5" t="s">
        <v>10851</v>
      </c>
      <c r="F987" s="2741"/>
      <c r="G987" s="2741"/>
      <c r="H987" s="2741"/>
      <c r="I987" s="2741"/>
      <c r="J987" s="2741"/>
      <c r="K987" s="5"/>
      <c r="L987" s="817"/>
      <c r="M987" s="817"/>
      <c r="N987" s="817"/>
      <c r="O987" s="817"/>
      <c r="P987" s="2486">
        <v>43942</v>
      </c>
      <c r="Q987" s="2769"/>
      <c r="R987" s="2722" t="s">
        <v>10849</v>
      </c>
      <c r="S987" s="2770"/>
      <c r="T987" s="6" t="s">
        <v>15</v>
      </c>
      <c r="U987" s="2694" t="s">
        <v>972</v>
      </c>
      <c r="V987" s="2771"/>
      <c r="W987" s="2742">
        <v>90</v>
      </c>
      <c r="X987" s="2694" t="s">
        <v>10846</v>
      </c>
      <c r="Y987" s="2772" t="s">
        <v>15</v>
      </c>
      <c r="Z987" s="2694"/>
      <c r="AA987" s="2694"/>
      <c r="AB987" s="2744"/>
      <c r="AC987" s="2744"/>
      <c r="AD987" s="2739"/>
      <c r="AG987" s="2711"/>
    </row>
    <row r="988" spans="1:33" ht="29" hidden="1" x14ac:dyDescent="0.35">
      <c r="A988" s="2769">
        <v>43943</v>
      </c>
      <c r="B988" s="2760"/>
      <c r="C988" s="817" t="s">
        <v>20</v>
      </c>
      <c r="D988" s="2700" t="s">
        <v>20</v>
      </c>
      <c r="E988" s="817" t="s">
        <v>10920</v>
      </c>
      <c r="F988" s="817"/>
      <c r="G988" s="817"/>
      <c r="H988" s="817"/>
      <c r="I988" s="817"/>
      <c r="J988" s="817"/>
      <c r="K988" s="817"/>
      <c r="L988" s="817"/>
      <c r="M988" s="817"/>
      <c r="N988" s="817"/>
      <c r="O988" s="817"/>
      <c r="P988" s="2769">
        <v>43943</v>
      </c>
      <c r="Q988" s="2769"/>
      <c r="R988" s="881" t="s">
        <v>20</v>
      </c>
      <c r="S988" s="2770"/>
      <c r="T988" s="2694" t="s">
        <v>15</v>
      </c>
      <c r="U988" s="2694" t="s">
        <v>20</v>
      </c>
      <c r="V988" s="2694"/>
      <c r="W988" s="1809">
        <v>0</v>
      </c>
      <c r="X988" s="817" t="s">
        <v>20</v>
      </c>
      <c r="Y988" s="2772" t="s">
        <v>15</v>
      </c>
      <c r="Z988" s="817"/>
      <c r="AA988" s="817"/>
      <c r="AB988" s="817" t="s">
        <v>6046</v>
      </c>
      <c r="AC988" s="817" t="s">
        <v>20</v>
      </c>
      <c r="AD988" s="2696"/>
      <c r="AG988" s="2711"/>
    </row>
    <row r="989" spans="1:33" ht="87" hidden="1" x14ac:dyDescent="0.35">
      <c r="A989" s="2828">
        <v>43942</v>
      </c>
      <c r="B989" s="2760">
        <v>1</v>
      </c>
      <c r="C989" s="817" t="s">
        <v>10897</v>
      </c>
      <c r="D989" s="2700" t="s">
        <v>10648</v>
      </c>
      <c r="E989" s="817" t="s">
        <v>10898</v>
      </c>
      <c r="F989" s="2744"/>
      <c r="G989" s="2744"/>
      <c r="H989" s="2744"/>
      <c r="I989" s="2744"/>
      <c r="J989" s="2744"/>
      <c r="K989" s="817"/>
      <c r="L989" s="817"/>
      <c r="M989" s="817"/>
      <c r="N989" s="817"/>
      <c r="O989" s="817"/>
      <c r="P989" s="2828">
        <v>43943</v>
      </c>
      <c r="Q989" s="2828"/>
      <c r="R989" s="2829" t="s">
        <v>115</v>
      </c>
      <c r="S989" s="2829"/>
      <c r="T989" s="2694">
        <v>0.41666666666666669</v>
      </c>
      <c r="U989" s="2771">
        <v>0.54166666666666663</v>
      </c>
      <c r="V989" s="2771"/>
      <c r="W989" s="1809">
        <v>70</v>
      </c>
      <c r="X989" s="817" t="s">
        <v>1493</v>
      </c>
      <c r="Y989" s="2772" t="s">
        <v>15</v>
      </c>
      <c r="Z989" s="817"/>
      <c r="AA989" s="817"/>
      <c r="AB989" s="817" t="s">
        <v>17</v>
      </c>
      <c r="AC989" s="817" t="s">
        <v>2084</v>
      </c>
      <c r="AD989" s="2739"/>
      <c r="AG989" s="2711"/>
    </row>
    <row r="990" spans="1:33" ht="72.5" hidden="1" x14ac:dyDescent="0.35">
      <c r="A990" s="1899">
        <v>43931</v>
      </c>
      <c r="B990" s="2759">
        <v>2</v>
      </c>
      <c r="C990" s="7" t="s">
        <v>9029</v>
      </c>
      <c r="D990" s="2696"/>
      <c r="E990" s="7" t="s">
        <v>5955</v>
      </c>
      <c r="F990" s="7"/>
      <c r="G990" s="7"/>
      <c r="H990" s="7"/>
      <c r="I990" s="7"/>
      <c r="J990" s="7"/>
      <c r="K990" s="7"/>
      <c r="L990" s="817"/>
      <c r="M990" s="817"/>
      <c r="N990" s="817"/>
      <c r="O990" s="817"/>
      <c r="P990" s="1899">
        <v>43943</v>
      </c>
      <c r="Q990" s="1899"/>
      <c r="R990" s="881" t="s">
        <v>9026</v>
      </c>
      <c r="S990" s="2829"/>
      <c r="T990" s="836">
        <v>0.41666666666666669</v>
      </c>
      <c r="U990" s="2694">
        <v>0.4375</v>
      </c>
      <c r="V990" s="2694" t="s">
        <v>9002</v>
      </c>
      <c r="W990" s="1809">
        <v>100</v>
      </c>
      <c r="X990" s="817" t="s">
        <v>9030</v>
      </c>
      <c r="Y990" s="2772" t="s">
        <v>140</v>
      </c>
      <c r="Z990" s="817"/>
      <c r="AA990" s="817"/>
      <c r="AB990" s="817" t="s">
        <v>17</v>
      </c>
      <c r="AC990" s="817" t="s">
        <v>7451</v>
      </c>
      <c r="AD990" s="2696"/>
      <c r="AG990" s="2711"/>
    </row>
    <row r="991" spans="1:33" ht="72.5" hidden="1" x14ac:dyDescent="0.35">
      <c r="A991" s="1899">
        <v>43942</v>
      </c>
      <c r="B991" s="2760">
        <v>3</v>
      </c>
      <c r="C991" s="817" t="s">
        <v>10888</v>
      </c>
      <c r="D991" s="2700" t="s">
        <v>9703</v>
      </c>
      <c r="E991" s="7" t="s">
        <v>10887</v>
      </c>
      <c r="F991" s="2741"/>
      <c r="G991" s="2741"/>
      <c r="H991" s="2741"/>
      <c r="I991" s="2741"/>
      <c r="J991" s="2741"/>
      <c r="K991" s="5"/>
      <c r="L991" s="817"/>
      <c r="M991" s="817"/>
      <c r="N991" s="817"/>
      <c r="O991" s="817"/>
      <c r="P991" s="1899">
        <v>43943</v>
      </c>
      <c r="Q991" s="2769"/>
      <c r="R991" s="2706" t="s">
        <v>10499</v>
      </c>
      <c r="S991" s="2770"/>
      <c r="T991" s="836">
        <v>0.41666666666666669</v>
      </c>
      <c r="U991" s="2694">
        <v>0.47222222222222227</v>
      </c>
      <c r="V991" s="2771"/>
      <c r="W991" s="2738">
        <v>0</v>
      </c>
      <c r="X991" s="817" t="s">
        <v>15</v>
      </c>
      <c r="Y991" s="2772" t="s">
        <v>140</v>
      </c>
      <c r="Z991" s="817"/>
      <c r="AA991" s="817"/>
      <c r="AB991" s="817" t="s">
        <v>17</v>
      </c>
      <c r="AC991" s="817" t="s">
        <v>7451</v>
      </c>
      <c r="AD991" s="2739"/>
      <c r="AG991" s="2711"/>
    </row>
    <row r="992" spans="1:33" ht="29" hidden="1" x14ac:dyDescent="0.35">
      <c r="A992" s="2769">
        <v>43942</v>
      </c>
      <c r="B992" s="2760">
        <v>4</v>
      </c>
      <c r="C992" s="817" t="s">
        <v>20</v>
      </c>
      <c r="D992" s="2700" t="s">
        <v>20</v>
      </c>
      <c r="E992" s="817" t="s">
        <v>10886</v>
      </c>
      <c r="F992" s="2744"/>
      <c r="G992" s="2744"/>
      <c r="H992" s="2744"/>
      <c r="I992" s="2744"/>
      <c r="J992" s="2744"/>
      <c r="K992" s="817"/>
      <c r="L992" s="817"/>
      <c r="M992" s="817"/>
      <c r="N992" s="817"/>
      <c r="O992" s="817"/>
      <c r="P992" s="2769">
        <v>43943</v>
      </c>
      <c r="Q992" s="2769"/>
      <c r="R992" s="2770" t="s">
        <v>20</v>
      </c>
      <c r="S992" s="2770"/>
      <c r="T992" s="2829" t="s">
        <v>20</v>
      </c>
      <c r="U992" s="2829" t="s">
        <v>20</v>
      </c>
      <c r="V992" s="2771"/>
      <c r="W992" s="2738">
        <v>0</v>
      </c>
      <c r="X992" s="2829" t="s">
        <v>20</v>
      </c>
      <c r="Y992" s="2829" t="s">
        <v>20</v>
      </c>
      <c r="Z992" s="817"/>
      <c r="AA992" s="817"/>
      <c r="AB992" s="817" t="s">
        <v>17</v>
      </c>
      <c r="AC992" s="817" t="s">
        <v>20</v>
      </c>
      <c r="AD992" s="2739"/>
      <c r="AG992" s="2711"/>
    </row>
    <row r="993" spans="1:33" ht="29" hidden="1" x14ac:dyDescent="0.35">
      <c r="A993" s="2486">
        <v>43934</v>
      </c>
      <c r="B993" s="2718">
        <v>5</v>
      </c>
      <c r="C993" s="5" t="s">
        <v>20</v>
      </c>
      <c r="D993" s="2700" t="s">
        <v>20</v>
      </c>
      <c r="E993" s="5" t="s">
        <v>10562</v>
      </c>
      <c r="F993" s="2679"/>
      <c r="G993" s="5"/>
      <c r="H993" s="5"/>
      <c r="I993" s="5"/>
      <c r="J993" s="5"/>
      <c r="K993" s="5"/>
      <c r="L993" s="817"/>
      <c r="M993" s="817"/>
      <c r="N993" s="817"/>
      <c r="O993" s="817"/>
      <c r="P993" s="2486">
        <v>43943</v>
      </c>
      <c r="Q993" s="2769"/>
      <c r="R993" s="824" t="s">
        <v>20</v>
      </c>
      <c r="S993" s="2770"/>
      <c r="T993" s="824" t="s">
        <v>20</v>
      </c>
      <c r="U993" s="824" t="s">
        <v>20</v>
      </c>
      <c r="V993" s="824" t="s">
        <v>20</v>
      </c>
      <c r="W993" s="1809">
        <v>0</v>
      </c>
      <c r="X993" s="824" t="s">
        <v>20</v>
      </c>
      <c r="Y993" s="2679" t="s">
        <v>20</v>
      </c>
      <c r="Z993" s="824"/>
      <c r="AA993" s="824"/>
      <c r="AB993" s="817" t="s">
        <v>17</v>
      </c>
      <c r="AC993" s="824" t="s">
        <v>20</v>
      </c>
      <c r="AD993" s="2696"/>
      <c r="AG993" s="2711"/>
    </row>
    <row r="994" spans="1:33" ht="29" hidden="1" x14ac:dyDescent="0.35">
      <c r="A994" s="2486">
        <v>43931</v>
      </c>
      <c r="B994" s="2718">
        <v>6</v>
      </c>
      <c r="C994" s="5" t="s">
        <v>20</v>
      </c>
      <c r="D994" s="2829"/>
      <c r="E994" s="5" t="s">
        <v>9339</v>
      </c>
      <c r="F994" s="5"/>
      <c r="G994" s="5"/>
      <c r="H994" s="5"/>
      <c r="I994" s="5"/>
      <c r="J994" s="5"/>
      <c r="K994" s="5"/>
      <c r="L994" s="817"/>
      <c r="M994" s="817"/>
      <c r="N994" s="817"/>
      <c r="O994" s="817"/>
      <c r="P994" s="2486">
        <v>43943</v>
      </c>
      <c r="Q994" s="2486"/>
      <c r="R994" s="2829" t="s">
        <v>20</v>
      </c>
      <c r="S994" s="2770"/>
      <c r="T994" s="2829" t="s">
        <v>20</v>
      </c>
      <c r="U994" s="2829" t="s">
        <v>20</v>
      </c>
      <c r="V994" s="2829" t="s">
        <v>20</v>
      </c>
      <c r="W994" s="2680">
        <v>0</v>
      </c>
      <c r="X994" s="2829" t="s">
        <v>20</v>
      </c>
      <c r="Y994" s="2772" t="s">
        <v>20</v>
      </c>
      <c r="Z994" s="2829"/>
      <c r="AA994" s="2829"/>
      <c r="AB994" s="2829" t="s">
        <v>17</v>
      </c>
      <c r="AC994" s="2829" t="s">
        <v>20</v>
      </c>
      <c r="AD994" s="2829"/>
      <c r="AG994" s="2711"/>
    </row>
    <row r="995" spans="1:33" ht="29" hidden="1" x14ac:dyDescent="0.35">
      <c r="A995" s="2769">
        <v>43942</v>
      </c>
      <c r="B995" s="2760">
        <v>1</v>
      </c>
      <c r="C995" s="817" t="s">
        <v>2262</v>
      </c>
      <c r="D995" s="2700" t="s">
        <v>10882</v>
      </c>
      <c r="E995" s="817" t="s">
        <v>10883</v>
      </c>
      <c r="F995" s="2744"/>
      <c r="G995" s="2744"/>
      <c r="H995" s="2744"/>
      <c r="I995" s="2744"/>
      <c r="J995" s="2744"/>
      <c r="K995" s="817"/>
      <c r="L995" s="817"/>
      <c r="M995" s="817"/>
      <c r="N995" s="817"/>
      <c r="O995" s="817"/>
      <c r="P995" s="2769">
        <v>43944</v>
      </c>
      <c r="Q995" s="2769"/>
      <c r="R995" s="2829" t="s">
        <v>10884</v>
      </c>
      <c r="S995" s="2770"/>
      <c r="T995" s="2694">
        <v>0.41666666666666669</v>
      </c>
      <c r="U995" s="2774">
        <v>0.42708333333333331</v>
      </c>
      <c r="V995" s="2771"/>
      <c r="W995" s="2738">
        <v>200</v>
      </c>
      <c r="X995" s="817" t="s">
        <v>257</v>
      </c>
      <c r="Y995" s="2772" t="s">
        <v>140</v>
      </c>
      <c r="Z995" s="817"/>
      <c r="AA995" s="817"/>
      <c r="AB995" s="817" t="s">
        <v>17</v>
      </c>
      <c r="AC995" s="817" t="s">
        <v>2084</v>
      </c>
      <c r="AD995" s="2739"/>
      <c r="AG995" s="2711"/>
    </row>
    <row r="996" spans="1:33" ht="87" hidden="1" x14ac:dyDescent="0.35">
      <c r="A996" s="1899">
        <v>43942</v>
      </c>
      <c r="B996" s="2759">
        <v>2</v>
      </c>
      <c r="C996" s="7" t="s">
        <v>2365</v>
      </c>
      <c r="D996" s="2707" t="s">
        <v>2233</v>
      </c>
      <c r="E996" s="7" t="s">
        <v>10900</v>
      </c>
      <c r="F996" s="2744"/>
      <c r="G996" s="2744"/>
      <c r="H996" s="2744"/>
      <c r="I996" s="2744"/>
      <c r="J996" s="2744"/>
      <c r="K996" s="817"/>
      <c r="L996" s="817"/>
      <c r="M996" s="817"/>
      <c r="N996" s="817"/>
      <c r="O996" s="817"/>
      <c r="P996" s="1899">
        <v>43944</v>
      </c>
      <c r="Q996" s="2769"/>
      <c r="R996" s="881" t="s">
        <v>10899</v>
      </c>
      <c r="S996" s="2770"/>
      <c r="T996" s="836">
        <v>0.41666666666666669</v>
      </c>
      <c r="U996" s="2774">
        <v>0.46180555555555558</v>
      </c>
      <c r="V996" s="2771"/>
      <c r="W996" s="2817">
        <f>0.9*(1.2*120+99)</f>
        <v>218.70000000000002</v>
      </c>
      <c r="X996" s="7" t="s">
        <v>10901</v>
      </c>
      <c r="Y996" s="2717" t="s">
        <v>140</v>
      </c>
      <c r="Z996" s="817"/>
      <c r="AA996" s="817"/>
      <c r="AB996" s="7" t="s">
        <v>17</v>
      </c>
      <c r="AC996" s="7" t="s">
        <v>6121</v>
      </c>
      <c r="AD996" s="2739"/>
      <c r="AG996" s="2711"/>
    </row>
    <row r="997" spans="1:33" ht="58" hidden="1" x14ac:dyDescent="0.35">
      <c r="A997" s="1899">
        <v>43942</v>
      </c>
      <c r="B997" s="2759">
        <v>3</v>
      </c>
      <c r="C997" s="7" t="s">
        <v>330</v>
      </c>
      <c r="D997" s="2707" t="s">
        <v>10902</v>
      </c>
      <c r="E997" s="7" t="s">
        <v>10937</v>
      </c>
      <c r="F997" s="2744"/>
      <c r="G997" s="2744"/>
      <c r="H997" s="2744"/>
      <c r="I997" s="2744"/>
      <c r="J997" s="2744"/>
      <c r="K997" s="817"/>
      <c r="L997" s="817"/>
      <c r="M997" s="817"/>
      <c r="N997" s="817"/>
      <c r="O997" s="817"/>
      <c r="P997" s="1899">
        <v>43944</v>
      </c>
      <c r="Q997" s="2828"/>
      <c r="R997" s="881" t="s">
        <v>10903</v>
      </c>
      <c r="S997" s="2770"/>
      <c r="T997" s="836">
        <v>0.41666666666666669</v>
      </c>
      <c r="U997" s="2774">
        <v>0.4826388888888889</v>
      </c>
      <c r="V997" s="2771"/>
      <c r="W997" s="2775">
        <v>195</v>
      </c>
      <c r="X997" s="7" t="s">
        <v>257</v>
      </c>
      <c r="Y997" s="2717" t="s">
        <v>140</v>
      </c>
      <c r="Z997" s="817"/>
      <c r="AA997" s="817"/>
      <c r="AB997" s="7" t="s">
        <v>17</v>
      </c>
      <c r="AC997" s="7" t="s">
        <v>6121</v>
      </c>
      <c r="AD997" s="2739"/>
      <c r="AG997" s="2711"/>
    </row>
    <row r="998" spans="1:33" ht="29" hidden="1" x14ac:dyDescent="0.35">
      <c r="A998" s="1899">
        <v>43943</v>
      </c>
      <c r="B998" s="2759">
        <v>4</v>
      </c>
      <c r="C998" s="7" t="s">
        <v>10909</v>
      </c>
      <c r="D998" s="2707" t="s">
        <v>10910</v>
      </c>
      <c r="E998" s="7" t="s">
        <v>10916</v>
      </c>
      <c r="F998" s="2744"/>
      <c r="G998" s="2744"/>
      <c r="H998" s="2744"/>
      <c r="I998" s="2744"/>
      <c r="J998" s="2744"/>
      <c r="K998" s="817"/>
      <c r="L998" s="817"/>
      <c r="M998" s="817"/>
      <c r="N998" s="817"/>
      <c r="O998" s="817"/>
      <c r="P998" s="1899">
        <v>43944</v>
      </c>
      <c r="Q998" s="2769"/>
      <c r="R998" s="881" t="s">
        <v>10911</v>
      </c>
      <c r="S998" s="2770"/>
      <c r="T998" s="836">
        <v>0.41666666666666669</v>
      </c>
      <c r="U998" s="2774">
        <v>0.49305555555555558</v>
      </c>
      <c r="V998" s="2771"/>
      <c r="W998" s="2775">
        <v>180</v>
      </c>
      <c r="X998" s="7" t="s">
        <v>257</v>
      </c>
      <c r="Y998" s="2717" t="s">
        <v>140</v>
      </c>
      <c r="Z998" s="817"/>
      <c r="AA998" s="817"/>
      <c r="AB998" s="7" t="s">
        <v>17</v>
      </c>
      <c r="AC998" s="7" t="s">
        <v>6041</v>
      </c>
      <c r="AD998" s="2739"/>
      <c r="AG998" s="2711"/>
    </row>
    <row r="999" spans="1:33" ht="58" hidden="1" x14ac:dyDescent="0.35">
      <c r="A999" s="1899">
        <v>43942</v>
      </c>
      <c r="B999" s="2759">
        <v>5</v>
      </c>
      <c r="C999" s="7" t="s">
        <v>1122</v>
      </c>
      <c r="D999" s="2707" t="s">
        <v>1524</v>
      </c>
      <c r="E999" s="7" t="s">
        <v>10921</v>
      </c>
      <c r="F999" s="2744"/>
      <c r="G999" s="2744"/>
      <c r="H999" s="2744"/>
      <c r="I999" s="2744"/>
      <c r="J999" s="2744"/>
      <c r="K999" s="817"/>
      <c r="L999" s="817"/>
      <c r="M999" s="817"/>
      <c r="N999" s="817"/>
      <c r="O999" s="817"/>
      <c r="P999" s="1899">
        <v>43944</v>
      </c>
      <c r="Q999" s="2769"/>
      <c r="R999" s="881" t="s">
        <v>8527</v>
      </c>
      <c r="S999" s="2770"/>
      <c r="T999" s="836">
        <v>0.41666666666666669</v>
      </c>
      <c r="U999" s="2774">
        <v>0.50347222222222221</v>
      </c>
      <c r="V999" s="2771"/>
      <c r="W999" s="1100">
        <f>0.85*(120+10*2.5+6*20)</f>
        <v>225.25</v>
      </c>
      <c r="X999" s="7" t="s">
        <v>257</v>
      </c>
      <c r="Y999" s="2717" t="s">
        <v>140</v>
      </c>
      <c r="Z999" s="817"/>
      <c r="AA999" s="817"/>
      <c r="AB999" s="7" t="s">
        <v>17</v>
      </c>
      <c r="AC999" s="7" t="s">
        <v>10908</v>
      </c>
      <c r="AD999" s="2739"/>
      <c r="AG999" s="2711"/>
    </row>
    <row r="1000" spans="1:33" ht="43.5" hidden="1" x14ac:dyDescent="0.35">
      <c r="A1000" s="1899">
        <v>43942</v>
      </c>
      <c r="B1000" s="2759">
        <v>6</v>
      </c>
      <c r="C1000" s="7" t="s">
        <v>9640</v>
      </c>
      <c r="D1000" s="2707" t="s">
        <v>9725</v>
      </c>
      <c r="E1000" s="7" t="s">
        <v>10889</v>
      </c>
      <c r="F1000" s="2741"/>
      <c r="G1000" s="2741"/>
      <c r="H1000" s="2741"/>
      <c r="I1000" s="2741"/>
      <c r="J1000" s="2741"/>
      <c r="K1000" s="5"/>
      <c r="L1000" s="817"/>
      <c r="M1000" s="817"/>
      <c r="N1000" s="817"/>
      <c r="O1000" s="817"/>
      <c r="P1000" s="1899">
        <v>43944</v>
      </c>
      <c r="Q1000" s="2769"/>
      <c r="R1000" s="881" t="s">
        <v>8452</v>
      </c>
      <c r="S1000" s="2770"/>
      <c r="T1000" s="836">
        <v>0.41666666666666669</v>
      </c>
      <c r="U1000" s="836">
        <v>0.52430555555555558</v>
      </c>
      <c r="V1000" s="2771"/>
      <c r="W1000" s="2775">
        <f>120*1.6</f>
        <v>192</v>
      </c>
      <c r="X1000" s="7" t="s">
        <v>10890</v>
      </c>
      <c r="Y1000" s="2717" t="s">
        <v>140</v>
      </c>
      <c r="Z1000" s="817"/>
      <c r="AA1000" s="817"/>
      <c r="AB1000" s="7" t="s">
        <v>17</v>
      </c>
      <c r="AC1000" s="7" t="s">
        <v>2084</v>
      </c>
      <c r="AD1000" s="2739"/>
      <c r="AG1000" s="2711"/>
    </row>
    <row r="1001" spans="1:33" ht="72.5" hidden="1" x14ac:dyDescent="0.35">
      <c r="A1001" s="1899">
        <v>43943</v>
      </c>
      <c r="B1001" s="2759">
        <v>7</v>
      </c>
      <c r="C1001" s="7" t="s">
        <v>10912</v>
      </c>
      <c r="D1001" s="2707" t="s">
        <v>10913</v>
      </c>
      <c r="E1001" s="7" t="s">
        <v>10914</v>
      </c>
      <c r="F1001" s="2744"/>
      <c r="G1001" s="2744"/>
      <c r="H1001" s="2744"/>
      <c r="I1001" s="2744"/>
      <c r="J1001" s="2744"/>
      <c r="K1001" s="817"/>
      <c r="L1001" s="817"/>
      <c r="M1001" s="817"/>
      <c r="N1001" s="817"/>
      <c r="O1001" s="817"/>
      <c r="P1001" s="1899">
        <v>43944</v>
      </c>
      <c r="Q1001" s="2828"/>
      <c r="R1001" s="881" t="s">
        <v>10915</v>
      </c>
      <c r="S1001" s="2770"/>
      <c r="T1001" s="836">
        <v>0.41666666666666669</v>
      </c>
      <c r="U1001" s="2774">
        <v>0.53125</v>
      </c>
      <c r="V1001" s="2771"/>
      <c r="W1001" s="2775">
        <v>219</v>
      </c>
      <c r="X1001" s="7" t="s">
        <v>2900</v>
      </c>
      <c r="Y1001" s="2717" t="s">
        <v>140</v>
      </c>
      <c r="Z1001" s="817"/>
      <c r="AA1001" s="817"/>
      <c r="AB1001" s="7" t="s">
        <v>17</v>
      </c>
      <c r="AC1001" s="7" t="s">
        <v>6041</v>
      </c>
      <c r="AD1001" s="2739"/>
      <c r="AG1001" s="2711"/>
    </row>
    <row r="1002" spans="1:33" ht="43.5" hidden="1" x14ac:dyDescent="0.35">
      <c r="A1002" s="1899">
        <v>43943</v>
      </c>
      <c r="B1002" s="2759">
        <v>8</v>
      </c>
      <c r="C1002" s="7" t="s">
        <v>10932</v>
      </c>
      <c r="D1002" s="2707" t="s">
        <v>10933</v>
      </c>
      <c r="E1002" s="7" t="s">
        <v>10935</v>
      </c>
      <c r="F1002" s="5"/>
      <c r="G1002" s="5"/>
      <c r="H1002" s="5"/>
      <c r="I1002" s="5"/>
      <c r="J1002" s="5"/>
      <c r="K1002" s="2682"/>
      <c r="L1002" s="817"/>
      <c r="M1002" s="817"/>
      <c r="N1002" s="817"/>
      <c r="O1002" s="817"/>
      <c r="P1002" s="1899">
        <v>43944</v>
      </c>
      <c r="Q1002" s="2769"/>
      <c r="R1002" s="2708" t="s">
        <v>10934</v>
      </c>
      <c r="S1002" s="2770"/>
      <c r="T1002" s="836">
        <v>0.41666666666666669</v>
      </c>
      <c r="U1002" s="836">
        <v>0.57291666666666663</v>
      </c>
      <c r="V1002" s="2694"/>
      <c r="W1002" s="1100">
        <v>0</v>
      </c>
      <c r="X1002" s="7" t="s">
        <v>10936</v>
      </c>
      <c r="Y1002" s="2717" t="s">
        <v>140</v>
      </c>
      <c r="Z1002" s="817"/>
      <c r="AA1002" s="817"/>
      <c r="AB1002" s="7" t="s">
        <v>17</v>
      </c>
      <c r="AC1002" s="7" t="s">
        <v>10908</v>
      </c>
      <c r="AD1002" s="2696"/>
      <c r="AG1002" s="2711"/>
    </row>
    <row r="1003" spans="1:33" ht="232" hidden="1" x14ac:dyDescent="0.35">
      <c r="A1003" s="1957">
        <v>43943</v>
      </c>
      <c r="B1003" s="2782">
        <v>9</v>
      </c>
      <c r="C1003" s="1412" t="s">
        <v>10924</v>
      </c>
      <c r="D1003" s="2729" t="s">
        <v>10925</v>
      </c>
      <c r="E1003" s="1412" t="s">
        <v>10926</v>
      </c>
      <c r="F1003" s="817"/>
      <c r="G1003" s="817"/>
      <c r="H1003" s="817"/>
      <c r="I1003" s="817"/>
      <c r="J1003" s="817"/>
      <c r="K1003" s="817"/>
      <c r="L1003" s="817"/>
      <c r="M1003" s="817"/>
      <c r="N1003" s="817"/>
      <c r="O1003" s="817"/>
      <c r="P1003" s="1957">
        <v>43944</v>
      </c>
      <c r="Q1003" s="2769"/>
      <c r="R1003" s="2727" t="s">
        <v>10927</v>
      </c>
      <c r="S1003" s="2770"/>
      <c r="T1003" s="2694">
        <v>0.41666666666666669</v>
      </c>
      <c r="U1003" s="836">
        <v>0.59375</v>
      </c>
      <c r="V1003" s="2694"/>
      <c r="W1003" s="1956">
        <v>240</v>
      </c>
      <c r="X1003" s="817" t="s">
        <v>10896</v>
      </c>
      <c r="Y1003" s="2772" t="s">
        <v>140</v>
      </c>
      <c r="Z1003" s="817"/>
      <c r="AA1003" s="817"/>
      <c r="AB1003" s="817" t="s">
        <v>17</v>
      </c>
      <c r="AC1003" s="817" t="s">
        <v>6041</v>
      </c>
      <c r="AD1003" s="2696"/>
      <c r="AG1003" s="2711"/>
    </row>
    <row r="1004" spans="1:33" ht="87" hidden="1" x14ac:dyDescent="0.35">
      <c r="A1004" s="1899">
        <v>43943</v>
      </c>
      <c r="B1004" s="2759">
        <v>10</v>
      </c>
      <c r="C1004" s="7" t="s">
        <v>10719</v>
      </c>
      <c r="D1004" s="2707" t="s">
        <v>20</v>
      </c>
      <c r="E1004" s="7" t="s">
        <v>10929</v>
      </c>
      <c r="F1004" s="817"/>
      <c r="G1004" s="817"/>
      <c r="H1004" s="817"/>
      <c r="I1004" s="817"/>
      <c r="J1004" s="817"/>
      <c r="K1004" s="817"/>
      <c r="L1004" s="817"/>
      <c r="M1004" s="817"/>
      <c r="N1004" s="817"/>
      <c r="O1004" s="817"/>
      <c r="P1004" s="1899">
        <v>43944</v>
      </c>
      <c r="Q1004" s="2769"/>
      <c r="R1004" s="2708" t="s">
        <v>20</v>
      </c>
      <c r="S1004" s="2770"/>
      <c r="T1004" s="836" t="s">
        <v>15</v>
      </c>
      <c r="U1004" s="836" t="s">
        <v>8986</v>
      </c>
      <c r="V1004" s="2694"/>
      <c r="W1004" s="1100">
        <v>0</v>
      </c>
      <c r="X1004" s="7" t="s">
        <v>20</v>
      </c>
      <c r="Y1004" s="2717" t="s">
        <v>15</v>
      </c>
      <c r="Z1004" s="817"/>
      <c r="AA1004" s="817"/>
      <c r="AB1004" s="7" t="s">
        <v>17</v>
      </c>
      <c r="AC1004" s="7" t="s">
        <v>20</v>
      </c>
      <c r="AD1004" s="2696"/>
      <c r="AG1004" s="2711"/>
    </row>
    <row r="1005" spans="1:33" ht="43.5" hidden="1" x14ac:dyDescent="0.35">
      <c r="A1005" s="2146">
        <v>43934</v>
      </c>
      <c r="B1005" s="2777">
        <v>1</v>
      </c>
      <c r="C1005" s="1733" t="s">
        <v>10556</v>
      </c>
      <c r="D1005" s="2811" t="s">
        <v>10092</v>
      </c>
      <c r="E1005" s="1733" t="s">
        <v>10561</v>
      </c>
      <c r="F1005" s="2679"/>
      <c r="G1005" s="5"/>
      <c r="H1005" s="5"/>
      <c r="I1005" s="5"/>
      <c r="J1005" s="5"/>
      <c r="K1005" s="5"/>
      <c r="L1005" s="817"/>
      <c r="M1005" s="817"/>
      <c r="N1005" s="817"/>
      <c r="O1005" s="817"/>
      <c r="P1005" s="2146">
        <v>43945</v>
      </c>
      <c r="Q1005" s="2769"/>
      <c r="R1005" s="2818" t="s">
        <v>10557</v>
      </c>
      <c r="S1005" s="2770"/>
      <c r="T1005" s="1756">
        <v>0.41666666666666669</v>
      </c>
      <c r="U1005" s="1864">
        <v>0.42708333333333331</v>
      </c>
      <c r="V1005" s="2694">
        <v>0.41666666666666669</v>
      </c>
      <c r="W1005" s="1809">
        <f>1.6*120</f>
        <v>192</v>
      </c>
      <c r="X1005" s="817" t="s">
        <v>257</v>
      </c>
      <c r="Y1005" s="2772" t="s">
        <v>119</v>
      </c>
      <c r="Z1005" s="817"/>
      <c r="AA1005" s="817"/>
      <c r="AB1005" s="817" t="s">
        <v>17</v>
      </c>
      <c r="AC1005" s="817" t="s">
        <v>2084</v>
      </c>
      <c r="AD1005" s="2696"/>
      <c r="AG1005" s="2711"/>
    </row>
    <row r="1006" spans="1:33" ht="43.5" hidden="1" x14ac:dyDescent="0.35">
      <c r="A1006" s="2486">
        <v>43935</v>
      </c>
      <c r="B1006" s="2718">
        <v>2</v>
      </c>
      <c r="C1006" s="7" t="s">
        <v>10623</v>
      </c>
      <c r="D1006" s="2700" t="s">
        <v>10624</v>
      </c>
      <c r="E1006" s="2142" t="s">
        <v>10625</v>
      </c>
      <c r="F1006" s="2740"/>
      <c r="G1006" s="2741"/>
      <c r="H1006" s="2741"/>
      <c r="I1006" s="2741"/>
      <c r="J1006" s="2741"/>
      <c r="K1006" s="2741"/>
      <c r="L1006" s="817"/>
      <c r="M1006" s="817"/>
      <c r="N1006" s="817"/>
      <c r="O1006" s="817" t="s">
        <v>8148</v>
      </c>
      <c r="P1006" s="2486">
        <v>43945</v>
      </c>
      <c r="Q1006" s="2769"/>
      <c r="R1006" s="2722" t="s">
        <v>10626</v>
      </c>
      <c r="S1006" s="2770"/>
      <c r="T1006" s="6">
        <v>0.41666666666666669</v>
      </c>
      <c r="U1006" s="2694">
        <v>0.4375</v>
      </c>
      <c r="V1006" s="2694" t="s">
        <v>972</v>
      </c>
      <c r="W1006" s="1809">
        <v>100</v>
      </c>
      <c r="X1006" s="2694" t="s">
        <v>257</v>
      </c>
      <c r="Y1006" s="2772" t="s">
        <v>119</v>
      </c>
      <c r="Z1006" s="817"/>
      <c r="AA1006" s="817"/>
      <c r="AB1006" s="817" t="s">
        <v>17</v>
      </c>
      <c r="AC1006" s="817" t="s">
        <v>7451</v>
      </c>
      <c r="AD1006" s="2739"/>
      <c r="AG1006" s="2711"/>
    </row>
    <row r="1007" spans="1:33" ht="101.5" hidden="1" x14ac:dyDescent="0.35">
      <c r="A1007" s="2486">
        <v>43944</v>
      </c>
      <c r="B1007" s="2760">
        <v>3</v>
      </c>
      <c r="C1007" s="5" t="s">
        <v>10981</v>
      </c>
      <c r="D1007" s="2700" t="s">
        <v>9195</v>
      </c>
      <c r="E1007" s="5" t="s">
        <v>10982</v>
      </c>
      <c r="F1007" s="5"/>
      <c r="G1007" s="5"/>
      <c r="H1007" s="5"/>
      <c r="I1007" s="5"/>
      <c r="J1007" s="5"/>
      <c r="K1007" s="5"/>
      <c r="L1007" s="817"/>
      <c r="M1007" s="817"/>
      <c r="N1007" s="817"/>
      <c r="O1007" s="817"/>
      <c r="P1007" s="2486">
        <v>43945</v>
      </c>
      <c r="Q1007" s="2769"/>
      <c r="R1007" s="2829" t="s">
        <v>10980</v>
      </c>
      <c r="S1007" s="2770"/>
      <c r="T1007" s="2694">
        <v>0.41666666666666669</v>
      </c>
      <c r="U1007" s="2694">
        <v>0.45833333333333331</v>
      </c>
      <c r="V1007" s="2694"/>
      <c r="W1007" s="1956">
        <v>99</v>
      </c>
      <c r="X1007" s="2829" t="s">
        <v>8625</v>
      </c>
      <c r="Y1007" s="2772" t="s">
        <v>119</v>
      </c>
      <c r="Z1007" s="2829"/>
      <c r="AA1007" s="2829"/>
      <c r="AB1007" s="2829" t="s">
        <v>17</v>
      </c>
      <c r="AC1007" s="2829" t="s">
        <v>6041</v>
      </c>
      <c r="AD1007" s="2696"/>
      <c r="AG1007" s="2711"/>
    </row>
    <row r="1008" spans="1:33" ht="58" hidden="1" x14ac:dyDescent="0.35">
      <c r="A1008" s="1899">
        <v>43944</v>
      </c>
      <c r="B1008" s="2759">
        <v>4</v>
      </c>
      <c r="C1008" s="7" t="s">
        <v>10968</v>
      </c>
      <c r="D1008" s="2707" t="s">
        <v>10969</v>
      </c>
      <c r="E1008" s="2142" t="s">
        <v>10970</v>
      </c>
      <c r="F1008" s="2824"/>
      <c r="G1008" s="10"/>
      <c r="H1008" s="10"/>
      <c r="I1008" s="10"/>
      <c r="J1008" s="10"/>
      <c r="K1008" s="10"/>
      <c r="L1008" s="817"/>
      <c r="M1008" s="817"/>
      <c r="N1008" s="817"/>
      <c r="O1008" s="817"/>
      <c r="P1008" s="1899">
        <v>43945</v>
      </c>
      <c r="Q1008" s="2769"/>
      <c r="R1008" s="881" t="s">
        <v>10967</v>
      </c>
      <c r="S1008" s="2770"/>
      <c r="T1008" s="836">
        <v>0.41666666666666669</v>
      </c>
      <c r="U1008" s="836">
        <v>0.48958333333333331</v>
      </c>
      <c r="V1008" s="2694"/>
      <c r="W1008" s="1100">
        <v>0</v>
      </c>
      <c r="X1008" s="7" t="s">
        <v>10971</v>
      </c>
      <c r="Y1008" s="2772" t="s">
        <v>119</v>
      </c>
      <c r="Z1008" s="817"/>
      <c r="AA1008" s="817"/>
      <c r="AB1008" s="7" t="s">
        <v>17</v>
      </c>
      <c r="AC1008" s="7" t="s">
        <v>10908</v>
      </c>
      <c r="AD1008" s="2696"/>
      <c r="AG1008" s="2711"/>
    </row>
    <row r="1009" spans="1:33" ht="43.5" hidden="1" x14ac:dyDescent="0.35">
      <c r="A1009" s="2828">
        <v>43942</v>
      </c>
      <c r="B1009" s="2760">
        <v>5</v>
      </c>
      <c r="C1009" s="817" t="s">
        <v>10904</v>
      </c>
      <c r="D1009" s="2700" t="s">
        <v>10905</v>
      </c>
      <c r="E1009" s="817" t="s">
        <v>10907</v>
      </c>
      <c r="F1009" s="2744"/>
      <c r="G1009" s="2744"/>
      <c r="H1009" s="2744"/>
      <c r="I1009" s="2744"/>
      <c r="J1009" s="2744"/>
      <c r="K1009" s="817"/>
      <c r="L1009" s="817"/>
      <c r="M1009" s="817"/>
      <c r="N1009" s="817"/>
      <c r="O1009" s="817"/>
      <c r="P1009" s="2828">
        <v>43945</v>
      </c>
      <c r="Q1009" s="2769"/>
      <c r="R1009" s="2829" t="s">
        <v>10906</v>
      </c>
      <c r="S1009" s="2770"/>
      <c r="T1009" s="2694">
        <v>0.41666666666666669</v>
      </c>
      <c r="U1009" s="2771">
        <v>0.51388888888888895</v>
      </c>
      <c r="V1009" s="2771"/>
      <c r="W1009" s="2738">
        <f>1.2*120</f>
        <v>144</v>
      </c>
      <c r="X1009" s="817" t="s">
        <v>257</v>
      </c>
      <c r="Y1009" s="2772" t="s">
        <v>119</v>
      </c>
      <c r="Z1009" s="817"/>
      <c r="AA1009" s="817"/>
      <c r="AB1009" s="817" t="s">
        <v>17</v>
      </c>
      <c r="AC1009" s="817" t="s">
        <v>6041</v>
      </c>
      <c r="AD1009" s="2739"/>
      <c r="AG1009" s="2711"/>
    </row>
    <row r="1010" spans="1:33" ht="29" hidden="1" x14ac:dyDescent="0.35">
      <c r="A1010" s="1999">
        <v>43943</v>
      </c>
      <c r="B1010" s="2778">
        <v>6</v>
      </c>
      <c r="C1010" s="1850" t="s">
        <v>10917</v>
      </c>
      <c r="D1010" s="2811" t="s">
        <v>10918</v>
      </c>
      <c r="E1010" s="1850" t="s">
        <v>10919</v>
      </c>
      <c r="F1010" s="817"/>
      <c r="G1010" s="817"/>
      <c r="H1010" s="817"/>
      <c r="I1010" s="817"/>
      <c r="J1010" s="817"/>
      <c r="K1010" s="817"/>
      <c r="L1010" s="817"/>
      <c r="M1010" s="817"/>
      <c r="N1010" s="817"/>
      <c r="O1010" s="817"/>
      <c r="P1010" s="1999">
        <v>43945</v>
      </c>
      <c r="Q1010" s="2769"/>
      <c r="R1010" s="2818" t="s">
        <v>10923</v>
      </c>
      <c r="S1010" s="2770"/>
      <c r="T1010" s="1864">
        <v>0.41666666666666669</v>
      </c>
      <c r="U1010" s="1864">
        <v>0.54166666666666663</v>
      </c>
      <c r="V1010" s="2694"/>
      <c r="W1010" s="1809">
        <f>1.6*130</f>
        <v>208</v>
      </c>
      <c r="X1010" s="817" t="s">
        <v>257</v>
      </c>
      <c r="Y1010" s="2772" t="s">
        <v>119</v>
      </c>
      <c r="Z1010" s="817" t="s">
        <v>17</v>
      </c>
      <c r="AA1010" s="817" t="s">
        <v>6041</v>
      </c>
      <c r="AB1010" s="817" t="s">
        <v>17</v>
      </c>
      <c r="AC1010" s="817" t="s">
        <v>10908</v>
      </c>
      <c r="AD1010" s="2696"/>
      <c r="AG1010" s="2711"/>
    </row>
    <row r="1011" spans="1:33" ht="43.5" hidden="1" x14ac:dyDescent="0.35">
      <c r="A1011" s="1899">
        <v>43944</v>
      </c>
      <c r="B1011" s="2759">
        <v>7</v>
      </c>
      <c r="C1011" s="7" t="s">
        <v>10964</v>
      </c>
      <c r="D1011" s="2707" t="s">
        <v>2688</v>
      </c>
      <c r="E1011" s="2142" t="s">
        <v>10966</v>
      </c>
      <c r="F1011" s="2824"/>
      <c r="G1011" s="10"/>
      <c r="H1011" s="10"/>
      <c r="I1011" s="10"/>
      <c r="J1011" s="10"/>
      <c r="K1011" s="10"/>
      <c r="L1011" s="817"/>
      <c r="M1011" s="817"/>
      <c r="N1011" s="817"/>
      <c r="O1011" s="817"/>
      <c r="P1011" s="1899">
        <v>43945</v>
      </c>
      <c r="Q1011" s="2769"/>
      <c r="R1011" s="881" t="s">
        <v>10965</v>
      </c>
      <c r="S1011" s="2770"/>
      <c r="T1011" s="836">
        <v>0.41666666666666669</v>
      </c>
      <c r="U1011" s="836">
        <v>0.5625</v>
      </c>
      <c r="V1011" s="2694"/>
      <c r="W1011" s="1100">
        <f>16*12*0.7</f>
        <v>134.39999999999998</v>
      </c>
      <c r="X1011" s="7" t="s">
        <v>1493</v>
      </c>
      <c r="Y1011" s="2772" t="s">
        <v>119</v>
      </c>
      <c r="Z1011" s="817"/>
      <c r="AA1011" s="817"/>
      <c r="AB1011" s="7" t="s">
        <v>17</v>
      </c>
      <c r="AC1011" s="7" t="s">
        <v>10908</v>
      </c>
      <c r="AD1011" s="2696"/>
      <c r="AG1011" s="2711"/>
    </row>
    <row r="1012" spans="1:33" hidden="1" x14ac:dyDescent="0.35">
      <c r="A1012" s="2486">
        <v>43944</v>
      </c>
      <c r="B1012" s="2760">
        <v>8</v>
      </c>
      <c r="C1012" s="5" t="s">
        <v>10543</v>
      </c>
      <c r="D1012" s="2700" t="s">
        <v>10544</v>
      </c>
      <c r="E1012" s="7" t="s">
        <v>10976</v>
      </c>
      <c r="F1012" s="5"/>
      <c r="G1012" s="5"/>
      <c r="H1012" s="5"/>
      <c r="I1012" s="5"/>
      <c r="J1012" s="5"/>
      <c r="K1012" s="5"/>
      <c r="L1012" s="817"/>
      <c r="M1012" s="817"/>
      <c r="N1012" s="817"/>
      <c r="O1012" s="817"/>
      <c r="P1012" s="2486">
        <v>43945</v>
      </c>
      <c r="Q1012" s="2769"/>
      <c r="R1012" s="2706" t="s">
        <v>10972</v>
      </c>
      <c r="S1012" s="2770"/>
      <c r="T1012" s="2694">
        <v>0.41666666666666669</v>
      </c>
      <c r="U1012" s="2694">
        <v>0.57638888888888895</v>
      </c>
      <c r="V1012" s="2694"/>
      <c r="W1012" s="1809">
        <v>120</v>
      </c>
      <c r="X1012" s="2829" t="s">
        <v>257</v>
      </c>
      <c r="Y1012" s="2772" t="s">
        <v>119</v>
      </c>
      <c r="Z1012" s="2829"/>
      <c r="AA1012" s="2829"/>
      <c r="AB1012" s="2829" t="s">
        <v>17</v>
      </c>
      <c r="AC1012" s="2829" t="s">
        <v>6041</v>
      </c>
      <c r="AD1012" s="2696"/>
      <c r="AG1012" s="2711"/>
    </row>
    <row r="1013" spans="1:33" ht="58" hidden="1" x14ac:dyDescent="0.35">
      <c r="A1013" s="2486">
        <v>43944</v>
      </c>
      <c r="B1013" s="2760"/>
      <c r="C1013" s="5" t="s">
        <v>10991</v>
      </c>
      <c r="D1013" s="2700" t="s">
        <v>9855</v>
      </c>
      <c r="E1013" s="7" t="s">
        <v>10992</v>
      </c>
      <c r="F1013" s="2827"/>
      <c r="G1013" s="2827"/>
      <c r="H1013" s="2827"/>
      <c r="I1013" s="2827"/>
      <c r="J1013" s="2827"/>
      <c r="K1013" s="5"/>
      <c r="L1013" s="817"/>
      <c r="M1013" s="817"/>
      <c r="N1013" s="817"/>
      <c r="O1013" s="817"/>
      <c r="P1013" s="2486">
        <v>43945</v>
      </c>
      <c r="Q1013" s="2769"/>
      <c r="R1013" s="2706" t="s">
        <v>4384</v>
      </c>
      <c r="S1013" s="2770"/>
      <c r="T1013" s="2694">
        <v>0.41666666666666669</v>
      </c>
      <c r="U1013" s="2830">
        <v>0.60416666666666663</v>
      </c>
      <c r="V1013" s="2830"/>
      <c r="W1013" s="2832">
        <v>228</v>
      </c>
      <c r="X1013" s="2833" t="s">
        <v>10993</v>
      </c>
      <c r="Y1013" s="2772" t="s">
        <v>119</v>
      </c>
      <c r="Z1013" s="2829"/>
      <c r="AA1013" s="2829"/>
      <c r="AB1013" s="2829" t="s">
        <v>22</v>
      </c>
      <c r="AC1013" s="2829" t="s">
        <v>6096</v>
      </c>
      <c r="AD1013" s="2831"/>
      <c r="AG1013" s="2711"/>
    </row>
    <row r="1014" spans="1:33" ht="58" hidden="1" x14ac:dyDescent="0.35">
      <c r="A1014" s="1999">
        <v>43942</v>
      </c>
      <c r="B1014" s="2778">
        <v>9</v>
      </c>
      <c r="C1014" s="1850" t="s">
        <v>10656</v>
      </c>
      <c r="D1014" s="2811" t="s">
        <v>10691</v>
      </c>
      <c r="E1014" s="1850" t="s">
        <v>10885</v>
      </c>
      <c r="F1014" s="2744"/>
      <c r="G1014" s="2744"/>
      <c r="H1014" s="2744"/>
      <c r="I1014" s="2744"/>
      <c r="J1014" s="2744"/>
      <c r="K1014" s="817"/>
      <c r="L1014" s="817"/>
      <c r="M1014" s="817"/>
      <c r="N1014" s="817"/>
      <c r="O1014" s="817"/>
      <c r="P1014" s="1999">
        <v>43945</v>
      </c>
      <c r="Q1014" s="2769"/>
      <c r="R1014" s="2000" t="s">
        <v>10658</v>
      </c>
      <c r="S1014" s="2770"/>
      <c r="T1014" s="1864" t="s">
        <v>10990</v>
      </c>
      <c r="U1014" s="1864">
        <v>0.47222222222222227</v>
      </c>
      <c r="V1014" s="2771"/>
      <c r="W1014" s="2742">
        <v>260</v>
      </c>
      <c r="X1014" s="817" t="s">
        <v>8625</v>
      </c>
      <c r="Y1014" s="2772" t="s">
        <v>119</v>
      </c>
      <c r="Z1014" s="817"/>
      <c r="AA1014" s="817"/>
      <c r="AB1014" s="817" t="s">
        <v>17</v>
      </c>
      <c r="AC1014" s="817" t="s">
        <v>6041</v>
      </c>
      <c r="AD1014" s="2739"/>
      <c r="AG1014" s="2711"/>
    </row>
    <row r="1015" spans="1:33" hidden="1" x14ac:dyDescent="0.35">
      <c r="A1015" s="2486">
        <v>43944</v>
      </c>
      <c r="B1015" s="2760">
        <v>10</v>
      </c>
      <c r="C1015" s="5" t="s">
        <v>20</v>
      </c>
      <c r="D1015" s="2696" t="s">
        <v>20</v>
      </c>
      <c r="E1015" s="5" t="s">
        <v>10988</v>
      </c>
      <c r="F1015" s="5"/>
      <c r="G1015" s="5"/>
      <c r="H1015" s="5"/>
      <c r="I1015" s="5"/>
      <c r="J1015" s="5"/>
      <c r="K1015" s="5"/>
      <c r="L1015" s="817"/>
      <c r="M1015" s="817"/>
      <c r="N1015" s="817"/>
      <c r="O1015" s="817"/>
      <c r="P1015" s="2486">
        <v>43945</v>
      </c>
      <c r="Q1015" s="2828"/>
      <c r="R1015" s="2829" t="s">
        <v>20</v>
      </c>
      <c r="S1015" s="2829"/>
      <c r="T1015" s="2829" t="s">
        <v>15</v>
      </c>
      <c r="U1015" s="2694" t="s">
        <v>10989</v>
      </c>
      <c r="V1015" s="2694"/>
      <c r="W1015" s="1809">
        <v>0</v>
      </c>
      <c r="X1015" s="2829" t="s">
        <v>20</v>
      </c>
      <c r="Y1015" s="2772" t="s">
        <v>15</v>
      </c>
      <c r="Z1015" s="2829"/>
      <c r="AA1015" s="2829"/>
      <c r="AB1015" s="2829" t="s">
        <v>17</v>
      </c>
      <c r="AC1015" s="2829" t="s">
        <v>10908</v>
      </c>
      <c r="AD1015" s="2696"/>
      <c r="AG1015" s="2711"/>
    </row>
    <row r="1016" spans="1:33" ht="246.5" hidden="1" x14ac:dyDescent="0.35">
      <c r="A1016" s="1957">
        <v>43943</v>
      </c>
      <c r="B1016" s="2782">
        <v>1</v>
      </c>
      <c r="C1016" s="1412" t="s">
        <v>10922</v>
      </c>
      <c r="D1016" s="2729" t="s">
        <v>1761</v>
      </c>
      <c r="E1016" s="1412" t="s">
        <v>10930</v>
      </c>
      <c r="F1016" s="817"/>
      <c r="G1016" s="817"/>
      <c r="H1016" s="817"/>
      <c r="I1016" s="817"/>
      <c r="J1016" s="817"/>
      <c r="K1016" s="817"/>
      <c r="L1016" s="817"/>
      <c r="M1016" s="817"/>
      <c r="N1016" s="817"/>
      <c r="O1016" s="817"/>
      <c r="P1016" s="1957">
        <v>43946</v>
      </c>
      <c r="Q1016" s="2769"/>
      <c r="R1016" s="2727" t="s">
        <v>10928</v>
      </c>
      <c r="S1016" s="2770"/>
      <c r="T1016" s="1750">
        <v>0.58333333333333337</v>
      </c>
      <c r="U1016" s="2694">
        <v>0.60069444444444442</v>
      </c>
      <c r="V1016" s="2694"/>
      <c r="W1016" s="1956">
        <v>450</v>
      </c>
      <c r="X1016" s="817" t="s">
        <v>10931</v>
      </c>
      <c r="Y1016" s="2772" t="s">
        <v>15</v>
      </c>
      <c r="Z1016" s="817"/>
      <c r="AA1016" s="817"/>
      <c r="AB1016" s="817" t="s">
        <v>17</v>
      </c>
      <c r="AC1016" s="817" t="s">
        <v>2084</v>
      </c>
      <c r="AD1016" s="2696"/>
      <c r="AG1016" s="2711"/>
    </row>
    <row r="1017" spans="1:33" ht="203" hidden="1" x14ac:dyDescent="0.35">
      <c r="A1017" s="2146">
        <v>43944</v>
      </c>
      <c r="B1017" s="2778">
        <v>2</v>
      </c>
      <c r="C1017" s="1733" t="s">
        <v>10973</v>
      </c>
      <c r="D1017" s="2811" t="s">
        <v>9805</v>
      </c>
      <c r="E1017" s="1733" t="s">
        <v>11001</v>
      </c>
      <c r="F1017" s="5"/>
      <c r="G1017" s="5"/>
      <c r="H1017" s="5"/>
      <c r="I1017" s="5"/>
      <c r="J1017" s="5"/>
      <c r="K1017" s="5"/>
      <c r="L1017" s="817"/>
      <c r="M1017" s="817"/>
      <c r="N1017" s="817"/>
      <c r="O1017" s="817"/>
      <c r="P1017" s="2146">
        <v>43946</v>
      </c>
      <c r="Q1017" s="2828"/>
      <c r="R1017" s="2825" t="s">
        <v>7790</v>
      </c>
      <c r="S1017" s="2829"/>
      <c r="T1017" s="2694">
        <v>0.58333333333333337</v>
      </c>
      <c r="U1017" s="2694">
        <v>0.61805555555555558</v>
      </c>
      <c r="V1017" s="2694"/>
      <c r="W1017" s="1956">
        <v>246</v>
      </c>
      <c r="X1017" s="2829" t="s">
        <v>10974</v>
      </c>
      <c r="Y1017" s="2772" t="s">
        <v>15</v>
      </c>
      <c r="Z1017" s="2829"/>
      <c r="AA1017" s="2829"/>
      <c r="AB1017" s="2829" t="s">
        <v>17</v>
      </c>
      <c r="AC1017" s="2829" t="s">
        <v>6041</v>
      </c>
      <c r="AD1017" s="2696"/>
      <c r="AG1017" s="2711"/>
    </row>
    <row r="1018" spans="1:33" ht="43.5" hidden="1" x14ac:dyDescent="0.35">
      <c r="A1018" s="2486">
        <v>43914</v>
      </c>
      <c r="B1018" s="2760">
        <v>3</v>
      </c>
      <c r="C1018" s="5" t="s">
        <v>11004</v>
      </c>
      <c r="D1018" s="2700" t="s">
        <v>9717</v>
      </c>
      <c r="E1018" s="2725" t="s">
        <v>11003</v>
      </c>
      <c r="F1018" s="5"/>
      <c r="G1018" s="5"/>
      <c r="H1018" s="5"/>
      <c r="I1018" s="5"/>
      <c r="J1018" s="5"/>
      <c r="K1018" s="5"/>
      <c r="L1018" s="817"/>
      <c r="M1018" s="817"/>
      <c r="N1018" s="817"/>
      <c r="O1018" s="817"/>
      <c r="P1018" s="2486">
        <v>43946</v>
      </c>
      <c r="Q1018" s="2769"/>
      <c r="R1018" s="2722" t="s">
        <v>11002</v>
      </c>
      <c r="S1018" s="2770"/>
      <c r="T1018" s="6">
        <v>0.58333333333333337</v>
      </c>
      <c r="U1018" s="2694">
        <v>0.63888888888888895</v>
      </c>
      <c r="V1018" s="2694"/>
      <c r="W1018" s="1956">
        <v>87</v>
      </c>
      <c r="X1018" s="2694" t="s">
        <v>257</v>
      </c>
      <c r="Y1018" s="2772"/>
      <c r="Z1018" s="817"/>
      <c r="AA1018" s="817"/>
      <c r="AB1018" s="817" t="s">
        <v>17</v>
      </c>
      <c r="AC1018" s="817" t="s">
        <v>10908</v>
      </c>
      <c r="AD1018" s="2696"/>
      <c r="AG1018" s="2711"/>
    </row>
    <row r="1019" spans="1:33" ht="58" hidden="1" x14ac:dyDescent="0.35">
      <c r="A1019" s="2146">
        <v>43931</v>
      </c>
      <c r="B1019" s="2777">
        <v>4</v>
      </c>
      <c r="C1019" s="1733" t="s">
        <v>9337</v>
      </c>
      <c r="D1019" s="2811" t="s">
        <v>9336</v>
      </c>
      <c r="E1019" s="1733" t="s">
        <v>9340</v>
      </c>
      <c r="F1019" s="5"/>
      <c r="G1019" s="5"/>
      <c r="H1019" s="5"/>
      <c r="I1019" s="5"/>
      <c r="J1019" s="5"/>
      <c r="K1019" s="5"/>
      <c r="L1019" s="817"/>
      <c r="M1019" s="817"/>
      <c r="N1019" s="817"/>
      <c r="O1019" s="817"/>
      <c r="P1019" s="2146">
        <v>43946</v>
      </c>
      <c r="Q1019" s="2146"/>
      <c r="R1019" s="2000" t="s">
        <v>9338</v>
      </c>
      <c r="S1019" s="2770"/>
      <c r="T1019" s="836">
        <v>0.58333333333333337</v>
      </c>
      <c r="U1019" s="2694">
        <v>0.65625</v>
      </c>
      <c r="V1019" s="2694">
        <v>0.45833333333333331</v>
      </c>
      <c r="W1019" s="2681">
        <v>200</v>
      </c>
      <c r="X1019" s="817" t="s">
        <v>8910</v>
      </c>
      <c r="Y1019" s="2772" t="s">
        <v>15</v>
      </c>
      <c r="Z1019" s="817"/>
      <c r="AA1019" s="817"/>
      <c r="AB1019" s="817" t="s">
        <v>17</v>
      </c>
      <c r="AC1019" s="817" t="s">
        <v>7451</v>
      </c>
      <c r="AD1019" s="2700" t="s">
        <v>9336</v>
      </c>
      <c r="AG1019" s="2711"/>
    </row>
    <row r="1020" spans="1:33" ht="72.5" hidden="1" x14ac:dyDescent="0.35">
      <c r="A1020" s="2486">
        <v>43944</v>
      </c>
      <c r="B1020" s="2760">
        <v>5</v>
      </c>
      <c r="C1020" s="5" t="s">
        <v>2848</v>
      </c>
      <c r="D1020" s="2700" t="s">
        <v>9886</v>
      </c>
      <c r="E1020" s="5" t="s">
        <v>10983</v>
      </c>
      <c r="F1020" s="5"/>
      <c r="G1020" s="5"/>
      <c r="H1020" s="5"/>
      <c r="I1020" s="5"/>
      <c r="J1020" s="5"/>
      <c r="K1020" s="5"/>
      <c r="L1020" s="817"/>
      <c r="M1020" s="817"/>
      <c r="N1020" s="817"/>
      <c r="O1020" s="817"/>
      <c r="P1020" s="2486">
        <v>43946</v>
      </c>
      <c r="Q1020" s="2769"/>
      <c r="R1020" s="2829" t="s">
        <v>10984</v>
      </c>
      <c r="S1020" s="2770"/>
      <c r="T1020" s="2694">
        <v>0.58333333333333337</v>
      </c>
      <c r="U1020" s="2694">
        <v>0.66666666666666663</v>
      </c>
      <c r="V1020" s="2694"/>
      <c r="W1020" s="1956">
        <v>219</v>
      </c>
      <c r="X1020" s="2829" t="s">
        <v>1429</v>
      </c>
      <c r="Y1020" s="2772" t="s">
        <v>15</v>
      </c>
      <c r="Z1020" s="2829"/>
      <c r="AA1020" s="2829"/>
      <c r="AB1020" s="2829" t="s">
        <v>17</v>
      </c>
      <c r="AC1020" s="2829" t="s">
        <v>2084</v>
      </c>
      <c r="AD1020" s="2696"/>
      <c r="AG1020" s="2711"/>
    </row>
    <row r="1021" spans="1:33" ht="29" hidden="1" x14ac:dyDescent="0.35">
      <c r="A1021" s="1899">
        <v>43945</v>
      </c>
      <c r="B1021" s="2760">
        <v>6</v>
      </c>
      <c r="C1021" s="7" t="s">
        <v>10997</v>
      </c>
      <c r="D1021" s="2700" t="s">
        <v>10998</v>
      </c>
      <c r="E1021" s="2142" t="s">
        <v>10999</v>
      </c>
      <c r="F1021" s="2824"/>
      <c r="G1021" s="10"/>
      <c r="H1021" s="10"/>
      <c r="I1021" s="10"/>
      <c r="J1021" s="10"/>
      <c r="K1021" s="10"/>
      <c r="L1021" s="817"/>
      <c r="M1021" s="817"/>
      <c r="N1021" s="817"/>
      <c r="O1021" s="817"/>
      <c r="P1021" s="1899">
        <v>43946</v>
      </c>
      <c r="Q1021" s="2769"/>
      <c r="R1021" s="2708" t="s">
        <v>11000</v>
      </c>
      <c r="S1021" s="2770"/>
      <c r="T1021" s="836">
        <v>0.58333333333333337</v>
      </c>
      <c r="U1021" s="2694">
        <v>0.68333333333333324</v>
      </c>
      <c r="V1021" s="2694"/>
      <c r="W1021" s="1956">
        <f>1.3*120</f>
        <v>156</v>
      </c>
      <c r="X1021" s="817" t="s">
        <v>257</v>
      </c>
      <c r="Y1021" s="2772" t="s">
        <v>17</v>
      </c>
      <c r="Z1021" s="817"/>
      <c r="AA1021" s="817"/>
      <c r="AB1021" s="817" t="s">
        <v>17</v>
      </c>
      <c r="AC1021" s="817" t="s">
        <v>6041</v>
      </c>
      <c r="AD1021" s="2696"/>
      <c r="AG1021" s="2711"/>
    </row>
    <row r="1022" spans="1:33" ht="29" hidden="1" x14ac:dyDescent="0.35">
      <c r="A1022" s="2486">
        <v>43944</v>
      </c>
      <c r="B1022" s="2760">
        <v>7</v>
      </c>
      <c r="C1022" s="5" t="s">
        <v>9549</v>
      </c>
      <c r="D1022" s="2700" t="s">
        <v>9550</v>
      </c>
      <c r="E1022" s="5" t="s">
        <v>11005</v>
      </c>
      <c r="F1022" s="5"/>
      <c r="G1022" s="5"/>
      <c r="H1022" s="5"/>
      <c r="I1022" s="5"/>
      <c r="J1022" s="5"/>
      <c r="K1022" s="5"/>
      <c r="L1022" s="817"/>
      <c r="M1022" s="817"/>
      <c r="N1022" s="817"/>
      <c r="O1022" s="817"/>
      <c r="P1022" s="2486">
        <v>43946</v>
      </c>
      <c r="Q1022" s="2828"/>
      <c r="R1022" s="2829" t="s">
        <v>10979</v>
      </c>
      <c r="S1022" s="2829"/>
      <c r="T1022" s="2694">
        <v>0.58333333333333337</v>
      </c>
      <c r="U1022" s="2694">
        <v>0.70833333333333337</v>
      </c>
      <c r="V1022" s="2694"/>
      <c r="W1022" s="1956">
        <v>120</v>
      </c>
      <c r="X1022" s="2829" t="s">
        <v>257</v>
      </c>
      <c r="Y1022" s="2772" t="s">
        <v>15</v>
      </c>
      <c r="Z1022" s="2770"/>
      <c r="AA1022" s="2770"/>
      <c r="AB1022" s="2770" t="s">
        <v>17</v>
      </c>
      <c r="AC1022" s="2770" t="s">
        <v>6041</v>
      </c>
      <c r="AD1022" s="2696"/>
      <c r="AG1022" s="2711"/>
    </row>
    <row r="1023" spans="1:33" ht="87" hidden="1" x14ac:dyDescent="0.35">
      <c r="A1023" s="2828">
        <v>43947</v>
      </c>
      <c r="B1023" s="2760">
        <v>1</v>
      </c>
      <c r="C1023" s="817" t="s">
        <v>11013</v>
      </c>
      <c r="D1023" s="2700" t="s">
        <v>10136</v>
      </c>
      <c r="E1023" s="817" t="s">
        <v>11014</v>
      </c>
      <c r="F1023" s="817"/>
      <c r="G1023" s="817"/>
      <c r="H1023" s="817"/>
      <c r="I1023" s="817"/>
      <c r="J1023" s="817"/>
      <c r="K1023" s="817"/>
      <c r="L1023" s="817"/>
      <c r="M1023" s="817"/>
      <c r="N1023" s="817"/>
      <c r="O1023" s="817"/>
      <c r="P1023" s="2828">
        <v>43948</v>
      </c>
      <c r="Q1023" s="2769"/>
      <c r="R1023" s="2829" t="s">
        <v>11015</v>
      </c>
      <c r="S1023" s="2770"/>
      <c r="T1023" s="2694">
        <v>0.47916666666666669</v>
      </c>
      <c r="U1023" s="2694">
        <v>0.5</v>
      </c>
      <c r="V1023" s="2694"/>
      <c r="W1023" s="1809">
        <f>120*1.6</f>
        <v>192</v>
      </c>
      <c r="X1023" s="817" t="s">
        <v>11027</v>
      </c>
      <c r="Y1023" s="2772" t="s">
        <v>15</v>
      </c>
      <c r="Z1023" s="817"/>
      <c r="AA1023" s="817"/>
      <c r="AB1023" s="817" t="s">
        <v>17</v>
      </c>
      <c r="AC1023" s="817" t="s">
        <v>10908</v>
      </c>
      <c r="AD1023" s="2696"/>
      <c r="AG1023" s="2711"/>
    </row>
    <row r="1024" spans="1:33" ht="58" hidden="1" x14ac:dyDescent="0.35">
      <c r="A1024" s="2146">
        <v>43944</v>
      </c>
      <c r="B1024" s="2778">
        <v>2</v>
      </c>
      <c r="C1024" s="1733" t="s">
        <v>9640</v>
      </c>
      <c r="D1024" s="2826" t="s">
        <v>1916</v>
      </c>
      <c r="E1024" s="1733" t="s">
        <v>10985</v>
      </c>
      <c r="F1024" s="5"/>
      <c r="G1024" s="5"/>
      <c r="H1024" s="5"/>
      <c r="I1024" s="5"/>
      <c r="J1024" s="5"/>
      <c r="K1024" s="5"/>
      <c r="L1024" s="817"/>
      <c r="M1024" s="817"/>
      <c r="N1024" s="817"/>
      <c r="O1024" s="817"/>
      <c r="P1024" s="2146">
        <v>43948</v>
      </c>
      <c r="Q1024" s="2769"/>
      <c r="R1024" s="2000" t="s">
        <v>10986</v>
      </c>
      <c r="S1024" s="2770"/>
      <c r="T1024" s="2694">
        <v>0.47916666666666669</v>
      </c>
      <c r="U1024" s="2694" t="s">
        <v>972</v>
      </c>
      <c r="V1024" s="2694"/>
      <c r="W1024" s="1809">
        <v>150</v>
      </c>
      <c r="X1024" s="2770" t="s">
        <v>10987</v>
      </c>
      <c r="Y1024" s="2772" t="s">
        <v>15</v>
      </c>
      <c r="Z1024" s="2770"/>
      <c r="AA1024" s="2770"/>
      <c r="AB1024" s="2770" t="s">
        <v>5995</v>
      </c>
      <c r="AC1024" s="2770" t="s">
        <v>10908</v>
      </c>
      <c r="AD1024" s="2696"/>
      <c r="AG1024" s="2711"/>
    </row>
    <row r="1025" spans="1:33" ht="87" hidden="1" x14ac:dyDescent="0.35">
      <c r="A1025" s="2486">
        <v>43945</v>
      </c>
      <c r="B1025" s="2760">
        <v>3</v>
      </c>
      <c r="C1025" s="5" t="s">
        <v>11007</v>
      </c>
      <c r="D1025" s="2700" t="s">
        <v>11008</v>
      </c>
      <c r="E1025" s="5" t="s">
        <v>11009</v>
      </c>
      <c r="F1025" s="5"/>
      <c r="G1025" s="5"/>
      <c r="H1025" s="5"/>
      <c r="I1025" s="5"/>
      <c r="J1025" s="5"/>
      <c r="K1025" s="5"/>
      <c r="L1025" s="817"/>
      <c r="M1025" s="817"/>
      <c r="N1025" s="817"/>
      <c r="O1025" s="817"/>
      <c r="P1025" s="2486">
        <v>43948</v>
      </c>
      <c r="Q1025" s="2769"/>
      <c r="R1025" s="2829" t="s">
        <v>11006</v>
      </c>
      <c r="S1025" s="2770"/>
      <c r="T1025" s="2694">
        <v>0.47916666666666669</v>
      </c>
      <c r="U1025" s="2694" t="s">
        <v>972</v>
      </c>
      <c r="V1025" s="2694"/>
      <c r="W1025" s="1809">
        <v>295</v>
      </c>
      <c r="X1025" s="2829" t="s">
        <v>11010</v>
      </c>
      <c r="Y1025" s="2772" t="s">
        <v>15</v>
      </c>
      <c r="Z1025" s="2829"/>
      <c r="AA1025" s="2829"/>
      <c r="AB1025" s="2829" t="s">
        <v>17</v>
      </c>
      <c r="AC1025" s="2829" t="s">
        <v>6045</v>
      </c>
      <c r="AD1025" s="2696"/>
      <c r="AG1025" s="2711"/>
    </row>
    <row r="1026" spans="1:33" ht="43.5" x14ac:dyDescent="0.35">
      <c r="A1026" s="2486">
        <v>43948</v>
      </c>
      <c r="B1026" s="2760"/>
      <c r="C1026" s="5" t="s">
        <v>11080</v>
      </c>
      <c r="D1026" s="2700" t="s">
        <v>10005</v>
      </c>
      <c r="E1026" s="2725" t="s">
        <v>11082</v>
      </c>
      <c r="F1026" s="5"/>
      <c r="G1026" s="5"/>
      <c r="H1026" s="5"/>
      <c r="I1026" s="5"/>
      <c r="J1026" s="5"/>
      <c r="K1026" s="5"/>
      <c r="L1026" s="817"/>
      <c r="M1026" s="817"/>
      <c r="N1026" s="817"/>
      <c r="O1026" s="817"/>
      <c r="P1026" s="2486">
        <v>43950</v>
      </c>
      <c r="Q1026" s="2836"/>
      <c r="R1026" s="2837" t="s">
        <v>11081</v>
      </c>
      <c r="S1026" s="2837"/>
      <c r="T1026" s="2843" t="s">
        <v>15</v>
      </c>
      <c r="U1026" s="2843">
        <v>0.5</v>
      </c>
      <c r="V1026" s="2843"/>
      <c r="W1026" s="1956">
        <v>120</v>
      </c>
      <c r="X1026" s="2837" t="s">
        <v>7458</v>
      </c>
      <c r="Y1026" s="2772"/>
      <c r="Z1026" s="2837"/>
      <c r="AA1026" s="2837"/>
      <c r="AB1026" s="2837" t="s">
        <v>6046</v>
      </c>
      <c r="AC1026" s="2837" t="s">
        <v>6041</v>
      </c>
      <c r="AD1026" s="2696"/>
      <c r="AG1026" s="2711"/>
    </row>
    <row r="1027" spans="1:33" ht="116" x14ac:dyDescent="0.35">
      <c r="A1027" s="2486">
        <v>43948</v>
      </c>
      <c r="B1027" s="2760"/>
      <c r="C1027" s="5" t="s">
        <v>11071</v>
      </c>
      <c r="D1027" s="2700" t="s">
        <v>15</v>
      </c>
      <c r="E1027" s="5" t="s">
        <v>5719</v>
      </c>
      <c r="F1027" s="5"/>
      <c r="G1027" s="5"/>
      <c r="H1027" s="5"/>
      <c r="I1027" s="5"/>
      <c r="J1027" s="5"/>
      <c r="K1027" s="5"/>
      <c r="L1027" s="817"/>
      <c r="M1027" s="817"/>
      <c r="N1027" s="817"/>
      <c r="O1027" s="817"/>
      <c r="P1027" s="2486">
        <v>43949</v>
      </c>
      <c r="Q1027" s="2836"/>
      <c r="R1027" s="2706" t="s">
        <v>11072</v>
      </c>
      <c r="S1027" s="2837"/>
      <c r="T1027" s="2843" t="s">
        <v>15</v>
      </c>
      <c r="U1027" s="2843" t="s">
        <v>972</v>
      </c>
      <c r="V1027" s="2843"/>
      <c r="W1027" s="1956">
        <v>99</v>
      </c>
      <c r="X1027" s="2837" t="s">
        <v>7458</v>
      </c>
      <c r="Y1027" s="2772"/>
      <c r="Z1027" s="2837"/>
      <c r="AA1027" s="2837"/>
      <c r="AB1027" s="2837" t="s">
        <v>17</v>
      </c>
      <c r="AC1027" s="2837" t="s">
        <v>6041</v>
      </c>
      <c r="AD1027" s="2696"/>
      <c r="AG1027" s="2711"/>
    </row>
    <row r="1028" spans="1:33" ht="58" x14ac:dyDescent="0.35">
      <c r="A1028" s="2486">
        <v>43948</v>
      </c>
      <c r="B1028" s="2760"/>
      <c r="C1028" s="5" t="s">
        <v>11073</v>
      </c>
      <c r="D1028" s="2700" t="s">
        <v>10033</v>
      </c>
      <c r="E1028" s="2725" t="s">
        <v>11075</v>
      </c>
      <c r="F1028" s="5"/>
      <c r="G1028" s="5"/>
      <c r="H1028" s="5"/>
      <c r="I1028" s="5"/>
      <c r="J1028" s="5"/>
      <c r="K1028" s="5"/>
      <c r="L1028" s="817"/>
      <c r="M1028" s="817"/>
      <c r="N1028" s="817"/>
      <c r="O1028" s="817"/>
      <c r="P1028" s="2486">
        <v>43952</v>
      </c>
      <c r="Q1028" s="2836"/>
      <c r="R1028" s="2837" t="s">
        <v>11074</v>
      </c>
      <c r="S1028" s="2837"/>
      <c r="T1028" s="2843" t="s">
        <v>15</v>
      </c>
      <c r="U1028" s="2843" t="s">
        <v>1594</v>
      </c>
      <c r="V1028" s="2843"/>
      <c r="W1028" s="1956">
        <v>100</v>
      </c>
      <c r="X1028" s="2837" t="s">
        <v>7458</v>
      </c>
      <c r="Y1028" s="2772"/>
      <c r="Z1028" s="2837"/>
      <c r="AA1028" s="2837"/>
      <c r="AB1028" s="2837" t="s">
        <v>17</v>
      </c>
      <c r="AC1028" s="2837" t="s">
        <v>6041</v>
      </c>
      <c r="AD1028" s="2696"/>
      <c r="AG1028" s="2711"/>
    </row>
    <row r="1029" spans="1:33" ht="116" x14ac:dyDescent="0.35">
      <c r="A1029" s="2486">
        <v>43948</v>
      </c>
      <c r="B1029" s="2760"/>
      <c r="C1029" s="5" t="s">
        <v>11076</v>
      </c>
      <c r="D1029" s="2700" t="s">
        <v>9206</v>
      </c>
      <c r="E1029" s="5" t="s">
        <v>11077</v>
      </c>
      <c r="F1029" s="5"/>
      <c r="G1029" s="5"/>
      <c r="H1029" s="5"/>
      <c r="I1029" s="5"/>
      <c r="J1029" s="5"/>
      <c r="K1029" s="5"/>
      <c r="L1029" s="817"/>
      <c r="M1029" s="817"/>
      <c r="N1029" s="817"/>
      <c r="O1029" s="817"/>
      <c r="P1029" s="2486">
        <v>43951</v>
      </c>
      <c r="Q1029" s="2836"/>
      <c r="R1029" s="2706" t="s">
        <v>11078</v>
      </c>
      <c r="S1029" s="2837"/>
      <c r="T1029" s="2843" t="s">
        <v>15</v>
      </c>
      <c r="U1029" s="2843" t="s">
        <v>11079</v>
      </c>
      <c r="V1029" s="2843"/>
      <c r="W1029" s="1956">
        <v>339</v>
      </c>
      <c r="X1029" s="2837" t="s">
        <v>7458</v>
      </c>
      <c r="Y1029" s="2772"/>
      <c r="Z1029" s="2837"/>
      <c r="AA1029" s="2837"/>
      <c r="AB1029" s="2837" t="s">
        <v>17</v>
      </c>
      <c r="AC1029" s="2837" t="s">
        <v>6041</v>
      </c>
      <c r="AD1029" s="2696"/>
      <c r="AG1029" s="2711"/>
    </row>
    <row r="1030" spans="1:33" ht="159.5" x14ac:dyDescent="0.35">
      <c r="A1030" s="1999">
        <v>43948</v>
      </c>
      <c r="B1030" s="2778"/>
      <c r="C1030" s="1850" t="s">
        <v>11067</v>
      </c>
      <c r="D1030" s="2811" t="s">
        <v>11068</v>
      </c>
      <c r="E1030" s="1850" t="s">
        <v>11065</v>
      </c>
      <c r="F1030" s="1850"/>
      <c r="G1030" s="1850"/>
      <c r="H1030" s="1850"/>
      <c r="I1030" s="1850"/>
      <c r="J1030" s="1850"/>
      <c r="K1030" s="1850"/>
      <c r="L1030" s="1850"/>
      <c r="M1030" s="1850"/>
      <c r="N1030" s="1850"/>
      <c r="O1030" s="1850"/>
      <c r="P1030" s="1999">
        <v>43951</v>
      </c>
      <c r="Q1030" s="1999"/>
      <c r="R1030" s="2825" t="s">
        <v>11066</v>
      </c>
      <c r="S1030" s="2000"/>
      <c r="T1030" s="1864" t="s">
        <v>15</v>
      </c>
      <c r="U1030" s="2694" t="s">
        <v>11069</v>
      </c>
      <c r="V1030" s="2694"/>
      <c r="W1030" s="1809">
        <v>187</v>
      </c>
      <c r="X1030" s="817" t="s">
        <v>11070</v>
      </c>
      <c r="Y1030" s="2772" t="s">
        <v>15</v>
      </c>
      <c r="Z1030" s="817"/>
      <c r="AA1030" s="817"/>
      <c r="AB1030" s="817" t="s">
        <v>17</v>
      </c>
      <c r="AC1030" s="817" t="s">
        <v>10908</v>
      </c>
      <c r="AD1030" s="2696"/>
      <c r="AG1030" s="2711"/>
    </row>
    <row r="1031" spans="1:33" ht="43.5" hidden="1" x14ac:dyDescent="0.35">
      <c r="A1031" s="2836">
        <v>43947</v>
      </c>
      <c r="B1031" s="2760"/>
      <c r="C1031" s="817" t="s">
        <v>11016</v>
      </c>
      <c r="D1031" s="2700" t="s">
        <v>11017</v>
      </c>
      <c r="E1031" s="817" t="s">
        <v>11018</v>
      </c>
      <c r="F1031" s="817"/>
      <c r="G1031" s="817"/>
      <c r="H1031" s="817"/>
      <c r="I1031" s="817"/>
      <c r="J1031" s="817"/>
      <c r="K1031" s="817"/>
      <c r="L1031" s="817"/>
      <c r="M1031" s="817"/>
      <c r="N1031" s="817"/>
      <c r="O1031" s="817"/>
      <c r="P1031" s="2828">
        <v>43949</v>
      </c>
      <c r="Q1031" s="2828"/>
      <c r="R1031" s="2829" t="s">
        <v>5494</v>
      </c>
      <c r="S1031" s="2829"/>
      <c r="T1031" s="2694">
        <v>0.45833333333333331</v>
      </c>
      <c r="U1031" s="2694">
        <v>0.45833333333333331</v>
      </c>
      <c r="V1031" s="2694"/>
      <c r="W1031" s="1809">
        <f>1.6*90</f>
        <v>144</v>
      </c>
      <c r="X1031" s="817" t="s">
        <v>11019</v>
      </c>
      <c r="Y1031" s="2772" t="s">
        <v>15</v>
      </c>
      <c r="Z1031" s="817"/>
      <c r="AA1031" s="817"/>
      <c r="AB1031" s="817" t="s">
        <v>17</v>
      </c>
      <c r="AC1031" s="817" t="s">
        <v>2084</v>
      </c>
      <c r="AD1031" s="2696"/>
      <c r="AG1031" s="2711"/>
    </row>
    <row r="1032" spans="1:33" ht="58" hidden="1" x14ac:dyDescent="0.35">
      <c r="A1032" s="2486">
        <v>43945</v>
      </c>
      <c r="B1032" s="2760"/>
      <c r="C1032" s="5" t="s">
        <v>10996</v>
      </c>
      <c r="D1032" s="2700" t="s">
        <v>9810</v>
      </c>
      <c r="E1032" s="5" t="s">
        <v>10994</v>
      </c>
      <c r="F1032" s="5"/>
      <c r="G1032" s="5"/>
      <c r="H1032" s="5"/>
      <c r="I1032" s="5"/>
      <c r="J1032" s="5"/>
      <c r="K1032" s="5"/>
      <c r="L1032" s="817"/>
      <c r="M1032" s="817"/>
      <c r="N1032" s="817"/>
      <c r="O1032" s="817"/>
      <c r="P1032" s="2486">
        <v>43949</v>
      </c>
      <c r="Q1032" s="2769"/>
      <c r="R1032" s="2706" t="s">
        <v>10995</v>
      </c>
      <c r="S1032" s="2770"/>
      <c r="T1032" s="2694" t="s">
        <v>15</v>
      </c>
      <c r="U1032" s="2694">
        <v>0.45833333333333331</v>
      </c>
      <c r="V1032" s="2694"/>
      <c r="W1032" s="1956">
        <v>180</v>
      </c>
      <c r="X1032" s="2829" t="s">
        <v>8625</v>
      </c>
      <c r="Y1032" s="2772" t="s">
        <v>15</v>
      </c>
      <c r="Z1032" s="2829"/>
      <c r="AA1032" s="2829"/>
      <c r="AB1032" s="2829" t="s">
        <v>17</v>
      </c>
      <c r="AC1032" s="2829" t="s">
        <v>6041</v>
      </c>
      <c r="AD1032" s="2696"/>
      <c r="AG1032" s="2711"/>
    </row>
    <row r="1033" spans="1:33" ht="43.5" x14ac:dyDescent="0.35">
      <c r="A1033" s="1899">
        <v>43948</v>
      </c>
      <c r="B1033" s="2760"/>
      <c r="C1033" s="5" t="s">
        <v>11032</v>
      </c>
      <c r="D1033" s="2700" t="s">
        <v>11033</v>
      </c>
      <c r="E1033" s="817" t="s">
        <v>11034</v>
      </c>
      <c r="F1033" s="2835"/>
      <c r="G1033" s="2835"/>
      <c r="H1033" s="2835"/>
      <c r="I1033" s="2835"/>
      <c r="J1033" s="2835"/>
      <c r="K1033" s="7"/>
      <c r="L1033" s="817"/>
      <c r="M1033" s="817"/>
      <c r="N1033" s="817"/>
      <c r="O1033" s="817"/>
      <c r="P1033" s="1899">
        <v>43949</v>
      </c>
      <c r="Q1033" s="2836"/>
      <c r="R1033" s="824" t="s">
        <v>11035</v>
      </c>
      <c r="S1033" s="2837"/>
      <c r="T1033" s="6" t="s">
        <v>15</v>
      </c>
      <c r="U1033" s="2843" t="s">
        <v>11036</v>
      </c>
      <c r="V1033" s="2838"/>
      <c r="W1033" s="2839">
        <v>120</v>
      </c>
      <c r="X1033" s="817" t="s">
        <v>257</v>
      </c>
      <c r="Y1033" s="2840"/>
      <c r="Z1033" s="2694"/>
      <c r="AA1033" s="2694"/>
      <c r="AB1033" s="817" t="s">
        <v>974</v>
      </c>
      <c r="AC1033" s="817" t="s">
        <v>6096</v>
      </c>
      <c r="AD1033" s="2841"/>
      <c r="AG1033" s="2711"/>
    </row>
    <row r="1034" spans="1:33" ht="29" hidden="1" x14ac:dyDescent="0.35">
      <c r="A1034" s="2836">
        <v>43947</v>
      </c>
      <c r="B1034" s="2760"/>
      <c r="C1034" s="817" t="s">
        <v>9640</v>
      </c>
      <c r="D1034" s="2696" t="s">
        <v>11011</v>
      </c>
      <c r="E1034" s="817" t="s">
        <v>7935</v>
      </c>
      <c r="F1034" s="817"/>
      <c r="G1034" s="817"/>
      <c r="H1034" s="817"/>
      <c r="I1034" s="817"/>
      <c r="J1034" s="817"/>
      <c r="K1034" s="817"/>
      <c r="L1034" s="817"/>
      <c r="M1034" s="817"/>
      <c r="N1034" s="817"/>
      <c r="O1034" s="817"/>
      <c r="P1034" s="2828">
        <v>43950</v>
      </c>
      <c r="Q1034" s="2769"/>
      <c r="R1034" s="2829" t="s">
        <v>11012</v>
      </c>
      <c r="S1034" s="2770"/>
      <c r="T1034" s="2694" t="s">
        <v>15</v>
      </c>
      <c r="U1034" s="2694" t="s">
        <v>972</v>
      </c>
      <c r="V1034" s="2694"/>
      <c r="W1034" s="1809">
        <v>100</v>
      </c>
      <c r="X1034" s="817" t="s">
        <v>257</v>
      </c>
      <c r="Y1034" s="2772" t="s">
        <v>15</v>
      </c>
      <c r="Z1034" s="817"/>
      <c r="AA1034" s="817"/>
      <c r="AB1034" s="817" t="s">
        <v>17</v>
      </c>
      <c r="AC1034" s="817" t="s">
        <v>10908</v>
      </c>
      <c r="AD1034" s="2696"/>
      <c r="AG1034" s="2711"/>
    </row>
    <row r="1035" spans="1:33" ht="43.5" hidden="1" x14ac:dyDescent="0.35">
      <c r="A1035" s="2836">
        <v>43947</v>
      </c>
      <c r="B1035" s="2760"/>
      <c r="C1035" s="817" t="s">
        <v>11023</v>
      </c>
      <c r="D1035" s="2700" t="s">
        <v>11024</v>
      </c>
      <c r="E1035" s="817" t="s">
        <v>11026</v>
      </c>
      <c r="F1035" s="817"/>
      <c r="G1035" s="817"/>
      <c r="H1035" s="817"/>
      <c r="I1035" s="817"/>
      <c r="J1035" s="817"/>
      <c r="K1035" s="817"/>
      <c r="L1035" s="817"/>
      <c r="M1035" s="817"/>
      <c r="N1035" s="817"/>
      <c r="O1035" s="817"/>
      <c r="P1035" s="2828">
        <v>43950</v>
      </c>
      <c r="Q1035" s="2720"/>
      <c r="R1035" s="2706" t="s">
        <v>11025</v>
      </c>
      <c r="S1035" s="2721"/>
      <c r="T1035" s="2694" t="s">
        <v>15</v>
      </c>
      <c r="U1035" s="2694">
        <v>0.58333333333333337</v>
      </c>
      <c r="V1035" s="2694"/>
      <c r="W1035" s="1956">
        <v>150</v>
      </c>
      <c r="X1035" s="817" t="s">
        <v>8625</v>
      </c>
      <c r="Y1035" s="2772" t="s">
        <v>15</v>
      </c>
      <c r="Z1035" s="817"/>
      <c r="AA1035" s="817"/>
      <c r="AB1035" s="817" t="s">
        <v>17</v>
      </c>
      <c r="AC1035" s="817" t="s">
        <v>6041</v>
      </c>
      <c r="AD1035" s="2696"/>
      <c r="AG1035" s="2711"/>
    </row>
    <row r="1036" spans="1:33" ht="43.5" hidden="1" x14ac:dyDescent="0.35">
      <c r="A1036" s="1899">
        <v>43944</v>
      </c>
      <c r="B1036" s="2760"/>
      <c r="C1036" s="7" t="s">
        <v>10960</v>
      </c>
      <c r="D1036" s="2696" t="s">
        <v>10107</v>
      </c>
      <c r="E1036" s="7" t="s">
        <v>10661</v>
      </c>
      <c r="F1036" s="2679"/>
      <c r="G1036" s="5"/>
      <c r="H1036" s="5"/>
      <c r="I1036" s="5"/>
      <c r="J1036" s="5"/>
      <c r="K1036" s="5"/>
      <c r="L1036" s="817"/>
      <c r="M1036" s="817"/>
      <c r="N1036" s="817"/>
      <c r="O1036" s="817"/>
      <c r="P1036" s="1899">
        <v>43950</v>
      </c>
      <c r="Q1036" s="2720"/>
      <c r="R1036" s="881" t="s">
        <v>8826</v>
      </c>
      <c r="S1036" s="2721"/>
      <c r="T1036" s="836" t="s">
        <v>15</v>
      </c>
      <c r="U1036" s="2694" t="s">
        <v>972</v>
      </c>
      <c r="V1036" s="2694"/>
      <c r="W1036" s="1809">
        <v>100</v>
      </c>
      <c r="X1036" s="817" t="s">
        <v>10959</v>
      </c>
      <c r="Y1036" s="2772" t="s">
        <v>98</v>
      </c>
      <c r="Z1036" s="817"/>
      <c r="AA1036" s="817"/>
      <c r="AB1036" s="817" t="s">
        <v>17</v>
      </c>
      <c r="AC1036" s="817" t="s">
        <v>2084</v>
      </c>
      <c r="AD1036" s="2696"/>
      <c r="AG1036" s="2711"/>
    </row>
    <row r="1037" spans="1:33" ht="58" hidden="1" x14ac:dyDescent="0.35">
      <c r="A1037" s="1899">
        <v>43944</v>
      </c>
      <c r="B1037" s="2760"/>
      <c r="C1037" s="7" t="s">
        <v>10948</v>
      </c>
      <c r="D1037" s="2700" t="s">
        <v>10153</v>
      </c>
      <c r="E1037" s="7" t="s">
        <v>10952</v>
      </c>
      <c r="F1037" s="2679"/>
      <c r="G1037" s="5"/>
      <c r="H1037" s="5"/>
      <c r="I1037" s="5"/>
      <c r="J1037" s="5"/>
      <c r="K1037" s="5"/>
      <c r="L1037" s="817"/>
      <c r="M1037" s="817"/>
      <c r="N1037" s="817"/>
      <c r="O1037" s="817"/>
      <c r="P1037" s="1899">
        <v>43950</v>
      </c>
      <c r="Q1037" s="2769"/>
      <c r="R1037" s="881" t="s">
        <v>10949</v>
      </c>
      <c r="S1037" s="2770"/>
      <c r="T1037" s="836" t="s">
        <v>15</v>
      </c>
      <c r="U1037" s="2694" t="s">
        <v>972</v>
      </c>
      <c r="V1037" s="2694"/>
      <c r="W1037" s="1956">
        <v>168</v>
      </c>
      <c r="X1037" s="817" t="s">
        <v>8592</v>
      </c>
      <c r="Y1037" s="2772" t="s">
        <v>15</v>
      </c>
      <c r="Z1037" s="817"/>
      <c r="AA1037" s="817"/>
      <c r="AB1037" s="817" t="s">
        <v>17</v>
      </c>
      <c r="AC1037" s="817" t="s">
        <v>6041</v>
      </c>
      <c r="AD1037" s="2696"/>
      <c r="AG1037" s="2711"/>
    </row>
    <row r="1038" spans="1:33" ht="43.5" hidden="1" x14ac:dyDescent="0.35">
      <c r="A1038" s="1899">
        <v>43934</v>
      </c>
      <c r="B1038" s="2759">
        <v>9</v>
      </c>
      <c r="C1038" s="7" t="s">
        <v>10437</v>
      </c>
      <c r="D1038" s="2707" t="s">
        <v>10963</v>
      </c>
      <c r="E1038" s="7" t="s">
        <v>8553</v>
      </c>
      <c r="F1038" s="7">
        <v>1</v>
      </c>
      <c r="G1038" s="7">
        <v>1</v>
      </c>
      <c r="H1038" s="7"/>
      <c r="I1038" s="7"/>
      <c r="J1038" s="7"/>
      <c r="K1038" s="7"/>
      <c r="L1038" s="817"/>
      <c r="M1038" s="817"/>
      <c r="N1038" s="817"/>
      <c r="O1038" s="817"/>
      <c r="P1038" s="1899">
        <v>43950</v>
      </c>
      <c r="Q1038" s="2746"/>
      <c r="R1038" s="2708" t="s">
        <v>10438</v>
      </c>
      <c r="S1038" s="2747"/>
      <c r="T1038" s="836" t="s">
        <v>15</v>
      </c>
      <c r="U1038" s="836">
        <v>0.44166666666666665</v>
      </c>
      <c r="V1038" s="836" t="s">
        <v>972</v>
      </c>
      <c r="W1038" s="1956">
        <v>100</v>
      </c>
      <c r="X1038" s="817" t="s">
        <v>8625</v>
      </c>
      <c r="Y1038" s="2772"/>
      <c r="Z1038" s="7"/>
      <c r="AA1038" s="7"/>
      <c r="AB1038" s="7" t="s">
        <v>17</v>
      </c>
      <c r="AC1038" s="7" t="s">
        <v>7451</v>
      </c>
      <c r="AD1038" s="2696"/>
      <c r="AG1038" s="2711"/>
    </row>
    <row r="1039" spans="1:33" ht="58" hidden="1" x14ac:dyDescent="0.35">
      <c r="A1039" s="2486">
        <v>43944</v>
      </c>
      <c r="B1039" s="2760"/>
      <c r="C1039" s="5" t="s">
        <v>10975</v>
      </c>
      <c r="D1039" s="2696" t="s">
        <v>10126</v>
      </c>
      <c r="E1039" s="5" t="s">
        <v>10977</v>
      </c>
      <c r="F1039" s="5"/>
      <c r="G1039" s="5"/>
      <c r="H1039" s="5"/>
      <c r="I1039" s="5"/>
      <c r="J1039" s="5"/>
      <c r="K1039" s="5"/>
      <c r="L1039" s="817"/>
      <c r="M1039" s="817"/>
      <c r="N1039" s="817"/>
      <c r="O1039" s="817"/>
      <c r="P1039" s="2486">
        <v>43950</v>
      </c>
      <c r="Q1039" s="2769"/>
      <c r="R1039" s="2829" t="s">
        <v>10978</v>
      </c>
      <c r="S1039" s="2688"/>
      <c r="T1039" s="2829" t="s">
        <v>15</v>
      </c>
      <c r="U1039" s="2694" t="s">
        <v>972</v>
      </c>
      <c r="V1039" s="2694"/>
      <c r="W1039" s="1956">
        <v>128</v>
      </c>
      <c r="X1039" s="2829" t="s">
        <v>8625</v>
      </c>
      <c r="Y1039" s="2772" t="s">
        <v>15</v>
      </c>
      <c r="Z1039" s="2829"/>
      <c r="AA1039" s="2829"/>
      <c r="AB1039" s="2829" t="s">
        <v>17</v>
      </c>
      <c r="AC1039" s="2829" t="s">
        <v>6041</v>
      </c>
      <c r="AD1039" s="2696"/>
      <c r="AG1039" s="2711"/>
    </row>
    <row r="1040" spans="1:33" ht="43.5" hidden="1" x14ac:dyDescent="0.35">
      <c r="A1040" s="1899">
        <v>43942</v>
      </c>
      <c r="B1040" s="2760"/>
      <c r="C1040" s="5" t="s">
        <v>8744</v>
      </c>
      <c r="D1040" s="2712" t="s">
        <v>9865</v>
      </c>
      <c r="E1040" s="817" t="s">
        <v>10894</v>
      </c>
      <c r="F1040" s="2735"/>
      <c r="G1040" s="2735"/>
      <c r="H1040" s="2735"/>
      <c r="I1040" s="2735"/>
      <c r="J1040" s="2735"/>
      <c r="K1040" s="7"/>
      <c r="L1040" s="817"/>
      <c r="M1040" s="817"/>
      <c r="N1040" s="817"/>
      <c r="O1040" s="817"/>
      <c r="P1040" s="1899">
        <v>43950</v>
      </c>
      <c r="Q1040" s="2828"/>
      <c r="R1040" s="824" t="s">
        <v>8743</v>
      </c>
      <c r="S1040" s="2829"/>
      <c r="T1040" s="6" t="s">
        <v>15</v>
      </c>
      <c r="U1040" s="2694" t="s">
        <v>972</v>
      </c>
      <c r="V1040" s="2771"/>
      <c r="W1040" s="2738">
        <v>0</v>
      </c>
      <c r="X1040" s="817" t="s">
        <v>10895</v>
      </c>
      <c r="Y1040" s="2812"/>
      <c r="Z1040" s="2694"/>
      <c r="AA1040" s="2694"/>
      <c r="AB1040" s="817" t="s">
        <v>17</v>
      </c>
      <c r="AC1040" s="817" t="s">
        <v>7451</v>
      </c>
      <c r="AD1040" s="2739"/>
      <c r="AG1040" s="2711"/>
    </row>
    <row r="1041" spans="1:33" ht="29" x14ac:dyDescent="0.35">
      <c r="A1041" s="1899">
        <v>43948</v>
      </c>
      <c r="B1041" s="2760"/>
      <c r="C1041" s="5" t="s">
        <v>20</v>
      </c>
      <c r="D1041" s="2700" t="s">
        <v>20</v>
      </c>
      <c r="E1041" s="817" t="s">
        <v>11064</v>
      </c>
      <c r="F1041" s="2835"/>
      <c r="G1041" s="2835"/>
      <c r="H1041" s="2835"/>
      <c r="I1041" s="2835"/>
      <c r="J1041" s="2835"/>
      <c r="K1041" s="7"/>
      <c r="L1041" s="817"/>
      <c r="M1041" s="817"/>
      <c r="N1041" s="817"/>
      <c r="O1041" s="817"/>
      <c r="P1041" s="1899">
        <v>43949</v>
      </c>
      <c r="Q1041" s="2836"/>
      <c r="R1041" s="824" t="s">
        <v>20</v>
      </c>
      <c r="S1041" s="2837"/>
      <c r="T1041" s="6" t="s">
        <v>15</v>
      </c>
      <c r="U1041" s="2843" t="s">
        <v>15</v>
      </c>
      <c r="V1041" s="2838"/>
      <c r="W1041" s="2839">
        <v>0</v>
      </c>
      <c r="X1041" s="817" t="s">
        <v>20</v>
      </c>
      <c r="Y1041" s="2840"/>
      <c r="Z1041" s="2843"/>
      <c r="AA1041" s="2843"/>
      <c r="AB1041" s="817" t="s">
        <v>17</v>
      </c>
      <c r="AC1041" s="817" t="s">
        <v>20</v>
      </c>
      <c r="AD1041" s="2841"/>
      <c r="AG1041" s="2711"/>
    </row>
    <row r="1042" spans="1:33" ht="188.5" x14ac:dyDescent="0.35">
      <c r="A1042" s="2146">
        <v>43948</v>
      </c>
      <c r="B1042" s="2778"/>
      <c r="C1042" s="1733" t="s">
        <v>11062</v>
      </c>
      <c r="D1042" s="2811" t="s">
        <v>11059</v>
      </c>
      <c r="E1042" s="1850" t="s">
        <v>11060</v>
      </c>
      <c r="F1042" s="2835"/>
      <c r="G1042" s="2835"/>
      <c r="H1042" s="2835"/>
      <c r="I1042" s="2835"/>
      <c r="J1042" s="2835"/>
      <c r="K1042" s="7"/>
      <c r="L1042" s="817"/>
      <c r="M1042" s="817"/>
      <c r="N1042" s="817"/>
      <c r="O1042" s="817"/>
      <c r="P1042" s="2146">
        <v>43952</v>
      </c>
      <c r="Q1042" s="2836"/>
      <c r="R1042" s="2150" t="s">
        <v>11058</v>
      </c>
      <c r="S1042" s="2837"/>
      <c r="T1042" s="6" t="s">
        <v>15</v>
      </c>
      <c r="U1042" s="2843" t="s">
        <v>11061</v>
      </c>
      <c r="V1042" s="2838"/>
      <c r="W1042" s="2839">
        <v>240</v>
      </c>
      <c r="X1042" s="817" t="s">
        <v>11063</v>
      </c>
      <c r="Y1042" s="2840"/>
      <c r="Z1042" s="2843"/>
      <c r="AA1042" s="2843"/>
      <c r="AB1042" s="817" t="s">
        <v>17</v>
      </c>
      <c r="AC1042" s="817" t="s">
        <v>6096</v>
      </c>
      <c r="AD1042" s="2841"/>
      <c r="AG1042" s="2711"/>
    </row>
    <row r="1043" spans="1:33" ht="29" x14ac:dyDescent="0.35">
      <c r="A1043" s="1899">
        <v>43948</v>
      </c>
      <c r="B1043" s="2760"/>
      <c r="C1043" s="5" t="s">
        <v>11057</v>
      </c>
      <c r="D1043" s="2700" t="s">
        <v>10207</v>
      </c>
      <c r="E1043" s="817" t="s">
        <v>11055</v>
      </c>
      <c r="F1043" s="2835"/>
      <c r="G1043" s="2835"/>
      <c r="H1043" s="2835"/>
      <c r="I1043" s="2835"/>
      <c r="J1043" s="2835"/>
      <c r="K1043" s="7"/>
      <c r="L1043" s="817"/>
      <c r="M1043" s="817"/>
      <c r="N1043" s="817"/>
      <c r="O1043" s="817"/>
      <c r="P1043" s="1899">
        <v>43952</v>
      </c>
      <c r="Q1043" s="2836"/>
      <c r="R1043" s="2428" t="s">
        <v>11056</v>
      </c>
      <c r="S1043" s="2837"/>
      <c r="T1043" s="6" t="s">
        <v>15</v>
      </c>
      <c r="U1043" s="2843" t="s">
        <v>972</v>
      </c>
      <c r="V1043" s="2838"/>
      <c r="W1043" s="2839">
        <v>100</v>
      </c>
      <c r="X1043" s="817" t="s">
        <v>257</v>
      </c>
      <c r="Y1043" s="2840"/>
      <c r="Z1043" s="2843"/>
      <c r="AA1043" s="2843"/>
      <c r="AB1043" s="817" t="s">
        <v>17</v>
      </c>
      <c r="AC1043" s="817" t="s">
        <v>6096</v>
      </c>
      <c r="AD1043" s="2841"/>
      <c r="AG1043" s="2711"/>
    </row>
    <row r="1044" spans="1:33" ht="72.5" x14ac:dyDescent="0.35">
      <c r="A1044" s="1899">
        <v>43948</v>
      </c>
      <c r="B1044" s="2760"/>
      <c r="C1044" s="5" t="s">
        <v>11054</v>
      </c>
      <c r="D1044" s="2700" t="s">
        <v>9966</v>
      </c>
      <c r="E1044" s="817" t="s">
        <v>11052</v>
      </c>
      <c r="F1044" s="2835"/>
      <c r="G1044" s="2835"/>
      <c r="H1044" s="2835"/>
      <c r="I1044" s="2835"/>
      <c r="J1044" s="2835"/>
      <c r="K1044" s="7"/>
      <c r="L1044" s="817"/>
      <c r="M1044" s="817"/>
      <c r="N1044" s="817"/>
      <c r="O1044" s="817"/>
      <c r="P1044" s="1899">
        <v>43951</v>
      </c>
      <c r="Q1044" s="2836"/>
      <c r="R1044" s="824" t="s">
        <v>11051</v>
      </c>
      <c r="S1044" s="2837"/>
      <c r="T1044" s="6" t="s">
        <v>15</v>
      </c>
      <c r="U1044" s="2843" t="s">
        <v>972</v>
      </c>
      <c r="V1044" s="2838"/>
      <c r="W1044" s="2839">
        <v>90</v>
      </c>
      <c r="X1044" s="817" t="s">
        <v>11053</v>
      </c>
      <c r="Y1044" s="2840"/>
      <c r="Z1044" s="2843"/>
      <c r="AA1044" s="2843"/>
      <c r="AB1044" s="817" t="s">
        <v>17</v>
      </c>
      <c r="AC1044" s="817" t="s">
        <v>11050</v>
      </c>
      <c r="AD1044" s="2841"/>
      <c r="AG1044" s="2711"/>
    </row>
    <row r="1045" spans="1:33" ht="116" x14ac:dyDescent="0.35">
      <c r="A1045" s="1899">
        <v>43948</v>
      </c>
      <c r="B1045" s="2760"/>
      <c r="C1045" s="5" t="s">
        <v>11046</v>
      </c>
      <c r="D1045" s="2700" t="s">
        <v>11047</v>
      </c>
      <c r="E1045" s="817" t="s">
        <v>11048</v>
      </c>
      <c r="F1045" s="2835"/>
      <c r="G1045" s="2835"/>
      <c r="H1045" s="2835"/>
      <c r="I1045" s="2835"/>
      <c r="J1045" s="2835"/>
      <c r="K1045" s="7"/>
      <c r="L1045" s="817"/>
      <c r="M1045" s="817"/>
      <c r="N1045" s="817"/>
      <c r="O1045" s="817"/>
      <c r="P1045" s="1899">
        <v>43951</v>
      </c>
      <c r="Q1045" s="2836"/>
      <c r="R1045" s="824" t="s">
        <v>11049</v>
      </c>
      <c r="S1045" s="2837"/>
      <c r="T1045" s="6" t="s">
        <v>15</v>
      </c>
      <c r="U1045" s="2843" t="s">
        <v>972</v>
      </c>
      <c r="V1045" s="2838"/>
      <c r="W1045" s="2839">
        <v>200</v>
      </c>
      <c r="X1045" s="817" t="s">
        <v>4060</v>
      </c>
      <c r="Y1045" s="2840"/>
      <c r="Z1045" s="2843"/>
      <c r="AA1045" s="2843"/>
      <c r="AB1045" s="817" t="s">
        <v>17</v>
      </c>
      <c r="AC1045" s="817" t="s">
        <v>11050</v>
      </c>
      <c r="AD1045" s="2841"/>
      <c r="AG1045" s="2711"/>
    </row>
    <row r="1046" spans="1:33" ht="145" x14ac:dyDescent="0.35">
      <c r="A1046" s="1899">
        <v>43948</v>
      </c>
      <c r="B1046" s="2760"/>
      <c r="C1046" s="5" t="s">
        <v>11028</v>
      </c>
      <c r="D1046" s="2700" t="s">
        <v>9712</v>
      </c>
      <c r="E1046" s="817" t="s">
        <v>11031</v>
      </c>
      <c r="F1046" s="2835"/>
      <c r="G1046" s="2835"/>
      <c r="H1046" s="2835"/>
      <c r="I1046" s="2835"/>
      <c r="J1046" s="2835"/>
      <c r="K1046" s="7"/>
      <c r="L1046" s="817"/>
      <c r="M1046" s="817"/>
      <c r="N1046" s="817"/>
      <c r="O1046" s="817"/>
      <c r="P1046" s="1899">
        <v>43951</v>
      </c>
      <c r="Q1046" s="2836"/>
      <c r="R1046" s="824" t="s">
        <v>11029</v>
      </c>
      <c r="S1046" s="2837"/>
      <c r="T1046" s="6" t="s">
        <v>15</v>
      </c>
      <c r="U1046" s="2694" t="s">
        <v>972</v>
      </c>
      <c r="V1046" s="2838"/>
      <c r="W1046" s="2842">
        <v>90</v>
      </c>
      <c r="X1046" s="2085" t="s">
        <v>11030</v>
      </c>
      <c r="Y1046" s="2840"/>
      <c r="Z1046" s="2694"/>
      <c r="AA1046" s="2694"/>
      <c r="AB1046" s="817" t="s">
        <v>974</v>
      </c>
      <c r="AC1046" s="817" t="s">
        <v>6096</v>
      </c>
      <c r="AD1046" s="2841"/>
      <c r="AG1046" s="2711"/>
    </row>
    <row r="1047" spans="1:33" ht="58" x14ac:dyDescent="0.35">
      <c r="A1047" s="1899">
        <v>43948</v>
      </c>
      <c r="B1047" s="2760"/>
      <c r="C1047" s="5" t="s">
        <v>11037</v>
      </c>
      <c r="D1047" s="2700" t="s">
        <v>11038</v>
      </c>
      <c r="E1047" s="817" t="s">
        <v>11042</v>
      </c>
      <c r="F1047" s="2835"/>
      <c r="G1047" s="2835"/>
      <c r="H1047" s="2835"/>
      <c r="I1047" s="2835"/>
      <c r="J1047" s="2835"/>
      <c r="K1047" s="7"/>
      <c r="L1047" s="817"/>
      <c r="M1047" s="817"/>
      <c r="N1047" s="817"/>
      <c r="O1047" s="817"/>
      <c r="P1047" s="1899">
        <v>43951</v>
      </c>
      <c r="Q1047" s="2836"/>
      <c r="R1047" s="824" t="s">
        <v>11039</v>
      </c>
      <c r="S1047" s="2837"/>
      <c r="T1047" s="6" t="s">
        <v>15</v>
      </c>
      <c r="U1047" s="2843" t="s">
        <v>11040</v>
      </c>
      <c r="V1047" s="2838"/>
      <c r="W1047" s="2842">
        <v>546</v>
      </c>
      <c r="X1047" s="2085" t="s">
        <v>11045</v>
      </c>
      <c r="Y1047" s="2840"/>
      <c r="Z1047" s="2694"/>
      <c r="AA1047" s="2694"/>
      <c r="AB1047" s="817" t="s">
        <v>22</v>
      </c>
      <c r="AC1047" s="817" t="s">
        <v>6096</v>
      </c>
      <c r="AD1047" s="2841"/>
      <c r="AG1047" s="2711"/>
    </row>
    <row r="1048" spans="1:33" ht="72.5" x14ac:dyDescent="0.35">
      <c r="A1048" s="1899">
        <v>43948</v>
      </c>
      <c r="B1048" s="2760"/>
      <c r="C1048" s="5" t="s">
        <v>11037</v>
      </c>
      <c r="D1048" s="2700" t="s">
        <v>11038</v>
      </c>
      <c r="E1048" s="817" t="s">
        <v>11044</v>
      </c>
      <c r="F1048" s="2835"/>
      <c r="G1048" s="2835"/>
      <c r="H1048" s="2835"/>
      <c r="I1048" s="2835"/>
      <c r="J1048" s="2835"/>
      <c r="K1048" s="7"/>
      <c r="L1048" s="817"/>
      <c r="M1048" s="817"/>
      <c r="N1048" s="817"/>
      <c r="O1048" s="817"/>
      <c r="P1048" s="1899">
        <v>43951</v>
      </c>
      <c r="Q1048" s="2836"/>
      <c r="R1048" s="824" t="s">
        <v>11043</v>
      </c>
      <c r="S1048" s="2837"/>
      <c r="T1048" s="6" t="s">
        <v>15</v>
      </c>
      <c r="U1048" s="2843" t="s">
        <v>11041</v>
      </c>
      <c r="V1048" s="2838"/>
      <c r="W1048" s="2842">
        <v>552</v>
      </c>
      <c r="X1048" s="2085" t="s">
        <v>11045</v>
      </c>
      <c r="Y1048" s="2840"/>
      <c r="Z1048" s="2694"/>
      <c r="AA1048" s="2694"/>
      <c r="AB1048" s="817" t="s">
        <v>22</v>
      </c>
      <c r="AC1048" s="817" t="s">
        <v>6096</v>
      </c>
      <c r="AD1048" s="2841"/>
      <c r="AG1048" s="2711"/>
    </row>
    <row r="1049" spans="1:33" ht="29" hidden="1" x14ac:dyDescent="0.35">
      <c r="A1049" s="1899">
        <v>43934</v>
      </c>
      <c r="B1049" s="2759"/>
      <c r="C1049" s="7" t="s">
        <v>20</v>
      </c>
      <c r="D1049" s="2701" t="s">
        <v>20</v>
      </c>
      <c r="E1049" s="7" t="s">
        <v>10443</v>
      </c>
      <c r="F1049" s="7"/>
      <c r="G1049" s="7"/>
      <c r="H1049" s="7"/>
      <c r="I1049" s="7"/>
      <c r="J1049" s="7"/>
      <c r="K1049" s="7"/>
      <c r="L1049" s="817"/>
      <c r="M1049" s="817"/>
      <c r="N1049" s="817"/>
      <c r="O1049" s="817"/>
      <c r="P1049" s="1899">
        <v>43953</v>
      </c>
      <c r="Q1049" s="2769"/>
      <c r="R1049" s="2708" t="s">
        <v>20</v>
      </c>
      <c r="S1049" s="2721"/>
      <c r="T1049" s="2708" t="s">
        <v>20</v>
      </c>
      <c r="U1049" s="2708" t="s">
        <v>20</v>
      </c>
      <c r="V1049" s="2708" t="s">
        <v>20</v>
      </c>
      <c r="W1049" s="1100">
        <v>0</v>
      </c>
      <c r="X1049" s="2708" t="s">
        <v>20</v>
      </c>
      <c r="Y1049" s="2802" t="s">
        <v>20</v>
      </c>
      <c r="Z1049" s="2708"/>
      <c r="AA1049" s="2708"/>
      <c r="AB1049" s="2708" t="s">
        <v>17</v>
      </c>
      <c r="AC1049" s="2708" t="s">
        <v>20</v>
      </c>
      <c r="AD1049" s="2696"/>
      <c r="AG1049" s="2711"/>
    </row>
    <row r="1050" spans="1:33" ht="377" hidden="1" x14ac:dyDescent="0.35">
      <c r="A1050" s="1808">
        <v>43869</v>
      </c>
      <c r="B1050" s="2779"/>
      <c r="C1050" s="10" t="s">
        <v>6561</v>
      </c>
      <c r="D1050" s="2699"/>
      <c r="E1050" s="10" t="s">
        <v>6568</v>
      </c>
      <c r="F1050" s="10"/>
      <c r="G1050" s="10"/>
      <c r="H1050" s="10"/>
      <c r="I1050" s="10"/>
      <c r="J1050" s="10"/>
      <c r="K1050" s="10"/>
      <c r="L1050" s="10"/>
      <c r="M1050" s="10"/>
      <c r="N1050" s="10"/>
      <c r="O1050" s="10"/>
      <c r="P1050" s="1808">
        <v>43953</v>
      </c>
      <c r="Q1050" s="1808"/>
      <c r="R1050" s="1571" t="s">
        <v>6563</v>
      </c>
      <c r="S1050" s="1571"/>
      <c r="T1050" s="2694" t="s">
        <v>15</v>
      </c>
      <c r="U1050" s="2694">
        <v>0.68055555555555547</v>
      </c>
      <c r="V1050" s="2694">
        <v>0.68055555555555547</v>
      </c>
      <c r="W1050" s="1809">
        <f>800+450+1000</f>
        <v>2250</v>
      </c>
      <c r="X1050" s="817" t="s">
        <v>6564</v>
      </c>
      <c r="Y1050" s="2772" t="s">
        <v>15</v>
      </c>
      <c r="Z1050" s="817"/>
      <c r="AA1050" s="817"/>
      <c r="AB1050" s="817" t="s">
        <v>17</v>
      </c>
      <c r="AC1050" s="817" t="s">
        <v>5367</v>
      </c>
      <c r="AD1050" s="2699"/>
      <c r="AG1050" s="2662"/>
    </row>
    <row r="1051" spans="1:33" hidden="1" x14ac:dyDescent="0.35">
      <c r="A1051" s="2836">
        <v>43947</v>
      </c>
      <c r="B1051" s="2760"/>
      <c r="C1051" s="817" t="s">
        <v>11020</v>
      </c>
      <c r="D1051" s="2700" t="s">
        <v>11022</v>
      </c>
      <c r="E1051" s="817" t="s">
        <v>10988</v>
      </c>
      <c r="F1051" s="817"/>
      <c r="G1051" s="817"/>
      <c r="H1051" s="817"/>
      <c r="I1051" s="817"/>
      <c r="J1051" s="817"/>
      <c r="K1051" s="817"/>
      <c r="L1051" s="817"/>
      <c r="M1051" s="817"/>
      <c r="N1051" s="817"/>
      <c r="O1051" s="817"/>
      <c r="P1051" s="2828">
        <v>43954</v>
      </c>
      <c r="Q1051" s="2828"/>
      <c r="R1051" s="2706" t="s">
        <v>11021</v>
      </c>
      <c r="S1051" s="2829"/>
      <c r="T1051" s="2694" t="s">
        <v>15</v>
      </c>
      <c r="U1051" s="2694" t="s">
        <v>972</v>
      </c>
      <c r="V1051" s="2694"/>
      <c r="W1051" s="1809">
        <v>100</v>
      </c>
      <c r="X1051" s="817" t="s">
        <v>257</v>
      </c>
      <c r="Y1051" s="2772" t="s">
        <v>15</v>
      </c>
      <c r="Z1051" s="817"/>
      <c r="AA1051" s="817"/>
      <c r="AB1051" s="817" t="s">
        <v>17</v>
      </c>
      <c r="AC1051" s="817" t="s">
        <v>6041</v>
      </c>
      <c r="AD1051" s="2696"/>
      <c r="AG1051" s="2711"/>
    </row>
    <row r="1052" spans="1:33" ht="43.5" hidden="1" x14ac:dyDescent="0.35">
      <c r="A1052" s="1808">
        <v>43934</v>
      </c>
      <c r="B1052" s="2779"/>
      <c r="C1052" s="10" t="s">
        <v>10439</v>
      </c>
      <c r="D1052" s="2728" t="s">
        <v>10440</v>
      </c>
      <c r="E1052" s="10" t="s">
        <v>10442</v>
      </c>
      <c r="F1052" s="7"/>
      <c r="G1052" s="7"/>
      <c r="H1052" s="7"/>
      <c r="I1052" s="7"/>
      <c r="J1052" s="7"/>
      <c r="K1052" s="7"/>
      <c r="L1052" s="817"/>
      <c r="M1052" s="817"/>
      <c r="N1052" s="817"/>
      <c r="O1052" s="817"/>
      <c r="P1052" s="1808">
        <v>43955</v>
      </c>
      <c r="Q1052" s="2769"/>
      <c r="R1052" s="2727" t="s">
        <v>10441</v>
      </c>
      <c r="S1052" s="2688"/>
      <c r="T1052" s="836" t="s">
        <v>15</v>
      </c>
      <c r="U1052" s="836">
        <v>0.41666666666666669</v>
      </c>
      <c r="V1052" s="836">
        <v>0.41666666666666669</v>
      </c>
      <c r="W1052" s="1956">
        <v>390</v>
      </c>
      <c r="X1052" s="817" t="s">
        <v>8625</v>
      </c>
      <c r="Y1052" s="2717" t="s">
        <v>15</v>
      </c>
      <c r="Z1052" s="7"/>
      <c r="AA1052" s="7"/>
      <c r="AB1052" s="7" t="s">
        <v>17</v>
      </c>
      <c r="AC1052" s="7" t="s">
        <v>7451</v>
      </c>
      <c r="AD1052" s="2696"/>
      <c r="AG1052" s="2711"/>
    </row>
    <row r="1053" spans="1:33" ht="29" hidden="1" x14ac:dyDescent="0.35">
      <c r="A1053" s="1899">
        <v>43944</v>
      </c>
      <c r="B1053" s="2760"/>
      <c r="C1053" s="7" t="s">
        <v>20</v>
      </c>
      <c r="D1053" s="2696" t="s">
        <v>20</v>
      </c>
      <c r="E1053" s="7" t="s">
        <v>10955</v>
      </c>
      <c r="F1053" s="2679"/>
      <c r="G1053" s="5"/>
      <c r="H1053" s="5"/>
      <c r="I1053" s="5"/>
      <c r="J1053" s="5"/>
      <c r="K1053" s="5"/>
      <c r="L1053" s="817"/>
      <c r="M1053" s="817"/>
      <c r="N1053" s="817"/>
      <c r="O1053" s="817"/>
      <c r="P1053" s="1899">
        <v>43958</v>
      </c>
      <c r="Q1053" s="1814"/>
      <c r="R1053" s="881" t="s">
        <v>20</v>
      </c>
      <c r="S1053" s="2688"/>
      <c r="T1053" s="836" t="s">
        <v>15</v>
      </c>
      <c r="U1053" s="2694" t="s">
        <v>15</v>
      </c>
      <c r="V1053" s="2694"/>
      <c r="W1053" s="1809">
        <v>0</v>
      </c>
      <c r="X1053" s="817" t="s">
        <v>20</v>
      </c>
      <c r="Y1053" s="2772" t="s">
        <v>15</v>
      </c>
      <c r="Z1053" s="817"/>
      <c r="AA1053" s="817"/>
      <c r="AB1053" s="817" t="s">
        <v>17</v>
      </c>
      <c r="AC1053" s="817" t="s">
        <v>20</v>
      </c>
      <c r="AD1053" s="2696"/>
      <c r="AG1053" s="2662"/>
    </row>
    <row r="1054" spans="1:33" ht="43.5" hidden="1" x14ac:dyDescent="0.35">
      <c r="A1054" s="1899">
        <v>43944</v>
      </c>
      <c r="B1054" s="2760"/>
      <c r="C1054" s="7" t="s">
        <v>20</v>
      </c>
      <c r="D1054" s="2696" t="s">
        <v>20</v>
      </c>
      <c r="E1054" s="7" t="s">
        <v>10962</v>
      </c>
      <c r="F1054" s="2679"/>
      <c r="G1054" s="5"/>
      <c r="H1054" s="5"/>
      <c r="I1054" s="5"/>
      <c r="J1054" s="5"/>
      <c r="K1054" s="5"/>
      <c r="L1054" s="817"/>
      <c r="M1054" s="817"/>
      <c r="N1054" s="817"/>
      <c r="O1054" s="817"/>
      <c r="P1054" s="1899">
        <v>43958</v>
      </c>
      <c r="Q1054" s="2769"/>
      <c r="R1054" s="881" t="s">
        <v>20</v>
      </c>
      <c r="S1054" s="2688"/>
      <c r="T1054" s="836" t="s">
        <v>15</v>
      </c>
      <c r="U1054" s="2694" t="s">
        <v>15</v>
      </c>
      <c r="V1054" s="2694"/>
      <c r="W1054" s="1809">
        <v>0</v>
      </c>
      <c r="X1054" s="817" t="s">
        <v>20</v>
      </c>
      <c r="Y1054" s="2772" t="s">
        <v>15</v>
      </c>
      <c r="Z1054" s="817"/>
      <c r="AA1054" s="817"/>
      <c r="AB1054" s="817" t="s">
        <v>17</v>
      </c>
      <c r="AC1054" s="817" t="s">
        <v>20</v>
      </c>
      <c r="AD1054" s="2696"/>
      <c r="AG1054" s="2662"/>
    </row>
    <row r="1055" spans="1:33" ht="203" hidden="1" x14ac:dyDescent="0.35">
      <c r="A1055" s="1808">
        <v>43944</v>
      </c>
      <c r="B1055" s="2782"/>
      <c r="C1055" s="10" t="s">
        <v>9640</v>
      </c>
      <c r="D1055" s="2729" t="s">
        <v>10957</v>
      </c>
      <c r="E1055" s="1090" t="s">
        <v>10961</v>
      </c>
      <c r="F1055" s="2679"/>
      <c r="G1055" s="5"/>
      <c r="H1055" s="5"/>
      <c r="I1055" s="5"/>
      <c r="J1055" s="5"/>
      <c r="K1055" s="5"/>
      <c r="L1055" s="817"/>
      <c r="M1055" s="817"/>
      <c r="N1055" s="817"/>
      <c r="O1055" s="817"/>
      <c r="P1055" s="1808">
        <v>43959</v>
      </c>
      <c r="Q1055" s="2769"/>
      <c r="R1055" s="2708" t="s">
        <v>10958</v>
      </c>
      <c r="S1055" s="2770"/>
      <c r="T1055" s="836" t="s">
        <v>15</v>
      </c>
      <c r="U1055" s="2694">
        <v>0.375</v>
      </c>
      <c r="V1055" s="2694"/>
      <c r="W1055" s="1809">
        <v>120</v>
      </c>
      <c r="X1055" s="817" t="s">
        <v>257</v>
      </c>
      <c r="Y1055" s="2772" t="s">
        <v>15</v>
      </c>
      <c r="Z1055" s="817"/>
      <c r="AA1055" s="817"/>
      <c r="AB1055" s="817" t="s">
        <v>17</v>
      </c>
      <c r="AC1055" s="817" t="s">
        <v>10908</v>
      </c>
      <c r="AD1055" s="2696"/>
      <c r="AG1055" s="2711"/>
    </row>
    <row r="1056" spans="1:33" ht="232" hidden="1" x14ac:dyDescent="0.35">
      <c r="A1056" s="2486">
        <v>43875</v>
      </c>
      <c r="B1056" s="2718"/>
      <c r="C1056" s="5" t="s">
        <v>6761</v>
      </c>
      <c r="D1056" s="2699"/>
      <c r="E1056" s="1090" t="s">
        <v>6762</v>
      </c>
      <c r="F1056" s="1090"/>
      <c r="G1056" s="1090"/>
      <c r="H1056" s="1090"/>
      <c r="I1056" s="1090"/>
      <c r="J1056" s="1090"/>
      <c r="K1056" s="1090"/>
      <c r="L1056" s="1090"/>
      <c r="M1056" s="1090"/>
      <c r="N1056" s="1090"/>
      <c r="O1056" s="1090"/>
      <c r="P1056" s="2486">
        <v>43960</v>
      </c>
      <c r="Q1056" s="2486"/>
      <c r="R1056" s="1571" t="s">
        <v>6763</v>
      </c>
      <c r="S1056" s="1571"/>
      <c r="T1056" s="6" t="s">
        <v>15</v>
      </c>
      <c r="U1056" s="6">
        <v>0.76388888888888884</v>
      </c>
      <c r="V1056" s="6">
        <v>0.76388888888888884</v>
      </c>
      <c r="W1056" s="1630">
        <v>950</v>
      </c>
      <c r="X1056" s="5" t="s">
        <v>6764</v>
      </c>
      <c r="Y1056" s="2679" t="s">
        <v>15</v>
      </c>
      <c r="Z1056" s="5"/>
      <c r="AA1056" s="5"/>
      <c r="AB1056" s="5" t="s">
        <v>17</v>
      </c>
      <c r="AC1056" s="5" t="s">
        <v>6450</v>
      </c>
      <c r="AD1056" s="2699"/>
      <c r="AG1056" s="2662"/>
    </row>
    <row r="1057" spans="1:33" ht="58" hidden="1" x14ac:dyDescent="0.35">
      <c r="A1057" s="1808">
        <v>43944</v>
      </c>
      <c r="B1057" s="2782"/>
      <c r="C1057" s="10" t="s">
        <v>10950</v>
      </c>
      <c r="D1057" s="2729" t="s">
        <v>10951</v>
      </c>
      <c r="E1057" s="10" t="s">
        <v>10953</v>
      </c>
      <c r="F1057" s="2824"/>
      <c r="G1057" s="10"/>
      <c r="H1057" s="10"/>
      <c r="I1057" s="10"/>
      <c r="J1057" s="10"/>
      <c r="K1057" s="10"/>
      <c r="L1057" s="1412"/>
      <c r="M1057" s="1412"/>
      <c r="N1057" s="1412"/>
      <c r="O1057" s="1412"/>
      <c r="P1057" s="1808">
        <v>43961</v>
      </c>
      <c r="Q1057" s="2769"/>
      <c r="R1057" s="2428" t="s">
        <v>10954</v>
      </c>
      <c r="S1057" s="2770"/>
      <c r="T1057" s="836" t="s">
        <v>15</v>
      </c>
      <c r="U1057" s="2670" t="s">
        <v>49</v>
      </c>
      <c r="V1057" s="2694"/>
      <c r="W1057" s="1809">
        <f>4.5*130</f>
        <v>585</v>
      </c>
      <c r="X1057" s="817" t="s">
        <v>10956</v>
      </c>
      <c r="Y1057" s="2772" t="s">
        <v>15</v>
      </c>
      <c r="Z1057" s="817"/>
      <c r="AA1057" s="817"/>
      <c r="AB1057" s="817" t="s">
        <v>17</v>
      </c>
      <c r="AC1057" s="817" t="s">
        <v>10908</v>
      </c>
      <c r="AD1057" s="2696"/>
      <c r="AG1057" s="2711"/>
    </row>
    <row r="1058" spans="1:33" ht="43.5" hidden="1" x14ac:dyDescent="0.35">
      <c r="A1058" s="2486">
        <v>43895</v>
      </c>
      <c r="B1058" s="2718"/>
      <c r="C1058" s="5" t="s">
        <v>20</v>
      </c>
      <c r="D1058" s="2699"/>
      <c r="E1058" s="5" t="s">
        <v>7187</v>
      </c>
      <c r="F1058" s="5"/>
      <c r="G1058" s="5"/>
      <c r="H1058" s="5"/>
      <c r="I1058" s="5"/>
      <c r="J1058" s="5"/>
      <c r="K1058" s="5"/>
      <c r="L1058" s="5"/>
      <c r="M1058" s="5"/>
      <c r="N1058" s="5"/>
      <c r="O1058" s="5"/>
      <c r="P1058" s="2486">
        <v>43965</v>
      </c>
      <c r="Q1058" s="2486"/>
      <c r="R1058" s="824" t="s">
        <v>20</v>
      </c>
      <c r="S1058" s="824"/>
      <c r="T1058" s="6" t="s">
        <v>15</v>
      </c>
      <c r="U1058" s="6" t="s">
        <v>15</v>
      </c>
      <c r="V1058" s="6" t="s">
        <v>15</v>
      </c>
      <c r="W1058" s="1809">
        <v>0</v>
      </c>
      <c r="X1058" s="6" t="s">
        <v>15</v>
      </c>
      <c r="Y1058" s="2679" t="s">
        <v>15</v>
      </c>
      <c r="Z1058" s="6"/>
      <c r="AA1058" s="6"/>
      <c r="AB1058" s="817" t="s">
        <v>17</v>
      </c>
      <c r="AC1058" s="817" t="s">
        <v>20</v>
      </c>
      <c r="AD1058" s="2699"/>
      <c r="AG1058" s="2711"/>
    </row>
    <row r="1059" spans="1:33" ht="391.5" hidden="1" x14ac:dyDescent="0.35">
      <c r="A1059" s="1808">
        <v>43895</v>
      </c>
      <c r="B1059" s="2779"/>
      <c r="C1059" s="10" t="s">
        <v>7062</v>
      </c>
      <c r="D1059" s="2699"/>
      <c r="E1059" s="1090" t="s">
        <v>7196</v>
      </c>
      <c r="F1059" s="1090"/>
      <c r="G1059" s="1090"/>
      <c r="H1059" s="1090"/>
      <c r="I1059" s="1090"/>
      <c r="J1059" s="1090"/>
      <c r="K1059" s="1090"/>
      <c r="L1059" s="1090"/>
      <c r="M1059" s="1090"/>
      <c r="N1059" s="1090"/>
      <c r="O1059" s="1090"/>
      <c r="P1059" s="1808">
        <v>43967</v>
      </c>
      <c r="Q1059" s="1808"/>
      <c r="R1059" s="1571" t="s">
        <v>7185</v>
      </c>
      <c r="S1059" s="1571"/>
      <c r="T1059" s="6" t="s">
        <v>15</v>
      </c>
      <c r="U1059" s="2694">
        <v>0.78472222222222221</v>
      </c>
      <c r="V1059" s="2694">
        <v>0.78472222222222221</v>
      </c>
      <c r="W1059" s="1809">
        <f>5283+300</f>
        <v>5583</v>
      </c>
      <c r="X1059" s="817" t="s">
        <v>7186</v>
      </c>
      <c r="Y1059" s="2772" t="s">
        <v>15</v>
      </c>
      <c r="Z1059" s="817"/>
      <c r="AA1059" s="817"/>
      <c r="AB1059" s="817" t="s">
        <v>17</v>
      </c>
      <c r="AC1059" s="817" t="s">
        <v>6450</v>
      </c>
      <c r="AD1059" s="2699"/>
      <c r="AG1059" s="2711"/>
    </row>
    <row r="1060" spans="1:33" ht="188.5" hidden="1" x14ac:dyDescent="0.35">
      <c r="A1060" s="2769">
        <v>43879</v>
      </c>
      <c r="B1060" s="2760"/>
      <c r="C1060" s="817" t="s">
        <v>6834</v>
      </c>
      <c r="D1060" s="2699"/>
      <c r="E1060" s="817" t="s">
        <v>6835</v>
      </c>
      <c r="F1060" s="817"/>
      <c r="G1060" s="817"/>
      <c r="H1060" s="817"/>
      <c r="I1060" s="817"/>
      <c r="J1060" s="817"/>
      <c r="K1060" s="817"/>
      <c r="L1060" s="817"/>
      <c r="M1060" s="817"/>
      <c r="N1060" s="817"/>
      <c r="O1060" s="817"/>
      <c r="P1060" s="2769">
        <v>43967</v>
      </c>
      <c r="Q1060" s="2746"/>
      <c r="R1060" s="1571" t="s">
        <v>6836</v>
      </c>
      <c r="S1060" s="1571"/>
      <c r="T1060" s="2694" t="s">
        <v>15</v>
      </c>
      <c r="U1060" s="2694">
        <v>0.76388888888888884</v>
      </c>
      <c r="V1060" s="2694">
        <v>0.76388888888888884</v>
      </c>
      <c r="W1060" s="1809">
        <v>1672</v>
      </c>
      <c r="X1060" s="817" t="s">
        <v>6837</v>
      </c>
      <c r="Y1060" s="2772" t="s">
        <v>15</v>
      </c>
      <c r="Z1060" s="817"/>
      <c r="AA1060" s="817"/>
      <c r="AB1060" s="817" t="s">
        <v>17</v>
      </c>
      <c r="AC1060" s="817" t="s">
        <v>6450</v>
      </c>
      <c r="AD1060" s="2699"/>
      <c r="AG1060" s="2711"/>
    </row>
    <row r="1061" spans="1:33" ht="188.5" hidden="1" x14ac:dyDescent="0.35">
      <c r="A1061" s="2486">
        <v>43868</v>
      </c>
      <c r="B1061" s="2718"/>
      <c r="C1061" s="5" t="s">
        <v>6545</v>
      </c>
      <c r="D1061" s="2699"/>
      <c r="E1061" s="5" t="s">
        <v>6546</v>
      </c>
      <c r="F1061" s="5"/>
      <c r="G1061" s="5"/>
      <c r="H1061" s="5"/>
      <c r="I1061" s="5"/>
      <c r="J1061" s="5"/>
      <c r="K1061" s="5"/>
      <c r="L1061" s="5"/>
      <c r="M1061" s="5"/>
      <c r="N1061" s="5"/>
      <c r="O1061" s="5"/>
      <c r="P1061" s="2486">
        <v>43967</v>
      </c>
      <c r="Q1061" s="2486"/>
      <c r="R1061" s="824" t="s">
        <v>290</v>
      </c>
      <c r="S1061" s="824"/>
      <c r="T1061" s="6"/>
      <c r="U1061" s="6" t="s">
        <v>3071</v>
      </c>
      <c r="V1061" s="6" t="s">
        <v>3071</v>
      </c>
      <c r="W1061" s="1678">
        <v>1140</v>
      </c>
      <c r="X1061" s="2694" t="s">
        <v>6548</v>
      </c>
      <c r="Y1061" s="2772"/>
      <c r="Z1061" s="2694"/>
      <c r="AA1061" s="2694"/>
      <c r="AB1061" s="817" t="s">
        <v>22</v>
      </c>
      <c r="AC1061" s="817" t="s">
        <v>6547</v>
      </c>
      <c r="AD1061" s="2699"/>
      <c r="AG1061" s="2711"/>
    </row>
    <row r="1062" spans="1:33" ht="348" hidden="1" x14ac:dyDescent="0.35">
      <c r="A1062" s="2769">
        <v>43889</v>
      </c>
      <c r="B1062" s="2760"/>
      <c r="C1062" s="817" t="s">
        <v>7051</v>
      </c>
      <c r="D1062" s="2699"/>
      <c r="E1062" s="817" t="s">
        <v>7053</v>
      </c>
      <c r="F1062" s="817"/>
      <c r="G1062" s="817"/>
      <c r="H1062" s="817"/>
      <c r="I1062" s="817"/>
      <c r="J1062" s="817"/>
      <c r="K1062" s="817"/>
      <c r="L1062" s="817"/>
      <c r="M1062" s="817"/>
      <c r="N1062" s="817"/>
      <c r="O1062" s="817"/>
      <c r="P1062" s="2769">
        <v>43974</v>
      </c>
      <c r="Q1062" s="2769"/>
      <c r="R1062" s="1571" t="s">
        <v>7052</v>
      </c>
      <c r="S1062" s="1571"/>
      <c r="T1062" s="2694" t="s">
        <v>15</v>
      </c>
      <c r="U1062" s="2694">
        <v>0.68055555555555547</v>
      </c>
      <c r="V1062" s="2694">
        <v>0.68055555555555547</v>
      </c>
      <c r="W1062" s="1809">
        <f>3*50*4.8+3.5*150*4.8+20*65+400/1.09</f>
        <v>4906.9724770642206</v>
      </c>
      <c r="X1062" s="817" t="s">
        <v>7050</v>
      </c>
      <c r="Y1062" s="2772" t="s">
        <v>15</v>
      </c>
      <c r="Z1062" s="817"/>
      <c r="AA1062" s="817"/>
      <c r="AB1062" s="817" t="s">
        <v>17</v>
      </c>
      <c r="AC1062" s="817" t="s">
        <v>262</v>
      </c>
      <c r="AD1062" s="2699"/>
      <c r="AG1062" s="2711"/>
    </row>
    <row r="1063" spans="1:33" ht="159.5" hidden="1" x14ac:dyDescent="0.35">
      <c r="A1063" s="2486">
        <v>43881</v>
      </c>
      <c r="B1063" s="2718"/>
      <c r="C1063" s="5" t="s">
        <v>6875</v>
      </c>
      <c r="D1063" s="2699"/>
      <c r="E1063" s="5" t="s">
        <v>6876</v>
      </c>
      <c r="F1063" s="5"/>
      <c r="G1063" s="5"/>
      <c r="H1063" s="5"/>
      <c r="I1063" s="5"/>
      <c r="J1063" s="5"/>
      <c r="K1063" s="5"/>
      <c r="L1063" s="5"/>
      <c r="M1063" s="5"/>
      <c r="N1063" s="5"/>
      <c r="O1063" s="5"/>
      <c r="P1063" s="2486">
        <v>43974</v>
      </c>
      <c r="Q1063" s="2486"/>
      <c r="R1063" s="1571" t="s">
        <v>6877</v>
      </c>
      <c r="S1063" s="1571"/>
      <c r="T1063" s="6" t="s">
        <v>15</v>
      </c>
      <c r="U1063" s="6">
        <v>0.72222222222222221</v>
      </c>
      <c r="V1063" s="6">
        <v>0.72222222222222221</v>
      </c>
      <c r="W1063" s="1678">
        <v>3200</v>
      </c>
      <c r="X1063" s="2532" t="s">
        <v>6878</v>
      </c>
      <c r="Y1063" s="2772" t="s">
        <v>15</v>
      </c>
      <c r="Z1063" s="817"/>
      <c r="AA1063" s="817"/>
      <c r="AB1063" s="817" t="s">
        <v>17</v>
      </c>
      <c r="AC1063" s="817" t="s">
        <v>6450</v>
      </c>
      <c r="AD1063" s="2699"/>
      <c r="AG1063" s="2662"/>
    </row>
    <row r="1064" spans="1:33" ht="406" hidden="1" x14ac:dyDescent="0.35">
      <c r="A1064" s="1999">
        <v>43851</v>
      </c>
      <c r="B1064" s="2778"/>
      <c r="C1064" s="1850" t="s">
        <v>6273</v>
      </c>
      <c r="D1064" s="2699"/>
      <c r="E1064" s="1090" t="s">
        <v>6476</v>
      </c>
      <c r="F1064" s="1090"/>
      <c r="G1064" s="1090"/>
      <c r="H1064" s="1090"/>
      <c r="I1064" s="1090"/>
      <c r="J1064" s="1090"/>
      <c r="K1064" s="1090"/>
      <c r="L1064" s="1090"/>
      <c r="M1064" s="1090"/>
      <c r="N1064" s="1090"/>
      <c r="O1064" s="1090"/>
      <c r="P1064" s="2146">
        <v>43974</v>
      </c>
      <c r="Q1064" s="2146"/>
      <c r="R1064" s="2428" t="s">
        <v>6275</v>
      </c>
      <c r="S1064" s="2428"/>
      <c r="T1064" s="2694" t="s">
        <v>15</v>
      </c>
      <c r="U1064" s="1927" t="s">
        <v>49</v>
      </c>
      <c r="V1064" s="1927" t="s">
        <v>49</v>
      </c>
      <c r="W1064" s="1809">
        <f>36*75+400+300+150*3.5*4.76</f>
        <v>5899</v>
      </c>
      <c r="X1064" s="817"/>
      <c r="Y1064" s="2772"/>
      <c r="Z1064" s="817"/>
      <c r="AA1064" s="817"/>
      <c r="AB1064" s="817" t="s">
        <v>17</v>
      </c>
      <c r="AC1064" s="817" t="s">
        <v>6053</v>
      </c>
      <c r="AD1064" s="2699"/>
      <c r="AG1064" s="2711"/>
    </row>
    <row r="1065" spans="1:33" ht="319" hidden="1" x14ac:dyDescent="0.35">
      <c r="A1065" s="1957">
        <v>43899</v>
      </c>
      <c r="B1065" s="2782"/>
      <c r="C1065" s="1412" t="s">
        <v>6883</v>
      </c>
      <c r="D1065" s="2699"/>
      <c r="E1065" s="1412" t="s">
        <v>7262</v>
      </c>
      <c r="F1065" s="1412"/>
      <c r="G1065" s="1412"/>
      <c r="H1065" s="1412"/>
      <c r="I1065" s="1412"/>
      <c r="J1065" s="1412"/>
      <c r="K1065" s="1412"/>
      <c r="L1065" s="1412"/>
      <c r="M1065" s="1412"/>
      <c r="N1065" s="1412"/>
      <c r="O1065" s="1412"/>
      <c r="P1065" s="1957">
        <v>43981</v>
      </c>
      <c r="Q1065" s="1957"/>
      <c r="R1065" s="2435" t="s">
        <v>7260</v>
      </c>
      <c r="S1065" s="2435"/>
      <c r="T1065" s="2694">
        <v>0.75</v>
      </c>
      <c r="U1065" s="2694">
        <v>0.75</v>
      </c>
      <c r="V1065" s="2694">
        <v>0.75</v>
      </c>
      <c r="W1065" s="1809">
        <v>1094</v>
      </c>
      <c r="X1065" s="817" t="s">
        <v>7261</v>
      </c>
      <c r="Y1065" s="2772" t="s">
        <v>15</v>
      </c>
      <c r="Z1065" s="817"/>
      <c r="AA1065" s="817"/>
      <c r="AB1065" s="817" t="s">
        <v>17</v>
      </c>
      <c r="AC1065" s="817" t="s">
        <v>6450</v>
      </c>
      <c r="AD1065" s="2699"/>
      <c r="AG1065" s="2711"/>
    </row>
    <row r="1066" spans="1:33" ht="116" hidden="1" x14ac:dyDescent="0.35">
      <c r="A1066" s="1957">
        <v>43854</v>
      </c>
      <c r="B1066" s="2782"/>
      <c r="C1066" s="1412" t="s">
        <v>6326</v>
      </c>
      <c r="D1066" s="2699"/>
      <c r="E1066" s="10" t="s">
        <v>6567</v>
      </c>
      <c r="F1066" s="10"/>
      <c r="G1066" s="10"/>
      <c r="H1066" s="10"/>
      <c r="I1066" s="10"/>
      <c r="J1066" s="10"/>
      <c r="K1066" s="10"/>
      <c r="L1066" s="10"/>
      <c r="M1066" s="10"/>
      <c r="N1066" s="10"/>
      <c r="O1066" s="10"/>
      <c r="P1066" s="1808">
        <v>43981</v>
      </c>
      <c r="Q1066" s="1808"/>
      <c r="R1066" s="823" t="s">
        <v>6327</v>
      </c>
      <c r="S1066" s="823"/>
      <c r="T1066" s="10" t="s">
        <v>15</v>
      </c>
      <c r="U1066" s="12">
        <v>0.83333333333333337</v>
      </c>
      <c r="V1066" s="12">
        <v>0.83333333333333337</v>
      </c>
      <c r="W1066" s="1678">
        <f>300+10*85</f>
        <v>1150</v>
      </c>
      <c r="X1066" s="5" t="s">
        <v>6565</v>
      </c>
      <c r="Y1066" s="2679" t="s">
        <v>15</v>
      </c>
      <c r="Z1066" s="5"/>
      <c r="AA1066" s="5"/>
      <c r="AB1066" s="5" t="s">
        <v>17</v>
      </c>
      <c r="AC1066" s="5" t="s">
        <v>5367</v>
      </c>
      <c r="AD1066" s="2699"/>
      <c r="AG1066" s="2711"/>
    </row>
    <row r="1067" spans="1:33" ht="29" hidden="1" x14ac:dyDescent="0.35">
      <c r="A1067" s="2769">
        <v>43875</v>
      </c>
      <c r="B1067" s="2760"/>
      <c r="C1067" s="817" t="s">
        <v>20</v>
      </c>
      <c r="D1067" s="2699"/>
      <c r="E1067" s="817" t="s">
        <v>6925</v>
      </c>
      <c r="F1067" s="817"/>
      <c r="G1067" s="817"/>
      <c r="H1067" s="817"/>
      <c r="I1067" s="817"/>
      <c r="J1067" s="817"/>
      <c r="K1067" s="817"/>
      <c r="L1067" s="817"/>
      <c r="M1067" s="817"/>
      <c r="N1067" s="817"/>
      <c r="O1067" s="817"/>
      <c r="P1067" s="2769">
        <v>43992</v>
      </c>
      <c r="Q1067" s="2769"/>
      <c r="R1067" s="2770" t="s">
        <v>20</v>
      </c>
      <c r="S1067" s="2770"/>
      <c r="T1067" s="817" t="s">
        <v>15</v>
      </c>
      <c r="U1067" s="2694" t="s">
        <v>15</v>
      </c>
      <c r="V1067" s="2694" t="s">
        <v>15</v>
      </c>
      <c r="W1067" s="1809">
        <v>0</v>
      </c>
      <c r="X1067" s="817" t="s">
        <v>20</v>
      </c>
      <c r="Y1067" s="2772" t="s">
        <v>15</v>
      </c>
      <c r="Z1067" s="817"/>
      <c r="AA1067" s="817"/>
      <c r="AB1067" s="817" t="s">
        <v>17</v>
      </c>
      <c r="AC1067" s="817" t="s">
        <v>20</v>
      </c>
      <c r="AD1067" s="2699"/>
      <c r="AG1067" s="2711"/>
    </row>
    <row r="1068" spans="1:33" ht="188.5" hidden="1" x14ac:dyDescent="0.35">
      <c r="A1068" s="1899">
        <v>43888</v>
      </c>
      <c r="B1068" s="2759"/>
      <c r="C1068" s="7" t="s">
        <v>7023</v>
      </c>
      <c r="D1068" s="2699"/>
      <c r="E1068" s="10" t="s">
        <v>7172</v>
      </c>
      <c r="F1068" s="10"/>
      <c r="G1068" s="10"/>
      <c r="H1068" s="10"/>
      <c r="I1068" s="10"/>
      <c r="J1068" s="10"/>
      <c r="K1068" s="10"/>
      <c r="L1068" s="10"/>
      <c r="M1068" s="10"/>
      <c r="N1068" s="10"/>
      <c r="O1068" s="10"/>
      <c r="P1068" s="1899">
        <v>43996</v>
      </c>
      <c r="Q1068" s="1899"/>
      <c r="R1068" s="2533" t="s">
        <v>7025</v>
      </c>
      <c r="S1068" s="2533"/>
      <c r="T1068" s="6" t="s">
        <v>15</v>
      </c>
      <c r="U1068" s="6">
        <v>0.73611111111111116</v>
      </c>
      <c r="V1068" s="6">
        <v>0.73611111111111116</v>
      </c>
      <c r="W1068" s="1678">
        <v>2394</v>
      </c>
      <c r="X1068" s="817" t="s">
        <v>7173</v>
      </c>
      <c r="Y1068" s="2772" t="s">
        <v>15</v>
      </c>
      <c r="Z1068" s="817"/>
      <c r="AA1068" s="817"/>
      <c r="AB1068" s="817" t="s">
        <v>17</v>
      </c>
      <c r="AC1068" s="817" t="s">
        <v>2084</v>
      </c>
      <c r="AD1068" s="2699"/>
      <c r="AG1068" s="2711"/>
    </row>
    <row r="1069" spans="1:33" ht="304.5" hidden="1" x14ac:dyDescent="0.35">
      <c r="A1069" s="1808">
        <v>43875</v>
      </c>
      <c r="B1069" s="2779"/>
      <c r="C1069" s="10" t="s">
        <v>6739</v>
      </c>
      <c r="D1069" s="2699"/>
      <c r="E1069" s="10" t="s">
        <v>6923</v>
      </c>
      <c r="F1069" s="10"/>
      <c r="G1069" s="10"/>
      <c r="H1069" s="10"/>
      <c r="I1069" s="10"/>
      <c r="J1069" s="10"/>
      <c r="K1069" s="10"/>
      <c r="L1069" s="10"/>
      <c r="M1069" s="10"/>
      <c r="N1069" s="10"/>
      <c r="O1069" s="10"/>
      <c r="P1069" s="1808">
        <v>43996</v>
      </c>
      <c r="Q1069" s="1808"/>
      <c r="R1069" s="1571" t="s">
        <v>6924</v>
      </c>
      <c r="S1069" s="1571"/>
      <c r="T1069" s="2694" t="s">
        <v>15</v>
      </c>
      <c r="U1069" s="2694">
        <v>0.74305555555555547</v>
      </c>
      <c r="V1069" s="2694">
        <v>0.74305555555555547</v>
      </c>
      <c r="W1069" s="1809">
        <v>5151</v>
      </c>
      <c r="X1069" s="817" t="s">
        <v>6760</v>
      </c>
      <c r="Y1069" s="2772" t="s">
        <v>15</v>
      </c>
      <c r="Z1069" s="817"/>
      <c r="AA1069" s="817"/>
      <c r="AB1069" s="817" t="s">
        <v>17</v>
      </c>
      <c r="AC1069" s="817" t="s">
        <v>6450</v>
      </c>
      <c r="AD1069" s="2699"/>
      <c r="AG1069" s="2711"/>
    </row>
    <row r="1070" spans="1:33" ht="29" hidden="1" x14ac:dyDescent="0.35">
      <c r="A1070" s="2486">
        <v>43869</v>
      </c>
      <c r="B1070" s="2718"/>
      <c r="C1070" s="5" t="s">
        <v>20</v>
      </c>
      <c r="D1070" s="2699"/>
      <c r="E1070" s="5" t="s">
        <v>6577</v>
      </c>
      <c r="F1070" s="5"/>
      <c r="G1070" s="5"/>
      <c r="H1070" s="5"/>
      <c r="I1070" s="5"/>
      <c r="J1070" s="5"/>
      <c r="K1070" s="5"/>
      <c r="L1070" s="5"/>
      <c r="M1070" s="5"/>
      <c r="N1070" s="5"/>
      <c r="O1070" s="5"/>
      <c r="P1070" s="2486">
        <v>44015</v>
      </c>
      <c r="Q1070" s="2486"/>
      <c r="R1070" s="824" t="s">
        <v>20</v>
      </c>
      <c r="S1070" s="824"/>
      <c r="T1070" s="6" t="s">
        <v>15</v>
      </c>
      <c r="U1070" s="6" t="s">
        <v>15</v>
      </c>
      <c r="V1070" s="6" t="s">
        <v>15</v>
      </c>
      <c r="W1070" s="1678">
        <v>0</v>
      </c>
      <c r="X1070" s="5" t="s">
        <v>20</v>
      </c>
      <c r="Y1070" s="2679" t="s">
        <v>15</v>
      </c>
      <c r="Z1070" s="5"/>
      <c r="AA1070" s="5"/>
      <c r="AB1070" s="5" t="s">
        <v>17</v>
      </c>
      <c r="AC1070" s="817" t="s">
        <v>20</v>
      </c>
      <c r="AD1070" s="2699"/>
      <c r="AG1070" s="2711"/>
    </row>
    <row r="1071" spans="1:33" ht="362.5" hidden="1" x14ac:dyDescent="0.35">
      <c r="A1071" s="1808">
        <v>43900</v>
      </c>
      <c r="B1071" s="2779"/>
      <c r="C1071" s="10" t="s">
        <v>7288</v>
      </c>
      <c r="D1071" s="2699"/>
      <c r="E1071" s="10" t="s">
        <v>7290</v>
      </c>
      <c r="F1071" s="10"/>
      <c r="G1071" s="10"/>
      <c r="H1071" s="10"/>
      <c r="I1071" s="10"/>
      <c r="J1071" s="10"/>
      <c r="K1071" s="10"/>
      <c r="L1071" s="10"/>
      <c r="M1071" s="10"/>
      <c r="N1071" s="10"/>
      <c r="O1071" s="10"/>
      <c r="P1071" s="1808">
        <v>44016</v>
      </c>
      <c r="Q1071" s="1808"/>
      <c r="R1071" s="2612" t="s">
        <v>7298</v>
      </c>
      <c r="S1071" s="2612"/>
      <c r="T1071" s="836" t="s">
        <v>15</v>
      </c>
      <c r="U1071" s="836">
        <v>0.77083333333333337</v>
      </c>
      <c r="V1071" s="836">
        <v>0.77083333333333337</v>
      </c>
      <c r="W1071" s="1100">
        <f>3553+300+170</f>
        <v>4023</v>
      </c>
      <c r="X1071" s="7" t="s">
        <v>7289</v>
      </c>
      <c r="Y1071" s="2717" t="s">
        <v>15</v>
      </c>
      <c r="Z1071" s="7"/>
      <c r="AA1071" s="7"/>
      <c r="AB1071" s="7" t="s">
        <v>17</v>
      </c>
      <c r="AC1071" s="7" t="s">
        <v>6450</v>
      </c>
      <c r="AD1071" s="2699"/>
      <c r="AG1071" s="2711"/>
    </row>
    <row r="1072" spans="1:33" ht="290" hidden="1" x14ac:dyDescent="0.35">
      <c r="A1072" s="1957">
        <v>43869</v>
      </c>
      <c r="B1072" s="2782"/>
      <c r="C1072" s="1412" t="s">
        <v>6512</v>
      </c>
      <c r="D1072" s="2699"/>
      <c r="E1072" s="10" t="s">
        <v>6575</v>
      </c>
      <c r="F1072" s="10"/>
      <c r="G1072" s="10"/>
      <c r="H1072" s="10"/>
      <c r="I1072" s="10"/>
      <c r="J1072" s="10"/>
      <c r="K1072" s="10"/>
      <c r="L1072" s="10"/>
      <c r="M1072" s="10"/>
      <c r="N1072" s="10"/>
      <c r="O1072" s="10"/>
      <c r="P1072" s="1808">
        <v>44017</v>
      </c>
      <c r="Q1072" s="1808"/>
      <c r="R1072" s="1571" t="s">
        <v>6576</v>
      </c>
      <c r="S1072" s="1571"/>
      <c r="T1072" s="12" t="s">
        <v>15</v>
      </c>
      <c r="U1072" s="12">
        <v>0.72916666666666663</v>
      </c>
      <c r="V1072" s="12">
        <v>0.72916666666666663</v>
      </c>
      <c r="W1072" s="1809">
        <f>3500*0.85</f>
        <v>2975</v>
      </c>
      <c r="X1072" s="817" t="s">
        <v>6643</v>
      </c>
      <c r="Y1072" s="2772" t="s">
        <v>15</v>
      </c>
      <c r="Z1072" s="817"/>
      <c r="AA1072" s="817"/>
      <c r="AB1072" s="817" t="s">
        <v>17</v>
      </c>
      <c r="AC1072" s="817" t="s">
        <v>6053</v>
      </c>
      <c r="AD1072" s="2699"/>
      <c r="AG1072" s="2662"/>
    </row>
    <row r="1073" spans="1:33" ht="333.5" hidden="1" x14ac:dyDescent="0.35">
      <c r="A1073" s="2486">
        <v>43896</v>
      </c>
      <c r="B1073" s="2718"/>
      <c r="C1073" s="5" t="s">
        <v>7215</v>
      </c>
      <c r="D1073" s="2699"/>
      <c r="E1073" s="1090" t="s">
        <v>7219</v>
      </c>
      <c r="F1073" s="1090"/>
      <c r="G1073" s="1090"/>
      <c r="H1073" s="1090"/>
      <c r="I1073" s="1090"/>
      <c r="J1073" s="1090"/>
      <c r="K1073" s="1090"/>
      <c r="L1073" s="1090"/>
      <c r="M1073" s="1090"/>
      <c r="N1073" s="1090"/>
      <c r="O1073" s="1090"/>
      <c r="P1073" s="2486">
        <v>44017</v>
      </c>
      <c r="Q1073" s="2486"/>
      <c r="R1073" s="1571" t="s">
        <v>7217</v>
      </c>
      <c r="S1073" s="1571"/>
      <c r="T1073" s="6"/>
      <c r="U1073" s="2694">
        <v>0.75</v>
      </c>
      <c r="V1073" s="2694">
        <v>0.75</v>
      </c>
      <c r="W1073" s="1809">
        <v>4041</v>
      </c>
      <c r="X1073" s="817" t="s">
        <v>7218</v>
      </c>
      <c r="Y1073" s="2772"/>
      <c r="Z1073" s="817"/>
      <c r="AA1073" s="817"/>
      <c r="AB1073" s="817" t="s">
        <v>974</v>
      </c>
      <c r="AC1073" s="817" t="s">
        <v>7216</v>
      </c>
      <c r="AD1073" s="2699"/>
      <c r="AG1073" s="2711"/>
    </row>
    <row r="1074" spans="1:33" ht="406" hidden="1" x14ac:dyDescent="0.35">
      <c r="A1074" s="1808">
        <v>43869</v>
      </c>
      <c r="B1074" s="2779"/>
      <c r="C1074" s="10" t="s">
        <v>6558</v>
      </c>
      <c r="D1074" s="2699"/>
      <c r="E1074" s="10" t="s">
        <v>6566</v>
      </c>
      <c r="F1074" s="10"/>
      <c r="G1074" s="10"/>
      <c r="H1074" s="10"/>
      <c r="I1074" s="10"/>
      <c r="J1074" s="10"/>
      <c r="K1074" s="10"/>
      <c r="L1074" s="10"/>
      <c r="M1074" s="10"/>
      <c r="N1074" s="10"/>
      <c r="O1074" s="10"/>
      <c r="P1074" s="1808">
        <v>44029</v>
      </c>
      <c r="Q1074" s="1808"/>
      <c r="R1074" s="1571" t="s">
        <v>6560</v>
      </c>
      <c r="S1074" s="1571"/>
      <c r="T1074" s="6" t="s">
        <v>15</v>
      </c>
      <c r="U1074" s="6">
        <v>0.76388888888888884</v>
      </c>
      <c r="V1074" s="6">
        <v>0.76388888888888884</v>
      </c>
      <c r="W1074" s="1678">
        <f>80*12+50+1000</f>
        <v>2010</v>
      </c>
      <c r="X1074" s="817" t="s">
        <v>6559</v>
      </c>
      <c r="Y1074" s="2772" t="s">
        <v>15</v>
      </c>
      <c r="Z1074" s="817"/>
      <c r="AA1074" s="817"/>
      <c r="AB1074" s="817" t="s">
        <v>17</v>
      </c>
      <c r="AC1074" s="817" t="s">
        <v>5367</v>
      </c>
      <c r="AD1074" s="2699"/>
      <c r="AG1074" s="2711"/>
    </row>
    <row r="1075" spans="1:33" ht="232" hidden="1" x14ac:dyDescent="0.35">
      <c r="A1075" s="2769">
        <v>43872</v>
      </c>
      <c r="B1075" s="2760"/>
      <c r="C1075" s="817" t="s">
        <v>6638</v>
      </c>
      <c r="D1075" s="2699"/>
      <c r="E1075" s="817" t="s">
        <v>6639</v>
      </c>
      <c r="F1075" s="817"/>
      <c r="G1075" s="817"/>
      <c r="H1075" s="817"/>
      <c r="I1075" s="817"/>
      <c r="J1075" s="817"/>
      <c r="K1075" s="817"/>
      <c r="L1075" s="817"/>
      <c r="M1075" s="817"/>
      <c r="N1075" s="817"/>
      <c r="O1075" s="817"/>
      <c r="P1075" s="2769">
        <v>44037</v>
      </c>
      <c r="Q1075" s="2769"/>
      <c r="R1075" s="1571" t="s">
        <v>6640</v>
      </c>
      <c r="S1075" s="1571"/>
      <c r="T1075" s="2694" t="s">
        <v>15</v>
      </c>
      <c r="U1075" s="2694">
        <v>0.77083333333333337</v>
      </c>
      <c r="V1075" s="2694">
        <v>0.77083333333333337</v>
      </c>
      <c r="W1075" s="1809">
        <v>950</v>
      </c>
      <c r="X1075" s="817" t="s">
        <v>6641</v>
      </c>
      <c r="Y1075" s="2772" t="s">
        <v>15</v>
      </c>
      <c r="Z1075" s="817"/>
      <c r="AA1075" s="817"/>
      <c r="AB1075" s="817" t="s">
        <v>17</v>
      </c>
      <c r="AC1075" s="817" t="s">
        <v>6450</v>
      </c>
      <c r="AD1075" s="2699"/>
      <c r="AG1075" s="2662"/>
    </row>
    <row r="1076" spans="1:33" ht="217.5" hidden="1" x14ac:dyDescent="0.35">
      <c r="A1076" s="1957">
        <v>43872</v>
      </c>
      <c r="B1076" s="2782"/>
      <c r="C1076" s="1412" t="s">
        <v>6630</v>
      </c>
      <c r="D1076" s="2699"/>
      <c r="E1076" s="10" t="s">
        <v>6631</v>
      </c>
      <c r="F1076" s="10"/>
      <c r="G1076" s="10"/>
      <c r="H1076" s="10"/>
      <c r="I1076" s="10"/>
      <c r="J1076" s="10"/>
      <c r="K1076" s="10"/>
      <c r="L1076" s="10"/>
      <c r="M1076" s="10"/>
      <c r="N1076" s="10"/>
      <c r="O1076" s="10"/>
      <c r="P1076" s="1808">
        <v>44038</v>
      </c>
      <c r="Q1076" s="1808"/>
      <c r="R1076" s="2428" t="s">
        <v>6632</v>
      </c>
      <c r="S1076" s="2428"/>
      <c r="T1076" s="12" t="s">
        <v>15</v>
      </c>
      <c r="U1076" s="2057">
        <v>0.75</v>
      </c>
      <c r="V1076" s="2057">
        <v>0.79166666666666663</v>
      </c>
      <c r="W1076" s="2138">
        <v>2398</v>
      </c>
      <c r="X1076" s="2694" t="s">
        <v>6633</v>
      </c>
      <c r="Y1076" s="2772" t="s">
        <v>15</v>
      </c>
      <c r="Z1076" s="2694"/>
      <c r="AA1076" s="2694"/>
      <c r="AB1076" s="817" t="s">
        <v>17</v>
      </c>
      <c r="AC1076" s="817" t="s">
        <v>6450</v>
      </c>
      <c r="AD1076" s="2699"/>
      <c r="AG1076" s="2711"/>
    </row>
    <row r="1077" spans="1:33" ht="174" hidden="1" x14ac:dyDescent="0.35">
      <c r="A1077" s="1808">
        <v>43872</v>
      </c>
      <c r="B1077" s="2779"/>
      <c r="C1077" s="10" t="s">
        <v>6652</v>
      </c>
      <c r="D1077" s="2699"/>
      <c r="E1077" s="10" t="s">
        <v>6653</v>
      </c>
      <c r="F1077" s="10"/>
      <c r="G1077" s="10"/>
      <c r="H1077" s="10"/>
      <c r="I1077" s="10"/>
      <c r="J1077" s="10"/>
      <c r="K1077" s="10"/>
      <c r="L1077" s="10"/>
      <c r="M1077" s="10"/>
      <c r="N1077" s="10"/>
      <c r="O1077" s="10"/>
      <c r="P1077" s="1808">
        <v>44038</v>
      </c>
      <c r="Q1077" s="1808"/>
      <c r="R1077" s="1571" t="s">
        <v>6654</v>
      </c>
      <c r="S1077" s="1571"/>
      <c r="T1077" s="6" t="s">
        <v>15</v>
      </c>
      <c r="U1077" s="6" t="s">
        <v>15</v>
      </c>
      <c r="V1077" s="6" t="s">
        <v>15</v>
      </c>
      <c r="W1077" s="1678">
        <v>2682</v>
      </c>
      <c r="X1077" s="2434" t="s">
        <v>6655</v>
      </c>
      <c r="Y1077" s="2772" t="s">
        <v>15</v>
      </c>
      <c r="Z1077" s="817"/>
      <c r="AA1077" s="817"/>
      <c r="AB1077" s="817" t="s">
        <v>17</v>
      </c>
      <c r="AC1077" s="817" t="s">
        <v>6450</v>
      </c>
      <c r="AD1077" s="2699"/>
      <c r="AG1077" s="2711"/>
    </row>
    <row r="1078" spans="1:33" ht="348" hidden="1" x14ac:dyDescent="0.35">
      <c r="A1078" s="1957">
        <v>43865</v>
      </c>
      <c r="B1078" s="2782"/>
      <c r="C1078" s="1412" t="s">
        <v>6347</v>
      </c>
      <c r="D1078" s="2699"/>
      <c r="E1078" s="2434" t="s">
        <v>6494</v>
      </c>
      <c r="F1078" s="2434"/>
      <c r="G1078" s="2434"/>
      <c r="H1078" s="2434"/>
      <c r="I1078" s="2434"/>
      <c r="J1078" s="2434"/>
      <c r="K1078" s="2434"/>
      <c r="L1078" s="2434"/>
      <c r="M1078" s="2434"/>
      <c r="N1078" s="2434"/>
      <c r="O1078" s="2434"/>
      <c r="P1078" s="1957">
        <v>44059</v>
      </c>
      <c r="Q1078" s="1957"/>
      <c r="R1078" s="2435" t="s">
        <v>6492</v>
      </c>
      <c r="S1078" s="2435"/>
      <c r="T1078" s="2694" t="s">
        <v>15</v>
      </c>
      <c r="U1078" s="2694">
        <v>0.71875</v>
      </c>
      <c r="V1078" s="2694">
        <v>0.71875</v>
      </c>
      <c r="W1078" s="1809">
        <f>1000+400+38*120/1000*70</f>
        <v>1719.2</v>
      </c>
      <c r="X1078" s="817" t="s">
        <v>6493</v>
      </c>
      <c r="Y1078" s="2772" t="s">
        <v>15</v>
      </c>
      <c r="Z1078" s="817"/>
      <c r="AA1078" s="817"/>
      <c r="AB1078" s="817" t="s">
        <v>17</v>
      </c>
      <c r="AC1078" s="817" t="s">
        <v>6045</v>
      </c>
      <c r="AD1078" s="2699"/>
      <c r="AG1078" s="2711"/>
    </row>
    <row r="1079" spans="1:33" ht="43.5" hidden="1" x14ac:dyDescent="0.35">
      <c r="A1079" s="2746">
        <v>43869</v>
      </c>
      <c r="B1079" s="2760"/>
      <c r="C1079" s="817" t="s">
        <v>20</v>
      </c>
      <c r="D1079" s="2699"/>
      <c r="E1079" s="817" t="s">
        <v>6571</v>
      </c>
      <c r="F1079" s="817"/>
      <c r="G1079" s="817"/>
      <c r="H1079" s="817"/>
      <c r="I1079" s="817"/>
      <c r="J1079" s="817"/>
      <c r="K1079" s="817"/>
      <c r="L1079" s="817"/>
      <c r="M1079" s="817"/>
      <c r="N1079" s="817"/>
      <c r="O1079" s="817"/>
      <c r="P1079" s="2746">
        <v>44062</v>
      </c>
      <c r="Q1079" s="2746"/>
      <c r="R1079" s="2770" t="s">
        <v>20</v>
      </c>
      <c r="S1079" s="2770"/>
      <c r="T1079" s="2694" t="s">
        <v>15</v>
      </c>
      <c r="U1079" s="2694" t="s">
        <v>15</v>
      </c>
      <c r="V1079" s="2694" t="s">
        <v>15</v>
      </c>
      <c r="W1079" s="1809">
        <v>0</v>
      </c>
      <c r="X1079" s="817" t="s">
        <v>20</v>
      </c>
      <c r="Y1079" s="2772" t="s">
        <v>15</v>
      </c>
      <c r="Z1079" s="817"/>
      <c r="AA1079" s="817"/>
      <c r="AB1079" s="817" t="s">
        <v>17</v>
      </c>
      <c r="AC1079" s="817" t="s">
        <v>20</v>
      </c>
      <c r="AD1079" s="2699"/>
      <c r="AG1079" s="2711"/>
    </row>
    <row r="1080" spans="1:33" ht="29" hidden="1" x14ac:dyDescent="0.35">
      <c r="A1080" s="2769">
        <v>43872</v>
      </c>
      <c r="B1080" s="2760"/>
      <c r="C1080" s="817" t="s">
        <v>20</v>
      </c>
      <c r="D1080" s="2699"/>
      <c r="E1080" s="817" t="s">
        <v>6647</v>
      </c>
      <c r="F1080" s="817"/>
      <c r="G1080" s="817"/>
      <c r="H1080" s="817"/>
      <c r="I1080" s="817"/>
      <c r="J1080" s="817"/>
      <c r="K1080" s="817"/>
      <c r="L1080" s="817"/>
      <c r="M1080" s="817"/>
      <c r="N1080" s="817"/>
      <c r="O1080" s="817"/>
      <c r="P1080" s="2769">
        <v>44064</v>
      </c>
      <c r="Q1080" s="2769"/>
      <c r="R1080" s="2770" t="s">
        <v>20</v>
      </c>
      <c r="S1080" s="2770"/>
      <c r="T1080" s="2694" t="s">
        <v>15</v>
      </c>
      <c r="U1080" s="2694" t="s">
        <v>15</v>
      </c>
      <c r="V1080" s="2694" t="s">
        <v>15</v>
      </c>
      <c r="W1080" s="1809">
        <v>0</v>
      </c>
      <c r="X1080" s="817" t="s">
        <v>20</v>
      </c>
      <c r="Y1080" s="2772" t="s">
        <v>15</v>
      </c>
      <c r="Z1080" s="817"/>
      <c r="AA1080" s="817"/>
      <c r="AB1080" s="817" t="s">
        <v>17</v>
      </c>
      <c r="AC1080" s="817" t="s">
        <v>20</v>
      </c>
      <c r="AD1080" s="2699"/>
      <c r="AG1080" s="2711"/>
    </row>
    <row r="1081" spans="1:33" ht="348" hidden="1" x14ac:dyDescent="0.35">
      <c r="A1081" s="1808">
        <v>43869</v>
      </c>
      <c r="B1081" s="2779"/>
      <c r="C1081" s="10" t="s">
        <v>6569</v>
      </c>
      <c r="D1081" s="2699"/>
      <c r="E1081" s="10" t="s">
        <v>6589</v>
      </c>
      <c r="F1081" s="10"/>
      <c r="G1081" s="10"/>
      <c r="H1081" s="10"/>
      <c r="I1081" s="10"/>
      <c r="J1081" s="10"/>
      <c r="K1081" s="10"/>
      <c r="L1081" s="10"/>
      <c r="M1081" s="10"/>
      <c r="N1081" s="10"/>
      <c r="O1081" s="10"/>
      <c r="P1081" s="1808">
        <v>44065</v>
      </c>
      <c r="Q1081" s="1808"/>
      <c r="R1081" s="2428" t="s">
        <v>6570</v>
      </c>
      <c r="S1081" s="2428"/>
      <c r="T1081" s="6" t="s">
        <v>15</v>
      </c>
      <c r="U1081" s="6">
        <v>0.74305555555555547</v>
      </c>
      <c r="V1081" s="6">
        <v>0.74305555555555547</v>
      </c>
      <c r="W1081" s="1678">
        <v>2506</v>
      </c>
      <c r="X1081" s="2434" t="s">
        <v>6590</v>
      </c>
      <c r="Y1081" s="2772" t="s">
        <v>15</v>
      </c>
      <c r="Z1081" s="817"/>
      <c r="AA1081" s="817"/>
      <c r="AB1081" s="817" t="s">
        <v>6046</v>
      </c>
      <c r="AC1081" s="817" t="s">
        <v>6450</v>
      </c>
      <c r="AD1081" s="2699"/>
      <c r="AG1081" s="2711"/>
    </row>
    <row r="1082" spans="1:33" ht="116" hidden="1" x14ac:dyDescent="0.35">
      <c r="A1082" s="1808">
        <v>43872</v>
      </c>
      <c r="B1082" s="2779"/>
      <c r="C1082" s="10" t="s">
        <v>6644</v>
      </c>
      <c r="D1082" s="2699"/>
      <c r="E1082" s="10" t="s">
        <v>6645</v>
      </c>
      <c r="F1082" s="10"/>
      <c r="G1082" s="10"/>
      <c r="H1082" s="10"/>
      <c r="I1082" s="10"/>
      <c r="J1082" s="10"/>
      <c r="K1082" s="10"/>
      <c r="L1082" s="10"/>
      <c r="M1082" s="10"/>
      <c r="N1082" s="10"/>
      <c r="O1082" s="10"/>
      <c r="P1082" s="1808">
        <v>44066</v>
      </c>
      <c r="Q1082" s="1808"/>
      <c r="R1082" s="823" t="s">
        <v>5489</v>
      </c>
      <c r="S1082" s="823"/>
      <c r="T1082" s="6" t="s">
        <v>15</v>
      </c>
      <c r="U1082" s="6" t="s">
        <v>15</v>
      </c>
      <c r="V1082" s="6" t="s">
        <v>15</v>
      </c>
      <c r="W1082" s="1678">
        <f>90*9</f>
        <v>810</v>
      </c>
      <c r="X1082" s="2064" t="s">
        <v>6646</v>
      </c>
      <c r="Y1082" s="2772" t="s">
        <v>15</v>
      </c>
      <c r="Z1082" s="817"/>
      <c r="AA1082" s="817"/>
      <c r="AB1082" s="817" t="s">
        <v>17</v>
      </c>
      <c r="AC1082" s="817" t="s">
        <v>5489</v>
      </c>
      <c r="AD1082" s="2699"/>
      <c r="AG1082" s="2711"/>
    </row>
    <row r="1083" spans="1:33" ht="217.5" hidden="1" x14ac:dyDescent="0.35">
      <c r="A1083" s="2746">
        <v>43872</v>
      </c>
      <c r="B1083" s="2760"/>
      <c r="C1083" s="817" t="s">
        <v>6656</v>
      </c>
      <c r="D1083" s="2699"/>
      <c r="E1083" s="2457" t="s">
        <v>6657</v>
      </c>
      <c r="F1083" s="2457"/>
      <c r="G1083" s="2457"/>
      <c r="H1083" s="2457"/>
      <c r="I1083" s="2457"/>
      <c r="J1083" s="2457"/>
      <c r="K1083" s="2457"/>
      <c r="L1083" s="2457"/>
      <c r="M1083" s="2457"/>
      <c r="N1083" s="2457"/>
      <c r="O1083" s="2457"/>
      <c r="P1083" s="2746">
        <v>44066</v>
      </c>
      <c r="Q1083" s="2746"/>
      <c r="R1083" s="2435" t="s">
        <v>6658</v>
      </c>
      <c r="S1083" s="2435"/>
      <c r="T1083" s="2694" t="s">
        <v>15</v>
      </c>
      <c r="U1083" s="2694">
        <v>0.6875</v>
      </c>
      <c r="V1083" s="2694">
        <v>0.6875</v>
      </c>
      <c r="W1083" s="1809">
        <v>1528</v>
      </c>
      <c r="X1083" s="2770" t="s">
        <v>6659</v>
      </c>
      <c r="Y1083" s="2772" t="s">
        <v>15</v>
      </c>
      <c r="Z1083" s="2770"/>
      <c r="AA1083" s="2770"/>
      <c r="AB1083" s="817" t="s">
        <v>17</v>
      </c>
      <c r="AC1083" s="817" t="s">
        <v>15</v>
      </c>
      <c r="AD1083" s="2699"/>
      <c r="AG1083" s="2711"/>
    </row>
    <row r="1084" spans="1:33" ht="159.5" hidden="1" x14ac:dyDescent="0.35">
      <c r="A1084" s="1814">
        <v>43908</v>
      </c>
      <c r="B1084" s="2760"/>
      <c r="C1084" s="817" t="s">
        <v>20</v>
      </c>
      <c r="D1084" s="2699"/>
      <c r="E1084" s="817" t="s">
        <v>7360</v>
      </c>
      <c r="F1084" s="817"/>
      <c r="G1084" s="817"/>
      <c r="H1084" s="817"/>
      <c r="I1084" s="817"/>
      <c r="J1084" s="817"/>
      <c r="K1084" s="817"/>
      <c r="L1084" s="817"/>
      <c r="M1084" s="817"/>
      <c r="N1084" s="817"/>
      <c r="O1084" s="817"/>
      <c r="P1084" s="1814">
        <v>44076</v>
      </c>
      <c r="Q1084" s="1814"/>
      <c r="R1084" s="2688" t="s">
        <v>15</v>
      </c>
      <c r="S1084" s="2688"/>
      <c r="T1084" s="2770" t="s">
        <v>15</v>
      </c>
      <c r="U1084" s="2770" t="s">
        <v>15</v>
      </c>
      <c r="V1084" s="2770" t="s">
        <v>15</v>
      </c>
      <c r="W1084" s="1809">
        <v>0</v>
      </c>
      <c r="X1084" s="2770" t="s">
        <v>15</v>
      </c>
      <c r="Y1084" s="2772" t="s">
        <v>15</v>
      </c>
      <c r="Z1084" s="2770"/>
      <c r="AA1084" s="2770"/>
      <c r="AB1084" s="817" t="s">
        <v>17</v>
      </c>
      <c r="AC1084" s="817" t="s">
        <v>20</v>
      </c>
      <c r="AD1084" s="2699"/>
      <c r="AG1084" s="2662"/>
    </row>
    <row r="1085" spans="1:33" ht="409.5" hidden="1" x14ac:dyDescent="0.35">
      <c r="A1085" s="1957">
        <v>43857</v>
      </c>
      <c r="B1085" s="2782"/>
      <c r="C1085" s="1412" t="s">
        <v>6642</v>
      </c>
      <c r="D1085" s="2699"/>
      <c r="E1085" s="10" t="s">
        <v>6477</v>
      </c>
      <c r="F1085" s="10"/>
      <c r="G1085" s="10"/>
      <c r="H1085" s="10"/>
      <c r="I1085" s="10"/>
      <c r="J1085" s="10"/>
      <c r="K1085" s="10"/>
      <c r="L1085" s="10"/>
      <c r="M1085" s="10"/>
      <c r="N1085" s="10"/>
      <c r="O1085" s="10"/>
      <c r="P1085" s="1808">
        <v>44079</v>
      </c>
      <c r="Q1085" s="1808"/>
      <c r="R1085" s="823" t="s">
        <v>6351</v>
      </c>
      <c r="S1085" s="823"/>
      <c r="T1085" s="12" t="s">
        <v>15</v>
      </c>
      <c r="U1085" s="2694">
        <v>0.77083333333333337</v>
      </c>
      <c r="V1085" s="2694">
        <v>0.77083333333333337</v>
      </c>
      <c r="W1085" s="1809">
        <v>3800</v>
      </c>
      <c r="X1085" s="817" t="s">
        <v>6352</v>
      </c>
      <c r="Y1085" s="2772" t="s">
        <v>15</v>
      </c>
      <c r="Z1085" s="817"/>
      <c r="AA1085" s="817"/>
      <c r="AB1085" s="817" t="s">
        <v>17</v>
      </c>
      <c r="AC1085" s="817" t="s">
        <v>6045</v>
      </c>
      <c r="AD1085" s="2704"/>
      <c r="AG1085" s="2662"/>
    </row>
    <row r="1086" spans="1:33" ht="409.5" hidden="1" x14ac:dyDescent="0.35">
      <c r="A1086" s="1808">
        <v>43904</v>
      </c>
      <c r="B1086" s="2779"/>
      <c r="C1086" s="10" t="s">
        <v>7326</v>
      </c>
      <c r="D1086" s="2699"/>
      <c r="E1086" s="10" t="s">
        <v>7359</v>
      </c>
      <c r="F1086" s="10"/>
      <c r="G1086" s="10"/>
      <c r="H1086" s="10"/>
      <c r="I1086" s="10"/>
      <c r="J1086" s="10"/>
      <c r="K1086" s="10"/>
      <c r="L1086" s="10"/>
      <c r="M1086" s="10"/>
      <c r="N1086" s="10"/>
      <c r="O1086" s="10"/>
      <c r="P1086" s="1808">
        <v>44079</v>
      </c>
      <c r="Q1086" s="1808"/>
      <c r="R1086" s="1571" t="s">
        <v>7327</v>
      </c>
      <c r="S1086" s="1571"/>
      <c r="T1086" s="836" t="s">
        <v>15</v>
      </c>
      <c r="U1086" s="836">
        <v>0.74305555555555547</v>
      </c>
      <c r="V1086" s="836">
        <v>0.74305555555555547</v>
      </c>
      <c r="W1086" s="1100">
        <v>5124</v>
      </c>
      <c r="X1086" s="836" t="s">
        <v>7328</v>
      </c>
      <c r="Y1086" s="2717" t="s">
        <v>15</v>
      </c>
      <c r="Z1086" s="836"/>
      <c r="AA1086" s="836"/>
      <c r="AB1086" s="7" t="s">
        <v>17</v>
      </c>
      <c r="AC1086" s="7" t="s">
        <v>6450</v>
      </c>
      <c r="AD1086" s="2699"/>
      <c r="AG1086" s="2711"/>
    </row>
    <row r="1087" spans="1:33" ht="29" hidden="1" x14ac:dyDescent="0.35">
      <c r="A1087" s="2769">
        <v>43869</v>
      </c>
      <c r="B1087" s="2760"/>
      <c r="C1087" s="817" t="s">
        <v>20</v>
      </c>
      <c r="D1087" s="2699"/>
      <c r="E1087" s="817" t="s">
        <v>6573</v>
      </c>
      <c r="F1087" s="817"/>
      <c r="G1087" s="817"/>
      <c r="H1087" s="817"/>
      <c r="I1087" s="817"/>
      <c r="J1087" s="817"/>
      <c r="K1087" s="817"/>
      <c r="L1087" s="817"/>
      <c r="M1087" s="817"/>
      <c r="N1087" s="817"/>
      <c r="O1087" s="817"/>
      <c r="P1087" s="2769">
        <v>44083</v>
      </c>
      <c r="Q1087" s="2769"/>
      <c r="R1087" s="2770" t="s">
        <v>20</v>
      </c>
      <c r="S1087" s="2770"/>
      <c r="T1087" s="2694" t="s">
        <v>15</v>
      </c>
      <c r="U1087" s="2694" t="s">
        <v>15</v>
      </c>
      <c r="V1087" s="2694" t="s">
        <v>15</v>
      </c>
      <c r="W1087" s="1809">
        <v>0</v>
      </c>
      <c r="X1087" s="817" t="s">
        <v>6034</v>
      </c>
      <c r="Y1087" s="2772" t="s">
        <v>15</v>
      </c>
      <c r="Z1087" s="817"/>
      <c r="AA1087" s="817"/>
      <c r="AB1087" s="817" t="s">
        <v>17</v>
      </c>
      <c r="AC1087" s="817" t="s">
        <v>20</v>
      </c>
      <c r="AD1087" s="2699"/>
      <c r="AG1087" s="2711"/>
    </row>
    <row r="1088" spans="1:33" ht="290" hidden="1" x14ac:dyDescent="0.35">
      <c r="A1088" s="1957">
        <v>43869</v>
      </c>
      <c r="B1088" s="2782"/>
      <c r="C1088" s="1412" t="s">
        <v>6504</v>
      </c>
      <c r="D1088" s="2699"/>
      <c r="E1088" s="1090" t="s">
        <v>6574</v>
      </c>
      <c r="F1088" s="1090"/>
      <c r="G1088" s="1090"/>
      <c r="H1088" s="1090"/>
      <c r="I1088" s="1090"/>
      <c r="J1088" s="1090"/>
      <c r="K1088" s="1090"/>
      <c r="L1088" s="1090"/>
      <c r="M1088" s="1090"/>
      <c r="N1088" s="1090"/>
      <c r="O1088" s="1090"/>
      <c r="P1088" s="1808">
        <v>44086</v>
      </c>
      <c r="Q1088" s="1808"/>
      <c r="R1088" s="823" t="s">
        <v>6572</v>
      </c>
      <c r="S1088" s="823"/>
      <c r="T1088" s="12" t="s">
        <v>15</v>
      </c>
      <c r="U1088" s="12">
        <v>0.77083333333333337</v>
      </c>
      <c r="V1088" s="12">
        <v>0.77083333333333337</v>
      </c>
      <c r="W1088" s="1809">
        <v>4824.1499999999996</v>
      </c>
      <c r="X1088" s="2434" t="s">
        <v>6629</v>
      </c>
      <c r="Y1088" s="2772" t="s">
        <v>15</v>
      </c>
      <c r="Z1088" s="817"/>
      <c r="AA1088" s="817"/>
      <c r="AB1088" s="817" t="s">
        <v>17</v>
      </c>
      <c r="AC1088" s="817" t="s">
        <v>6450</v>
      </c>
      <c r="AD1088" s="2699"/>
      <c r="AG1088" s="2711"/>
    </row>
    <row r="1089" spans="1:34" ht="188.5" hidden="1" x14ac:dyDescent="0.35">
      <c r="A1089" s="2486">
        <v>43872</v>
      </c>
      <c r="B1089" s="2718"/>
      <c r="C1089" s="5" t="s">
        <v>6634</v>
      </c>
      <c r="D1089" s="2699"/>
      <c r="E1089" s="5" t="s">
        <v>7105</v>
      </c>
      <c r="F1089" s="5"/>
      <c r="G1089" s="5"/>
      <c r="H1089" s="5"/>
      <c r="I1089" s="5"/>
      <c r="J1089" s="5"/>
      <c r="K1089" s="5"/>
      <c r="L1089" s="5"/>
      <c r="M1089" s="5"/>
      <c r="N1089" s="5"/>
      <c r="O1089" s="5"/>
      <c r="P1089" s="2486">
        <v>44086</v>
      </c>
      <c r="Q1089" s="2486"/>
      <c r="R1089" s="1571" t="s">
        <v>6635</v>
      </c>
      <c r="S1089" s="1571"/>
      <c r="T1089" s="6" t="s">
        <v>15</v>
      </c>
      <c r="U1089" s="6">
        <v>0.76041666666666663</v>
      </c>
      <c r="V1089" s="6">
        <v>0.76041666666666663</v>
      </c>
      <c r="W1089" s="1678">
        <v>1672</v>
      </c>
      <c r="X1089" s="2434" t="s">
        <v>6637</v>
      </c>
      <c r="Y1089" s="2772" t="s">
        <v>15</v>
      </c>
      <c r="Z1089" s="817"/>
      <c r="AA1089" s="817"/>
      <c r="AB1089" s="817" t="s">
        <v>17</v>
      </c>
      <c r="AC1089" s="817" t="s">
        <v>6450</v>
      </c>
      <c r="AD1089" s="2699"/>
      <c r="AG1089" s="2662"/>
    </row>
    <row r="1090" spans="1:34" ht="409.5" hidden="1" x14ac:dyDescent="0.35">
      <c r="A1090" s="1957">
        <v>43874</v>
      </c>
      <c r="B1090" s="2782"/>
      <c r="C1090" s="1412" t="s">
        <v>6727</v>
      </c>
      <c r="D1090" s="2699"/>
      <c r="E1090" s="2434" t="s">
        <v>7340</v>
      </c>
      <c r="F1090" s="2434"/>
      <c r="G1090" s="2434"/>
      <c r="H1090" s="2434"/>
      <c r="I1090" s="2434"/>
      <c r="J1090" s="2434"/>
      <c r="K1090" s="2434"/>
      <c r="L1090" s="2434"/>
      <c r="M1090" s="2434"/>
      <c r="N1090" s="2434"/>
      <c r="O1090" s="2434"/>
      <c r="P1090" s="1957">
        <v>44086</v>
      </c>
      <c r="Q1090" s="1957"/>
      <c r="R1090" s="2435" t="s">
        <v>6728</v>
      </c>
      <c r="S1090" s="2435"/>
      <c r="T1090" s="2694" t="s">
        <v>15</v>
      </c>
      <c r="U1090" s="2694">
        <v>0.76041666666666663</v>
      </c>
      <c r="V1090" s="2694">
        <v>0.76041666666666663</v>
      </c>
      <c r="W1090" s="1809">
        <v>2372</v>
      </c>
      <c r="X1090" s="817" t="s">
        <v>6729</v>
      </c>
      <c r="Y1090" s="2772" t="s">
        <v>15</v>
      </c>
      <c r="Z1090" s="817"/>
      <c r="AA1090" s="817"/>
      <c r="AB1090" s="817" t="s">
        <v>17</v>
      </c>
      <c r="AC1090" s="817" t="s">
        <v>6450</v>
      </c>
      <c r="AD1090" s="2699"/>
      <c r="AG1090" s="2711"/>
      <c r="AH1090" s="1" t="s">
        <v>9710</v>
      </c>
    </row>
    <row r="1091" spans="1:34" ht="304.5" hidden="1" x14ac:dyDescent="0.35">
      <c r="A1091" s="2746">
        <v>43892</v>
      </c>
      <c r="B1091" s="2760"/>
      <c r="C1091" s="817" t="s">
        <v>7100</v>
      </c>
      <c r="D1091" s="2699"/>
      <c r="E1091" s="817" t="s">
        <v>7101</v>
      </c>
      <c r="F1091" s="817"/>
      <c r="G1091" s="817"/>
      <c r="H1091" s="817"/>
      <c r="I1091" s="817"/>
      <c r="J1091" s="817"/>
      <c r="K1091" s="817"/>
      <c r="L1091" s="817"/>
      <c r="M1091" s="817"/>
      <c r="N1091" s="817"/>
      <c r="O1091" s="817"/>
      <c r="P1091" s="2746">
        <v>44086</v>
      </c>
      <c r="Q1091" s="2746"/>
      <c r="R1091" s="1571" t="s">
        <v>7102</v>
      </c>
      <c r="S1091" s="1571"/>
      <c r="T1091" s="2694" t="s">
        <v>15</v>
      </c>
      <c r="U1091" s="2694">
        <v>0.75</v>
      </c>
      <c r="V1091" s="2694">
        <v>0.75</v>
      </c>
      <c r="W1091" s="1809">
        <v>1672</v>
      </c>
      <c r="X1091" s="817" t="s">
        <v>7103</v>
      </c>
      <c r="Y1091" s="2772" t="s">
        <v>15</v>
      </c>
      <c r="Z1091" s="817"/>
      <c r="AA1091" s="817"/>
      <c r="AB1091" s="817" t="s">
        <v>17</v>
      </c>
      <c r="AC1091" s="817" t="s">
        <v>6450</v>
      </c>
      <c r="AD1091" s="2699"/>
      <c r="AG1091" s="2711"/>
    </row>
    <row r="1092" spans="1:34" ht="43.5" hidden="1" x14ac:dyDescent="0.35">
      <c r="A1092" s="2769">
        <v>43942</v>
      </c>
      <c r="B1092" s="2760"/>
      <c r="C1092" s="817" t="s">
        <v>20</v>
      </c>
      <c r="D1092" s="2699"/>
      <c r="E1092" s="817" t="s">
        <v>7142</v>
      </c>
      <c r="F1092" s="817"/>
      <c r="G1092" s="817"/>
      <c r="H1092" s="817"/>
      <c r="I1092" s="817"/>
      <c r="J1092" s="817"/>
      <c r="K1092" s="817"/>
      <c r="L1092" s="817"/>
      <c r="M1092" s="817"/>
      <c r="N1092" s="817"/>
      <c r="O1092" s="817"/>
      <c r="P1092" s="2769">
        <v>44089</v>
      </c>
      <c r="Q1092" s="2769"/>
      <c r="R1092" s="2770" t="s">
        <v>20</v>
      </c>
      <c r="S1092" s="2770"/>
      <c r="T1092" s="2694" t="s">
        <v>15</v>
      </c>
      <c r="U1092" s="2694" t="s">
        <v>15</v>
      </c>
      <c r="V1092" s="2694" t="s">
        <v>15</v>
      </c>
      <c r="W1092" s="1809">
        <v>0</v>
      </c>
      <c r="X1092" s="2694" t="s">
        <v>15</v>
      </c>
      <c r="Y1092" s="2772" t="s">
        <v>15</v>
      </c>
      <c r="Z1092" s="2694"/>
      <c r="AA1092" s="2694"/>
      <c r="AB1092" s="817" t="s">
        <v>17</v>
      </c>
      <c r="AC1092" s="817" t="s">
        <v>20</v>
      </c>
      <c r="AD1092" s="2699"/>
      <c r="AG1092" s="2662"/>
    </row>
    <row r="1093" spans="1:34" ht="409.5" hidden="1" x14ac:dyDescent="0.35">
      <c r="A1093" s="1999">
        <v>43942</v>
      </c>
      <c r="B1093" s="2778"/>
      <c r="C1093" s="1850" t="s">
        <v>7131</v>
      </c>
      <c r="D1093" s="2699"/>
      <c r="E1093" s="1850" t="s">
        <v>7134</v>
      </c>
      <c r="F1093" s="1850"/>
      <c r="G1093" s="1850"/>
      <c r="H1093" s="1850"/>
      <c r="I1093" s="1850"/>
      <c r="J1093" s="1850"/>
      <c r="K1093" s="1850"/>
      <c r="L1093" s="1850"/>
      <c r="M1093" s="1850"/>
      <c r="N1093" s="1850"/>
      <c r="O1093" s="1850"/>
      <c r="P1093" s="1999">
        <v>44092</v>
      </c>
      <c r="Q1093" s="1999"/>
      <c r="R1093" s="2521" t="s">
        <v>10891</v>
      </c>
      <c r="S1093" s="2435"/>
      <c r="T1093" s="2694" t="s">
        <v>15</v>
      </c>
      <c r="U1093" s="2670" t="s">
        <v>10892</v>
      </c>
      <c r="V1093" s="2694">
        <v>0.64583333333333337</v>
      </c>
      <c r="W1093" s="1809">
        <f>1638+90*12</f>
        <v>2718</v>
      </c>
      <c r="X1093" s="817" t="s">
        <v>7135</v>
      </c>
      <c r="Y1093" s="2772" t="s">
        <v>15</v>
      </c>
      <c r="Z1093" s="817"/>
      <c r="AA1093" s="817"/>
      <c r="AB1093" s="817" t="s">
        <v>17</v>
      </c>
      <c r="AC1093" s="817" t="s">
        <v>6045</v>
      </c>
      <c r="AD1093" s="2699"/>
      <c r="AG1093" s="2711"/>
    </row>
    <row r="1094" spans="1:34" ht="304.5" hidden="1" x14ac:dyDescent="0.35">
      <c r="A1094" s="2769">
        <v>43898</v>
      </c>
      <c r="B1094" s="2760"/>
      <c r="C1094" s="817" t="s">
        <v>7194</v>
      </c>
      <c r="D1094" s="2699"/>
      <c r="E1094" s="2434" t="s">
        <v>7257</v>
      </c>
      <c r="F1094" s="2434"/>
      <c r="G1094" s="2434"/>
      <c r="H1094" s="2434"/>
      <c r="I1094" s="2434"/>
      <c r="J1094" s="2434"/>
      <c r="K1094" s="2434"/>
      <c r="L1094" s="2434"/>
      <c r="M1094" s="2434"/>
      <c r="N1094" s="2434"/>
      <c r="O1094" s="2434"/>
      <c r="P1094" s="2769">
        <v>44093</v>
      </c>
      <c r="Q1094" s="2769"/>
      <c r="R1094" s="2770" t="s">
        <v>7255</v>
      </c>
      <c r="S1094" s="2770"/>
      <c r="T1094" s="2694" t="s">
        <v>15</v>
      </c>
      <c r="U1094" s="2694">
        <v>0.70833333333333337</v>
      </c>
      <c r="V1094" s="2694">
        <v>0.70833333333333337</v>
      </c>
      <c r="W1094" s="1809">
        <f>(120*19*0.8+150*100/1000*(100-10.51))*0.95</f>
        <v>3008.0324999999998</v>
      </c>
      <c r="X1094" s="817" t="s">
        <v>7256</v>
      </c>
      <c r="Y1094" s="2772" t="s">
        <v>15</v>
      </c>
      <c r="Z1094" s="817"/>
      <c r="AA1094" s="817"/>
      <c r="AB1094" s="817" t="s">
        <v>17</v>
      </c>
      <c r="AC1094" s="817" t="s">
        <v>6450</v>
      </c>
      <c r="AD1094" s="2699"/>
      <c r="AG1094" s="2711"/>
    </row>
    <row r="1095" spans="1:34" ht="174" hidden="1" x14ac:dyDescent="0.35">
      <c r="A1095" s="2769">
        <v>43877</v>
      </c>
      <c r="B1095" s="2760"/>
      <c r="C1095" s="817" t="s">
        <v>6584</v>
      </c>
      <c r="D1095" s="2699"/>
      <c r="E1095" s="817" t="s">
        <v>6794</v>
      </c>
      <c r="F1095" s="817"/>
      <c r="G1095" s="817"/>
      <c r="H1095" s="817"/>
      <c r="I1095" s="817"/>
      <c r="J1095" s="817"/>
      <c r="K1095" s="817"/>
      <c r="L1095" s="817"/>
      <c r="M1095" s="817"/>
      <c r="N1095" s="817"/>
      <c r="O1095" s="817"/>
      <c r="P1095" s="2769">
        <v>44101</v>
      </c>
      <c r="Q1095" s="2769"/>
      <c r="R1095" s="1571" t="s">
        <v>6795</v>
      </c>
      <c r="S1095" s="1571"/>
      <c r="T1095" s="2694" t="s">
        <v>15</v>
      </c>
      <c r="U1095" s="2694">
        <v>0.68055555555555547</v>
      </c>
      <c r="V1095" s="2694">
        <v>0.68055555555555547</v>
      </c>
      <c r="W1095" s="1809">
        <v>1960</v>
      </c>
      <c r="X1095" s="817" t="s">
        <v>6793</v>
      </c>
      <c r="Y1095" s="2772" t="s">
        <v>15</v>
      </c>
      <c r="Z1095" s="817"/>
      <c r="AA1095" s="817"/>
      <c r="AB1095" s="817" t="s">
        <v>17</v>
      </c>
      <c r="AC1095" s="817" t="s">
        <v>6450</v>
      </c>
      <c r="AD1095" s="2699"/>
      <c r="AG1095" s="2711"/>
    </row>
    <row r="1096" spans="1:34" ht="391.5" hidden="1" x14ac:dyDescent="0.35">
      <c r="A1096" s="1957">
        <v>43876</v>
      </c>
      <c r="B1096" s="2782"/>
      <c r="C1096" s="1412" t="s">
        <v>6608</v>
      </c>
      <c r="D1096" s="2699"/>
      <c r="E1096" s="2434" t="s">
        <v>6782</v>
      </c>
      <c r="F1096" s="2434"/>
      <c r="G1096" s="2434"/>
      <c r="H1096" s="2434"/>
      <c r="I1096" s="2434"/>
      <c r="J1096" s="2434"/>
      <c r="K1096" s="2434"/>
      <c r="L1096" s="2434"/>
      <c r="M1096" s="2434"/>
      <c r="N1096" s="2434"/>
      <c r="O1096" s="2434"/>
      <c r="P1096" s="1957">
        <v>44128</v>
      </c>
      <c r="Q1096" s="1957"/>
      <c r="R1096" s="2435" t="s">
        <v>6781</v>
      </c>
      <c r="S1096" s="2435"/>
      <c r="T1096" s="2694" t="s">
        <v>15</v>
      </c>
      <c r="U1096" s="2694">
        <v>0.72916666666666663</v>
      </c>
      <c r="V1096" s="2694">
        <v>0.72916666666666663</v>
      </c>
      <c r="W1096" s="1809">
        <v>3514</v>
      </c>
      <c r="X1096" s="817" t="s">
        <v>6780</v>
      </c>
      <c r="Y1096" s="2772" t="s">
        <v>15</v>
      </c>
      <c r="Z1096" s="817"/>
      <c r="AA1096" s="817"/>
      <c r="AB1096" s="817" t="s">
        <v>17</v>
      </c>
      <c r="AC1096" s="817" t="s">
        <v>6450</v>
      </c>
      <c r="AD1096" s="2699"/>
      <c r="AG1096" s="2711"/>
    </row>
    <row r="1097" spans="1:34" ht="319" hidden="1" x14ac:dyDescent="0.35">
      <c r="A1097" s="1999">
        <v>43873</v>
      </c>
      <c r="B1097" s="2778"/>
      <c r="C1097" s="1850" t="s">
        <v>6674</v>
      </c>
      <c r="D1097" s="2699"/>
      <c r="E1097" s="2434" t="s">
        <v>7106</v>
      </c>
      <c r="F1097" s="2434"/>
      <c r="G1097" s="2434"/>
      <c r="H1097" s="2434"/>
      <c r="I1097" s="2434"/>
      <c r="J1097" s="2434"/>
      <c r="K1097" s="2434"/>
      <c r="L1097" s="2434"/>
      <c r="M1097" s="2434"/>
      <c r="N1097" s="2434"/>
      <c r="O1097" s="2434"/>
      <c r="P1097" s="1999">
        <v>44364</v>
      </c>
      <c r="Q1097" s="1999"/>
      <c r="R1097" s="2521" t="s">
        <v>6676</v>
      </c>
      <c r="S1097" s="2521"/>
      <c r="T1097" s="1864" t="s">
        <v>15</v>
      </c>
      <c r="U1097" s="2694">
        <v>0.77083333333333337</v>
      </c>
      <c r="V1097" s="2694">
        <v>0.77083333333333337</v>
      </c>
      <c r="W1097" s="1809">
        <v>6500</v>
      </c>
      <c r="X1097" s="817" t="s">
        <v>6677</v>
      </c>
      <c r="Y1097" s="2772" t="s">
        <v>15</v>
      </c>
      <c r="Z1097" s="817"/>
      <c r="AA1097" s="817"/>
      <c r="AB1097" s="817" t="s">
        <v>17</v>
      </c>
      <c r="AC1097" s="817" t="s">
        <v>6450</v>
      </c>
      <c r="AD1097" s="2699"/>
      <c r="AG1097" s="2711"/>
    </row>
    <row r="1098" spans="1:34" ht="188.5" hidden="1" x14ac:dyDescent="0.35">
      <c r="A1098" s="2769">
        <v>43896</v>
      </c>
      <c r="B1098" s="2760"/>
      <c r="C1098" s="2434" t="s">
        <v>7220</v>
      </c>
      <c r="D1098" s="2699"/>
      <c r="E1098" s="2434" t="s">
        <v>7221</v>
      </c>
      <c r="F1098" s="2434"/>
      <c r="G1098" s="2434"/>
      <c r="H1098" s="2434"/>
      <c r="I1098" s="2434"/>
      <c r="J1098" s="2434"/>
      <c r="K1098" s="2434"/>
      <c r="L1098" s="2434"/>
      <c r="M1098" s="2434"/>
      <c r="N1098" s="2434"/>
      <c r="O1098" s="2434"/>
      <c r="P1098" s="2769" t="s">
        <v>10893</v>
      </c>
      <c r="Q1098" s="2769"/>
      <c r="R1098" s="1571" t="s">
        <v>290</v>
      </c>
      <c r="S1098" s="1571"/>
      <c r="T1098" s="2694"/>
      <c r="U1098" s="2694"/>
      <c r="V1098" s="2694"/>
      <c r="W1098" s="1809">
        <v>1384</v>
      </c>
      <c r="X1098" s="2575" t="s">
        <v>7222</v>
      </c>
      <c r="Y1098" s="2772"/>
      <c r="Z1098" s="817"/>
      <c r="AA1098" s="817"/>
      <c r="AB1098" s="817" t="s">
        <v>974</v>
      </c>
      <c r="AC1098" s="817" t="s">
        <v>7223</v>
      </c>
      <c r="AD1098" s="2699"/>
      <c r="AG1098" s="2711"/>
    </row>
    <row r="1099" spans="1:34" ht="203" hidden="1" x14ac:dyDescent="0.35">
      <c r="A1099" s="2769">
        <v>43881</v>
      </c>
      <c r="B1099" s="2760"/>
      <c r="C1099" s="817" t="s">
        <v>6879</v>
      </c>
      <c r="D1099" s="2699"/>
      <c r="E1099" s="817" t="s">
        <v>6882</v>
      </c>
      <c r="F1099" s="817"/>
      <c r="G1099" s="817"/>
      <c r="H1099" s="817"/>
      <c r="I1099" s="817"/>
      <c r="J1099" s="817"/>
      <c r="K1099" s="817"/>
      <c r="L1099" s="817"/>
      <c r="M1099" s="817"/>
      <c r="N1099" s="817"/>
      <c r="O1099" s="817"/>
      <c r="P1099" s="2769" t="s">
        <v>10893</v>
      </c>
      <c r="Q1099" s="2769"/>
      <c r="R1099" s="2533" t="s">
        <v>6880</v>
      </c>
      <c r="S1099" s="2533"/>
      <c r="T1099" s="2694" t="s">
        <v>15</v>
      </c>
      <c r="U1099" s="2694">
        <v>0.77083333333333337</v>
      </c>
      <c r="V1099" s="2694">
        <v>0.77083333333333337</v>
      </c>
      <c r="W1099" s="1809">
        <v>1238</v>
      </c>
      <c r="X1099" s="2064" t="s">
        <v>6881</v>
      </c>
      <c r="Y1099" s="2772" t="s">
        <v>15</v>
      </c>
      <c r="Z1099" s="817"/>
      <c r="AA1099" s="817"/>
      <c r="AB1099" s="817" t="s">
        <v>17</v>
      </c>
      <c r="AC1099" s="817" t="s">
        <v>6450</v>
      </c>
      <c r="AD1099" s="2699"/>
      <c r="AG1099" s="2711"/>
      <c r="AH1099" s="2581"/>
    </row>
    <row r="1100" spans="1:34" ht="409.5" hidden="1" x14ac:dyDescent="0.35">
      <c r="A1100" s="2486">
        <v>43943</v>
      </c>
      <c r="B1100" s="2718"/>
      <c r="C1100" s="5" t="s">
        <v>6947</v>
      </c>
      <c r="D1100" s="2699"/>
      <c r="E1100" s="5" t="s">
        <v>7114</v>
      </c>
      <c r="F1100" s="5"/>
      <c r="G1100" s="5"/>
      <c r="H1100" s="5"/>
      <c r="I1100" s="5"/>
      <c r="J1100" s="5"/>
      <c r="K1100" s="5"/>
      <c r="L1100" s="5"/>
      <c r="M1100" s="5"/>
      <c r="N1100" s="5"/>
      <c r="O1100" s="5"/>
      <c r="P1100" s="2486" t="s">
        <v>10893</v>
      </c>
      <c r="Q1100" s="2486"/>
      <c r="R1100" s="2533" t="s">
        <v>290</v>
      </c>
      <c r="S1100" s="2533"/>
      <c r="T1100" s="6"/>
      <c r="U1100" s="6" t="s">
        <v>3071</v>
      </c>
      <c r="V1100" s="6" t="s">
        <v>49</v>
      </c>
      <c r="W1100" s="1678">
        <v>1600</v>
      </c>
      <c r="X1100" s="817" t="s">
        <v>7115</v>
      </c>
      <c r="Y1100" s="2772"/>
      <c r="Z1100" s="817"/>
      <c r="AA1100" s="817"/>
      <c r="AB1100" s="817" t="s">
        <v>974</v>
      </c>
      <c r="AC1100" s="817" t="s">
        <v>7116</v>
      </c>
      <c r="AD1100" s="2699"/>
      <c r="AG1100" s="2711"/>
      <c r="AH1100" s="2438"/>
    </row>
    <row r="1101" spans="1:34" ht="159.5" hidden="1" x14ac:dyDescent="0.35">
      <c r="A1101" s="2769">
        <v>43894</v>
      </c>
      <c r="B1101" s="2760"/>
      <c r="C1101" s="817" t="s">
        <v>7174</v>
      </c>
      <c r="D1101" s="2699"/>
      <c r="E1101" s="817" t="s">
        <v>7175</v>
      </c>
      <c r="F1101" s="817"/>
      <c r="G1101" s="817"/>
      <c r="H1101" s="817"/>
      <c r="I1101" s="817"/>
      <c r="J1101" s="817"/>
      <c r="K1101" s="817"/>
      <c r="L1101" s="817"/>
      <c r="M1101" s="817"/>
      <c r="N1101" s="817"/>
      <c r="O1101" s="817"/>
      <c r="P1101" s="2769" t="s">
        <v>15</v>
      </c>
      <c r="Q1101" s="2769"/>
      <c r="R1101" s="2770" t="s">
        <v>7176</v>
      </c>
      <c r="S1101" s="2747"/>
      <c r="T1101" s="2694" t="s">
        <v>15</v>
      </c>
      <c r="U1101" s="2694">
        <v>0.66666666666666663</v>
      </c>
      <c r="V1101" s="2694">
        <v>0.66666666666666663</v>
      </c>
      <c r="W1101" s="1809">
        <v>0</v>
      </c>
      <c r="X1101" s="817" t="s">
        <v>15</v>
      </c>
      <c r="Y1101" s="2772" t="s">
        <v>140</v>
      </c>
      <c r="Z1101" s="817"/>
      <c r="AA1101" s="817"/>
      <c r="AB1101" s="817" t="s">
        <v>17</v>
      </c>
      <c r="AC1101" s="817" t="s">
        <v>6061</v>
      </c>
      <c r="AD1101" s="2699"/>
      <c r="AG1101" s="2711"/>
      <c r="AH1101" s="2581"/>
    </row>
    <row r="1102" spans="1:34" ht="348" hidden="1" x14ac:dyDescent="0.35">
      <c r="A1102" s="1814">
        <v>43894</v>
      </c>
      <c r="B1102" s="2760"/>
      <c r="C1102" s="817" t="s">
        <v>6366</v>
      </c>
      <c r="D1102" s="2699"/>
      <c r="E1102" s="817" t="s">
        <v>7177</v>
      </c>
      <c r="F1102" s="817"/>
      <c r="G1102" s="817"/>
      <c r="H1102" s="817"/>
      <c r="I1102" s="817"/>
      <c r="J1102" s="817"/>
      <c r="K1102" s="817"/>
      <c r="L1102" s="817"/>
      <c r="M1102" s="817"/>
      <c r="N1102" s="817"/>
      <c r="O1102" s="817"/>
      <c r="P1102" s="1814" t="s">
        <v>15</v>
      </c>
      <c r="Q1102" s="1814"/>
      <c r="R1102" s="2688" t="s">
        <v>7176</v>
      </c>
      <c r="S1102" s="2688"/>
      <c r="T1102" s="2694" t="s">
        <v>15</v>
      </c>
      <c r="U1102" s="2694">
        <v>0.39583333333333331</v>
      </c>
      <c r="V1102" s="2694">
        <v>0.39583333333333331</v>
      </c>
      <c r="W1102" s="1809">
        <v>0</v>
      </c>
      <c r="X1102" s="817" t="s">
        <v>15</v>
      </c>
      <c r="Y1102" s="2772" t="s">
        <v>140</v>
      </c>
      <c r="Z1102" s="817"/>
      <c r="AA1102" s="817"/>
      <c r="AB1102" s="817" t="s">
        <v>17</v>
      </c>
      <c r="AC1102" s="817" t="s">
        <v>6061</v>
      </c>
      <c r="AD1102" s="2699"/>
      <c r="AG1102" s="2711"/>
    </row>
    <row r="1103" spans="1:34" ht="362.5" hidden="1" x14ac:dyDescent="0.35">
      <c r="A1103" s="1814">
        <v>43894</v>
      </c>
      <c r="B1103" s="2760"/>
      <c r="C1103" s="817" t="s">
        <v>6366</v>
      </c>
      <c r="D1103" s="2699"/>
      <c r="E1103" s="817" t="s">
        <v>7178</v>
      </c>
      <c r="F1103" s="817"/>
      <c r="G1103" s="817"/>
      <c r="H1103" s="817"/>
      <c r="I1103" s="817"/>
      <c r="J1103" s="817"/>
      <c r="K1103" s="817"/>
      <c r="L1103" s="817"/>
      <c r="M1103" s="817"/>
      <c r="N1103" s="817"/>
      <c r="O1103" s="817"/>
      <c r="P1103" s="1814" t="s">
        <v>15</v>
      </c>
      <c r="Q1103" s="1814"/>
      <c r="R1103" s="2688" t="s">
        <v>7176</v>
      </c>
      <c r="S1103" s="2688"/>
      <c r="T1103" s="2694" t="s">
        <v>15</v>
      </c>
      <c r="U1103" s="2694">
        <v>0.39583333333333331</v>
      </c>
      <c r="V1103" s="2694">
        <v>0.39583333333333331</v>
      </c>
      <c r="W1103" s="1809">
        <v>0</v>
      </c>
      <c r="X1103" s="817" t="s">
        <v>15</v>
      </c>
      <c r="Y1103" s="2772" t="s">
        <v>140</v>
      </c>
      <c r="Z1103" s="817"/>
      <c r="AA1103" s="817"/>
      <c r="AB1103" s="817" t="s">
        <v>17</v>
      </c>
      <c r="AC1103" s="817" t="s">
        <v>6061</v>
      </c>
      <c r="AD1103" s="2699"/>
      <c r="AG1103" s="2711"/>
    </row>
    <row r="1104" spans="1:34" ht="362.5" hidden="1" x14ac:dyDescent="0.35">
      <c r="A1104" s="2769">
        <v>43894</v>
      </c>
      <c r="B1104" s="2760"/>
      <c r="C1104" s="817" t="s">
        <v>6366</v>
      </c>
      <c r="D1104" s="2699"/>
      <c r="E1104" s="817" t="s">
        <v>7178</v>
      </c>
      <c r="F1104" s="817"/>
      <c r="G1104" s="817"/>
      <c r="H1104" s="817"/>
      <c r="I1104" s="817"/>
      <c r="J1104" s="817"/>
      <c r="K1104" s="817"/>
      <c r="L1104" s="817"/>
      <c r="M1104" s="817"/>
      <c r="N1104" s="817"/>
      <c r="O1104" s="817"/>
      <c r="P1104" s="2769" t="s">
        <v>15</v>
      </c>
      <c r="Q1104" s="2769"/>
      <c r="R1104" s="2770" t="s">
        <v>7176</v>
      </c>
      <c r="S1104" s="2770"/>
      <c r="T1104" s="2694" t="s">
        <v>15</v>
      </c>
      <c r="U1104" s="2694">
        <v>0.39583333333333331</v>
      </c>
      <c r="V1104" s="2694">
        <v>0.39583333333333331</v>
      </c>
      <c r="W1104" s="1809">
        <v>0</v>
      </c>
      <c r="X1104" s="817" t="s">
        <v>15</v>
      </c>
      <c r="Y1104" s="2772" t="s">
        <v>140</v>
      </c>
      <c r="Z1104" s="817"/>
      <c r="AA1104" s="817"/>
      <c r="AB1104" s="817" t="s">
        <v>17</v>
      </c>
      <c r="AC1104" s="817" t="s">
        <v>6061</v>
      </c>
      <c r="AD1104" s="2699"/>
      <c r="AG1104" s="2711"/>
    </row>
    <row r="1105" spans="1:35" ht="29" hidden="1" x14ac:dyDescent="0.35">
      <c r="A1105" s="2486">
        <v>43930</v>
      </c>
      <c r="B1105" s="2718"/>
      <c r="C1105" s="5" t="s">
        <v>10719</v>
      </c>
      <c r="D1105" s="2712" t="s">
        <v>15</v>
      </c>
      <c r="E1105" s="817" t="s">
        <v>8793</v>
      </c>
      <c r="F1105" s="2686"/>
      <c r="G1105" s="2682"/>
      <c r="H1105" s="2682"/>
      <c r="I1105" s="2682"/>
      <c r="J1105" s="2682"/>
      <c r="K1105" s="2682"/>
      <c r="L1105" s="817"/>
      <c r="M1105" s="817"/>
      <c r="N1105" s="817"/>
      <c r="O1105" s="817"/>
      <c r="P1105" s="2486" t="s">
        <v>15</v>
      </c>
      <c r="Q1105" s="2486"/>
      <c r="R1105" s="2486" t="s">
        <v>20</v>
      </c>
      <c r="S1105" s="2770"/>
      <c r="T1105" s="2486" t="s">
        <v>20</v>
      </c>
      <c r="U1105" s="2486" t="s">
        <v>20</v>
      </c>
      <c r="V1105" s="2486" t="s">
        <v>20</v>
      </c>
      <c r="W1105" s="2486" t="s">
        <v>20</v>
      </c>
      <c r="X1105" s="2486" t="s">
        <v>20</v>
      </c>
      <c r="Y1105" s="2718" t="s">
        <v>20</v>
      </c>
      <c r="Z1105" s="2486"/>
      <c r="AA1105" s="2486"/>
      <c r="AB1105" s="2486" t="s">
        <v>17</v>
      </c>
      <c r="AC1105" s="817" t="s">
        <v>20</v>
      </c>
      <c r="AD1105" s="2702"/>
      <c r="AG1105" s="2711"/>
    </row>
    <row r="1106" spans="1:35" ht="116" hidden="1" x14ac:dyDescent="0.35">
      <c r="A1106" s="1808">
        <v>43900</v>
      </c>
      <c r="B1106" s="2779"/>
      <c r="C1106" s="10" t="s">
        <v>7284</v>
      </c>
      <c r="D1106" s="2696"/>
      <c r="E1106" s="10" t="s">
        <v>7286</v>
      </c>
      <c r="F1106" s="10"/>
      <c r="G1106" s="10"/>
      <c r="H1106" s="10"/>
      <c r="I1106" s="10"/>
      <c r="J1106" s="10"/>
      <c r="K1106" s="10"/>
      <c r="L1106" s="10"/>
      <c r="M1106" s="10"/>
      <c r="N1106" s="10"/>
      <c r="O1106" s="10"/>
      <c r="P1106" s="1808" t="s">
        <v>15</v>
      </c>
      <c r="Q1106" s="1808"/>
      <c r="R1106" s="823" t="s">
        <v>2960</v>
      </c>
      <c r="S1106" s="823"/>
      <c r="T1106" s="6" t="s">
        <v>15</v>
      </c>
      <c r="U1106" s="2694">
        <v>0.72916666666666663</v>
      </c>
      <c r="V1106" s="2694">
        <v>0.72916666666666663</v>
      </c>
      <c r="W1106" s="1809">
        <v>360</v>
      </c>
      <c r="X1106" s="817" t="s">
        <v>7285</v>
      </c>
      <c r="Y1106" s="2772" t="s">
        <v>15</v>
      </c>
      <c r="Z1106" s="817"/>
      <c r="AA1106" s="817"/>
      <c r="AB1106" s="817" t="s">
        <v>17</v>
      </c>
      <c r="AC1106" s="817" t="s">
        <v>2960</v>
      </c>
      <c r="AD1106" s="2696"/>
      <c r="AG1106" s="2711"/>
    </row>
    <row r="1107" spans="1:35" ht="29" hidden="1" x14ac:dyDescent="0.35">
      <c r="A1107" s="2486">
        <v>43900</v>
      </c>
      <c r="B1107" s="2718"/>
      <c r="C1107" s="5" t="s">
        <v>20</v>
      </c>
      <c r="D1107" s="2699"/>
      <c r="E1107" s="5" t="s">
        <v>7287</v>
      </c>
      <c r="F1107" s="5"/>
      <c r="G1107" s="5"/>
      <c r="H1107" s="5"/>
      <c r="I1107" s="5"/>
      <c r="J1107" s="5"/>
      <c r="K1107" s="5"/>
      <c r="L1107" s="5"/>
      <c r="M1107" s="5"/>
      <c r="N1107" s="5"/>
      <c r="O1107" s="5"/>
      <c r="P1107" s="2486" t="s">
        <v>15</v>
      </c>
      <c r="Q1107" s="2486"/>
      <c r="R1107" s="824" t="s">
        <v>20</v>
      </c>
      <c r="S1107" s="824"/>
      <c r="T1107" s="6" t="s">
        <v>15</v>
      </c>
      <c r="U1107" s="6" t="s">
        <v>15</v>
      </c>
      <c r="V1107" s="6" t="s">
        <v>15</v>
      </c>
      <c r="W1107" s="1809">
        <v>0</v>
      </c>
      <c r="X1107" s="6" t="s">
        <v>15</v>
      </c>
      <c r="Y1107" s="2679" t="s">
        <v>15</v>
      </c>
      <c r="Z1107" s="6"/>
      <c r="AA1107" s="6"/>
      <c r="AB1107" s="817" t="s">
        <v>17</v>
      </c>
      <c r="AC1107" s="817" t="s">
        <v>20</v>
      </c>
      <c r="AD1107" s="2699"/>
      <c r="AG1107" s="2662"/>
    </row>
    <row r="1108" spans="1:35" ht="159.5" hidden="1" x14ac:dyDescent="0.35">
      <c r="A1108" s="2769">
        <v>43873</v>
      </c>
      <c r="B1108" s="2760"/>
      <c r="C1108" s="817" t="s">
        <v>6684</v>
      </c>
      <c r="D1108" s="2699"/>
      <c r="E1108" s="817" t="s">
        <v>6683</v>
      </c>
      <c r="F1108" s="817"/>
      <c r="G1108" s="817"/>
      <c r="H1108" s="817"/>
      <c r="I1108" s="817"/>
      <c r="J1108" s="817"/>
      <c r="K1108" s="817"/>
      <c r="L1108" s="817"/>
      <c r="M1108" s="817"/>
      <c r="N1108" s="817"/>
      <c r="O1108" s="817"/>
      <c r="P1108" s="2769" t="s">
        <v>15</v>
      </c>
      <c r="Q1108" s="2769"/>
      <c r="R1108" s="2770" t="s">
        <v>49</v>
      </c>
      <c r="S1108" s="2770"/>
      <c r="T1108" s="2694" t="s">
        <v>49</v>
      </c>
      <c r="U1108" s="2694" t="s">
        <v>49</v>
      </c>
      <c r="V1108" s="2694" t="s">
        <v>49</v>
      </c>
      <c r="W1108" s="1809">
        <v>0</v>
      </c>
      <c r="X1108" s="817" t="s">
        <v>361</v>
      </c>
      <c r="Y1108" s="2772" t="s">
        <v>15</v>
      </c>
      <c r="Z1108" s="817"/>
      <c r="AA1108" s="817"/>
      <c r="AB1108" s="817" t="s">
        <v>17</v>
      </c>
      <c r="AC1108" s="817" t="s">
        <v>17</v>
      </c>
      <c r="AD1108" s="2699"/>
      <c r="AG1108" s="2711"/>
    </row>
    <row r="1109" spans="1:35" ht="87" hidden="1" x14ac:dyDescent="0.35">
      <c r="A1109" s="2769">
        <v>43862</v>
      </c>
      <c r="B1109" s="2760"/>
      <c r="C1109" s="2434" t="s">
        <v>6896</v>
      </c>
      <c r="D1109" s="2699"/>
      <c r="E1109" s="817" t="s">
        <v>6449</v>
      </c>
      <c r="F1109" s="817"/>
      <c r="G1109" s="817"/>
      <c r="H1109" s="817"/>
      <c r="I1109" s="817"/>
      <c r="J1109" s="817"/>
      <c r="K1109" s="817"/>
      <c r="L1109" s="817"/>
      <c r="M1109" s="817"/>
      <c r="N1109" s="817"/>
      <c r="O1109" s="817"/>
      <c r="P1109" s="2769" t="s">
        <v>15</v>
      </c>
      <c r="Q1109" s="2769"/>
      <c r="R1109" s="2770" t="s">
        <v>5367</v>
      </c>
      <c r="S1109" s="2770"/>
      <c r="T1109" s="2694" t="s">
        <v>15</v>
      </c>
      <c r="U1109" s="2694">
        <v>0.625</v>
      </c>
      <c r="V1109" s="2694">
        <v>0.625</v>
      </c>
      <c r="W1109" s="1809">
        <v>0</v>
      </c>
      <c r="X1109" s="817" t="s">
        <v>16</v>
      </c>
      <c r="Y1109" s="2772" t="s">
        <v>15</v>
      </c>
      <c r="Z1109" s="817"/>
      <c r="AA1109" s="817"/>
      <c r="AB1109" s="817" t="s">
        <v>17</v>
      </c>
      <c r="AC1109" s="817" t="s">
        <v>6450</v>
      </c>
      <c r="AD1109" s="2699"/>
      <c r="AG1109" s="2662"/>
    </row>
    <row r="1110" spans="1:35" ht="203" hidden="1" x14ac:dyDescent="0.35">
      <c r="A1110" s="1899">
        <v>43896</v>
      </c>
      <c r="B1110" s="2759"/>
      <c r="C1110" s="7" t="s">
        <v>7228</v>
      </c>
      <c r="D1110" s="2699"/>
      <c r="E1110" s="5" t="s">
        <v>6822</v>
      </c>
      <c r="F1110" s="5"/>
      <c r="G1110" s="5"/>
      <c r="H1110" s="5"/>
      <c r="I1110" s="5"/>
      <c r="J1110" s="5"/>
      <c r="K1110" s="5"/>
      <c r="L1110" s="5"/>
      <c r="M1110" s="5"/>
      <c r="N1110" s="5"/>
      <c r="O1110" s="5"/>
      <c r="P1110" s="2486" t="s">
        <v>15</v>
      </c>
      <c r="Q1110" s="2486"/>
      <c r="R1110" s="824" t="s">
        <v>5367</v>
      </c>
      <c r="S1110" s="824"/>
      <c r="T1110" s="6" t="s">
        <v>15</v>
      </c>
      <c r="U1110" s="2670" t="s">
        <v>49</v>
      </c>
      <c r="V1110" s="2670" t="s">
        <v>49</v>
      </c>
      <c r="W1110" s="1678">
        <v>0</v>
      </c>
      <c r="X1110" s="5" t="s">
        <v>7224</v>
      </c>
      <c r="Y1110" s="2679" t="s">
        <v>15</v>
      </c>
      <c r="Z1110" s="5"/>
      <c r="AA1110" s="5"/>
      <c r="AB1110" s="5" t="s">
        <v>17</v>
      </c>
      <c r="AC1110" s="5" t="s">
        <v>6034</v>
      </c>
      <c r="AD1110" s="2699"/>
      <c r="AG1110" s="2662"/>
    </row>
    <row r="1111" spans="1:35" ht="203" hidden="1" x14ac:dyDescent="0.35">
      <c r="A1111" s="2589">
        <v>43895</v>
      </c>
      <c r="B1111" s="2773"/>
      <c r="C1111" s="1090" t="s">
        <v>7195</v>
      </c>
      <c r="D1111" s="2699"/>
      <c r="E1111" s="1090" t="s">
        <v>6822</v>
      </c>
      <c r="F1111" s="1090"/>
      <c r="G1111" s="1090"/>
      <c r="H1111" s="1090"/>
      <c r="I1111" s="1090"/>
      <c r="J1111" s="1090"/>
      <c r="K1111" s="1090"/>
      <c r="L1111" s="1090"/>
      <c r="M1111" s="1090"/>
      <c r="N1111" s="1090"/>
      <c r="O1111" s="1090"/>
      <c r="P1111" s="2589" t="s">
        <v>15</v>
      </c>
      <c r="Q1111" s="2589"/>
      <c r="R1111" s="2428" t="s">
        <v>5367</v>
      </c>
      <c r="S1111" s="2428"/>
      <c r="T1111" s="1927">
        <v>0.58333333333333337</v>
      </c>
      <c r="U1111" s="1927">
        <v>0.58333333333333337</v>
      </c>
      <c r="V1111" s="1927">
        <v>0.58333333333333337</v>
      </c>
      <c r="W1111" s="2128">
        <v>0</v>
      </c>
      <c r="X1111" s="1090" t="s">
        <v>6821</v>
      </c>
      <c r="Y1111" s="2803" t="s">
        <v>15</v>
      </c>
      <c r="Z1111" s="1090"/>
      <c r="AA1111" s="1090"/>
      <c r="AB1111" s="1090" t="s">
        <v>17</v>
      </c>
      <c r="AC1111" s="1090" t="s">
        <v>6034</v>
      </c>
      <c r="AD1111" s="2699"/>
      <c r="AG1111" s="2662"/>
    </row>
    <row r="1112" spans="1:35" ht="203" hidden="1" x14ac:dyDescent="0.35">
      <c r="A1112" s="2589">
        <v>43902</v>
      </c>
      <c r="B1112" s="2773"/>
      <c r="C1112" s="1090" t="s">
        <v>7314</v>
      </c>
      <c r="D1112" s="2699"/>
      <c r="E1112" s="1090" t="s">
        <v>6822</v>
      </c>
      <c r="F1112" s="1090"/>
      <c r="G1112" s="1090"/>
      <c r="H1112" s="1090"/>
      <c r="I1112" s="1090"/>
      <c r="J1112" s="1090"/>
      <c r="K1112" s="1090"/>
      <c r="L1112" s="1090"/>
      <c r="M1112" s="1090"/>
      <c r="N1112" s="1090"/>
      <c r="O1112" s="1090"/>
      <c r="P1112" s="2589" t="s">
        <v>15</v>
      </c>
      <c r="Q1112" s="2589"/>
      <c r="R1112" s="2428" t="s">
        <v>5367</v>
      </c>
      <c r="S1112" s="2428"/>
      <c r="T1112" s="1927">
        <v>0.54166666666666663</v>
      </c>
      <c r="U1112" s="1927">
        <v>0.54166666666666663</v>
      </c>
      <c r="V1112" s="1927">
        <v>0.54166666666666663</v>
      </c>
      <c r="W1112" s="2128">
        <v>0</v>
      </c>
      <c r="X1112" s="1090" t="s">
        <v>6821</v>
      </c>
      <c r="Y1112" s="2803" t="s">
        <v>15</v>
      </c>
      <c r="Z1112" s="1090"/>
      <c r="AA1112" s="1090"/>
      <c r="AB1112" s="1090" t="s">
        <v>17</v>
      </c>
      <c r="AC1112" s="1090" t="s">
        <v>6034</v>
      </c>
      <c r="AD1112" s="2704"/>
      <c r="AG1112" s="2662"/>
    </row>
    <row r="1113" spans="1:35" x14ac:dyDescent="0.35">
      <c r="AE1113" s="2440"/>
      <c r="AI1113" s="1809"/>
    </row>
    <row r="1114" spans="1:35" ht="33" customHeight="1" x14ac:dyDescent="0.35">
      <c r="C1114" s="2767" t="s">
        <v>10877</v>
      </c>
      <c r="AA1114" s="2429"/>
    </row>
    <row r="1115" spans="1:35" x14ac:dyDescent="0.35">
      <c r="W1115" s="2766" t="s">
        <v>22</v>
      </c>
      <c r="X1115" s="2766" t="s">
        <v>10767</v>
      </c>
    </row>
    <row r="1116" spans="1:35" x14ac:dyDescent="0.35">
      <c r="W1116" s="2596" t="s">
        <v>8141</v>
      </c>
      <c r="X1116" s="2705">
        <v>30</v>
      </c>
    </row>
    <row r="1117" spans="1:35" ht="43.5" x14ac:dyDescent="0.35">
      <c r="W1117" s="2545" t="s">
        <v>10760</v>
      </c>
      <c r="X1117" s="2705">
        <v>26</v>
      </c>
      <c r="AG1117" s="1">
        <f>1520-120</f>
        <v>1400</v>
      </c>
    </row>
    <row r="1118" spans="1:35" ht="58" x14ac:dyDescent="0.35">
      <c r="W1118" s="2545" t="s">
        <v>10762</v>
      </c>
      <c r="X1118" s="2705">
        <v>2</v>
      </c>
    </row>
    <row r="1119" spans="1:35" ht="29" x14ac:dyDescent="0.35">
      <c r="W1119" s="2596" t="s">
        <v>10761</v>
      </c>
      <c r="X1119" s="2480">
        <v>3</v>
      </c>
    </row>
    <row r="1120" spans="1:35" ht="46" x14ac:dyDescent="1">
      <c r="C1120" s="2757"/>
      <c r="W1120" s="2545" t="s">
        <v>10763</v>
      </c>
      <c r="X1120" s="2480">
        <v>2</v>
      </c>
    </row>
    <row r="1121" spans="1:33" ht="46" x14ac:dyDescent="1">
      <c r="C1121" s="2757"/>
      <c r="W1121" s="2545" t="s">
        <v>10778</v>
      </c>
      <c r="X1121" s="7">
        <v>0</v>
      </c>
    </row>
    <row r="1122" spans="1:33" ht="46" x14ac:dyDescent="1">
      <c r="C1122" s="2757"/>
    </row>
    <row r="1123" spans="1:33" ht="46" x14ac:dyDescent="1">
      <c r="C1123" s="2757"/>
    </row>
    <row r="1124" spans="1:33" ht="46" x14ac:dyDescent="1">
      <c r="C1124" s="2757"/>
    </row>
    <row r="1126" spans="1:33" ht="29.5" thickBot="1" x14ac:dyDescent="0.4">
      <c r="B1126" s="2762" t="s">
        <v>2108</v>
      </c>
      <c r="C1126" s="2478" t="s">
        <v>6699</v>
      </c>
      <c r="D1126" s="2643"/>
      <c r="E1126" s="2643"/>
      <c r="F1126" s="2643"/>
      <c r="G1126" s="2438" t="s">
        <v>6698</v>
      </c>
      <c r="H1126" s="2438"/>
      <c r="I1126" s="2581">
        <f ca="1">SUM(C1127:C1156)</f>
        <v>27.009837962962962</v>
      </c>
      <c r="J1126" s="2643"/>
      <c r="K1126" s="2643"/>
      <c r="L1126" s="2643"/>
      <c r="M1126" s="2643"/>
      <c r="N1126" s="2429"/>
      <c r="O1126" s="2429"/>
      <c r="P1126" s="2438" t="s">
        <v>6698</v>
      </c>
      <c r="Q1126" s="2581">
        <f>SUM(M1127:M1157)</f>
        <v>0</v>
      </c>
      <c r="R1126" s="1843">
        <f ca="1">SUM(C1127:C1156)</f>
        <v>27.009837962962962</v>
      </c>
    </row>
    <row r="1127" spans="1:33" x14ac:dyDescent="0.35">
      <c r="B1127" s="2763">
        <v>43922</v>
      </c>
      <c r="C1127" s="2578">
        <f t="shared" ref="C1127:C1156" ca="1" si="0">IF(B1127&lt;=TODAY(),SUMIF($A$30:$A$1157,B1127,$V$30:$V$1157)/4.8,"")</f>
        <v>0.56452546296296302</v>
      </c>
      <c r="D1127" s="2644"/>
      <c r="E1127" s="2644"/>
      <c r="F1127" s="2644"/>
      <c r="G1127" s="2438"/>
      <c r="H1127" s="2438"/>
      <c r="I1127" s="2438"/>
      <c r="J1127" s="2644"/>
      <c r="K1127" s="2644"/>
      <c r="L1127" s="2644"/>
      <c r="M1127" s="2644"/>
      <c r="N1127" s="2429"/>
      <c r="O1127" s="2429"/>
      <c r="P1127" s="2438"/>
      <c r="Q1127" s="2438"/>
    </row>
    <row r="1128" spans="1:33" ht="29" x14ac:dyDescent="0.35">
      <c r="A1128" s="2674"/>
      <c r="B1128" s="2764">
        <v>43923</v>
      </c>
      <c r="C1128" s="2578">
        <f t="shared" ca="1" si="0"/>
        <v>0.69299768518518512</v>
      </c>
      <c r="D1128" s="2644"/>
      <c r="E1128" s="2644"/>
      <c r="F1128" s="2645"/>
      <c r="G1128" s="2675" t="s">
        <v>6700</v>
      </c>
      <c r="H1128" s="2675"/>
      <c r="I1128" s="2676">
        <f ca="1">I1126/(DATEDIF(B1127,TODAY(),"d")+1)</f>
        <v>6.5399123397004752E-2</v>
      </c>
      <c r="J1128" s="2645"/>
      <c r="K1128" s="2645"/>
      <c r="L1128" s="2645"/>
      <c r="M1128" s="2645"/>
      <c r="N1128" s="2677"/>
      <c r="O1128" s="2677"/>
      <c r="P1128" s="2438" t="s">
        <v>6700</v>
      </c>
      <c r="Q1128" s="2676">
        <f ca="1">Q1126/(DATEDIF(L1127,TODAY(),"d")+1)</f>
        <v>0</v>
      </c>
      <c r="R1128" s="1843">
        <f ca="1">R1126/(DATEDIF(B1127,TODAY(),"d")+1)</f>
        <v>6.5399123397004752E-2</v>
      </c>
    </row>
    <row r="1129" spans="1:33" x14ac:dyDescent="0.35">
      <c r="B1129" s="2763">
        <v>43924</v>
      </c>
      <c r="C1129" s="2578">
        <f t="shared" ca="1" si="0"/>
        <v>1.6443865740740744</v>
      </c>
      <c r="D1129" s="2644"/>
      <c r="E1129" s="2644"/>
      <c r="F1129" s="2644"/>
      <c r="G1129" s="2644"/>
      <c r="H1129" s="2644"/>
      <c r="I1129" s="2644"/>
      <c r="J1129" s="2644"/>
      <c r="K1129" s="2644"/>
      <c r="L1129" s="2644"/>
      <c r="M1129" s="2644"/>
      <c r="N1129" s="2438"/>
      <c r="O1129" s="2438"/>
      <c r="P1129" s="2438"/>
    </row>
    <row r="1130" spans="1:33" x14ac:dyDescent="0.35">
      <c r="B1130" s="2764">
        <v>43925</v>
      </c>
      <c r="C1130" s="2578">
        <f t="shared" ca="1" si="0"/>
        <v>1.4796006944444446</v>
      </c>
      <c r="D1130" s="2644"/>
      <c r="E1130" s="2644"/>
      <c r="F1130" s="2644"/>
      <c r="G1130" s="2644"/>
      <c r="H1130" s="2644"/>
      <c r="I1130" s="2644"/>
      <c r="J1130" s="2644"/>
      <c r="K1130" s="2644"/>
      <c r="L1130" s="2644"/>
      <c r="M1130" s="2644"/>
      <c r="N1130" s="2438"/>
      <c r="O1130" s="2438"/>
      <c r="P1130" s="2438"/>
    </row>
    <row r="1131" spans="1:33" x14ac:dyDescent="0.35">
      <c r="B1131" s="2763">
        <v>43926</v>
      </c>
      <c r="C1131" s="2578">
        <f t="shared" ca="1" si="0"/>
        <v>0.52864583333333326</v>
      </c>
      <c r="D1131" s="2644"/>
      <c r="E1131" s="2644"/>
      <c r="F1131" s="2644"/>
      <c r="G1131" s="2644"/>
      <c r="H1131" s="2644"/>
      <c r="I1131" s="2644"/>
      <c r="J1131" s="2644"/>
      <c r="K1131" s="2644"/>
      <c r="L1131" s="2644"/>
      <c r="M1131" s="2644"/>
      <c r="N1131" s="2438"/>
      <c r="O1131" s="2438"/>
      <c r="P1131" s="2438"/>
    </row>
    <row r="1132" spans="1:33" x14ac:dyDescent="0.35">
      <c r="B1132" s="2764">
        <v>43927</v>
      </c>
      <c r="C1132" s="2578">
        <f t="shared" ca="1" si="0"/>
        <v>2.5535300925925921</v>
      </c>
      <c r="D1132" s="2644"/>
      <c r="E1132" s="2644"/>
      <c r="F1132" s="2751"/>
      <c r="G1132" s="2751"/>
      <c r="H1132" s="2751"/>
      <c r="I1132" s="2751"/>
      <c r="J1132" s="2751"/>
      <c r="K1132" s="2751"/>
      <c r="L1132" s="2751"/>
      <c r="M1132" s="2751"/>
      <c r="N1132" s="2705"/>
      <c r="O1132" s="2705"/>
      <c r="P1132" s="2705"/>
      <c r="Q1132" s="2705"/>
      <c r="R1132" s="2705"/>
      <c r="S1132" s="2705"/>
      <c r="T1132" s="2705"/>
      <c r="U1132" s="2705"/>
      <c r="V1132" s="2705"/>
      <c r="W1132" s="2705"/>
      <c r="X1132" s="2501"/>
      <c r="Y1132" s="2804"/>
      <c r="Z1132" s="2705"/>
      <c r="AA1132" s="2705"/>
      <c r="AB1132" s="2705"/>
      <c r="AC1132" s="2705"/>
      <c r="AD1132" s="2705"/>
      <c r="AE1132" s="2705"/>
      <c r="AF1132" s="2705"/>
      <c r="AG1132" s="2705"/>
    </row>
    <row r="1133" spans="1:33" x14ac:dyDescent="0.35">
      <c r="B1133" s="2763">
        <v>43928</v>
      </c>
      <c r="C1133" s="2578">
        <f t="shared" ca="1" si="0"/>
        <v>1.968894675925926</v>
      </c>
      <c r="D1133" s="2644"/>
      <c r="E1133" s="2644"/>
      <c r="F1133" s="2751"/>
      <c r="G1133" s="2751"/>
      <c r="H1133" s="2751"/>
      <c r="I1133" s="2751"/>
      <c r="J1133" s="2751"/>
      <c r="K1133" s="2751"/>
      <c r="L1133" s="2751"/>
      <c r="M1133" s="2751"/>
      <c r="N1133" s="2705"/>
      <c r="O1133" s="2705"/>
      <c r="P1133" s="2705"/>
      <c r="Q1133" s="2705"/>
      <c r="R1133" s="2705"/>
      <c r="S1133" s="2705"/>
      <c r="T1133" s="2705"/>
      <c r="U1133" s="2705"/>
      <c r="V1133" s="2705"/>
      <c r="W1133" s="2705"/>
      <c r="X1133" s="2501"/>
      <c r="Y1133" s="2804"/>
      <c r="Z1133" s="2705"/>
      <c r="AA1133" s="2705"/>
      <c r="AB1133" s="2705"/>
      <c r="AC1133" s="2705"/>
      <c r="AD1133" s="2705"/>
      <c r="AE1133" s="2705"/>
      <c r="AF1133" s="2705"/>
      <c r="AG1133" s="2705"/>
    </row>
    <row r="1134" spans="1:33" x14ac:dyDescent="0.35">
      <c r="B1134" s="2764">
        <v>43929</v>
      </c>
      <c r="C1134" s="2578">
        <f t="shared" ca="1" si="0"/>
        <v>1.3441840277777781</v>
      </c>
      <c r="D1134" s="2644"/>
      <c r="E1134" s="2644"/>
      <c r="F1134" s="2751"/>
      <c r="G1134" s="2751"/>
      <c r="H1134" s="2751"/>
      <c r="I1134" s="2751"/>
      <c r="J1134" s="2751"/>
      <c r="K1134" s="2751"/>
      <c r="L1134" s="2751"/>
      <c r="M1134" s="2751"/>
      <c r="N1134" s="2705"/>
      <c r="O1134" s="2705"/>
      <c r="P1134" s="2705"/>
      <c r="Q1134" s="2705"/>
      <c r="R1134" s="2705"/>
      <c r="S1134" s="2705"/>
      <c r="T1134" s="2705"/>
      <c r="U1134" s="2705"/>
      <c r="V1134" s="2705"/>
      <c r="W1134" s="2705"/>
      <c r="X1134" s="2501"/>
      <c r="Y1134" s="2804"/>
      <c r="Z1134" s="2705"/>
      <c r="AA1134" s="2705"/>
      <c r="AB1134" s="2705"/>
      <c r="AC1134" s="2705"/>
      <c r="AD1134" s="2705"/>
      <c r="AE1134" s="2705"/>
      <c r="AF1134" s="2705"/>
      <c r="AG1134" s="2705"/>
    </row>
    <row r="1135" spans="1:33" x14ac:dyDescent="0.35">
      <c r="B1135" s="2765">
        <v>43930</v>
      </c>
      <c r="C1135" s="2756">
        <f t="shared" ca="1" si="0"/>
        <v>2.6888020833333335</v>
      </c>
      <c r="D1135" s="2644"/>
      <c r="E1135" s="2644"/>
      <c r="F1135" s="2751"/>
      <c r="G1135" s="2751"/>
      <c r="H1135" s="2751"/>
      <c r="I1135" s="2751"/>
      <c r="J1135" s="2751"/>
      <c r="K1135" s="2751"/>
      <c r="L1135" s="2751"/>
      <c r="M1135" s="2751"/>
      <c r="N1135" s="2440"/>
      <c r="O1135" s="2440"/>
      <c r="P1135" s="2440"/>
      <c r="Q1135" s="2705"/>
      <c r="R1135" s="2705"/>
      <c r="S1135" s="2705"/>
      <c r="T1135" s="2705"/>
      <c r="U1135" s="2705"/>
      <c r="V1135" s="2705"/>
      <c r="W1135" s="2705"/>
      <c r="X1135" s="2501"/>
      <c r="Y1135" s="2804"/>
      <c r="Z1135" s="2705"/>
      <c r="AA1135" s="2705"/>
      <c r="AB1135" s="2705"/>
      <c r="AC1135" s="2705"/>
      <c r="AD1135" s="2705"/>
      <c r="AE1135" s="2705"/>
      <c r="AF1135" s="2705"/>
      <c r="AG1135" s="2705"/>
    </row>
    <row r="1136" spans="1:33" x14ac:dyDescent="0.35">
      <c r="B1136" s="2764">
        <v>43931</v>
      </c>
      <c r="C1136" s="2756">
        <f t="shared" ca="1" si="0"/>
        <v>6.1964699074074083</v>
      </c>
      <c r="D1136" s="2644"/>
      <c r="E1136" s="2751"/>
      <c r="F1136" s="2751"/>
      <c r="G1136" s="2751"/>
      <c r="H1136" s="2751"/>
      <c r="I1136" s="2751"/>
      <c r="J1136" s="2751"/>
      <c r="K1136" s="2751"/>
      <c r="L1136" s="2751"/>
      <c r="M1136" s="2751"/>
      <c r="N1136" s="2440"/>
      <c r="O1136" s="2440"/>
      <c r="P1136" s="2440"/>
      <c r="Q1136" s="2705"/>
      <c r="R1136" s="2705"/>
      <c r="S1136" s="2705"/>
      <c r="T1136" s="2705"/>
      <c r="U1136" s="2705"/>
      <c r="V1136" s="2705"/>
      <c r="W1136" s="2705"/>
      <c r="X1136" s="2501"/>
      <c r="Y1136" s="2804"/>
      <c r="Z1136" s="2705"/>
      <c r="AA1136" s="2705"/>
      <c r="AB1136" s="2705"/>
      <c r="AC1136" s="2705"/>
      <c r="AD1136" s="2705"/>
      <c r="AE1136" s="2705"/>
      <c r="AF1136" s="2705"/>
      <c r="AG1136" s="2705"/>
    </row>
    <row r="1137" spans="2:33" x14ac:dyDescent="0.35">
      <c r="B1137" s="2765">
        <v>43932</v>
      </c>
      <c r="C1137" s="2756">
        <f t="shared" ca="1" si="0"/>
        <v>2.641927083333333</v>
      </c>
      <c r="D1137" s="2644"/>
      <c r="E1137" s="2751"/>
      <c r="F1137" s="2751"/>
      <c r="G1137" s="2751"/>
      <c r="H1137" s="2751"/>
      <c r="I1137" s="2751"/>
      <c r="J1137" s="2751"/>
      <c r="K1137" s="2751"/>
      <c r="L1137" s="2751"/>
      <c r="M1137" s="2751"/>
      <c r="N1137" s="2440"/>
      <c r="O1137" s="2440"/>
      <c r="P1137" s="2440"/>
      <c r="Q1137" s="2705"/>
      <c r="R1137" s="2705"/>
      <c r="S1137" s="2705"/>
      <c r="T1137" s="2705"/>
      <c r="U1137" s="2705"/>
      <c r="V1137" s="2705"/>
      <c r="W1137" s="2705"/>
      <c r="X1137" s="2501"/>
      <c r="Y1137" s="2804"/>
      <c r="Z1137" s="2705"/>
      <c r="AA1137" s="2705"/>
      <c r="AB1137" s="2705"/>
      <c r="AC1137" s="2705"/>
      <c r="AD1137" s="2705"/>
      <c r="AE1137" s="2705"/>
      <c r="AF1137" s="2705"/>
      <c r="AG1137" s="2705"/>
    </row>
    <row r="1138" spans="2:33" x14ac:dyDescent="0.35">
      <c r="B1138" s="2764">
        <v>43933</v>
      </c>
      <c r="C1138" s="2756">
        <f t="shared" ca="1" si="0"/>
        <v>0.66420717592592593</v>
      </c>
      <c r="D1138" s="2751"/>
      <c r="E1138" s="2751"/>
      <c r="F1138" s="2751"/>
      <c r="G1138" s="2751"/>
      <c r="H1138" s="2751"/>
      <c r="I1138" s="2751"/>
      <c r="J1138" s="2751"/>
      <c r="K1138" s="2751"/>
      <c r="L1138" s="2751"/>
      <c r="M1138" s="2751"/>
      <c r="N1138" s="2440"/>
      <c r="O1138" s="2440"/>
      <c r="P1138" s="2440"/>
      <c r="Q1138" s="2705"/>
      <c r="R1138" s="2705"/>
      <c r="S1138" s="2705"/>
      <c r="T1138" s="2705"/>
      <c r="U1138" s="2705"/>
      <c r="V1138" s="2705"/>
      <c r="W1138" s="2705"/>
      <c r="X1138" s="2501"/>
      <c r="Y1138" s="2804"/>
      <c r="Z1138" s="2705"/>
      <c r="AA1138" s="2705"/>
      <c r="AB1138" s="2705"/>
      <c r="AC1138" s="2705"/>
      <c r="AD1138" s="2705"/>
      <c r="AE1138" s="2705"/>
      <c r="AF1138" s="2705"/>
      <c r="AG1138" s="2705"/>
    </row>
    <row r="1139" spans="2:33" x14ac:dyDescent="0.35">
      <c r="B1139" s="2765">
        <v>43934</v>
      </c>
      <c r="C1139" s="2756">
        <f t="shared" ca="1" si="0"/>
        <v>2.4419849537037037</v>
      </c>
      <c r="D1139" s="2751"/>
      <c r="E1139" s="2751"/>
      <c r="F1139" s="2751"/>
      <c r="G1139" s="2751"/>
      <c r="H1139" s="2751"/>
      <c r="I1139" s="2751"/>
      <c r="J1139" s="2751"/>
      <c r="K1139" s="2751"/>
      <c r="L1139" s="2751"/>
      <c r="M1139" s="2751"/>
      <c r="N1139" s="2440"/>
      <c r="O1139" s="2440"/>
      <c r="P1139" s="2440"/>
      <c r="Q1139" s="2705"/>
      <c r="R1139" s="2705"/>
      <c r="S1139" s="2705"/>
      <c r="T1139" s="2705"/>
      <c r="U1139" s="2705"/>
      <c r="V1139" s="2705"/>
      <c r="W1139" s="2705"/>
      <c r="X1139" s="2501"/>
      <c r="Y1139" s="2804"/>
      <c r="Z1139" s="2705"/>
      <c r="AA1139" s="2705"/>
      <c r="AB1139" s="2705"/>
      <c r="AC1139" s="2705"/>
      <c r="AD1139" s="2705"/>
      <c r="AE1139" s="2705"/>
      <c r="AF1139" s="2705"/>
      <c r="AG1139" s="2705"/>
    </row>
    <row r="1140" spans="2:33" x14ac:dyDescent="0.35">
      <c r="B1140" s="2764">
        <v>43935</v>
      </c>
      <c r="C1140" s="2756">
        <f t="shared" ca="1" si="0"/>
        <v>0.8731192129629628</v>
      </c>
      <c r="D1140" s="2751"/>
      <c r="E1140" s="2751"/>
      <c r="F1140" s="2751"/>
      <c r="G1140" s="2751"/>
      <c r="H1140" s="2751"/>
      <c r="I1140" s="2751"/>
      <c r="J1140" s="2751"/>
      <c r="K1140" s="2751"/>
      <c r="L1140" s="2751"/>
      <c r="M1140" s="2751"/>
      <c r="N1140" s="2440"/>
      <c r="O1140" s="2440"/>
      <c r="P1140" s="2440"/>
      <c r="Q1140" s="2705"/>
      <c r="R1140" s="2705"/>
      <c r="S1140" s="2705"/>
      <c r="T1140" s="2705"/>
      <c r="U1140" s="2705"/>
      <c r="V1140" s="2705"/>
      <c r="W1140" s="2705"/>
      <c r="X1140" s="2501"/>
      <c r="Y1140" s="2804"/>
      <c r="Z1140" s="2705"/>
      <c r="AA1140" s="2705"/>
      <c r="AB1140" s="2705"/>
      <c r="AC1140" s="2705"/>
      <c r="AD1140" s="2705"/>
      <c r="AE1140" s="2705"/>
      <c r="AF1140" s="2705"/>
      <c r="AG1140" s="2705"/>
    </row>
    <row r="1141" spans="2:33" x14ac:dyDescent="0.35">
      <c r="B1141" s="2765">
        <v>43936</v>
      </c>
      <c r="C1141" s="2756">
        <f t="shared" ca="1" si="0"/>
        <v>0.4704861111111111</v>
      </c>
      <c r="D1141" s="2751"/>
      <c r="E1141" s="2480"/>
      <c r="F1141" s="2480"/>
      <c r="G1141" s="2480"/>
      <c r="H1141" s="2480"/>
      <c r="I1141" s="2751"/>
      <c r="J1141" s="2751"/>
      <c r="K1141" s="2751"/>
      <c r="L1141" s="2751"/>
      <c r="M1141" s="2751"/>
      <c r="N1141" s="2501"/>
      <c r="O1141" s="2501"/>
      <c r="P1141" s="2440"/>
      <c r="Q1141" s="2705"/>
      <c r="R1141" s="2705"/>
      <c r="S1141" s="2705"/>
      <c r="T1141" s="2705"/>
      <c r="U1141" s="2705"/>
      <c r="V1141" s="2705"/>
      <c r="W1141" s="2705"/>
      <c r="X1141" s="2501"/>
      <c r="Y1141" s="2804"/>
      <c r="Z1141" s="2705"/>
      <c r="AA1141" s="2705"/>
      <c r="AB1141" s="2705"/>
      <c r="AC1141" s="2705"/>
      <c r="AD1141" s="2705"/>
      <c r="AE1141" s="2705"/>
      <c r="AF1141" s="2705"/>
      <c r="AG1141" s="2705"/>
    </row>
    <row r="1142" spans="2:33" hidden="1" x14ac:dyDescent="0.35">
      <c r="B1142" s="2764">
        <v>43937</v>
      </c>
      <c r="C1142" s="2753">
        <f t="shared" ca="1" si="0"/>
        <v>0.12152777777777779</v>
      </c>
      <c r="D1142" s="2751"/>
      <c r="E1142" s="2750"/>
      <c r="F1142" s="2480"/>
      <c r="G1142" s="2480"/>
      <c r="H1142" s="2480"/>
      <c r="I1142" s="2751"/>
      <c r="J1142" s="2751"/>
      <c r="K1142" s="2751"/>
      <c r="L1142" s="2751"/>
      <c r="M1142" s="2751"/>
      <c r="N1142" s="2501"/>
      <c r="O1142" s="2501"/>
      <c r="P1142" s="2440"/>
      <c r="Q1142" s="2705"/>
      <c r="R1142" s="2705"/>
      <c r="S1142" s="2705"/>
      <c r="T1142" s="2705"/>
      <c r="U1142" s="2705"/>
      <c r="V1142" s="2705"/>
      <c r="W1142" s="2705"/>
      <c r="X1142" s="2501"/>
      <c r="Y1142" s="2804"/>
      <c r="Z1142" s="2705"/>
      <c r="AA1142" s="2705"/>
      <c r="AB1142" s="2705"/>
      <c r="AC1142" s="2705"/>
      <c r="AD1142" s="2705"/>
      <c r="AE1142" s="2705"/>
      <c r="AF1142" s="2705"/>
      <c r="AG1142" s="2705"/>
    </row>
    <row r="1143" spans="2:33" hidden="1" x14ac:dyDescent="0.35">
      <c r="B1143" s="2763">
        <v>43938</v>
      </c>
      <c r="C1143" s="2753">
        <f t="shared" ca="1" si="0"/>
        <v>0</v>
      </c>
      <c r="D1143" s="2751"/>
      <c r="E1143" s="2480"/>
      <c r="F1143" s="2480"/>
      <c r="G1143" s="2480"/>
      <c r="H1143" s="2480"/>
      <c r="I1143" s="2751"/>
      <c r="J1143" s="2751"/>
      <c r="K1143" s="2751"/>
      <c r="L1143" s="2751"/>
      <c r="M1143" s="2751"/>
      <c r="N1143" s="2501"/>
      <c r="O1143" s="2501"/>
      <c r="P1143" s="2440"/>
      <c r="Q1143" s="2705"/>
      <c r="R1143" s="2705"/>
      <c r="S1143" s="2705"/>
      <c r="T1143" s="2705"/>
      <c r="U1143" s="2705"/>
      <c r="V1143" s="2705"/>
      <c r="W1143" s="2705"/>
      <c r="X1143" s="2501"/>
      <c r="Y1143" s="2804"/>
      <c r="Z1143" s="2705"/>
      <c r="AA1143" s="2705"/>
      <c r="AB1143" s="2705"/>
      <c r="AC1143" s="2705"/>
      <c r="AD1143" s="2705"/>
      <c r="AE1143" s="2705"/>
      <c r="AF1143" s="2705"/>
      <c r="AG1143" s="2705"/>
    </row>
    <row r="1144" spans="2:33" hidden="1" x14ac:dyDescent="0.35">
      <c r="B1144" s="2764">
        <v>43939</v>
      </c>
      <c r="C1144" s="2753">
        <f t="shared" ca="1" si="0"/>
        <v>0</v>
      </c>
      <c r="D1144" s="2751"/>
      <c r="E1144" s="2480"/>
      <c r="F1144" s="2480"/>
      <c r="G1144" s="2480"/>
      <c r="H1144" s="2480"/>
      <c r="I1144" s="2751"/>
      <c r="J1144" s="2751"/>
      <c r="K1144" s="2751"/>
      <c r="L1144" s="2751"/>
      <c r="M1144" s="2751"/>
      <c r="N1144" s="2501"/>
      <c r="O1144" s="2501"/>
      <c r="P1144" s="2440"/>
      <c r="Q1144" s="2705"/>
      <c r="R1144" s="2705"/>
      <c r="S1144" s="2705"/>
      <c r="T1144" s="2705"/>
      <c r="U1144" s="2705"/>
      <c r="V1144" s="2705"/>
      <c r="W1144" s="2705"/>
      <c r="X1144" s="2501"/>
      <c r="Y1144" s="2804"/>
      <c r="Z1144" s="2705"/>
      <c r="AA1144" s="2705"/>
      <c r="AB1144" s="2705"/>
      <c r="AC1144" s="2705"/>
      <c r="AD1144" s="2705"/>
      <c r="AE1144" s="2705"/>
      <c r="AF1144" s="2705"/>
      <c r="AG1144" s="2705"/>
    </row>
    <row r="1145" spans="2:33" hidden="1" x14ac:dyDescent="0.35">
      <c r="B1145" s="2763">
        <v>43940</v>
      </c>
      <c r="C1145" s="2753">
        <f t="shared" ca="1" si="0"/>
        <v>0</v>
      </c>
      <c r="D1145" s="2751"/>
      <c r="E1145" s="2480"/>
      <c r="F1145" s="2480"/>
      <c r="G1145" s="2480"/>
      <c r="H1145" s="2480"/>
      <c r="I1145" s="2751"/>
      <c r="J1145" s="2751"/>
      <c r="K1145" s="2751"/>
      <c r="L1145" s="2751"/>
      <c r="M1145" s="2751"/>
      <c r="N1145" s="2501"/>
      <c r="O1145" s="2501"/>
      <c r="P1145" s="2440"/>
      <c r="Q1145" s="2705"/>
      <c r="R1145" s="2705"/>
      <c r="S1145" s="2705"/>
      <c r="T1145" s="2705"/>
      <c r="U1145" s="2705"/>
      <c r="V1145" s="2705"/>
      <c r="W1145" s="2705"/>
      <c r="X1145" s="2501"/>
      <c r="Y1145" s="2804"/>
      <c r="Z1145" s="2705"/>
      <c r="AA1145" s="2705"/>
      <c r="AB1145" s="2705"/>
      <c r="AC1145" s="2705"/>
      <c r="AD1145" s="2705"/>
      <c r="AE1145" s="2705"/>
      <c r="AF1145" s="2705"/>
      <c r="AG1145" s="2705"/>
    </row>
    <row r="1146" spans="2:33" hidden="1" x14ac:dyDescent="0.35">
      <c r="B1146" s="2764">
        <v>43941</v>
      </c>
      <c r="C1146" s="2753">
        <f t="shared" ca="1" si="0"/>
        <v>0</v>
      </c>
      <c r="D1146" s="2751"/>
      <c r="E1146" s="2480"/>
      <c r="F1146" s="2480"/>
      <c r="G1146" s="2480"/>
      <c r="H1146" s="2480"/>
      <c r="I1146" s="2751"/>
      <c r="J1146" s="2751"/>
      <c r="K1146" s="2751"/>
      <c r="L1146" s="2751"/>
      <c r="M1146" s="2751"/>
      <c r="N1146" s="2501"/>
      <c r="O1146" s="2501"/>
      <c r="P1146" s="2440"/>
      <c r="Q1146" s="2705"/>
      <c r="R1146" s="2705"/>
      <c r="S1146" s="2705"/>
      <c r="T1146" s="2705"/>
      <c r="U1146" s="2705"/>
      <c r="V1146" s="2705"/>
      <c r="W1146" s="2705"/>
      <c r="X1146" s="2501"/>
      <c r="Y1146" s="2804"/>
      <c r="Z1146" s="2705"/>
      <c r="AA1146" s="2705"/>
      <c r="AB1146" s="2705"/>
      <c r="AC1146" s="2705"/>
      <c r="AD1146" s="2705"/>
      <c r="AE1146" s="2705"/>
      <c r="AF1146" s="2705"/>
      <c r="AG1146" s="2705"/>
    </row>
    <row r="1147" spans="2:33" hidden="1" x14ac:dyDescent="0.35">
      <c r="B1147" s="2763">
        <v>43942</v>
      </c>
      <c r="C1147" s="2753">
        <f t="shared" ca="1" si="0"/>
        <v>0.13454861111111113</v>
      </c>
      <c r="D1147" s="2751"/>
      <c r="E1147" s="2480"/>
      <c r="F1147" s="2480"/>
      <c r="G1147" s="2480"/>
      <c r="H1147" s="2480"/>
      <c r="I1147" s="2751"/>
      <c r="J1147" s="2751"/>
      <c r="K1147" s="2751"/>
      <c r="L1147" s="2751"/>
      <c r="M1147" s="2751"/>
      <c r="N1147" s="2501"/>
      <c r="O1147" s="2501"/>
      <c r="P1147" s="2440"/>
      <c r="Q1147" s="2705"/>
      <c r="R1147" s="2705"/>
      <c r="S1147" s="2705"/>
      <c r="T1147" s="2705"/>
      <c r="U1147" s="2705"/>
      <c r="V1147" s="2705"/>
      <c r="W1147" s="2705"/>
      <c r="X1147" s="2805"/>
      <c r="Y1147" s="2804"/>
      <c r="Z1147" s="2705"/>
      <c r="AA1147" s="2705"/>
      <c r="AB1147" s="2705"/>
      <c r="AC1147" s="2705"/>
      <c r="AD1147" s="2705"/>
      <c r="AE1147" s="2705"/>
      <c r="AF1147" s="2705"/>
      <c r="AG1147" s="2705"/>
    </row>
    <row r="1148" spans="2:33" hidden="1" x14ac:dyDescent="0.35">
      <c r="B1148" s="2764">
        <v>43943</v>
      </c>
      <c r="C1148" s="2753">
        <f t="shared" ca="1" si="0"/>
        <v>0</v>
      </c>
      <c r="D1148" s="2751"/>
      <c r="E1148" s="2480"/>
      <c r="F1148" s="2480"/>
      <c r="G1148" s="2480"/>
      <c r="H1148" s="2480"/>
      <c r="I1148" s="2751"/>
      <c r="J1148" s="2751"/>
      <c r="K1148" s="2751"/>
      <c r="L1148" s="2751"/>
      <c r="M1148" s="2751"/>
      <c r="N1148" s="2501"/>
      <c r="O1148" s="2501"/>
      <c r="P1148" s="2440"/>
      <c r="Q1148" s="2705"/>
      <c r="R1148" s="2705"/>
      <c r="S1148" s="2705"/>
      <c r="T1148" s="2705"/>
      <c r="U1148" s="2705"/>
      <c r="V1148" s="2705"/>
      <c r="W1148" s="2705"/>
      <c r="X1148" s="2501"/>
      <c r="Y1148" s="2804"/>
      <c r="Z1148" s="2705"/>
      <c r="AA1148" s="2705"/>
      <c r="AB1148" s="2705"/>
      <c r="AC1148" s="2705"/>
      <c r="AD1148" s="2705"/>
      <c r="AE1148" s="2705"/>
      <c r="AF1148" s="2705"/>
      <c r="AG1148" s="2705"/>
    </row>
    <row r="1149" spans="2:33" hidden="1" x14ac:dyDescent="0.35">
      <c r="B1149" s="2763">
        <v>43944</v>
      </c>
      <c r="C1149" s="2753">
        <f t="shared" ca="1" si="0"/>
        <v>0</v>
      </c>
      <c r="D1149" s="2751"/>
      <c r="E1149" s="2480"/>
      <c r="F1149" s="2480"/>
      <c r="G1149" s="2480"/>
      <c r="H1149" s="2480"/>
      <c r="I1149" s="2751"/>
      <c r="J1149" s="2751"/>
      <c r="K1149" s="2751"/>
      <c r="L1149" s="2751"/>
      <c r="M1149" s="2751"/>
      <c r="N1149" s="2440"/>
      <c r="O1149" s="2440"/>
      <c r="P1149" s="2440"/>
      <c r="Q1149" s="2705"/>
      <c r="R1149" s="2705"/>
      <c r="S1149" s="2705"/>
      <c r="T1149" s="2705"/>
      <c r="U1149" s="2705"/>
      <c r="V1149" s="2705"/>
      <c r="W1149" s="2705"/>
      <c r="X1149" s="2501"/>
      <c r="Y1149" s="2804"/>
      <c r="Z1149" s="2705"/>
      <c r="AA1149" s="2705"/>
      <c r="AB1149" s="2705"/>
      <c r="AC1149" s="2705"/>
      <c r="AD1149" s="2705"/>
      <c r="AE1149" s="2705"/>
      <c r="AF1149" s="2705"/>
      <c r="AG1149" s="2705"/>
    </row>
    <row r="1150" spans="2:33" hidden="1" x14ac:dyDescent="0.35">
      <c r="B1150" s="2764">
        <v>43945</v>
      </c>
      <c r="C1150" s="2753">
        <f t="shared" ca="1" si="0"/>
        <v>0</v>
      </c>
      <c r="D1150" s="2751"/>
      <c r="E1150" s="2480"/>
      <c r="F1150" s="2480"/>
      <c r="G1150" s="2480"/>
      <c r="H1150" s="2480"/>
      <c r="I1150" s="2751"/>
      <c r="J1150" s="2751"/>
      <c r="K1150" s="2751"/>
      <c r="L1150" s="2751"/>
      <c r="M1150" s="2751"/>
      <c r="N1150" s="2440"/>
      <c r="O1150" s="2440"/>
      <c r="P1150" s="2440"/>
      <c r="Q1150" s="2705"/>
      <c r="R1150" s="2705"/>
      <c r="S1150" s="2705"/>
      <c r="T1150" s="2705"/>
      <c r="U1150" s="2705"/>
      <c r="V1150" s="2705"/>
      <c r="W1150" s="2705"/>
      <c r="X1150" s="2501"/>
      <c r="Y1150" s="2804"/>
      <c r="Z1150" s="2705"/>
      <c r="AA1150" s="2705"/>
      <c r="AB1150" s="2705"/>
      <c r="AC1150" s="2705"/>
      <c r="AD1150" s="2705"/>
      <c r="AE1150" s="2705"/>
      <c r="AF1150" s="2705"/>
      <c r="AG1150" s="2705"/>
    </row>
    <row r="1151" spans="2:33" hidden="1" x14ac:dyDescent="0.35">
      <c r="B1151" s="2763">
        <v>43946</v>
      </c>
      <c r="C1151" s="2753">
        <f t="shared" ca="1" si="0"/>
        <v>0</v>
      </c>
      <c r="D1151" s="2751"/>
      <c r="E1151" s="2480"/>
      <c r="F1151" s="2480"/>
      <c r="G1151" s="2480"/>
      <c r="H1151" s="2480"/>
      <c r="I1151" s="2751"/>
      <c r="J1151" s="2751"/>
      <c r="K1151" s="2751"/>
      <c r="L1151" s="2751"/>
      <c r="M1151" s="2751"/>
      <c r="N1151" s="2440"/>
      <c r="O1151" s="2440"/>
      <c r="P1151" s="2440"/>
      <c r="Q1151" s="2705"/>
      <c r="R1151" s="2705"/>
      <c r="S1151" s="2705"/>
      <c r="T1151" s="2705"/>
      <c r="U1151" s="2705"/>
      <c r="V1151" s="2705"/>
      <c r="W1151" s="2705"/>
      <c r="X1151" s="2501"/>
      <c r="Y1151" s="2804"/>
      <c r="Z1151" s="2705"/>
      <c r="AA1151" s="2705"/>
      <c r="AB1151" s="2705"/>
      <c r="AC1151" s="2705"/>
      <c r="AD1151" s="2705"/>
      <c r="AE1151" s="2705"/>
      <c r="AF1151" s="2705"/>
      <c r="AG1151" s="2705"/>
    </row>
    <row r="1152" spans="2:33" hidden="1" x14ac:dyDescent="0.35">
      <c r="B1152" s="2764">
        <v>43947</v>
      </c>
      <c r="C1152" s="2753">
        <f t="shared" ca="1" si="0"/>
        <v>0</v>
      </c>
      <c r="D1152" s="2751"/>
      <c r="E1152" s="2480"/>
      <c r="F1152" s="2480"/>
      <c r="G1152" s="2480"/>
      <c r="H1152" s="2480"/>
      <c r="I1152" s="2751"/>
      <c r="J1152" s="2751"/>
      <c r="K1152" s="2751"/>
      <c r="L1152" s="2751"/>
      <c r="M1152" s="2751"/>
      <c r="N1152" s="2501"/>
      <c r="O1152" s="2501"/>
      <c r="P1152" s="2440"/>
      <c r="Q1152" s="2705"/>
      <c r="R1152" s="2705"/>
      <c r="S1152" s="2705"/>
      <c r="T1152" s="2705"/>
      <c r="U1152" s="2705"/>
      <c r="V1152" s="2705"/>
      <c r="W1152" s="2705"/>
      <c r="X1152" s="2501"/>
      <c r="Y1152" s="2804"/>
      <c r="Z1152" s="2705"/>
      <c r="AA1152" s="2705"/>
      <c r="AB1152" s="2705"/>
      <c r="AC1152" s="2705"/>
      <c r="AD1152" s="2705"/>
      <c r="AE1152" s="2705"/>
      <c r="AF1152" s="2705"/>
      <c r="AG1152" s="2705"/>
    </row>
    <row r="1153" spans="1:35" hidden="1" x14ac:dyDescent="0.35">
      <c r="B1153" s="2763">
        <v>43948</v>
      </c>
      <c r="C1153" s="2753">
        <f t="shared" ca="1" si="0"/>
        <v>0</v>
      </c>
      <c r="D1153" s="2751"/>
      <c r="E1153" s="2480"/>
      <c r="F1153" s="2480"/>
      <c r="G1153" s="2480"/>
      <c r="H1153" s="2480"/>
      <c r="I1153" s="2751"/>
      <c r="J1153" s="2751"/>
      <c r="K1153" s="2751"/>
      <c r="L1153" s="2751"/>
      <c r="M1153" s="2751"/>
      <c r="N1153" s="2501"/>
      <c r="O1153" s="2501"/>
      <c r="P1153" s="2440"/>
      <c r="Q1153" s="2705"/>
      <c r="R1153" s="2705"/>
      <c r="S1153" s="2705"/>
      <c r="T1153" s="2705"/>
      <c r="U1153" s="2705"/>
      <c r="V1153" s="2705"/>
      <c r="W1153" s="2705"/>
      <c r="X1153" s="2501"/>
      <c r="Y1153" s="2804"/>
      <c r="Z1153" s="2705"/>
      <c r="AA1153" s="2705"/>
      <c r="AB1153" s="2705"/>
      <c r="AC1153" s="2705"/>
      <c r="AD1153" s="2705"/>
      <c r="AE1153" s="2705"/>
      <c r="AF1153" s="2705"/>
      <c r="AG1153" s="2705"/>
    </row>
    <row r="1154" spans="1:35" hidden="1" x14ac:dyDescent="0.35">
      <c r="B1154" s="2764">
        <v>43949</v>
      </c>
      <c r="C1154" s="2753">
        <f t="shared" ca="1" si="0"/>
        <v>0</v>
      </c>
      <c r="D1154" s="2751"/>
      <c r="E1154" s="2480"/>
      <c r="F1154" s="2480"/>
      <c r="G1154" s="2480"/>
      <c r="H1154" s="2480"/>
      <c r="I1154" s="2751"/>
      <c r="J1154" s="2751"/>
      <c r="K1154" s="2751"/>
      <c r="L1154" s="2751"/>
      <c r="M1154" s="2751"/>
      <c r="N1154" s="2501"/>
      <c r="O1154" s="2501"/>
      <c r="P1154" s="2440"/>
      <c r="Q1154" s="2705"/>
      <c r="R1154" s="2705"/>
      <c r="S1154" s="2705"/>
      <c r="T1154" s="2705"/>
      <c r="U1154" s="2705"/>
      <c r="V1154" s="2705"/>
      <c r="W1154" s="2705"/>
      <c r="X1154" s="2501"/>
      <c r="Y1154" s="2804"/>
      <c r="Z1154" s="2705"/>
      <c r="AA1154" s="2705"/>
      <c r="AB1154" s="2705"/>
      <c r="AC1154" s="2705"/>
      <c r="AD1154" s="2705"/>
      <c r="AE1154" s="2705"/>
      <c r="AF1154" s="2705"/>
      <c r="AG1154" s="2705"/>
    </row>
    <row r="1155" spans="1:35" hidden="1" x14ac:dyDescent="0.35">
      <c r="B1155" s="2763">
        <v>43950</v>
      </c>
      <c r="C1155" s="2754">
        <f t="shared" ca="1" si="0"/>
        <v>0</v>
      </c>
      <c r="D1155" s="2752"/>
      <c r="E1155" s="2480"/>
      <c r="F1155" s="2480"/>
      <c r="G1155" s="2480"/>
      <c r="H1155" s="2480"/>
      <c r="I1155" s="2752"/>
      <c r="J1155" s="2752"/>
      <c r="K1155" s="2752"/>
      <c r="L1155" s="2752"/>
      <c r="M1155" s="2752"/>
      <c r="N1155" s="2442"/>
      <c r="O1155" s="2442"/>
      <c r="P1155" s="2441"/>
      <c r="Q1155" s="2705"/>
      <c r="R1155" s="2705"/>
      <c r="S1155" s="2705"/>
      <c r="T1155" s="2705"/>
      <c r="U1155" s="2705"/>
      <c r="V1155" s="2705"/>
      <c r="W1155" s="2705"/>
      <c r="X1155" s="2501"/>
      <c r="Y1155" s="2804"/>
      <c r="Z1155" s="2705"/>
      <c r="AA1155" s="2705"/>
      <c r="AB1155" s="2705"/>
      <c r="AC1155" s="2705"/>
      <c r="AD1155" s="2705"/>
      <c r="AE1155" s="2705"/>
      <c r="AF1155" s="2705"/>
      <c r="AG1155" s="2705"/>
    </row>
    <row r="1156" spans="1:35" hidden="1" x14ac:dyDescent="0.35">
      <c r="B1156" s="2764">
        <v>43951</v>
      </c>
      <c r="C1156" s="2755">
        <f t="shared" ca="1" si="0"/>
        <v>0</v>
      </c>
      <c r="D1156" s="2752"/>
      <c r="E1156" s="2480"/>
      <c r="F1156" s="2480"/>
      <c r="G1156" s="2480"/>
      <c r="H1156" s="2480"/>
      <c r="I1156" s="2752"/>
      <c r="J1156" s="2752"/>
      <c r="K1156" s="2752"/>
      <c r="L1156" s="2752"/>
      <c r="M1156" s="2752"/>
      <c r="N1156" s="2705"/>
      <c r="O1156" s="2705"/>
      <c r="P1156" s="2705"/>
      <c r="Q1156" s="2705"/>
      <c r="R1156" s="2705"/>
      <c r="S1156" s="2705"/>
      <c r="T1156" s="2705"/>
      <c r="U1156" s="2705"/>
      <c r="V1156" s="2705"/>
      <c r="W1156" s="2705"/>
      <c r="X1156" s="2501"/>
      <c r="Y1156" s="2804"/>
      <c r="Z1156" s="2705"/>
      <c r="AA1156" s="2705"/>
      <c r="AB1156" s="2705"/>
      <c r="AC1156" s="2705"/>
      <c r="AD1156" s="2705"/>
      <c r="AE1156" s="2705"/>
      <c r="AF1156" s="2705"/>
      <c r="AG1156" s="2705"/>
    </row>
    <row r="1157" spans="1:35" x14ac:dyDescent="0.35">
      <c r="D1157" s="2705"/>
      <c r="E1157" s="2480"/>
      <c r="F1157" s="2480"/>
      <c r="G1157" s="2480"/>
      <c r="H1157" s="2480"/>
      <c r="I1157" s="2705"/>
      <c r="J1157" s="2705"/>
      <c r="K1157" s="2705"/>
      <c r="L1157" s="2705"/>
      <c r="M1157" s="2705"/>
      <c r="N1157" s="2705"/>
      <c r="O1157" s="2705"/>
      <c r="P1157" s="2705"/>
      <c r="Q1157" s="2705"/>
      <c r="R1157" s="2705"/>
      <c r="S1157" s="2705"/>
      <c r="T1157" s="2705"/>
      <c r="U1157" s="2705"/>
      <c r="V1157" s="2705"/>
      <c r="W1157" s="2705"/>
      <c r="X1157" s="2705"/>
      <c r="Y1157" s="2804"/>
      <c r="Z1157" s="2705"/>
      <c r="AA1157" s="2705"/>
      <c r="AB1157" s="2705"/>
      <c r="AC1157" s="2705"/>
      <c r="AD1157" s="2705"/>
      <c r="AE1157" s="2705"/>
      <c r="AF1157" s="2705"/>
      <c r="AG1157" s="2705"/>
    </row>
    <row r="1158" spans="1:35" x14ac:dyDescent="0.35">
      <c r="A1158" s="2705"/>
      <c r="B1158" s="2804"/>
      <c r="C1158" s="2501"/>
      <c r="D1158" s="2501"/>
      <c r="E1158" s="2501"/>
      <c r="F1158" s="2705"/>
      <c r="G1158" s="2705"/>
      <c r="H1158" s="2705"/>
      <c r="I1158" s="2705"/>
      <c r="J1158" s="2705"/>
      <c r="K1158" s="2705"/>
      <c r="L1158" s="2705"/>
      <c r="M1158" s="2705"/>
      <c r="N1158" s="2705"/>
      <c r="O1158" s="2705"/>
      <c r="P1158" s="2501"/>
      <c r="Q1158" s="2705"/>
      <c r="R1158" s="2501"/>
      <c r="S1158" s="2705"/>
      <c r="T1158" s="2501"/>
      <c r="U1158" s="2501"/>
      <c r="V1158" s="2705"/>
      <c r="W1158" s="2501"/>
      <c r="X1158" s="2501"/>
      <c r="Y1158" s="2501"/>
      <c r="Z1158" s="2501"/>
      <c r="AA1158" s="2501"/>
      <c r="AB1158" s="2705"/>
      <c r="AC1158" s="2705"/>
      <c r="AD1158" s="2705"/>
      <c r="AE1158" s="2501"/>
      <c r="AF1158" s="2705"/>
      <c r="AG1158" s="2705"/>
      <c r="AH1158" s="2705"/>
      <c r="AI1158" s="2705"/>
    </row>
    <row r="1159" spans="1:35" x14ac:dyDescent="0.35">
      <c r="A1159" s="2705"/>
      <c r="B1159" s="2804"/>
      <c r="C1159" s="2501"/>
      <c r="D1159" s="2501"/>
      <c r="E1159" s="2501"/>
      <c r="F1159" s="2705"/>
      <c r="G1159" s="2705"/>
      <c r="H1159" s="2705"/>
      <c r="I1159" s="2705"/>
      <c r="J1159" s="2705"/>
      <c r="K1159" s="2705"/>
      <c r="L1159" s="2705"/>
      <c r="M1159" s="2705"/>
      <c r="N1159" s="2705"/>
      <c r="O1159" s="2705"/>
      <c r="P1159" s="2501"/>
      <c r="Q1159" s="2705"/>
      <c r="R1159" s="2501"/>
      <c r="S1159" s="2705"/>
      <c r="T1159" s="2501"/>
      <c r="U1159" s="2501"/>
      <c r="V1159" s="2705"/>
      <c r="W1159" s="2501"/>
      <c r="X1159" s="2501"/>
      <c r="Y1159" s="2501"/>
      <c r="Z1159" s="2501"/>
      <c r="AA1159" s="2501"/>
      <c r="AB1159" s="2705"/>
      <c r="AC1159" s="2705"/>
      <c r="AD1159" s="2705"/>
      <c r="AE1159" s="2501"/>
      <c r="AF1159" s="2705"/>
      <c r="AG1159" s="2705"/>
      <c r="AH1159" s="2705"/>
      <c r="AI1159" s="2705"/>
    </row>
    <row r="1160" spans="1:35" x14ac:dyDescent="0.35">
      <c r="A1160" s="2705"/>
      <c r="B1160" s="2804"/>
      <c r="C1160" s="2501"/>
      <c r="D1160" s="2501"/>
      <c r="E1160" s="2501"/>
      <c r="F1160" s="2705"/>
      <c r="G1160" s="2705"/>
      <c r="H1160" s="2705"/>
      <c r="I1160" s="2705"/>
      <c r="J1160" s="2705"/>
      <c r="K1160" s="2705"/>
      <c r="L1160" s="2705"/>
      <c r="M1160" s="2705"/>
      <c r="N1160" s="2705"/>
      <c r="O1160" s="2705"/>
      <c r="P1160" s="2501"/>
      <c r="Q1160" s="2705"/>
      <c r="R1160" s="2501"/>
      <c r="S1160" s="2705"/>
      <c r="T1160" s="2501"/>
      <c r="U1160" s="2501"/>
      <c r="V1160" s="2705"/>
      <c r="W1160" s="2501"/>
      <c r="X1160" s="2501"/>
      <c r="Y1160" s="2501"/>
      <c r="Z1160" s="2501"/>
      <c r="AA1160" s="2501"/>
      <c r="AB1160" s="2705"/>
      <c r="AC1160" s="2705"/>
      <c r="AD1160" s="2705"/>
      <c r="AE1160" s="2501"/>
      <c r="AF1160" s="2705"/>
      <c r="AG1160" s="2705"/>
      <c r="AH1160" s="2705"/>
      <c r="AI1160" s="2705"/>
    </row>
    <row r="1161" spans="1:35" x14ac:dyDescent="0.35">
      <c r="A1161" s="2705"/>
      <c r="B1161" s="2804"/>
      <c r="C1161" s="2501"/>
      <c r="D1161" s="2501"/>
      <c r="E1161" s="2501"/>
      <c r="F1161" s="2705"/>
      <c r="G1161" s="2705"/>
      <c r="H1161" s="2705"/>
      <c r="I1161" s="2705"/>
      <c r="J1161" s="2705"/>
      <c r="K1161" s="2705"/>
      <c r="L1161" s="2705"/>
      <c r="M1161" s="2705"/>
      <c r="N1161" s="2705"/>
      <c r="O1161" s="2705"/>
      <c r="P1161" s="2501"/>
      <c r="Q1161" s="2705"/>
      <c r="R1161" s="2501"/>
      <c r="S1161" s="2705"/>
      <c r="T1161" s="2501"/>
      <c r="U1161" s="2501"/>
      <c r="V1161" s="2705"/>
      <c r="W1161" s="2501"/>
      <c r="X1161" s="2501"/>
      <c r="Y1161" s="2501"/>
      <c r="Z1161" s="2501"/>
      <c r="AA1161" s="2501"/>
      <c r="AB1161" s="2705"/>
      <c r="AC1161" s="2705"/>
      <c r="AD1161" s="2705"/>
      <c r="AE1161" s="2501"/>
      <c r="AF1161" s="2705"/>
      <c r="AG1161" s="2705"/>
      <c r="AH1161" s="2705"/>
      <c r="AI1161" s="2705"/>
    </row>
    <row r="1162" spans="1:35" x14ac:dyDescent="0.35">
      <c r="A1162" s="2705"/>
      <c r="B1162" s="2804"/>
      <c r="C1162" s="2501"/>
      <c r="D1162" s="2501"/>
      <c r="E1162" s="2501"/>
      <c r="F1162" s="2705"/>
      <c r="G1162" s="2705"/>
      <c r="H1162" s="2705"/>
      <c r="I1162" s="2750"/>
      <c r="J1162" s="2480"/>
      <c r="K1162" s="2480"/>
      <c r="L1162" s="2480"/>
      <c r="M1162" s="2480"/>
      <c r="N1162" s="2705"/>
      <c r="O1162" s="2705"/>
      <c r="P1162" s="2501"/>
      <c r="Q1162" s="2705"/>
      <c r="R1162" s="2501"/>
      <c r="S1162" s="2705"/>
      <c r="T1162" s="2501"/>
      <c r="U1162" s="2501"/>
      <c r="V1162" s="2705"/>
      <c r="W1162" s="2501"/>
      <c r="X1162" s="2501"/>
      <c r="Y1162" s="2501"/>
      <c r="Z1162" s="2501"/>
      <c r="AA1162" s="2501"/>
      <c r="AB1162" s="2705"/>
      <c r="AC1162" s="2705"/>
      <c r="AD1162" s="2705"/>
      <c r="AE1162" s="2786"/>
      <c r="AF1162" s="2705"/>
      <c r="AG1162" s="2705"/>
      <c r="AH1162" s="2705"/>
      <c r="AI1162" s="2705"/>
    </row>
    <row r="1163" spans="1:35" x14ac:dyDescent="0.35">
      <c r="A1163" s="2705"/>
      <c r="B1163" s="2804"/>
      <c r="C1163" s="2501"/>
      <c r="D1163" s="2501"/>
      <c r="E1163" s="2501"/>
      <c r="F1163" s="2705"/>
      <c r="G1163" s="2705"/>
      <c r="H1163" s="2705"/>
      <c r="I1163" s="2750"/>
      <c r="J1163" s="2480"/>
      <c r="K1163" s="2480"/>
      <c r="L1163" s="2480"/>
      <c r="M1163" s="2480"/>
      <c r="N1163" s="2480"/>
      <c r="O1163" s="2705"/>
      <c r="P1163" s="2501"/>
      <c r="Q1163" s="2705"/>
      <c r="R1163" s="2501"/>
      <c r="S1163" s="2705"/>
      <c r="T1163" s="2501"/>
      <c r="U1163" s="2501"/>
      <c r="V1163" s="2705"/>
      <c r="W1163" s="2501"/>
      <c r="X1163" s="2501"/>
      <c r="Y1163" s="2501"/>
      <c r="Z1163" s="2501"/>
      <c r="AA1163" s="2501"/>
      <c r="AB1163" s="2705"/>
      <c r="AC1163" s="2705"/>
      <c r="AD1163" s="2705"/>
      <c r="AE1163" s="2705"/>
      <c r="AF1163" s="2705"/>
      <c r="AG1163" s="2705"/>
      <c r="AH1163" s="2705"/>
      <c r="AI1163" s="2705"/>
    </row>
    <row r="1164" spans="1:35" x14ac:dyDescent="0.35">
      <c r="A1164" s="2705"/>
      <c r="B1164" s="2804"/>
      <c r="C1164" s="2501"/>
      <c r="D1164" s="2501"/>
      <c r="E1164" s="2501"/>
      <c r="F1164" s="2705"/>
      <c r="G1164" s="2705"/>
      <c r="H1164" s="2705"/>
      <c r="I1164" s="2480"/>
      <c r="J1164" s="2480"/>
      <c r="K1164" s="2480"/>
      <c r="L1164" s="2480"/>
      <c r="M1164" s="2480"/>
      <c r="N1164" s="2480"/>
      <c r="O1164" s="2705"/>
      <c r="P1164" s="2501"/>
      <c r="Q1164" s="2705"/>
      <c r="R1164" s="2501"/>
      <c r="S1164" s="2705"/>
      <c r="T1164" s="2501"/>
      <c r="U1164" s="2501"/>
      <c r="V1164" s="2705"/>
      <c r="W1164" s="2501"/>
      <c r="X1164" s="2501"/>
      <c r="Y1164" s="2501"/>
      <c r="Z1164" s="2501"/>
      <c r="AA1164" s="2501"/>
      <c r="AB1164" s="2705"/>
      <c r="AC1164" s="2705"/>
      <c r="AD1164" s="2705"/>
      <c r="AE1164" s="2705"/>
      <c r="AF1164" s="2705"/>
      <c r="AG1164" s="2705"/>
      <c r="AH1164" s="2705"/>
      <c r="AI1164" s="2705"/>
    </row>
    <row r="1165" spans="1:35" x14ac:dyDescent="0.35">
      <c r="A1165" s="2705"/>
      <c r="B1165" s="2804"/>
      <c r="C1165" s="2501"/>
      <c r="D1165" s="2501"/>
      <c r="E1165" s="2501"/>
      <c r="F1165" s="2705"/>
      <c r="G1165" s="2705"/>
      <c r="H1165" s="2705"/>
      <c r="I1165" s="2480"/>
      <c r="J1165" s="2480"/>
      <c r="K1165" s="2480"/>
      <c r="L1165" s="2480"/>
      <c r="M1165" s="2480"/>
      <c r="N1165" s="2480"/>
      <c r="O1165" s="2705"/>
      <c r="P1165" s="2501"/>
      <c r="Q1165" s="2705"/>
      <c r="R1165" s="2501"/>
      <c r="S1165" s="2705"/>
      <c r="T1165" s="2501"/>
      <c r="U1165" s="2501"/>
      <c r="V1165" s="2705"/>
      <c r="W1165" s="2501"/>
      <c r="X1165" s="2501"/>
      <c r="Y1165" s="2501"/>
      <c r="Z1165" s="2501"/>
      <c r="AA1165" s="2786"/>
      <c r="AB1165" s="2705"/>
      <c r="AC1165" s="2705"/>
      <c r="AD1165" s="2705"/>
      <c r="AE1165" s="2705"/>
      <c r="AF1165" s="2705"/>
      <c r="AG1165" s="2705"/>
      <c r="AH1165" s="2705"/>
      <c r="AI1165" s="2705"/>
    </row>
    <row r="1166" spans="1:35" x14ac:dyDescent="0.35">
      <c r="A1166" s="2705"/>
      <c r="B1166" s="2804"/>
      <c r="C1166" s="2501"/>
      <c r="D1166" s="2501"/>
      <c r="E1166" s="2501"/>
      <c r="F1166" s="2705"/>
      <c r="G1166" s="2705"/>
      <c r="H1166" s="2705"/>
      <c r="I1166" s="2480"/>
      <c r="J1166" s="2480"/>
      <c r="K1166" s="2480"/>
      <c r="L1166" s="2480"/>
      <c r="M1166" s="2480"/>
      <c r="N1166" s="2480"/>
      <c r="O1166" s="2705"/>
      <c r="P1166" s="2501"/>
      <c r="Q1166" s="2705"/>
      <c r="R1166" s="2501"/>
      <c r="S1166" s="2705"/>
      <c r="T1166" s="2501"/>
      <c r="U1166" s="2501"/>
      <c r="V1166" s="2705"/>
      <c r="W1166" s="2501"/>
      <c r="X1166" s="2501"/>
      <c r="Y1166" s="2501"/>
      <c r="Z1166" s="2786"/>
      <c r="AA1166" s="2705"/>
      <c r="AB1166" s="2705"/>
      <c r="AC1166" s="2705"/>
      <c r="AD1166" s="2705"/>
      <c r="AE1166" s="2705"/>
      <c r="AF1166" s="2705"/>
      <c r="AG1166" s="2705"/>
      <c r="AH1166" s="2705"/>
      <c r="AI1166" s="2705"/>
    </row>
    <row r="1167" spans="1:35" x14ac:dyDescent="0.35">
      <c r="A1167" s="2705"/>
      <c r="B1167" s="2804"/>
      <c r="C1167" s="2501"/>
      <c r="D1167" s="2501"/>
      <c r="E1167" s="2501"/>
      <c r="F1167" s="2705"/>
      <c r="G1167" s="2705"/>
      <c r="H1167" s="2705"/>
      <c r="I1167" s="2480"/>
      <c r="J1167" s="2480"/>
      <c r="K1167" s="2480"/>
      <c r="L1167" s="2480"/>
      <c r="M1167" s="2480"/>
      <c r="N1167" s="2480"/>
      <c r="O1167" s="2705"/>
      <c r="P1167" s="2501"/>
      <c r="Q1167" s="2705"/>
      <c r="R1167" s="2501"/>
      <c r="S1167" s="2705"/>
      <c r="T1167" s="2501"/>
      <c r="U1167" s="2501"/>
      <c r="V1167" s="2705"/>
      <c r="W1167" s="2501"/>
      <c r="X1167" s="2501"/>
      <c r="Y1167" s="2501"/>
      <c r="Z1167" s="2705"/>
      <c r="AA1167" s="2705"/>
      <c r="AB1167" s="2705"/>
      <c r="AC1167" s="2705"/>
      <c r="AD1167" s="2705"/>
      <c r="AE1167" s="2705"/>
      <c r="AF1167" s="2705"/>
      <c r="AG1167" s="2705"/>
      <c r="AH1167" s="2705"/>
      <c r="AI1167" s="2705"/>
    </row>
    <row r="1168" spans="1:35" x14ac:dyDescent="0.35">
      <c r="A1168" s="2705"/>
      <c r="B1168" s="2804"/>
      <c r="C1168" s="2501"/>
      <c r="D1168" s="2501"/>
      <c r="E1168" s="2501"/>
      <c r="F1168" s="2705"/>
      <c r="G1168" s="2705"/>
      <c r="H1168" s="2705"/>
      <c r="I1168" s="2480"/>
      <c r="J1168" s="2480"/>
      <c r="K1168" s="2480"/>
      <c r="L1168" s="2480"/>
      <c r="M1168" s="2480"/>
      <c r="N1168" s="2480"/>
      <c r="O1168" s="2705"/>
      <c r="P1168" s="2501"/>
      <c r="Q1168" s="2705"/>
      <c r="R1168" s="2501"/>
      <c r="S1168" s="2705"/>
      <c r="T1168" s="2501"/>
      <c r="U1168" s="2501"/>
      <c r="V1168" s="2705"/>
      <c r="W1168" s="2501"/>
      <c r="X1168" s="2501"/>
      <c r="Y1168" s="2501"/>
      <c r="Z1168" s="2705"/>
      <c r="AA1168" s="2705"/>
      <c r="AB1168" s="2705"/>
      <c r="AC1168" s="2705"/>
      <c r="AD1168" s="2705"/>
      <c r="AE1168" s="2705"/>
      <c r="AF1168" s="2705"/>
      <c r="AG1168" s="2705"/>
      <c r="AH1168" s="2705"/>
      <c r="AI1168" s="2705"/>
    </row>
    <row r="1169" spans="1:35" x14ac:dyDescent="0.35">
      <c r="A1169" s="2705"/>
      <c r="B1169" s="2804"/>
      <c r="C1169" s="2501"/>
      <c r="D1169" s="2501"/>
      <c r="E1169" s="2501"/>
      <c r="F1169" s="2705"/>
      <c r="G1169" s="2705"/>
      <c r="H1169" s="2705"/>
      <c r="I1169" s="2480"/>
      <c r="J1169" s="2480"/>
      <c r="K1169" s="2480"/>
      <c r="L1169" s="2480"/>
      <c r="M1169" s="2480"/>
      <c r="N1169" s="2480"/>
      <c r="O1169" s="2705"/>
      <c r="P1169" s="2501"/>
      <c r="Q1169" s="2705"/>
      <c r="R1169" s="2501"/>
      <c r="S1169" s="2705"/>
      <c r="T1169" s="2501"/>
      <c r="U1169" s="2501"/>
      <c r="V1169" s="2705"/>
      <c r="W1169" s="2786"/>
      <c r="X1169" s="2501"/>
      <c r="Y1169" s="2501"/>
      <c r="Z1169" s="2705"/>
      <c r="AA1169" s="2705"/>
      <c r="AB1169" s="2705"/>
      <c r="AC1169" s="2705"/>
      <c r="AD1169" s="2705"/>
      <c r="AE1169" s="2705"/>
      <c r="AF1169" s="2705"/>
      <c r="AG1169" s="2705"/>
      <c r="AH1169" s="2705"/>
      <c r="AI1169" s="2705"/>
    </row>
    <row r="1170" spans="1:35" x14ac:dyDescent="0.35">
      <c r="A1170" s="2705"/>
      <c r="B1170" s="2804"/>
      <c r="C1170" s="2501"/>
      <c r="D1170" s="2501"/>
      <c r="E1170" s="2501"/>
      <c r="F1170" s="2705"/>
      <c r="G1170" s="2705"/>
      <c r="H1170" s="2705"/>
      <c r="I1170" s="2480"/>
      <c r="J1170" s="2480"/>
      <c r="K1170" s="2480"/>
      <c r="L1170" s="2480"/>
      <c r="M1170" s="2480"/>
      <c r="N1170" s="2480"/>
      <c r="O1170" s="2705"/>
      <c r="P1170" s="2501"/>
      <c r="Q1170" s="2705"/>
      <c r="R1170" s="2501"/>
      <c r="S1170" s="2705"/>
      <c r="T1170" s="2501"/>
      <c r="U1170" s="2501"/>
      <c r="V1170" s="2705"/>
      <c r="W1170" s="2705"/>
      <c r="X1170" s="2501"/>
      <c r="Y1170" s="2786"/>
      <c r="Z1170" s="2705"/>
      <c r="AA1170" s="2705"/>
      <c r="AB1170" s="2705"/>
      <c r="AC1170" s="2705"/>
      <c r="AD1170" s="2705"/>
      <c r="AE1170" s="2705"/>
      <c r="AF1170" s="2705"/>
      <c r="AG1170" s="2705"/>
      <c r="AH1170" s="2705"/>
      <c r="AI1170" s="2705"/>
    </row>
    <row r="1171" spans="1:35" x14ac:dyDescent="0.35">
      <c r="A1171" s="2705"/>
      <c r="B1171" s="2804"/>
      <c r="C1171" s="2501"/>
      <c r="D1171" s="2501"/>
      <c r="E1171" s="2501"/>
      <c r="F1171" s="2705"/>
      <c r="G1171" s="2705"/>
      <c r="H1171" s="2705"/>
      <c r="I1171" s="2480"/>
      <c r="J1171" s="2480"/>
      <c r="K1171" s="2480"/>
      <c r="L1171" s="2480"/>
      <c r="M1171" s="2480"/>
      <c r="N1171" s="2480"/>
      <c r="O1171" s="2705"/>
      <c r="P1171" s="2501"/>
      <c r="Q1171" s="2705"/>
      <c r="R1171" s="2501"/>
      <c r="S1171" s="2705"/>
      <c r="T1171" s="2501"/>
      <c r="U1171" s="2501"/>
      <c r="V1171" s="2705"/>
      <c r="W1171" s="2705"/>
      <c r="X1171" s="2501"/>
      <c r="Y1171" s="2804"/>
      <c r="Z1171" s="2705"/>
      <c r="AA1171" s="2705"/>
      <c r="AB1171" s="2705"/>
      <c r="AC1171" s="2705"/>
      <c r="AD1171" s="2705"/>
      <c r="AE1171" s="2705"/>
      <c r="AF1171" s="2705"/>
      <c r="AG1171" s="2705"/>
      <c r="AH1171" s="2705"/>
      <c r="AI1171" s="2705"/>
    </row>
    <row r="1172" spans="1:35" x14ac:dyDescent="0.35">
      <c r="A1172" s="2705"/>
      <c r="B1172" s="2804"/>
      <c r="C1172" s="2501"/>
      <c r="D1172" s="2501"/>
      <c r="E1172" s="2501"/>
      <c r="F1172" s="2705"/>
      <c r="G1172" s="2705"/>
      <c r="H1172" s="2705"/>
      <c r="I1172" s="2480"/>
      <c r="J1172" s="2480"/>
      <c r="K1172" s="2480"/>
      <c r="L1172" s="2480"/>
      <c r="M1172" s="2480"/>
      <c r="N1172" s="2480"/>
      <c r="O1172" s="2705"/>
      <c r="P1172" s="2501"/>
      <c r="Q1172" s="2705"/>
      <c r="R1172" s="2501"/>
      <c r="S1172" s="2705"/>
      <c r="T1172" s="2501"/>
      <c r="U1172" s="2501"/>
      <c r="V1172" s="2705"/>
      <c r="W1172" s="2705"/>
      <c r="X1172" s="2501"/>
      <c r="Y1172" s="2804"/>
      <c r="Z1172" s="2705"/>
      <c r="AA1172" s="2705"/>
      <c r="AB1172" s="2705"/>
      <c r="AC1172" s="2705"/>
      <c r="AD1172" s="2705"/>
      <c r="AE1172" s="2705"/>
      <c r="AF1172" s="2705"/>
      <c r="AG1172" s="2705"/>
      <c r="AH1172" s="2705"/>
      <c r="AI1172" s="2705"/>
    </row>
    <row r="1173" spans="1:35" x14ac:dyDescent="0.35">
      <c r="A1173" s="2705"/>
      <c r="B1173" s="2804"/>
      <c r="C1173" s="2501"/>
      <c r="D1173" s="2501"/>
      <c r="E1173" s="2501"/>
      <c r="F1173" s="2705"/>
      <c r="G1173" s="2705"/>
      <c r="H1173" s="2705"/>
      <c r="I1173" s="2480"/>
      <c r="J1173" s="2480"/>
      <c r="K1173" s="2480"/>
      <c r="L1173" s="2480"/>
      <c r="M1173" s="2480"/>
      <c r="N1173" s="2480"/>
      <c r="O1173" s="2705"/>
      <c r="P1173" s="2501"/>
      <c r="Q1173" s="2705"/>
      <c r="R1173" s="2501"/>
      <c r="S1173" s="2705"/>
      <c r="T1173" s="2501"/>
      <c r="U1173" s="2501"/>
      <c r="V1173" s="2705"/>
      <c r="W1173" s="2705"/>
      <c r="X1173" s="2501"/>
      <c r="Y1173" s="2804"/>
      <c r="Z1173" s="2705"/>
      <c r="AA1173" s="2705"/>
      <c r="AB1173" s="2705"/>
      <c r="AC1173" s="2705"/>
      <c r="AD1173" s="2705"/>
      <c r="AE1173" s="2705"/>
      <c r="AF1173" s="2705"/>
      <c r="AG1173" s="2705"/>
      <c r="AH1173" s="2705"/>
      <c r="AI1173" s="2705"/>
    </row>
    <row r="1174" spans="1:35" x14ac:dyDescent="0.35">
      <c r="A1174" s="2705"/>
      <c r="B1174" s="2804"/>
      <c r="C1174" s="2501"/>
      <c r="D1174" s="2501"/>
      <c r="E1174" s="2501"/>
      <c r="F1174" s="2705"/>
      <c r="G1174" s="2705"/>
      <c r="H1174" s="2705"/>
      <c r="I1174" s="2480"/>
      <c r="J1174" s="2480"/>
      <c r="K1174" s="2480"/>
      <c r="L1174" s="2480"/>
      <c r="M1174" s="2480"/>
      <c r="N1174" s="2480"/>
      <c r="O1174" s="2705"/>
      <c r="P1174" s="2501"/>
      <c r="Q1174" s="2705"/>
      <c r="R1174" s="2501"/>
      <c r="S1174" s="2705"/>
      <c r="T1174" s="2786"/>
      <c r="U1174" s="2501"/>
      <c r="V1174" s="2705"/>
      <c r="W1174" s="2705"/>
      <c r="X1174" s="2501"/>
      <c r="Y1174" s="2804"/>
      <c r="Z1174" s="2705"/>
      <c r="AA1174" s="2705"/>
      <c r="AB1174" s="2705"/>
      <c r="AC1174" s="2705"/>
      <c r="AD1174" s="2705"/>
      <c r="AE1174" s="2705"/>
      <c r="AF1174" s="2705"/>
      <c r="AG1174" s="2705"/>
      <c r="AH1174" s="2705"/>
      <c r="AI1174" s="2705"/>
    </row>
    <row r="1175" spans="1:35" x14ac:dyDescent="0.35">
      <c r="A1175" s="2705"/>
      <c r="B1175" s="2804"/>
      <c r="C1175" s="2501"/>
      <c r="D1175" s="2501"/>
      <c r="E1175" s="2501"/>
      <c r="F1175" s="2705"/>
      <c r="G1175" s="2705"/>
      <c r="H1175" s="2705"/>
      <c r="I1175" s="2480"/>
      <c r="J1175" s="2480"/>
      <c r="K1175" s="2480"/>
      <c r="L1175" s="2480"/>
      <c r="M1175" s="2480"/>
      <c r="N1175" s="2480"/>
      <c r="O1175" s="2705"/>
      <c r="P1175" s="2501"/>
      <c r="Q1175" s="2705"/>
      <c r="R1175" s="2501"/>
      <c r="S1175" s="2705"/>
      <c r="T1175" s="2705"/>
      <c r="U1175" s="2501"/>
      <c r="V1175" s="2705"/>
      <c r="W1175" s="2705"/>
      <c r="X1175" s="2501"/>
      <c r="Y1175" s="2804"/>
      <c r="Z1175" s="2705"/>
      <c r="AA1175" s="2705"/>
      <c r="AB1175" s="2705"/>
      <c r="AC1175" s="2705"/>
      <c r="AD1175" s="2705"/>
      <c r="AE1175" s="2705"/>
      <c r="AF1175" s="2705"/>
      <c r="AG1175" s="2705"/>
      <c r="AH1175" s="2705"/>
      <c r="AI1175" s="2705"/>
    </row>
    <row r="1176" spans="1:35" x14ac:dyDescent="0.35">
      <c r="A1176" s="2705"/>
      <c r="B1176" s="2804"/>
      <c r="C1176" s="2501"/>
      <c r="D1176" s="2501"/>
      <c r="E1176" s="2501"/>
      <c r="F1176" s="2705"/>
      <c r="G1176" s="2705"/>
      <c r="H1176" s="2705"/>
      <c r="I1176" s="2480"/>
      <c r="J1176" s="2480"/>
      <c r="K1176" s="2480"/>
      <c r="L1176" s="2480"/>
      <c r="M1176" s="2480"/>
      <c r="N1176" s="2480"/>
      <c r="O1176" s="2705"/>
      <c r="P1176" s="2501"/>
      <c r="Q1176" s="2705"/>
      <c r="R1176" s="2501"/>
      <c r="S1176" s="2705"/>
      <c r="T1176" s="2705"/>
      <c r="U1176" s="2501"/>
      <c r="V1176" s="2705"/>
      <c r="W1176" s="2705"/>
      <c r="X1176" s="2501"/>
      <c r="Y1176" s="2804"/>
      <c r="Z1176" s="2705"/>
      <c r="AA1176" s="2705"/>
      <c r="AB1176" s="2705"/>
      <c r="AC1176" s="2705"/>
      <c r="AD1176" s="2705"/>
      <c r="AE1176" s="2705"/>
      <c r="AF1176" s="2705"/>
      <c r="AG1176" s="2705"/>
      <c r="AH1176" s="2705"/>
      <c r="AI1176" s="2705"/>
    </row>
    <row r="1177" spans="1:35" x14ac:dyDescent="0.35">
      <c r="A1177" s="2705"/>
      <c r="B1177" s="2804"/>
      <c r="C1177" s="2501"/>
      <c r="D1177" s="2501"/>
      <c r="E1177" s="2501"/>
      <c r="F1177" s="2705"/>
      <c r="G1177" s="2705"/>
      <c r="H1177" s="2705"/>
      <c r="I1177" s="2480"/>
      <c r="J1177" s="2480"/>
      <c r="K1177" s="2480"/>
      <c r="L1177" s="2480"/>
      <c r="M1177" s="2480"/>
      <c r="N1177" s="2480"/>
      <c r="O1177" s="2705"/>
      <c r="P1177" s="2501"/>
      <c r="Q1177" s="2705"/>
      <c r="R1177" s="2501"/>
      <c r="S1177" s="2705"/>
      <c r="T1177" s="2705"/>
      <c r="U1177" s="2501"/>
      <c r="V1177" s="2705"/>
      <c r="W1177" s="2501"/>
      <c r="X1177" s="2501"/>
      <c r="Y1177" s="2804"/>
      <c r="Z1177" s="2705"/>
      <c r="AA1177" s="2705"/>
      <c r="AB1177" s="2705"/>
      <c r="AC1177" s="2705"/>
      <c r="AD1177" s="2705"/>
      <c r="AE1177" s="2705"/>
      <c r="AF1177" s="2705"/>
      <c r="AG1177" s="2705"/>
      <c r="AH1177" s="2705"/>
      <c r="AI1177" s="2705"/>
    </row>
    <row r="1178" spans="1:35" x14ac:dyDescent="0.35">
      <c r="A1178" s="2705"/>
      <c r="B1178" s="2804"/>
      <c r="C1178" s="2501"/>
      <c r="D1178" s="2501"/>
      <c r="E1178" s="2501"/>
      <c r="F1178" s="2705"/>
      <c r="G1178" s="2705"/>
      <c r="H1178" s="2705"/>
      <c r="I1178" s="2480"/>
      <c r="J1178" s="2480"/>
      <c r="K1178" s="2480"/>
      <c r="L1178" s="2480"/>
      <c r="M1178" s="2480"/>
      <c r="N1178" s="2480"/>
      <c r="O1178" s="2705"/>
      <c r="P1178" s="2501"/>
      <c r="Q1178" s="2705"/>
      <c r="R1178" s="2501"/>
      <c r="S1178" s="2705"/>
      <c r="T1178" s="2705"/>
      <c r="U1178" s="2501"/>
      <c r="V1178" s="2705"/>
      <c r="W1178" s="2501"/>
      <c r="X1178" s="2501"/>
      <c r="Y1178" s="2804"/>
      <c r="Z1178" s="2705"/>
      <c r="AA1178" s="2705"/>
      <c r="AB1178" s="2705"/>
      <c r="AC1178" s="2705"/>
      <c r="AD1178" s="2705"/>
      <c r="AE1178" s="2705"/>
      <c r="AF1178" s="2705"/>
      <c r="AG1178" s="2705"/>
      <c r="AH1178" s="2705"/>
      <c r="AI1178" s="2705"/>
    </row>
    <row r="1179" spans="1:35" x14ac:dyDescent="0.35">
      <c r="A1179" s="2705"/>
      <c r="B1179" s="2804"/>
      <c r="C1179" s="2501"/>
      <c r="D1179" s="2501"/>
      <c r="E1179" s="2501"/>
      <c r="F1179" s="2705"/>
      <c r="G1179" s="2705"/>
      <c r="H1179" s="2705"/>
      <c r="I1179" s="2750"/>
      <c r="J1179" s="2480"/>
      <c r="K1179" s="2480"/>
      <c r="L1179" s="2480"/>
      <c r="M1179" s="2480"/>
      <c r="N1179" s="2480"/>
      <c r="O1179" s="2705"/>
      <c r="P1179" s="2501"/>
      <c r="Q1179" s="2705"/>
      <c r="R1179" s="2501"/>
      <c r="S1179" s="2705"/>
      <c r="T1179" s="2705"/>
      <c r="U1179" s="2501"/>
      <c r="V1179" s="2705"/>
      <c r="W1179" s="2501"/>
      <c r="X1179" s="2501"/>
      <c r="Y1179" s="2804"/>
      <c r="Z1179" s="2705"/>
      <c r="AA1179" s="2705"/>
      <c r="AB1179" s="2705"/>
      <c r="AC1179" s="2705"/>
      <c r="AD1179" s="2705"/>
      <c r="AE1179" s="2705"/>
      <c r="AF1179" s="2705"/>
      <c r="AG1179" s="2705"/>
      <c r="AH1179" s="2705"/>
      <c r="AI1179" s="2705"/>
    </row>
    <row r="1180" spans="1:35" x14ac:dyDescent="0.35">
      <c r="A1180" s="2705"/>
      <c r="B1180" s="2804"/>
      <c r="C1180" s="2501"/>
      <c r="D1180" s="2501"/>
      <c r="E1180" s="2501"/>
      <c r="F1180" s="2705"/>
      <c r="G1180" s="2705"/>
      <c r="H1180" s="2705"/>
      <c r="I1180" s="2480"/>
      <c r="J1180" s="2480"/>
      <c r="K1180" s="2480"/>
      <c r="L1180" s="2480"/>
      <c r="M1180" s="2480"/>
      <c r="N1180" s="2480"/>
      <c r="O1180" s="2705"/>
      <c r="P1180" s="2501"/>
      <c r="Q1180" s="2705"/>
      <c r="R1180" s="2501"/>
      <c r="S1180" s="2705"/>
      <c r="T1180" s="2705"/>
      <c r="U1180" s="2501"/>
      <c r="V1180" s="2705"/>
      <c r="W1180" s="2501"/>
      <c r="X1180" s="2501"/>
      <c r="Y1180" s="2804"/>
      <c r="Z1180" s="2501"/>
      <c r="AA1180" s="2705"/>
      <c r="AB1180" s="2705"/>
      <c r="AC1180" s="2705"/>
      <c r="AD1180" s="2705"/>
      <c r="AE1180" s="2705"/>
      <c r="AF1180" s="2705"/>
      <c r="AG1180" s="2705"/>
      <c r="AH1180" s="2705"/>
      <c r="AI1180" s="2705"/>
    </row>
    <row r="1181" spans="1:35" x14ac:dyDescent="0.35">
      <c r="A1181" s="2705"/>
      <c r="B1181" s="2804"/>
      <c r="C1181" s="2501"/>
      <c r="D1181" s="2501"/>
      <c r="E1181" s="2501"/>
      <c r="F1181" s="2705"/>
      <c r="G1181" s="2705"/>
      <c r="H1181" s="2705"/>
      <c r="I1181" s="2750"/>
      <c r="J1181" s="2480"/>
      <c r="K1181" s="2480"/>
      <c r="L1181" s="2480"/>
      <c r="M1181" s="2480"/>
      <c r="N1181" s="2480"/>
      <c r="O1181" s="2705"/>
      <c r="P1181" s="2501"/>
      <c r="Q1181" s="2705"/>
      <c r="R1181" s="2501"/>
      <c r="S1181" s="2705"/>
      <c r="T1181" s="2705"/>
      <c r="U1181" s="2501"/>
      <c r="V1181" s="2705"/>
      <c r="W1181" s="2501"/>
      <c r="X1181" s="2501"/>
      <c r="Y1181" s="2804"/>
      <c r="Z1181" s="2501"/>
      <c r="AA1181" s="2705"/>
      <c r="AB1181" s="2705"/>
      <c r="AC1181" s="2705"/>
      <c r="AD1181" s="2705"/>
      <c r="AE1181" s="2705"/>
      <c r="AF1181" s="2705"/>
      <c r="AG1181" s="2705"/>
      <c r="AH1181" s="2705"/>
      <c r="AI1181" s="2705"/>
    </row>
    <row r="1182" spans="1:35" x14ac:dyDescent="0.35">
      <c r="A1182" s="2705"/>
      <c r="B1182" s="2804"/>
      <c r="C1182" s="2501"/>
      <c r="D1182" s="2501"/>
      <c r="E1182" s="2501"/>
      <c r="F1182" s="2705"/>
      <c r="G1182" s="2705"/>
      <c r="H1182" s="2705"/>
      <c r="I1182" s="2480"/>
      <c r="J1182" s="2480"/>
      <c r="K1182" s="2480"/>
      <c r="L1182" s="2480"/>
      <c r="M1182" s="2480"/>
      <c r="N1182" s="2480"/>
      <c r="O1182" s="2705"/>
      <c r="P1182" s="2501"/>
      <c r="Q1182" s="2705"/>
      <c r="R1182" s="2501"/>
      <c r="S1182" s="2705"/>
      <c r="T1182" s="2705"/>
      <c r="U1182" s="2501"/>
      <c r="V1182" s="2705"/>
      <c r="W1182" s="2501"/>
      <c r="X1182" s="2501"/>
      <c r="Y1182" s="2804"/>
      <c r="Z1182" s="2501"/>
      <c r="AA1182" s="2705"/>
      <c r="AB1182" s="2705"/>
      <c r="AC1182" s="2705"/>
      <c r="AD1182" s="2705"/>
      <c r="AE1182" s="2705"/>
      <c r="AF1182" s="2705"/>
      <c r="AG1182" s="2705"/>
      <c r="AH1182" s="2705"/>
      <c r="AI1182" s="2705"/>
    </row>
    <row r="1183" spans="1:35" x14ac:dyDescent="0.35">
      <c r="A1183" s="2705"/>
      <c r="B1183" s="2804"/>
      <c r="C1183" s="2501"/>
      <c r="D1183" s="2501"/>
      <c r="E1183" s="2501"/>
      <c r="F1183" s="2705"/>
      <c r="G1183" s="2705"/>
      <c r="H1183" s="2705"/>
      <c r="I1183" s="2480"/>
      <c r="J1183" s="2480"/>
      <c r="K1183" s="2480"/>
      <c r="L1183" s="2480"/>
      <c r="M1183" s="2480"/>
      <c r="N1183" s="2480"/>
      <c r="O1183" s="2705"/>
      <c r="P1183" s="2501"/>
      <c r="Q1183" s="2705"/>
      <c r="R1183" s="2501"/>
      <c r="S1183" s="2705"/>
      <c r="T1183" s="2705"/>
      <c r="U1183" s="2501"/>
      <c r="V1183" s="2705"/>
      <c r="W1183" s="2501"/>
      <c r="X1183" s="2501"/>
      <c r="Y1183" s="2804"/>
      <c r="Z1183" s="2501"/>
      <c r="AA1183" s="2705"/>
      <c r="AB1183" s="2705"/>
      <c r="AC1183" s="2705"/>
      <c r="AD1183" s="2705"/>
      <c r="AE1183" s="2705"/>
      <c r="AF1183" s="2705"/>
      <c r="AG1183" s="2705"/>
      <c r="AH1183" s="2705"/>
      <c r="AI1183" s="2705"/>
    </row>
    <row r="1184" spans="1:35" x14ac:dyDescent="0.35">
      <c r="A1184" s="2705"/>
      <c r="B1184" s="2804"/>
      <c r="C1184" s="2501"/>
      <c r="D1184" s="2501"/>
      <c r="E1184" s="2786"/>
      <c r="F1184" s="2705"/>
      <c r="G1184" s="2705"/>
      <c r="H1184" s="2705"/>
      <c r="I1184" s="2480"/>
      <c r="J1184" s="2480"/>
      <c r="K1184" s="2480"/>
      <c r="L1184" s="2480"/>
      <c r="M1184" s="2480"/>
      <c r="N1184" s="2480"/>
      <c r="O1184" s="2705"/>
      <c r="P1184" s="2501"/>
      <c r="Q1184" s="2705"/>
      <c r="R1184" s="2501"/>
      <c r="S1184" s="2705"/>
      <c r="T1184" s="2705"/>
      <c r="U1184" s="2501"/>
      <c r="V1184" s="2705"/>
      <c r="W1184" s="2501"/>
      <c r="X1184" s="2501"/>
      <c r="Y1184" s="2804"/>
      <c r="Z1184" s="2501"/>
      <c r="AA1184" s="2705"/>
      <c r="AB1184" s="2705"/>
      <c r="AC1184" s="2705"/>
      <c r="AD1184" s="2705"/>
      <c r="AE1184" s="2705"/>
      <c r="AF1184" s="2705"/>
      <c r="AG1184" s="2705"/>
      <c r="AH1184" s="2705"/>
      <c r="AI1184" s="2705"/>
    </row>
    <row r="1185" spans="1:35" x14ac:dyDescent="0.35">
      <c r="A1185" s="2705"/>
      <c r="B1185" s="2804"/>
      <c r="C1185" s="2501"/>
      <c r="D1185" s="2501"/>
      <c r="E1185" s="2705"/>
      <c r="F1185" s="2705"/>
      <c r="G1185" s="2705"/>
      <c r="H1185" s="2705"/>
      <c r="I1185" s="2750"/>
      <c r="J1185" s="2480"/>
      <c r="K1185" s="2480"/>
      <c r="L1185" s="2480"/>
      <c r="M1185" s="2480"/>
      <c r="N1185" s="2480"/>
      <c r="O1185" s="2705"/>
      <c r="P1185" s="2786"/>
      <c r="Q1185" s="2705"/>
      <c r="R1185" s="2501"/>
      <c r="S1185" s="2705"/>
      <c r="T1185" s="2705"/>
      <c r="U1185" s="2501"/>
      <c r="V1185" s="2705"/>
      <c r="W1185" s="2501"/>
      <c r="X1185" s="2501"/>
      <c r="Y1185" s="2804"/>
      <c r="Z1185" s="2501"/>
      <c r="AA1185" s="2705"/>
      <c r="AB1185" s="2705"/>
      <c r="AC1185" s="2705"/>
      <c r="AD1185" s="2705"/>
      <c r="AE1185" s="2705"/>
      <c r="AF1185" s="2705"/>
      <c r="AG1185" s="2705"/>
      <c r="AH1185" s="2705"/>
      <c r="AI1185" s="2705"/>
    </row>
    <row r="1186" spans="1:35" x14ac:dyDescent="0.35">
      <c r="A1186" s="2705"/>
      <c r="B1186" s="2804"/>
      <c r="C1186" s="2501"/>
      <c r="D1186" s="2501"/>
      <c r="E1186" s="2705"/>
      <c r="F1186" s="2705"/>
      <c r="G1186" s="2705"/>
      <c r="H1186" s="2705"/>
      <c r="I1186" s="2480"/>
      <c r="J1186" s="2480"/>
      <c r="K1186" s="2480"/>
      <c r="L1186" s="2480"/>
      <c r="M1186" s="2480"/>
      <c r="N1186" s="2480"/>
      <c r="O1186" s="2705"/>
      <c r="P1186" s="2705"/>
      <c r="Q1186" s="2705"/>
      <c r="R1186" s="2501"/>
      <c r="S1186" s="2705"/>
      <c r="T1186" s="2705"/>
      <c r="U1186" s="2501"/>
      <c r="V1186" s="2705"/>
      <c r="W1186" s="2501"/>
      <c r="X1186" s="2501"/>
      <c r="Y1186" s="2804"/>
      <c r="Z1186" s="2501"/>
      <c r="AA1186" s="2705"/>
      <c r="AB1186" s="2705"/>
      <c r="AC1186" s="2705"/>
      <c r="AD1186" s="2705"/>
      <c r="AE1186" s="2705"/>
      <c r="AF1186" s="2705"/>
      <c r="AG1186" s="2705"/>
      <c r="AH1186" s="2705"/>
      <c r="AI1186" s="2705"/>
    </row>
    <row r="1187" spans="1:35" x14ac:dyDescent="0.35">
      <c r="A1187" s="2705"/>
      <c r="B1187" s="2804"/>
      <c r="C1187" s="2501"/>
      <c r="D1187" s="2501"/>
      <c r="E1187" s="2705"/>
      <c r="F1187" s="2705"/>
      <c r="G1187" s="2705"/>
      <c r="H1187" s="2705"/>
      <c r="I1187" s="2750"/>
      <c r="J1187" s="2480"/>
      <c r="K1187" s="2480"/>
      <c r="L1187" s="2480"/>
      <c r="M1187" s="2480"/>
      <c r="N1187" s="2480"/>
      <c r="O1187" s="2705"/>
      <c r="P1187" s="2501"/>
      <c r="Q1187" s="2705"/>
      <c r="R1187" s="2501"/>
      <c r="S1187" s="2705"/>
      <c r="T1187" s="2705"/>
      <c r="U1187" s="2501"/>
      <c r="V1187" s="2705"/>
      <c r="W1187" s="2501"/>
      <c r="X1187" s="2501"/>
      <c r="Y1187" s="2804"/>
      <c r="Z1187" s="2501"/>
      <c r="AA1187" s="2705"/>
      <c r="AB1187" s="2705"/>
      <c r="AC1187" s="2705"/>
      <c r="AD1187" s="2705"/>
      <c r="AE1187" s="2705"/>
      <c r="AF1187" s="2705"/>
      <c r="AG1187" s="2705"/>
      <c r="AH1187" s="2705"/>
      <c r="AI1187" s="2705"/>
    </row>
    <row r="1188" spans="1:35" x14ac:dyDescent="0.35">
      <c r="A1188" s="2705"/>
      <c r="B1188" s="2804"/>
      <c r="C1188" s="2786"/>
      <c r="D1188" s="2786"/>
      <c r="E1188" s="2705"/>
      <c r="F1188" s="2705"/>
      <c r="G1188" s="2705"/>
      <c r="H1188" s="2705"/>
      <c r="I1188" s="2750"/>
      <c r="J1188" s="2480"/>
      <c r="K1188" s="2480"/>
      <c r="L1188" s="2480"/>
      <c r="M1188" s="2480"/>
      <c r="N1188" s="2480"/>
      <c r="O1188" s="2705"/>
      <c r="P1188" s="2501"/>
      <c r="Q1188" s="2705"/>
      <c r="R1188" s="2501"/>
      <c r="S1188" s="2705"/>
      <c r="T1188" s="2705"/>
      <c r="U1188" s="2501"/>
      <c r="V1188" s="2705"/>
      <c r="W1188" s="2501"/>
      <c r="X1188" s="2501"/>
      <c r="Y1188" s="2804"/>
      <c r="Z1188" s="2501"/>
      <c r="AA1188" s="2705"/>
      <c r="AB1188" s="2705"/>
      <c r="AC1188" s="2705"/>
      <c r="AD1188" s="2705"/>
      <c r="AE1188" s="2705"/>
      <c r="AF1188" s="2705"/>
      <c r="AG1188" s="2705"/>
      <c r="AH1188" s="2705"/>
      <c r="AI1188" s="2705"/>
    </row>
    <row r="1189" spans="1:35" x14ac:dyDescent="0.35">
      <c r="A1189" s="2705"/>
      <c r="B1189" s="2804"/>
      <c r="C1189" s="2705"/>
      <c r="D1189" s="2705"/>
      <c r="E1189" s="2705"/>
      <c r="F1189" s="2705"/>
      <c r="G1189" s="2705"/>
      <c r="H1189" s="2705"/>
      <c r="I1189" s="2750"/>
      <c r="J1189" s="2480"/>
      <c r="K1189" s="2480"/>
      <c r="L1189" s="2480"/>
      <c r="M1189" s="2480"/>
      <c r="N1189" s="2480"/>
      <c r="O1189" s="2705"/>
      <c r="P1189" s="2501"/>
      <c r="Q1189" s="2705"/>
      <c r="R1189" s="2501"/>
      <c r="S1189" s="2705"/>
      <c r="T1189" s="2705"/>
      <c r="U1189" s="2501"/>
      <c r="V1189" s="2705"/>
      <c r="W1189" s="2501"/>
      <c r="X1189" s="2501"/>
      <c r="Y1189" s="2804"/>
      <c r="Z1189" s="2501"/>
      <c r="AA1189" s="2705"/>
      <c r="AB1189" s="2705"/>
      <c r="AC1189" s="2705"/>
      <c r="AD1189" s="2705"/>
      <c r="AE1189" s="2705"/>
      <c r="AF1189" s="2705"/>
      <c r="AG1189" s="2705"/>
      <c r="AH1189" s="2705"/>
      <c r="AI1189" s="2705"/>
    </row>
    <row r="1190" spans="1:35" x14ac:dyDescent="0.35">
      <c r="A1190" s="2705"/>
      <c r="B1190" s="2804"/>
      <c r="C1190" s="2705"/>
      <c r="D1190" s="2705"/>
      <c r="E1190" s="2705"/>
      <c r="F1190" s="2705"/>
      <c r="G1190" s="2705"/>
      <c r="H1190" s="2705"/>
      <c r="I1190" s="2480"/>
      <c r="J1190" s="2480"/>
      <c r="K1190" s="2480"/>
      <c r="L1190" s="2480"/>
      <c r="M1190" s="2480"/>
      <c r="N1190" s="2480"/>
      <c r="O1190" s="2705"/>
      <c r="P1190" s="2501"/>
      <c r="Q1190" s="2705"/>
      <c r="R1190" s="2501"/>
      <c r="S1190" s="2705"/>
      <c r="T1190" s="2705"/>
      <c r="U1190" s="2501"/>
      <c r="V1190" s="2705"/>
      <c r="W1190" s="2501"/>
      <c r="X1190" s="2501"/>
      <c r="Y1190" s="2804"/>
      <c r="Z1190" s="2501"/>
      <c r="AA1190" s="2705"/>
      <c r="AB1190" s="2705"/>
      <c r="AC1190" s="2705"/>
      <c r="AD1190" s="2705"/>
      <c r="AE1190" s="2705"/>
      <c r="AF1190" s="2705"/>
      <c r="AG1190" s="2705"/>
      <c r="AH1190" s="2705"/>
      <c r="AI1190" s="2705"/>
    </row>
    <row r="1191" spans="1:35" x14ac:dyDescent="0.35">
      <c r="A1191" s="2705"/>
      <c r="B1191" s="2804"/>
      <c r="C1191" s="2705"/>
      <c r="D1191" s="2705"/>
      <c r="E1191" s="2705"/>
      <c r="F1191" s="2705"/>
      <c r="G1191" s="2705"/>
      <c r="H1191" s="2705"/>
      <c r="I1191" s="2750"/>
      <c r="J1191" s="2480"/>
      <c r="K1191" s="2480"/>
      <c r="L1191" s="2480"/>
      <c r="M1191" s="2480"/>
      <c r="N1191" s="2480"/>
      <c r="O1191" s="2705"/>
      <c r="P1191" s="2501"/>
      <c r="Q1191" s="2705"/>
      <c r="R1191" s="2501"/>
      <c r="S1191" s="2705"/>
      <c r="T1191" s="2705"/>
      <c r="U1191" s="2501"/>
      <c r="V1191" s="2705"/>
      <c r="W1191" s="2501"/>
      <c r="X1191" s="2501"/>
      <c r="Y1191" s="2804"/>
      <c r="Z1191" s="2501"/>
      <c r="AA1191" s="2705"/>
      <c r="AB1191" s="2705"/>
      <c r="AC1191" s="2705"/>
      <c r="AD1191" s="2705"/>
      <c r="AE1191" s="2705"/>
      <c r="AF1191" s="2705"/>
      <c r="AG1191" s="2705"/>
      <c r="AH1191" s="2705"/>
      <c r="AI1191" s="2705"/>
    </row>
    <row r="1192" spans="1:35" x14ac:dyDescent="0.35">
      <c r="A1192" s="2705"/>
      <c r="B1192" s="2804"/>
      <c r="C1192" s="2705"/>
      <c r="D1192" s="2705"/>
      <c r="E1192" s="2705"/>
      <c r="F1192" s="2705"/>
      <c r="G1192" s="2705"/>
      <c r="H1192" s="2705"/>
      <c r="I1192" s="2480"/>
      <c r="J1192" s="2480"/>
      <c r="K1192" s="2480"/>
      <c r="L1192" s="2480"/>
      <c r="M1192" s="2480"/>
      <c r="N1192" s="2480"/>
      <c r="O1192" s="2705"/>
      <c r="P1192" s="2501"/>
      <c r="Q1192" s="2705"/>
      <c r="R1192" s="2501"/>
      <c r="S1192" s="2705"/>
      <c r="T1192" s="2705"/>
      <c r="U1192" s="2501"/>
      <c r="V1192" s="2705"/>
      <c r="W1192" s="2501"/>
      <c r="X1192" s="2501"/>
      <c r="Y1192" s="2804"/>
      <c r="Z1192" s="2501"/>
      <c r="AA1192" s="2705"/>
      <c r="AB1192" s="2705"/>
      <c r="AC1192" s="2705"/>
      <c r="AD1192" s="2705"/>
      <c r="AE1192" s="2705"/>
      <c r="AF1192" s="2705"/>
      <c r="AG1192" s="2705"/>
      <c r="AH1192" s="2705"/>
      <c r="AI1192" s="2705"/>
    </row>
    <row r="1193" spans="1:35" x14ac:dyDescent="0.35">
      <c r="A1193" s="2705"/>
      <c r="B1193" s="2804"/>
      <c r="C1193" s="2705"/>
      <c r="D1193" s="2705"/>
      <c r="E1193" s="2705"/>
      <c r="F1193" s="2705"/>
      <c r="G1193" s="2705"/>
      <c r="H1193" s="2705"/>
      <c r="I1193" s="2480"/>
      <c r="J1193" s="2480"/>
      <c r="K1193" s="2480"/>
      <c r="L1193" s="2480"/>
      <c r="M1193" s="2480"/>
      <c r="N1193" s="2480"/>
      <c r="O1193" s="2705"/>
      <c r="P1193" s="2501"/>
      <c r="Q1193" s="2705"/>
      <c r="R1193" s="2501"/>
      <c r="S1193" s="2705"/>
      <c r="T1193" s="2705"/>
      <c r="U1193" s="2501"/>
      <c r="V1193" s="2705"/>
      <c r="W1193" s="2501"/>
      <c r="X1193" s="2501"/>
      <c r="Y1193" s="2804"/>
      <c r="Z1193" s="2501"/>
      <c r="AA1193" s="2705"/>
      <c r="AB1193" s="2705"/>
      <c r="AC1193" s="2705"/>
      <c r="AD1193" s="2705"/>
      <c r="AE1193" s="2705"/>
      <c r="AF1193" s="2705"/>
      <c r="AG1193" s="2705"/>
      <c r="AH1193" s="2705"/>
      <c r="AI1193" s="2705"/>
    </row>
    <row r="1194" spans="1:35" x14ac:dyDescent="0.35">
      <c r="A1194" s="2705"/>
      <c r="B1194" s="2804"/>
      <c r="C1194" s="2705"/>
      <c r="D1194" s="2705"/>
      <c r="E1194" s="2705"/>
      <c r="F1194" s="2705"/>
      <c r="G1194" s="2705"/>
      <c r="H1194" s="2705"/>
      <c r="I1194" s="2480"/>
      <c r="J1194" s="2480"/>
      <c r="K1194" s="2480"/>
      <c r="L1194" s="2480"/>
      <c r="M1194" s="2705"/>
      <c r="N1194" s="2705"/>
      <c r="O1194" s="2705"/>
      <c r="P1194" s="2501"/>
      <c r="Q1194" s="2705"/>
      <c r="R1194" s="2786"/>
      <c r="S1194" s="2705"/>
      <c r="T1194" s="2705"/>
      <c r="U1194" s="2786"/>
      <c r="V1194" s="2705"/>
      <c r="W1194" s="2501"/>
      <c r="X1194" s="2501"/>
      <c r="Y1194" s="2804"/>
      <c r="Z1194" s="2501"/>
      <c r="AA1194" s="2705"/>
      <c r="AB1194" s="2705"/>
      <c r="AC1194" s="2705"/>
      <c r="AD1194" s="2705"/>
      <c r="AE1194" s="2705"/>
      <c r="AF1194" s="2705"/>
      <c r="AG1194" s="2705"/>
      <c r="AH1194" s="2705"/>
      <c r="AI1194" s="2705"/>
    </row>
    <row r="1195" spans="1:35" x14ac:dyDescent="0.35">
      <c r="A1195" s="2705"/>
      <c r="B1195" s="2804"/>
      <c r="C1195" s="2705"/>
      <c r="D1195" s="2705"/>
      <c r="E1195" s="2705"/>
      <c r="F1195" s="2705"/>
      <c r="G1195" s="2705"/>
      <c r="H1195" s="2705"/>
      <c r="I1195" s="2480"/>
      <c r="J1195" s="2480"/>
      <c r="K1195" s="2480"/>
      <c r="L1195" s="2480"/>
      <c r="M1195" s="2705"/>
      <c r="N1195" s="2705"/>
      <c r="O1195" s="2705"/>
      <c r="P1195" s="2501"/>
      <c r="Q1195" s="2705"/>
      <c r="R1195" s="2705"/>
      <c r="S1195" s="2705"/>
      <c r="T1195" s="2705"/>
      <c r="U1195" s="2705"/>
      <c r="V1195" s="2705"/>
      <c r="W1195" s="2501"/>
      <c r="X1195" s="2501"/>
      <c r="Y1195" s="2804"/>
      <c r="Z1195" s="2786"/>
      <c r="AA1195" s="2705"/>
      <c r="AB1195" s="2705"/>
      <c r="AC1195" s="2705"/>
      <c r="AD1195" s="2705"/>
      <c r="AE1195" s="2705"/>
      <c r="AF1195" s="2705"/>
      <c r="AG1195" s="2705"/>
      <c r="AH1195" s="2705"/>
      <c r="AI1195" s="2705"/>
    </row>
    <row r="1196" spans="1:35" x14ac:dyDescent="0.35">
      <c r="A1196" s="2705"/>
      <c r="B1196" s="2804"/>
      <c r="C1196" s="2705"/>
      <c r="D1196" s="2705"/>
      <c r="E1196" s="2705"/>
      <c r="F1196" s="2705"/>
      <c r="G1196" s="2705"/>
      <c r="H1196" s="2705"/>
      <c r="I1196" s="2480"/>
      <c r="J1196" s="2480"/>
      <c r="K1196" s="2480"/>
      <c r="L1196" s="2480"/>
      <c r="M1196" s="2705"/>
      <c r="N1196" s="2705"/>
      <c r="O1196" s="2705"/>
      <c r="P1196" s="2501"/>
      <c r="Q1196" s="2705"/>
      <c r="R1196" s="2705"/>
      <c r="S1196" s="2705"/>
      <c r="T1196" s="2705"/>
      <c r="U1196" s="2705"/>
      <c r="V1196" s="2705"/>
      <c r="W1196" s="2501"/>
      <c r="X1196" s="2786"/>
      <c r="Y1196" s="2804"/>
      <c r="Z1196" s="2705"/>
      <c r="AA1196" s="2705"/>
      <c r="AB1196" s="2705"/>
      <c r="AC1196" s="2705"/>
      <c r="AD1196" s="2705"/>
      <c r="AE1196" s="2705"/>
      <c r="AF1196" s="2705"/>
      <c r="AG1196" s="2705"/>
      <c r="AH1196" s="2705"/>
      <c r="AI1196" s="2705"/>
    </row>
    <row r="1197" spans="1:35" x14ac:dyDescent="0.35">
      <c r="A1197" s="2705"/>
      <c r="B1197" s="2804"/>
      <c r="C1197" s="2705"/>
      <c r="D1197" s="2705"/>
      <c r="E1197" s="2705"/>
      <c r="F1197" s="2705"/>
      <c r="G1197" s="2705"/>
      <c r="H1197" s="2705"/>
      <c r="I1197" s="2480"/>
      <c r="J1197" s="2480"/>
      <c r="K1197" s="2480"/>
      <c r="L1197" s="2480"/>
      <c r="M1197" s="2705"/>
      <c r="N1197" s="2705"/>
      <c r="O1197" s="2705"/>
      <c r="P1197" s="2501"/>
      <c r="Q1197" s="2705"/>
      <c r="R1197" s="2501"/>
      <c r="S1197" s="2705"/>
      <c r="T1197" s="2705"/>
      <c r="U1197" s="2705"/>
      <c r="V1197" s="2705"/>
      <c r="W1197" s="2501"/>
      <c r="X1197" s="2705"/>
      <c r="Y1197" s="2804"/>
      <c r="Z1197" s="2705"/>
      <c r="AA1197" s="2705"/>
      <c r="AB1197" s="2705"/>
      <c r="AC1197" s="2705"/>
      <c r="AD1197" s="2705"/>
      <c r="AE1197" s="2705"/>
      <c r="AF1197" s="2705"/>
      <c r="AG1197" s="2705"/>
      <c r="AH1197" s="2705"/>
      <c r="AI1197" s="2705"/>
    </row>
    <row r="1198" spans="1:35" x14ac:dyDescent="0.35">
      <c r="A1198" s="2705"/>
      <c r="B1198" s="2804"/>
      <c r="C1198" s="2705"/>
      <c r="D1198" s="2705"/>
      <c r="E1198" s="2705"/>
      <c r="F1198" s="2705"/>
      <c r="G1198" s="2705"/>
      <c r="H1198" s="2705"/>
      <c r="I1198" s="2480"/>
      <c r="J1198" s="2480"/>
      <c r="K1198" s="2480"/>
      <c r="L1198" s="2480"/>
      <c r="M1198" s="2705"/>
      <c r="N1198" s="2705"/>
      <c r="O1198" s="2705"/>
      <c r="P1198" s="2501"/>
      <c r="Q1198" s="2705"/>
      <c r="R1198" s="2501"/>
      <c r="S1198" s="2705"/>
      <c r="T1198" s="2705"/>
      <c r="U1198" s="2501"/>
      <c r="V1198" s="2705"/>
      <c r="W1198" s="2501"/>
      <c r="X1198" s="2705"/>
      <c r="Y1198" s="2804"/>
      <c r="Z1198" s="2705"/>
      <c r="AA1198" s="2705"/>
      <c r="AB1198" s="2705"/>
      <c r="AC1198" s="2705"/>
      <c r="AD1198" s="2705"/>
      <c r="AE1198" s="2705"/>
      <c r="AF1198" s="2705"/>
      <c r="AG1198" s="2705"/>
      <c r="AH1198" s="2705"/>
      <c r="AI1198" s="2705"/>
    </row>
    <row r="1199" spans="1:35" x14ac:dyDescent="0.35">
      <c r="A1199" s="2705"/>
      <c r="B1199" s="2804"/>
      <c r="C1199" s="2705"/>
      <c r="D1199" s="2705"/>
      <c r="E1199" s="2705"/>
      <c r="F1199" s="2705"/>
      <c r="G1199" s="2705"/>
      <c r="H1199" s="2705"/>
      <c r="I1199" s="2480"/>
      <c r="J1199" s="2480"/>
      <c r="K1199" s="2480"/>
      <c r="L1199" s="2480"/>
      <c r="M1199" s="2705"/>
      <c r="N1199" s="2705"/>
      <c r="O1199" s="2705"/>
      <c r="P1199" s="2501"/>
      <c r="Q1199" s="2705"/>
      <c r="R1199" s="2501"/>
      <c r="S1199" s="2705"/>
      <c r="T1199" s="2705"/>
      <c r="U1199" s="2501"/>
      <c r="V1199" s="2705"/>
      <c r="W1199" s="2501"/>
      <c r="X1199" s="2705"/>
      <c r="Y1199" s="2804"/>
      <c r="Z1199" s="2705"/>
      <c r="AA1199" s="2705"/>
      <c r="AB1199" s="2705"/>
      <c r="AC1199" s="2705"/>
      <c r="AD1199" s="2705"/>
      <c r="AE1199" s="2705"/>
      <c r="AF1199" s="2705"/>
      <c r="AG1199" s="2705"/>
      <c r="AH1199" s="2705"/>
      <c r="AI1199" s="2705"/>
    </row>
    <row r="1200" spans="1:35" x14ac:dyDescent="0.35">
      <c r="A1200" s="2705"/>
      <c r="B1200" s="2804"/>
      <c r="C1200" s="2705"/>
      <c r="D1200" s="2705"/>
      <c r="E1200" s="2705"/>
      <c r="F1200" s="2705"/>
      <c r="G1200" s="2705"/>
      <c r="H1200" s="2705"/>
      <c r="I1200" s="2480"/>
      <c r="J1200" s="2480"/>
      <c r="K1200" s="2480"/>
      <c r="L1200" s="2480"/>
      <c r="M1200" s="2480"/>
      <c r="N1200" s="2705"/>
      <c r="O1200" s="2705"/>
      <c r="P1200" s="2501"/>
      <c r="Q1200" s="2705"/>
      <c r="R1200" s="2501"/>
      <c r="S1200" s="2705"/>
      <c r="T1200" s="2705"/>
      <c r="U1200" s="2501"/>
      <c r="V1200" s="2705"/>
      <c r="W1200" s="2501"/>
      <c r="X1200" s="2705"/>
      <c r="Y1200" s="2804"/>
      <c r="Z1200" s="2705"/>
      <c r="AA1200" s="2705"/>
      <c r="AB1200" s="2705"/>
      <c r="AC1200" s="2705"/>
      <c r="AD1200" s="2705"/>
      <c r="AE1200" s="2705"/>
      <c r="AF1200" s="2705"/>
      <c r="AG1200" s="2705"/>
      <c r="AH1200" s="2705"/>
      <c r="AI1200" s="2705"/>
    </row>
    <row r="1201" spans="1:35" x14ac:dyDescent="0.35">
      <c r="A1201" s="2705"/>
      <c r="B1201" s="2804"/>
      <c r="C1201" s="2705"/>
      <c r="D1201" s="2705"/>
      <c r="E1201" s="2705"/>
      <c r="F1201" s="2705"/>
      <c r="G1201" s="2705"/>
      <c r="H1201" s="2705"/>
      <c r="I1201" s="2750"/>
      <c r="J1201" s="2480"/>
      <c r="K1201" s="2480"/>
      <c r="L1201" s="2480"/>
      <c r="M1201" s="2480"/>
      <c r="N1201" s="2705"/>
      <c r="O1201" s="2705"/>
      <c r="P1201" s="2501"/>
      <c r="Q1201" s="2705"/>
      <c r="R1201" s="2501"/>
      <c r="S1201" s="2705"/>
      <c r="T1201" s="2705"/>
      <c r="U1201" s="2501"/>
      <c r="V1201" s="2705"/>
      <c r="W1201" s="2501"/>
      <c r="X1201" s="2705"/>
      <c r="Y1201" s="2804"/>
      <c r="Z1201" s="2705"/>
      <c r="AA1201" s="2705"/>
      <c r="AB1201" s="2705"/>
      <c r="AC1201" s="2705"/>
      <c r="AD1201" s="2705"/>
      <c r="AE1201" s="2705"/>
      <c r="AF1201" s="2705"/>
      <c r="AG1201" s="2705"/>
      <c r="AH1201" s="2705"/>
      <c r="AI1201" s="2705"/>
    </row>
    <row r="1202" spans="1:35" x14ac:dyDescent="0.35">
      <c r="A1202" s="2705"/>
      <c r="B1202" s="2804"/>
      <c r="C1202" s="2705"/>
      <c r="D1202" s="2705"/>
      <c r="E1202" s="2705"/>
      <c r="F1202" s="2705"/>
      <c r="G1202" s="2705"/>
      <c r="H1202" s="2705"/>
      <c r="I1202" s="2480"/>
      <c r="J1202" s="2480"/>
      <c r="K1202" s="2480"/>
      <c r="L1202" s="2480"/>
      <c r="M1202" s="2480"/>
      <c r="N1202" s="2705"/>
      <c r="O1202" s="2705"/>
      <c r="P1202" s="2501"/>
      <c r="Q1202" s="2705"/>
      <c r="R1202" s="2501"/>
      <c r="S1202" s="2705"/>
      <c r="T1202" s="2705"/>
      <c r="U1202" s="2501"/>
      <c r="V1202" s="2705"/>
      <c r="W1202" s="2786"/>
      <c r="X1202" s="2705"/>
      <c r="Y1202" s="2804"/>
      <c r="Z1202" s="2705"/>
      <c r="AA1202" s="2705"/>
      <c r="AB1202" s="2705"/>
      <c r="AC1202" s="2705"/>
      <c r="AD1202" s="2705"/>
      <c r="AE1202" s="2705"/>
      <c r="AF1202" s="2705"/>
      <c r="AG1202" s="2705"/>
      <c r="AH1202" s="2705"/>
      <c r="AI1202" s="2705"/>
    </row>
    <row r="1203" spans="1:35" x14ac:dyDescent="0.35">
      <c r="A1203" s="2705"/>
      <c r="B1203" s="2804"/>
      <c r="C1203" s="2705"/>
      <c r="D1203" s="2705"/>
      <c r="E1203" s="2705"/>
      <c r="F1203" s="2705"/>
      <c r="G1203" s="2705"/>
      <c r="H1203" s="2705"/>
      <c r="I1203" s="2480"/>
      <c r="J1203" s="2480"/>
      <c r="K1203" s="2480"/>
      <c r="L1203" s="2480"/>
      <c r="M1203" s="2480"/>
      <c r="N1203" s="2705"/>
      <c r="O1203" s="2705"/>
      <c r="P1203" s="2501"/>
      <c r="Q1203" s="2705"/>
      <c r="R1203" s="2501"/>
      <c r="S1203" s="2705"/>
      <c r="T1203" s="2705"/>
      <c r="U1203" s="2501"/>
      <c r="V1203" s="2705"/>
      <c r="W1203" s="2705"/>
      <c r="X1203" s="2705"/>
      <c r="Y1203" s="2804"/>
      <c r="Z1203" s="2705"/>
      <c r="AA1203" s="2705"/>
      <c r="AB1203" s="2705"/>
      <c r="AC1203" s="2705"/>
      <c r="AD1203" s="2705"/>
      <c r="AE1203" s="2705"/>
      <c r="AF1203" s="2705"/>
      <c r="AG1203" s="2705"/>
      <c r="AH1203" s="2705"/>
      <c r="AI1203" s="2705"/>
    </row>
    <row r="1204" spans="1:35" x14ac:dyDescent="0.35">
      <c r="A1204" s="2705"/>
      <c r="B1204" s="2804"/>
      <c r="C1204" s="2705"/>
      <c r="D1204" s="2705"/>
      <c r="E1204" s="2705"/>
      <c r="F1204" s="2705"/>
      <c r="G1204" s="2705"/>
      <c r="H1204" s="2705"/>
      <c r="I1204" s="2750"/>
      <c r="J1204" s="2480"/>
      <c r="K1204" s="2480"/>
      <c r="L1204" s="2480"/>
      <c r="M1204" s="2480"/>
      <c r="N1204" s="2705"/>
      <c r="O1204" s="2705"/>
      <c r="P1204" s="2501"/>
      <c r="Q1204" s="2705"/>
      <c r="R1204" s="2501"/>
      <c r="S1204" s="2705"/>
      <c r="T1204" s="2705"/>
      <c r="U1204" s="2501"/>
      <c r="V1204" s="2705"/>
      <c r="W1204" s="2705"/>
      <c r="X1204" s="2705"/>
      <c r="Y1204" s="2804"/>
      <c r="Z1204" s="2705"/>
      <c r="AA1204" s="2705"/>
      <c r="AB1204" s="2705"/>
      <c r="AC1204" s="2705"/>
      <c r="AD1204" s="2705"/>
      <c r="AE1204" s="2705"/>
      <c r="AF1204" s="2705"/>
      <c r="AG1204" s="2705"/>
      <c r="AH1204" s="2705"/>
      <c r="AI1204" s="2705"/>
    </row>
    <row r="1205" spans="1:35" x14ac:dyDescent="0.35">
      <c r="E1205" s="2705"/>
      <c r="F1205" s="2705"/>
      <c r="G1205" s="2705"/>
      <c r="H1205" s="2705"/>
      <c r="I1205" s="2480"/>
      <c r="J1205" s="2480"/>
      <c r="K1205" s="2480"/>
      <c r="L1205" s="2480"/>
      <c r="M1205" s="2480"/>
      <c r="N1205" s="2705"/>
      <c r="O1205" s="2705"/>
      <c r="P1205" s="2501"/>
      <c r="Q1205" s="2705"/>
      <c r="R1205" s="2501"/>
      <c r="S1205" s="2705"/>
      <c r="T1205" s="2705"/>
      <c r="U1205" s="2501"/>
      <c r="V1205" s="2705"/>
      <c r="W1205" s="2705"/>
      <c r="X1205" s="2705"/>
      <c r="Y1205" s="2804"/>
      <c r="Z1205" s="2705"/>
      <c r="AA1205" s="2705"/>
      <c r="AB1205" s="2705"/>
      <c r="AC1205" s="2705"/>
      <c r="AD1205" s="2705"/>
      <c r="AE1205" s="2705"/>
      <c r="AF1205" s="2705"/>
      <c r="AG1205" s="2705"/>
      <c r="AH1205" s="2705"/>
      <c r="AI1205" s="2705"/>
    </row>
    <row r="1206" spans="1:35" x14ac:dyDescent="0.35">
      <c r="E1206" s="2705"/>
      <c r="F1206" s="2705"/>
      <c r="G1206" s="2705"/>
      <c r="H1206" s="2705"/>
      <c r="I1206" s="2480"/>
      <c r="J1206" s="2480"/>
      <c r="K1206" s="2480"/>
      <c r="L1206" s="2480"/>
      <c r="M1206" s="2480"/>
      <c r="N1206" s="2705"/>
      <c r="O1206" s="2705"/>
      <c r="P1206" s="2501"/>
      <c r="Q1206" s="2705"/>
      <c r="R1206" s="2501"/>
      <c r="S1206" s="2705"/>
      <c r="T1206" s="2705"/>
      <c r="U1206" s="2501"/>
      <c r="V1206" s="2705"/>
      <c r="W1206" s="2705"/>
      <c r="X1206" s="2705"/>
      <c r="Y1206" s="2804"/>
      <c r="Z1206" s="2705"/>
      <c r="AA1206" s="2705"/>
      <c r="AB1206" s="2705"/>
      <c r="AC1206" s="2705"/>
      <c r="AD1206" s="2705"/>
      <c r="AE1206" s="2705"/>
      <c r="AF1206" s="2705"/>
      <c r="AG1206" s="2705"/>
      <c r="AH1206" s="2705"/>
      <c r="AI1206" s="2705"/>
    </row>
    <row r="1207" spans="1:35" x14ac:dyDescent="0.35">
      <c r="E1207" s="2705"/>
      <c r="F1207" s="2705"/>
      <c r="G1207" s="2705"/>
      <c r="H1207" s="2705"/>
      <c r="I1207" s="2480"/>
      <c r="J1207" s="2480"/>
      <c r="K1207" s="2480"/>
      <c r="L1207" s="2480"/>
      <c r="M1207" s="2480"/>
      <c r="N1207" s="2705"/>
      <c r="O1207" s="2705"/>
      <c r="P1207" s="2501"/>
      <c r="Q1207" s="2705"/>
      <c r="R1207" s="2501"/>
      <c r="S1207" s="2705"/>
      <c r="T1207" s="2705"/>
      <c r="U1207" s="2501"/>
      <c r="V1207" s="2705"/>
      <c r="W1207" s="2705"/>
      <c r="X1207" s="2705"/>
      <c r="Y1207" s="2804"/>
      <c r="Z1207" s="2705"/>
      <c r="AA1207" s="2705"/>
      <c r="AB1207" s="2705"/>
      <c r="AC1207" s="2705"/>
      <c r="AD1207" s="2705"/>
      <c r="AE1207" s="2705"/>
      <c r="AF1207" s="2705"/>
      <c r="AG1207" s="2705"/>
      <c r="AH1207" s="2705"/>
      <c r="AI1207" s="2705"/>
    </row>
    <row r="1208" spans="1:35" x14ac:dyDescent="0.35">
      <c r="E1208" s="2705"/>
      <c r="F1208" s="2705"/>
      <c r="G1208" s="2705"/>
      <c r="H1208" s="2705"/>
      <c r="I1208" s="2480"/>
      <c r="J1208" s="2480"/>
      <c r="K1208" s="2480"/>
      <c r="L1208" s="2480"/>
      <c r="M1208" s="2480"/>
      <c r="N1208" s="2705"/>
      <c r="O1208" s="2705"/>
      <c r="P1208" s="2501"/>
      <c r="Q1208" s="2705"/>
      <c r="R1208" s="2501"/>
      <c r="S1208" s="2705"/>
      <c r="T1208" s="2705"/>
      <c r="U1208" s="2501"/>
      <c r="V1208" s="2705"/>
      <c r="W1208" s="2705"/>
      <c r="X1208" s="2705"/>
      <c r="Y1208" s="2804"/>
      <c r="Z1208" s="2705"/>
      <c r="AA1208" s="2705"/>
      <c r="AB1208" s="2705"/>
      <c r="AC1208" s="2705"/>
      <c r="AD1208" s="2705"/>
      <c r="AE1208" s="2705"/>
      <c r="AF1208" s="2705"/>
      <c r="AG1208" s="2705"/>
      <c r="AH1208" s="2705"/>
      <c r="AI1208" s="2705"/>
    </row>
    <row r="1209" spans="1:35" x14ac:dyDescent="0.35">
      <c r="E1209" s="2705"/>
      <c r="F1209" s="2705"/>
      <c r="G1209" s="2705"/>
      <c r="H1209" s="2705"/>
      <c r="I1209" s="2480"/>
      <c r="J1209" s="2480"/>
      <c r="K1209" s="2480"/>
      <c r="L1209" s="2480"/>
      <c r="M1209" s="2480"/>
      <c r="N1209" s="2705"/>
      <c r="O1209" s="2705"/>
      <c r="P1209" s="2501"/>
      <c r="Q1209" s="2705"/>
      <c r="R1209" s="2501"/>
      <c r="S1209" s="2705"/>
      <c r="T1209" s="2705"/>
      <c r="U1209" s="2501"/>
      <c r="V1209" s="2705"/>
      <c r="W1209" s="2705"/>
      <c r="X1209" s="2705"/>
      <c r="Y1209" s="2804"/>
      <c r="Z1209" s="2705"/>
      <c r="AA1209" s="2705"/>
      <c r="AB1209" s="2705"/>
      <c r="AC1209" s="2705"/>
      <c r="AD1209" s="2705"/>
      <c r="AE1209" s="2705"/>
      <c r="AF1209" s="2705"/>
      <c r="AG1209" s="2705"/>
      <c r="AH1209" s="2705"/>
      <c r="AI1209" s="2705"/>
    </row>
    <row r="1210" spans="1:35" x14ac:dyDescent="0.35">
      <c r="E1210" s="2705"/>
      <c r="F1210" s="2705"/>
      <c r="G1210" s="2705"/>
      <c r="H1210" s="2705"/>
      <c r="I1210" s="2480"/>
      <c r="J1210" s="2480"/>
      <c r="K1210" s="2480"/>
      <c r="L1210" s="2480"/>
      <c r="M1210" s="2480"/>
      <c r="N1210" s="2705"/>
      <c r="O1210" s="2705"/>
      <c r="P1210" s="2501"/>
      <c r="Q1210" s="2705"/>
      <c r="R1210" s="2501"/>
      <c r="S1210" s="2705"/>
      <c r="T1210" s="2705"/>
      <c r="U1210" s="2501"/>
      <c r="V1210" s="2705"/>
      <c r="W1210" s="2705"/>
      <c r="X1210" s="2501"/>
      <c r="Y1210" s="2804"/>
      <c r="Z1210" s="2705"/>
      <c r="AA1210" s="2705"/>
      <c r="AB1210" s="2705"/>
      <c r="AC1210" s="2705"/>
      <c r="AD1210" s="2705"/>
      <c r="AE1210" s="2705"/>
      <c r="AF1210" s="2705"/>
      <c r="AG1210" s="2705"/>
      <c r="AH1210" s="2705"/>
      <c r="AI1210" s="2705"/>
    </row>
    <row r="1211" spans="1:35" x14ac:dyDescent="0.35">
      <c r="E1211" s="2705"/>
      <c r="F1211" s="2705"/>
      <c r="G1211" s="2705"/>
      <c r="H1211" s="2705"/>
      <c r="I1211" s="2480"/>
      <c r="J1211" s="2480"/>
      <c r="K1211" s="2480"/>
      <c r="L1211" s="2480"/>
      <c r="M1211" s="2480"/>
      <c r="N1211" s="2705"/>
      <c r="O1211" s="2705"/>
      <c r="P1211" s="2501"/>
      <c r="Q1211" s="2705"/>
      <c r="R1211" s="2501"/>
      <c r="S1211" s="2705"/>
      <c r="T1211" s="2705"/>
      <c r="U1211" s="2501"/>
      <c r="V1211" s="2705"/>
      <c r="W1211" s="2705"/>
      <c r="X1211" s="2501"/>
      <c r="Y1211" s="2804"/>
      <c r="Z1211" s="2705"/>
      <c r="AA1211" s="2705"/>
      <c r="AB1211" s="2705"/>
      <c r="AC1211" s="2705"/>
      <c r="AD1211" s="2705"/>
      <c r="AE1211" s="2705"/>
      <c r="AF1211" s="2705"/>
      <c r="AG1211" s="2705"/>
      <c r="AH1211" s="2705"/>
      <c r="AI1211" s="2705"/>
    </row>
    <row r="1212" spans="1:35" x14ac:dyDescent="0.35">
      <c r="E1212" s="2705"/>
      <c r="F1212" s="2705"/>
      <c r="G1212" s="2705"/>
      <c r="H1212" s="2705"/>
      <c r="I1212" s="2750"/>
      <c r="J1212" s="2480"/>
      <c r="K1212" s="2480"/>
      <c r="L1212" s="2480"/>
      <c r="M1212" s="2705"/>
      <c r="N1212" s="2705"/>
      <c r="O1212" s="2705"/>
      <c r="P1212" s="2501"/>
      <c r="Q1212" s="2705"/>
      <c r="R1212" s="2786"/>
      <c r="S1212" s="2705"/>
      <c r="T1212" s="2705"/>
      <c r="U1212" s="2501"/>
      <c r="V1212" s="2705"/>
      <c r="W1212" s="2705"/>
      <c r="X1212" s="2501"/>
      <c r="Y1212" s="2804"/>
      <c r="Z1212" s="2705"/>
      <c r="AA1212" s="2705"/>
      <c r="AB1212" s="2705"/>
      <c r="AC1212" s="2705"/>
      <c r="AD1212" s="2705"/>
      <c r="AE1212" s="2705"/>
      <c r="AF1212" s="2705"/>
      <c r="AG1212" s="2705"/>
      <c r="AH1212" s="2705"/>
      <c r="AI1212" s="2705"/>
    </row>
    <row r="1213" spans="1:35" x14ac:dyDescent="0.35">
      <c r="E1213" s="2705"/>
      <c r="F1213" s="2705"/>
      <c r="G1213" s="2705"/>
      <c r="H1213" s="2705"/>
      <c r="I1213" s="2750"/>
      <c r="J1213" s="2480"/>
      <c r="K1213" s="2480"/>
      <c r="L1213" s="2480"/>
      <c r="M1213" s="2705"/>
      <c r="N1213" s="2705"/>
      <c r="O1213" s="2705"/>
      <c r="P1213" s="2501"/>
      <c r="Q1213" s="2705"/>
      <c r="R1213" s="2705"/>
      <c r="S1213" s="2705"/>
      <c r="T1213" s="2705"/>
      <c r="U1213" s="2501"/>
      <c r="V1213" s="2705"/>
      <c r="W1213" s="2705"/>
      <c r="X1213" s="2501"/>
      <c r="Y1213" s="2804"/>
      <c r="Z1213" s="2705"/>
      <c r="AA1213" s="2705"/>
      <c r="AB1213" s="2705"/>
      <c r="AC1213" s="2705"/>
      <c r="AD1213" s="2705"/>
      <c r="AE1213" s="2705"/>
      <c r="AF1213" s="2705"/>
      <c r="AG1213" s="2705"/>
      <c r="AH1213" s="2705"/>
      <c r="AI1213" s="2705"/>
    </row>
    <row r="1214" spans="1:35" x14ac:dyDescent="0.35">
      <c r="E1214" s="2705"/>
      <c r="F1214" s="2705"/>
      <c r="G1214" s="2705"/>
      <c r="H1214" s="2705"/>
      <c r="I1214" s="2750"/>
      <c r="J1214" s="2480"/>
      <c r="K1214" s="2480"/>
      <c r="L1214" s="2480"/>
      <c r="M1214" s="2705"/>
      <c r="N1214" s="2705"/>
      <c r="O1214" s="2705"/>
      <c r="P1214" s="2501"/>
      <c r="Q1214" s="2705"/>
      <c r="R1214" s="2705"/>
      <c r="S1214" s="2705"/>
      <c r="T1214" s="2705"/>
      <c r="U1214" s="2501"/>
      <c r="V1214" s="2705"/>
      <c r="W1214" s="2705"/>
      <c r="X1214" s="2501"/>
      <c r="Y1214" s="2804"/>
      <c r="Z1214" s="2705"/>
      <c r="AA1214" s="2705"/>
      <c r="AB1214" s="2705"/>
      <c r="AC1214" s="2705"/>
      <c r="AD1214" s="2705"/>
      <c r="AE1214" s="2705"/>
      <c r="AF1214" s="2705"/>
      <c r="AG1214" s="2705"/>
      <c r="AH1214" s="2705"/>
      <c r="AI1214" s="2705"/>
    </row>
    <row r="1215" spans="1:35" x14ac:dyDescent="0.35">
      <c r="E1215" s="2705"/>
      <c r="F1215" s="2705"/>
      <c r="G1215" s="2705"/>
      <c r="H1215" s="2705"/>
      <c r="I1215" s="2750"/>
      <c r="J1215" s="2480"/>
      <c r="K1215" s="2480"/>
      <c r="L1215" s="2480"/>
      <c r="M1215" s="2480"/>
      <c r="N1215" s="2705"/>
      <c r="O1215" s="2705"/>
      <c r="P1215" s="2786"/>
      <c r="Q1215" s="2705"/>
      <c r="R1215" s="2705"/>
      <c r="S1215" s="2705"/>
      <c r="T1215" s="2705"/>
      <c r="U1215" s="2501"/>
      <c r="V1215" s="2705"/>
      <c r="W1215" s="2705"/>
      <c r="X1215" s="2501"/>
      <c r="Y1215" s="2804"/>
      <c r="Z1215" s="2705"/>
      <c r="AA1215" s="2705"/>
      <c r="AB1215" s="2705"/>
      <c r="AC1215" s="2705"/>
      <c r="AD1215" s="2705"/>
      <c r="AE1215" s="2705"/>
      <c r="AF1215" s="2705"/>
      <c r="AG1215" s="2705"/>
      <c r="AH1215" s="2705"/>
      <c r="AI1215" s="2705"/>
    </row>
    <row r="1216" spans="1:35" x14ac:dyDescent="0.35">
      <c r="E1216" s="2705"/>
      <c r="F1216" s="2705"/>
      <c r="G1216" s="2705"/>
      <c r="H1216" s="2705"/>
      <c r="I1216" s="2480"/>
      <c r="J1216" s="2480"/>
      <c r="K1216" s="2480"/>
      <c r="L1216" s="2480"/>
      <c r="M1216" s="2480"/>
      <c r="N1216" s="2705"/>
      <c r="O1216" s="2705"/>
      <c r="P1216" s="2705"/>
      <c r="Q1216" s="2705"/>
      <c r="R1216" s="2705"/>
      <c r="S1216" s="2705"/>
      <c r="T1216" s="2705"/>
      <c r="U1216" s="2501"/>
      <c r="V1216" s="2705"/>
      <c r="W1216" s="2705"/>
      <c r="X1216" s="2501"/>
      <c r="Y1216" s="2804"/>
      <c r="Z1216" s="2705"/>
      <c r="AA1216" s="2705"/>
      <c r="AB1216" s="2705"/>
      <c r="AC1216" s="2705"/>
      <c r="AD1216" s="2705"/>
      <c r="AE1216" s="2705"/>
      <c r="AF1216" s="2705"/>
      <c r="AG1216" s="2705"/>
      <c r="AH1216" s="2705"/>
      <c r="AI1216" s="2705"/>
    </row>
    <row r="1217" spans="5:35" x14ac:dyDescent="0.35">
      <c r="E1217" s="2705"/>
      <c r="F1217" s="2705"/>
      <c r="G1217" s="2705"/>
      <c r="H1217" s="2705"/>
      <c r="I1217" s="2480"/>
      <c r="J1217" s="2480"/>
      <c r="K1217" s="2480"/>
      <c r="L1217" s="2480"/>
      <c r="M1217" s="2480"/>
      <c r="N1217" s="2705"/>
      <c r="O1217" s="2705"/>
      <c r="P1217" s="2705"/>
      <c r="Q1217" s="2705"/>
      <c r="R1217" s="2501"/>
      <c r="S1217" s="2705"/>
      <c r="T1217" s="2705"/>
      <c r="U1217" s="2501"/>
      <c r="V1217" s="2705"/>
      <c r="W1217" s="2705"/>
      <c r="X1217" s="2501"/>
      <c r="Y1217" s="2804"/>
      <c r="Z1217" s="2705"/>
      <c r="AA1217" s="2705"/>
      <c r="AB1217" s="2705"/>
      <c r="AC1217" s="2705"/>
      <c r="AD1217" s="2705"/>
      <c r="AE1217" s="2705"/>
      <c r="AF1217" s="2705"/>
      <c r="AG1217" s="2705"/>
      <c r="AH1217" s="2705"/>
      <c r="AI1217" s="2705"/>
    </row>
    <row r="1218" spans="5:35" x14ac:dyDescent="0.35">
      <c r="E1218" s="2705"/>
      <c r="F1218" s="2705"/>
      <c r="G1218" s="2705"/>
      <c r="H1218" s="2705"/>
      <c r="I1218" s="2480"/>
      <c r="J1218" s="2480"/>
      <c r="K1218" s="2480"/>
      <c r="L1218" s="2480"/>
      <c r="M1218" s="2480"/>
      <c r="N1218" s="2705"/>
      <c r="O1218" s="2705"/>
      <c r="P1218" s="2705"/>
      <c r="Q1218" s="2705"/>
      <c r="R1218" s="2501"/>
      <c r="S1218" s="2705"/>
      <c r="T1218" s="2705"/>
      <c r="U1218" s="2501"/>
      <c r="V1218" s="2705"/>
      <c r="W1218" s="2705"/>
      <c r="X1218" s="2501"/>
      <c r="Y1218" s="2804"/>
      <c r="Z1218" s="2705"/>
      <c r="AA1218" s="2705"/>
      <c r="AB1218" s="2705"/>
      <c r="AC1218" s="2705"/>
      <c r="AD1218" s="2705"/>
      <c r="AE1218" s="2705"/>
      <c r="AF1218" s="2705"/>
      <c r="AG1218" s="2705"/>
      <c r="AH1218" s="2705"/>
      <c r="AI1218" s="2705"/>
    </row>
    <row r="1219" spans="5:35" x14ac:dyDescent="0.35">
      <c r="E1219" s="2705"/>
      <c r="F1219" s="2705"/>
      <c r="G1219" s="2705"/>
      <c r="H1219" s="2705"/>
      <c r="I1219" s="2480"/>
      <c r="J1219" s="2480"/>
      <c r="K1219" s="2480"/>
      <c r="L1219" s="2480"/>
      <c r="M1219" s="2480"/>
      <c r="N1219" s="2705"/>
      <c r="O1219" s="2705"/>
      <c r="P1219" s="2705"/>
      <c r="Q1219" s="2705"/>
      <c r="R1219" s="2501"/>
      <c r="S1219" s="2705"/>
      <c r="T1219" s="2705"/>
      <c r="U1219" s="2501"/>
      <c r="V1219" s="2705"/>
      <c r="W1219" s="2705"/>
      <c r="X1219" s="2501"/>
      <c r="Y1219" s="2804"/>
      <c r="Z1219" s="2705"/>
      <c r="AA1219" s="2705"/>
      <c r="AB1219" s="2705"/>
      <c r="AC1219" s="2705"/>
      <c r="AD1219" s="2705"/>
      <c r="AE1219" s="2705"/>
      <c r="AF1219" s="2705"/>
      <c r="AG1219" s="2705"/>
    </row>
    <row r="1220" spans="5:35" x14ac:dyDescent="0.35">
      <c r="E1220" s="2705"/>
      <c r="F1220" s="2705"/>
      <c r="G1220" s="2705"/>
      <c r="H1220" s="2705"/>
      <c r="I1220" s="2480"/>
      <c r="J1220" s="2480"/>
      <c r="K1220" s="2480"/>
      <c r="L1220" s="2480"/>
      <c r="M1220" s="2480"/>
      <c r="N1220" s="2705"/>
      <c r="O1220" s="2705"/>
      <c r="P1220" s="2705"/>
      <c r="Q1220" s="2705"/>
      <c r="R1220" s="2501"/>
      <c r="S1220" s="2705"/>
      <c r="T1220" s="2705"/>
      <c r="U1220" s="2501"/>
      <c r="V1220" s="2705"/>
      <c r="W1220" s="2705"/>
      <c r="X1220" s="2501"/>
      <c r="Y1220" s="2804"/>
      <c r="Z1220" s="2705"/>
      <c r="AA1220" s="2705"/>
      <c r="AB1220" s="2705"/>
      <c r="AC1220" s="2705"/>
      <c r="AD1220" s="2705"/>
      <c r="AE1220" s="2705"/>
      <c r="AF1220" s="2705"/>
      <c r="AG1220" s="2705"/>
    </row>
    <row r="1221" spans="5:35" x14ac:dyDescent="0.35">
      <c r="E1221" s="2705"/>
      <c r="F1221" s="2705"/>
      <c r="G1221" s="2705"/>
      <c r="H1221" s="2705"/>
      <c r="I1221" s="2480"/>
      <c r="J1221" s="2480"/>
      <c r="K1221" s="2480"/>
      <c r="L1221" s="2480"/>
      <c r="M1221" s="2480"/>
      <c r="N1221" s="2705"/>
      <c r="O1221" s="2705"/>
      <c r="P1221" s="2705"/>
      <c r="Q1221" s="2705"/>
      <c r="R1221" s="2501"/>
      <c r="S1221" s="2705"/>
      <c r="T1221" s="2705"/>
      <c r="U1221" s="2501"/>
      <c r="V1221" s="2705"/>
      <c r="W1221" s="2705"/>
      <c r="X1221" s="2501"/>
      <c r="Y1221" s="2804"/>
      <c r="Z1221" s="2705"/>
      <c r="AA1221" s="2705"/>
      <c r="AB1221" s="2705"/>
      <c r="AC1221" s="2705"/>
      <c r="AD1221" s="2705"/>
      <c r="AE1221" s="2705"/>
      <c r="AF1221" s="2705"/>
      <c r="AG1221" s="2705"/>
    </row>
    <row r="1222" spans="5:35" x14ac:dyDescent="0.35">
      <c r="E1222" s="2705"/>
      <c r="F1222" s="2705"/>
      <c r="G1222" s="2705"/>
      <c r="H1222" s="2705"/>
      <c r="I1222" s="2480"/>
      <c r="J1222" s="2480"/>
      <c r="K1222" s="2480"/>
      <c r="L1222" s="2480"/>
      <c r="M1222" s="2480"/>
      <c r="N1222" s="2705"/>
      <c r="O1222" s="2705"/>
      <c r="P1222" s="2705"/>
      <c r="Q1222" s="2705"/>
      <c r="R1222" s="2501"/>
      <c r="S1222" s="2705"/>
      <c r="T1222" s="2705"/>
      <c r="U1222" s="2501"/>
      <c r="V1222" s="2705"/>
      <c r="W1222" s="2705"/>
      <c r="X1222" s="2501"/>
      <c r="Y1222" s="2804"/>
      <c r="Z1222" s="2705"/>
      <c r="AA1222" s="2705"/>
      <c r="AB1222" s="2705"/>
      <c r="AC1222" s="2705"/>
      <c r="AD1222" s="2705"/>
      <c r="AE1222" s="2705"/>
      <c r="AF1222" s="2705"/>
      <c r="AG1222" s="2705"/>
    </row>
    <row r="1223" spans="5:35" x14ac:dyDescent="0.35">
      <c r="E1223" s="2705"/>
      <c r="F1223" s="2705"/>
      <c r="G1223" s="2705"/>
      <c r="H1223" s="2705"/>
      <c r="I1223" s="2480"/>
      <c r="J1223" s="2480"/>
      <c r="K1223" s="2480"/>
      <c r="L1223" s="2480"/>
      <c r="M1223" s="2480"/>
      <c r="N1223" s="2705"/>
      <c r="O1223" s="2705"/>
      <c r="P1223" s="2705"/>
      <c r="Q1223" s="2705"/>
      <c r="R1223" s="2501"/>
      <c r="S1223" s="2705"/>
      <c r="T1223" s="2705"/>
      <c r="U1223" s="2786"/>
      <c r="V1223" s="2705"/>
      <c r="W1223" s="2705"/>
      <c r="X1223" s="2501"/>
      <c r="Y1223" s="2804"/>
      <c r="Z1223" s="2705"/>
      <c r="AA1223" s="2705"/>
      <c r="AB1223" s="2705"/>
      <c r="AC1223" s="2705"/>
      <c r="AD1223" s="2705"/>
      <c r="AE1223" s="2705"/>
      <c r="AF1223" s="2705"/>
      <c r="AG1223" s="2705"/>
    </row>
    <row r="1224" spans="5:35" x14ac:dyDescent="0.35">
      <c r="E1224" s="2705"/>
      <c r="F1224" s="2705"/>
      <c r="G1224" s="2705"/>
      <c r="H1224" s="2705"/>
      <c r="I1224" s="2480"/>
      <c r="J1224" s="2480"/>
      <c r="K1224" s="2480"/>
      <c r="L1224" s="2480"/>
      <c r="M1224" s="2480"/>
      <c r="N1224" s="2705"/>
      <c r="O1224" s="2705"/>
      <c r="P1224" s="2705"/>
      <c r="Q1224" s="2705"/>
      <c r="R1224" s="2501"/>
      <c r="S1224" s="2705"/>
      <c r="T1224" s="2705"/>
      <c r="U1224" s="2705"/>
      <c r="V1224" s="2705"/>
      <c r="W1224" s="2705"/>
      <c r="X1224" s="2501"/>
      <c r="Y1224" s="2804"/>
      <c r="Z1224" s="2705"/>
      <c r="AA1224" s="2705"/>
      <c r="AB1224" s="2705"/>
      <c r="AC1224" s="2705"/>
      <c r="AD1224" s="2705"/>
      <c r="AE1224" s="2705"/>
      <c r="AF1224" s="2705"/>
      <c r="AG1224" s="2705"/>
    </row>
    <row r="1225" spans="5:35" x14ac:dyDescent="0.35">
      <c r="E1225" s="2705"/>
      <c r="F1225" s="2705"/>
      <c r="G1225" s="2705"/>
      <c r="H1225" s="2705"/>
      <c r="I1225" s="2480"/>
      <c r="J1225" s="2480"/>
      <c r="K1225" s="2480"/>
      <c r="L1225" s="2480"/>
      <c r="M1225" s="2480"/>
      <c r="N1225" s="2705"/>
      <c r="O1225" s="2705"/>
      <c r="P1225" s="2705"/>
      <c r="Q1225" s="2705"/>
      <c r="R1225" s="2501"/>
      <c r="S1225" s="2705"/>
      <c r="T1225" s="2705"/>
      <c r="U1225" s="2705"/>
      <c r="V1225" s="2705"/>
      <c r="W1225" s="2705"/>
      <c r="X1225" s="2501"/>
      <c r="Y1225" s="2804"/>
      <c r="Z1225" s="2705"/>
      <c r="AA1225" s="2705"/>
      <c r="AB1225" s="2705"/>
      <c r="AC1225" s="2705"/>
      <c r="AD1225" s="2705"/>
      <c r="AE1225" s="2705"/>
      <c r="AF1225" s="2705"/>
      <c r="AG1225" s="2705"/>
    </row>
    <row r="1226" spans="5:35" x14ac:dyDescent="0.35">
      <c r="E1226" s="2705"/>
      <c r="F1226" s="2705"/>
      <c r="G1226" s="2705"/>
      <c r="H1226" s="2705"/>
      <c r="I1226" s="2480"/>
      <c r="J1226" s="2480"/>
      <c r="K1226" s="2480"/>
      <c r="L1226" s="2480"/>
      <c r="M1226" s="2480"/>
      <c r="N1226" s="2705"/>
      <c r="O1226" s="2705"/>
      <c r="P1226" s="2705"/>
      <c r="Q1226" s="2705"/>
      <c r="R1226" s="2501"/>
      <c r="S1226" s="2705"/>
      <c r="T1226" s="2705"/>
      <c r="U1226" s="2705"/>
      <c r="V1226" s="2705"/>
      <c r="W1226" s="2705"/>
      <c r="X1226" s="2501"/>
      <c r="Y1226" s="2804"/>
      <c r="Z1226" s="2705"/>
      <c r="AA1226" s="2705"/>
      <c r="AB1226" s="2705"/>
      <c r="AC1226" s="2705"/>
      <c r="AD1226" s="2705"/>
      <c r="AE1226" s="2705"/>
      <c r="AF1226" s="2705"/>
      <c r="AG1226" s="2705"/>
    </row>
    <row r="1227" spans="5:35" x14ac:dyDescent="0.35">
      <c r="E1227" s="2705"/>
      <c r="F1227" s="2705"/>
      <c r="G1227" s="2705"/>
      <c r="H1227" s="2705"/>
      <c r="I1227" s="2750"/>
      <c r="J1227" s="2480"/>
      <c r="K1227" s="2480"/>
      <c r="L1227" s="2480"/>
      <c r="M1227" s="2480"/>
      <c r="N1227" s="2705"/>
      <c r="O1227" s="2705"/>
      <c r="P1227" s="2705"/>
      <c r="Q1227" s="2705"/>
      <c r="R1227" s="2501"/>
      <c r="S1227" s="2705"/>
      <c r="T1227" s="2705"/>
      <c r="U1227" s="2705"/>
      <c r="V1227" s="2705"/>
      <c r="W1227" s="2705"/>
      <c r="X1227" s="2501"/>
      <c r="Y1227" s="2804"/>
      <c r="Z1227" s="2705"/>
      <c r="AA1227" s="2705"/>
      <c r="AB1227" s="2705"/>
      <c r="AC1227" s="2705"/>
      <c r="AD1227" s="2705"/>
      <c r="AE1227" s="2705"/>
      <c r="AF1227" s="2705"/>
      <c r="AG1227" s="2705"/>
    </row>
    <row r="1228" spans="5:35" x14ac:dyDescent="0.35">
      <c r="E1228" s="2705"/>
      <c r="F1228" s="2705"/>
      <c r="G1228" s="2705"/>
      <c r="H1228" s="2705"/>
      <c r="I1228" s="2480"/>
      <c r="J1228" s="2480"/>
      <c r="K1228" s="2480"/>
      <c r="L1228" s="2480"/>
      <c r="M1228" s="2480"/>
      <c r="N1228" s="2705"/>
      <c r="O1228" s="2705"/>
      <c r="P1228" s="2705"/>
      <c r="Q1228" s="2705"/>
      <c r="R1228" s="2501"/>
      <c r="S1228" s="2705"/>
      <c r="T1228" s="2705"/>
      <c r="U1228" s="2705"/>
      <c r="V1228" s="2705"/>
      <c r="W1228" s="2705"/>
      <c r="X1228" s="2501"/>
      <c r="Y1228" s="2804"/>
      <c r="Z1228" s="2705"/>
      <c r="AA1228" s="2705"/>
      <c r="AB1228" s="2705"/>
      <c r="AC1228" s="2705"/>
      <c r="AD1228" s="2705"/>
      <c r="AE1228" s="2705"/>
      <c r="AF1228" s="2705"/>
      <c r="AG1228" s="2705"/>
    </row>
    <row r="1229" spans="5:35" x14ac:dyDescent="0.35">
      <c r="E1229" s="2705"/>
      <c r="F1229" s="2705"/>
      <c r="G1229" s="2705"/>
      <c r="H1229" s="2705"/>
      <c r="I1229" s="2480"/>
      <c r="J1229" s="2480"/>
      <c r="K1229" s="2480"/>
      <c r="L1229" s="2480"/>
      <c r="M1229" s="2480"/>
      <c r="N1229" s="2705"/>
      <c r="O1229" s="2705"/>
      <c r="P1229" s="2705"/>
      <c r="Q1229" s="2705"/>
      <c r="R1229" s="2501"/>
      <c r="S1229" s="2705"/>
      <c r="T1229" s="2705"/>
      <c r="U1229" s="2705"/>
      <c r="V1229" s="2705"/>
      <c r="W1229" s="2705"/>
      <c r="X1229" s="2501"/>
      <c r="Y1229" s="2804"/>
      <c r="Z1229" s="2705"/>
      <c r="AA1229" s="2705"/>
      <c r="AB1229" s="2705"/>
      <c r="AC1229" s="2705"/>
      <c r="AD1229" s="2705"/>
      <c r="AE1229" s="2705"/>
      <c r="AF1229" s="2705"/>
      <c r="AG1229" s="2705"/>
    </row>
    <row r="1230" spans="5:35" x14ac:dyDescent="0.35">
      <c r="E1230" s="2705"/>
      <c r="F1230" s="2705"/>
      <c r="G1230" s="2705"/>
      <c r="H1230" s="2705"/>
      <c r="I1230" s="2750"/>
      <c r="J1230" s="2480"/>
      <c r="K1230" s="2480"/>
      <c r="L1230" s="2480"/>
      <c r="M1230" s="2480"/>
      <c r="N1230" s="2705"/>
      <c r="O1230" s="2705"/>
      <c r="P1230" s="2705"/>
      <c r="Q1230" s="2705"/>
      <c r="R1230" s="2501"/>
      <c r="S1230" s="2705"/>
      <c r="T1230" s="2705"/>
      <c r="U1230" s="2705"/>
      <c r="V1230" s="2705"/>
      <c r="W1230" s="2501"/>
      <c r="X1230" s="2501"/>
      <c r="Y1230" s="2804"/>
      <c r="Z1230" s="2705"/>
      <c r="AA1230" s="2705"/>
      <c r="AB1230" s="2705"/>
      <c r="AC1230" s="2705"/>
      <c r="AD1230" s="2705"/>
      <c r="AE1230" s="2705"/>
      <c r="AF1230" s="2705"/>
      <c r="AG1230" s="2705"/>
    </row>
    <row r="1231" spans="5:35" x14ac:dyDescent="0.35">
      <c r="E1231" s="2705"/>
      <c r="F1231" s="2705"/>
      <c r="G1231" s="2705"/>
      <c r="H1231" s="2705"/>
      <c r="I1231" s="2480"/>
      <c r="J1231" s="2480"/>
      <c r="K1231" s="2480"/>
      <c r="L1231" s="2480"/>
      <c r="M1231" s="2480"/>
      <c r="N1231" s="2705"/>
      <c r="O1231" s="2705"/>
      <c r="P1231" s="2705"/>
      <c r="Q1231" s="2705"/>
      <c r="R1231" s="2501"/>
      <c r="S1231" s="2705"/>
      <c r="T1231" s="2705"/>
      <c r="U1231" s="2705"/>
      <c r="V1231" s="2705"/>
      <c r="W1231" s="2501"/>
      <c r="X1231" s="2501"/>
      <c r="Y1231" s="2804"/>
      <c r="Z1231" s="2705"/>
      <c r="AA1231" s="2705"/>
      <c r="AB1231" s="2705"/>
      <c r="AC1231" s="2705"/>
      <c r="AD1231" s="2705"/>
      <c r="AE1231" s="2705"/>
      <c r="AF1231" s="2705"/>
      <c r="AG1231" s="2705"/>
    </row>
    <row r="1232" spans="5:35" x14ac:dyDescent="0.35">
      <c r="E1232" s="2705"/>
      <c r="F1232" s="2705"/>
      <c r="G1232" s="2705"/>
      <c r="H1232" s="2705"/>
      <c r="I1232" s="2480"/>
      <c r="J1232" s="2480"/>
      <c r="K1232" s="2480"/>
      <c r="L1232" s="2480"/>
      <c r="M1232" s="2480"/>
      <c r="N1232" s="2705"/>
      <c r="O1232" s="2705"/>
      <c r="P1232" s="2705"/>
      <c r="Q1232" s="2705"/>
      <c r="R1232" s="2786"/>
      <c r="S1232" s="2705"/>
      <c r="T1232" s="2705"/>
      <c r="U1232" s="2501"/>
      <c r="V1232" s="2705"/>
      <c r="W1232" s="2501"/>
      <c r="X1232" s="2501"/>
      <c r="Y1232" s="2804"/>
      <c r="Z1232" s="2705"/>
      <c r="AA1232" s="2705"/>
      <c r="AB1232" s="2705"/>
      <c r="AC1232" s="2705"/>
      <c r="AD1232" s="2705"/>
      <c r="AE1232" s="2705"/>
      <c r="AF1232" s="2705"/>
      <c r="AG1232" s="2705"/>
    </row>
    <row r="1233" spans="5:33" x14ac:dyDescent="0.35">
      <c r="E1233" s="2705"/>
      <c r="F1233" s="2705"/>
      <c r="G1233" s="2705"/>
      <c r="H1233" s="2705"/>
      <c r="I1233" s="2480"/>
      <c r="J1233" s="2480"/>
      <c r="K1233" s="2480"/>
      <c r="L1233" s="2480"/>
      <c r="M1233" s="2480"/>
      <c r="N1233" s="2705"/>
      <c r="O1233" s="2705"/>
      <c r="P1233" s="2705"/>
      <c r="Q1233" s="2705"/>
      <c r="R1233" s="2705"/>
      <c r="S1233" s="2705"/>
      <c r="T1233" s="2705"/>
      <c r="U1233" s="2501"/>
      <c r="V1233" s="2705"/>
      <c r="W1233" s="2501"/>
      <c r="X1233" s="2501"/>
      <c r="Y1233" s="2804"/>
      <c r="Z1233" s="2705"/>
      <c r="AA1233" s="2705"/>
      <c r="AB1233" s="2705"/>
      <c r="AC1233" s="2705"/>
      <c r="AD1233" s="2705"/>
      <c r="AE1233" s="2705"/>
      <c r="AF1233" s="2705"/>
      <c r="AG1233" s="2705"/>
    </row>
    <row r="1234" spans="5:33" x14ac:dyDescent="0.35">
      <c r="E1234" s="2705"/>
      <c r="F1234" s="2705"/>
      <c r="G1234" s="2705"/>
      <c r="H1234" s="2705"/>
      <c r="I1234" s="2480"/>
      <c r="J1234" s="2480"/>
      <c r="K1234" s="2480"/>
      <c r="L1234" s="2480"/>
      <c r="M1234" s="2480"/>
      <c r="N1234" s="2705"/>
      <c r="O1234" s="2705"/>
      <c r="P1234" s="2705"/>
      <c r="Q1234" s="2705"/>
      <c r="R1234" s="2705"/>
      <c r="S1234" s="2705"/>
      <c r="T1234" s="2705"/>
      <c r="U1234" s="2501"/>
      <c r="V1234" s="2705"/>
      <c r="W1234" s="2501"/>
      <c r="X1234" s="2501"/>
      <c r="Y1234" s="2804"/>
      <c r="Z1234" s="2705"/>
      <c r="AA1234" s="2705"/>
      <c r="AB1234" s="2705"/>
      <c r="AC1234" s="2705"/>
      <c r="AD1234" s="2705"/>
      <c r="AE1234" s="2705"/>
      <c r="AF1234" s="2705"/>
      <c r="AG1234" s="2705"/>
    </row>
    <row r="1235" spans="5:33" x14ac:dyDescent="0.35">
      <c r="E1235" s="2705"/>
      <c r="F1235" s="2705"/>
      <c r="G1235" s="2705"/>
      <c r="H1235" s="2705"/>
      <c r="I1235" s="2750"/>
      <c r="J1235" s="2480"/>
      <c r="K1235" s="2480"/>
      <c r="L1235" s="2480"/>
      <c r="M1235" s="2480"/>
      <c r="N1235" s="2705"/>
      <c r="O1235" s="2705"/>
      <c r="P1235" s="2705"/>
      <c r="Q1235" s="2705"/>
      <c r="R1235" s="2705"/>
      <c r="S1235" s="2705"/>
      <c r="T1235" s="2705"/>
      <c r="U1235" s="2501"/>
      <c r="V1235" s="2705"/>
      <c r="W1235" s="2501"/>
      <c r="X1235" s="2786"/>
      <c r="Y1235" s="2804"/>
      <c r="Z1235" s="2705"/>
      <c r="AA1235" s="2705"/>
      <c r="AB1235" s="2705"/>
      <c r="AC1235" s="2705"/>
      <c r="AD1235" s="2705"/>
      <c r="AE1235" s="2705"/>
      <c r="AF1235" s="2705"/>
      <c r="AG1235" s="2705"/>
    </row>
    <row r="1236" spans="5:33" x14ac:dyDescent="0.35">
      <c r="E1236" s="2705"/>
      <c r="F1236" s="2705"/>
      <c r="G1236" s="2705"/>
      <c r="H1236" s="2705"/>
      <c r="I1236" s="2750"/>
      <c r="J1236" s="2480"/>
      <c r="K1236" s="2480"/>
      <c r="L1236" s="2480"/>
      <c r="M1236" s="2480"/>
      <c r="N1236" s="2705"/>
      <c r="O1236" s="2705"/>
      <c r="P1236" s="2705"/>
      <c r="Q1236" s="2705"/>
      <c r="R1236" s="2705"/>
      <c r="S1236" s="2705"/>
      <c r="T1236" s="2705"/>
      <c r="U1236" s="2501"/>
      <c r="V1236" s="2705"/>
      <c r="W1236" s="2501"/>
      <c r="X1236" s="2705"/>
      <c r="Y1236" s="2804"/>
      <c r="Z1236" s="2705"/>
      <c r="AA1236" s="2705"/>
      <c r="AB1236" s="2705"/>
      <c r="AC1236" s="2705"/>
      <c r="AD1236" s="2705"/>
      <c r="AE1236" s="2705"/>
      <c r="AF1236" s="2705"/>
      <c r="AG1236" s="2705"/>
    </row>
    <row r="1237" spans="5:33" x14ac:dyDescent="0.35">
      <c r="E1237" s="2705"/>
      <c r="F1237" s="2705"/>
      <c r="G1237" s="2705"/>
      <c r="H1237" s="2705"/>
      <c r="I1237" s="2480"/>
      <c r="J1237" s="2480"/>
      <c r="K1237" s="2480"/>
      <c r="L1237" s="2480"/>
      <c r="M1237" s="2480"/>
      <c r="N1237" s="2705"/>
      <c r="O1237" s="2705"/>
      <c r="P1237" s="2705"/>
      <c r="Q1237" s="2705"/>
      <c r="R1237" s="2705"/>
      <c r="S1237" s="2705"/>
      <c r="T1237" s="2705"/>
      <c r="U1237" s="2501"/>
      <c r="V1237" s="2705"/>
      <c r="W1237" s="2501"/>
      <c r="X1237" s="2705"/>
      <c r="Y1237" s="2804"/>
      <c r="Z1237" s="2705"/>
      <c r="AA1237" s="2705"/>
      <c r="AB1237" s="2705"/>
      <c r="AC1237" s="2705"/>
      <c r="AD1237" s="2705"/>
      <c r="AE1237" s="2705"/>
      <c r="AF1237" s="2705"/>
      <c r="AG1237" s="2705"/>
    </row>
    <row r="1238" spans="5:33" x14ac:dyDescent="0.35">
      <c r="E1238" s="2705"/>
      <c r="F1238" s="2705"/>
      <c r="G1238" s="2705"/>
      <c r="H1238" s="2705"/>
      <c r="I1238" s="2750"/>
      <c r="J1238" s="2480"/>
      <c r="K1238" s="2480"/>
      <c r="L1238" s="2480"/>
      <c r="M1238" s="2480"/>
      <c r="N1238" s="2705"/>
      <c r="O1238" s="2705"/>
      <c r="P1238" s="2705"/>
      <c r="Q1238" s="2705"/>
      <c r="R1238" s="2705"/>
      <c r="S1238" s="2705"/>
      <c r="T1238" s="2705"/>
      <c r="U1238" s="2501"/>
      <c r="V1238" s="2705"/>
      <c r="W1238" s="2501"/>
      <c r="X1238" s="2705"/>
      <c r="Y1238" s="2804"/>
      <c r="Z1238" s="2705"/>
      <c r="AA1238" s="2705"/>
      <c r="AB1238" s="2705"/>
      <c r="AC1238" s="2705"/>
      <c r="AD1238" s="2705"/>
      <c r="AE1238" s="2705"/>
      <c r="AF1238" s="2705"/>
      <c r="AG1238" s="2705"/>
    </row>
    <row r="1239" spans="5:33" x14ac:dyDescent="0.35">
      <c r="E1239" s="2705"/>
      <c r="F1239" s="2705"/>
      <c r="G1239" s="2705"/>
      <c r="H1239" s="2705"/>
      <c r="I1239" s="2480"/>
      <c r="J1239" s="2480"/>
      <c r="K1239" s="2480"/>
      <c r="L1239" s="2480"/>
      <c r="M1239" s="2480"/>
      <c r="N1239" s="2705"/>
      <c r="O1239" s="2705"/>
      <c r="P1239" s="2705"/>
      <c r="Q1239" s="2705"/>
      <c r="R1239" s="2705"/>
      <c r="S1239" s="2705"/>
      <c r="T1239" s="2705"/>
      <c r="U1239" s="2501"/>
      <c r="V1239" s="2705"/>
      <c r="W1239" s="2501"/>
      <c r="X1239" s="2705"/>
      <c r="Y1239" s="2804"/>
      <c r="Z1239" s="2705"/>
      <c r="AA1239" s="2705"/>
      <c r="AB1239" s="2705"/>
      <c r="AC1239" s="2705"/>
      <c r="AD1239" s="2705"/>
      <c r="AE1239" s="2705"/>
      <c r="AF1239" s="2705"/>
      <c r="AG1239" s="2705"/>
    </row>
    <row r="1240" spans="5:33" x14ac:dyDescent="0.35">
      <c r="E1240" s="2705"/>
      <c r="F1240" s="2705"/>
      <c r="G1240" s="2705"/>
      <c r="H1240" s="2705"/>
      <c r="I1240" s="2480"/>
      <c r="J1240" s="2480"/>
      <c r="K1240" s="2480"/>
      <c r="L1240" s="2480"/>
      <c r="M1240" s="2480"/>
      <c r="N1240" s="2705"/>
      <c r="O1240" s="2705"/>
      <c r="P1240" s="2705"/>
      <c r="Q1240" s="2705"/>
      <c r="R1240" s="2705"/>
      <c r="S1240" s="2705"/>
      <c r="T1240" s="2705"/>
      <c r="U1240" s="2501"/>
      <c r="V1240" s="2705"/>
      <c r="W1240" s="2501"/>
      <c r="X1240" s="2705"/>
      <c r="Y1240" s="2804"/>
      <c r="Z1240" s="2705"/>
      <c r="AA1240" s="2705"/>
      <c r="AB1240" s="2705"/>
      <c r="AC1240" s="2705"/>
      <c r="AD1240" s="2705"/>
      <c r="AE1240" s="2705"/>
      <c r="AF1240" s="2705"/>
      <c r="AG1240" s="2705"/>
    </row>
    <row r="1241" spans="5:33" x14ac:dyDescent="0.35">
      <c r="E1241" s="2705"/>
      <c r="F1241" s="2705"/>
      <c r="G1241" s="2705"/>
      <c r="H1241" s="2705"/>
      <c r="I1241" s="2480"/>
      <c r="J1241" s="2480"/>
      <c r="K1241" s="2480"/>
      <c r="L1241" s="2705"/>
      <c r="M1241" s="2705"/>
      <c r="N1241" s="2705"/>
      <c r="O1241" s="2705"/>
      <c r="P1241" s="2705"/>
      <c r="Q1241" s="2705"/>
      <c r="R1241" s="2705"/>
      <c r="S1241" s="2705"/>
      <c r="T1241" s="2705"/>
      <c r="U1241" s="2501"/>
      <c r="V1241" s="2705"/>
      <c r="W1241" s="2501"/>
      <c r="X1241" s="2705"/>
      <c r="Y1241" s="2804"/>
      <c r="Z1241" s="2705"/>
      <c r="AA1241" s="2705"/>
      <c r="AB1241" s="2705"/>
      <c r="AC1241" s="2705"/>
      <c r="AD1241" s="2705"/>
      <c r="AE1241" s="2705"/>
      <c r="AF1241" s="2705"/>
      <c r="AG1241" s="2705"/>
    </row>
    <row r="1242" spans="5:33" x14ac:dyDescent="0.35">
      <c r="E1242" s="2705"/>
      <c r="F1242" s="2705"/>
      <c r="G1242" s="2705"/>
      <c r="H1242" s="2705"/>
      <c r="I1242" s="2705"/>
      <c r="J1242" s="2705"/>
      <c r="K1242" s="2705"/>
      <c r="L1242" s="2705"/>
      <c r="M1242" s="2705"/>
      <c r="N1242" s="2705"/>
      <c r="O1242" s="2705"/>
      <c r="P1242" s="2705"/>
      <c r="Q1242" s="2705"/>
      <c r="R1242" s="2705"/>
      <c r="S1242" s="2705"/>
      <c r="T1242" s="2705"/>
      <c r="U1242" s="2501"/>
      <c r="V1242" s="2705"/>
      <c r="W1242" s="2501"/>
      <c r="X1242" s="2705"/>
      <c r="Y1242" s="2804"/>
      <c r="Z1242" s="2705"/>
      <c r="AA1242" s="2705"/>
      <c r="AB1242" s="2705"/>
      <c r="AC1242" s="2705"/>
      <c r="AD1242" s="2705"/>
      <c r="AE1242" s="2705"/>
      <c r="AF1242" s="2705"/>
      <c r="AG1242" s="2705"/>
    </row>
    <row r="1243" spans="5:33" x14ac:dyDescent="0.35">
      <c r="E1243" s="2705"/>
      <c r="F1243" s="2705"/>
      <c r="G1243" s="2705"/>
      <c r="H1243" s="2705"/>
      <c r="I1243" s="2705"/>
      <c r="J1243" s="2705"/>
      <c r="K1243" s="2705"/>
      <c r="L1243" s="2705"/>
      <c r="M1243" s="2705"/>
      <c r="N1243" s="2705"/>
      <c r="O1243" s="2705"/>
      <c r="P1243" s="2705"/>
      <c r="Q1243" s="2705"/>
      <c r="R1243" s="2501"/>
      <c r="S1243" s="2705"/>
      <c r="T1243" s="2705"/>
      <c r="U1243" s="2501"/>
      <c r="V1243" s="2705"/>
      <c r="W1243" s="2501"/>
      <c r="X1243" s="2705"/>
      <c r="Y1243" s="2804"/>
      <c r="Z1243" s="2705"/>
      <c r="AA1243" s="2705"/>
      <c r="AB1243" s="2705"/>
      <c r="AC1243" s="2705"/>
      <c r="AD1243" s="2705"/>
      <c r="AE1243" s="2705"/>
      <c r="AF1243" s="2705"/>
      <c r="AG1243" s="2705"/>
    </row>
    <row r="1244" spans="5:33" x14ac:dyDescent="0.35">
      <c r="E1244" s="2705"/>
      <c r="F1244" s="2705"/>
      <c r="G1244" s="2705"/>
      <c r="H1244" s="2705"/>
      <c r="I1244" s="2705"/>
      <c r="J1244" s="2705"/>
      <c r="K1244" s="2705"/>
      <c r="L1244" s="2705"/>
      <c r="M1244" s="2705"/>
      <c r="N1244" s="2705"/>
      <c r="O1244" s="2705"/>
      <c r="P1244" s="2705"/>
      <c r="Q1244" s="2705"/>
      <c r="R1244" s="2501"/>
      <c r="S1244" s="2705"/>
      <c r="T1244" s="2705"/>
      <c r="U1244" s="2501"/>
      <c r="V1244" s="2705"/>
      <c r="W1244" s="2501"/>
      <c r="X1244" s="2705"/>
      <c r="Y1244" s="2804"/>
      <c r="Z1244" s="2705"/>
      <c r="AA1244" s="2705"/>
      <c r="AB1244" s="2705"/>
      <c r="AC1244" s="2705"/>
      <c r="AD1244" s="2705"/>
      <c r="AE1244" s="2705"/>
      <c r="AF1244" s="2705"/>
      <c r="AG1244" s="2705"/>
    </row>
    <row r="1245" spans="5:33" x14ac:dyDescent="0.35">
      <c r="E1245" s="2705"/>
      <c r="F1245" s="2705"/>
      <c r="G1245" s="2705"/>
      <c r="H1245" s="2705"/>
      <c r="I1245" s="2705"/>
      <c r="J1245" s="2705"/>
      <c r="K1245" s="2705"/>
      <c r="L1245" s="2705"/>
      <c r="M1245" s="2705"/>
      <c r="N1245" s="2705"/>
      <c r="O1245" s="2705"/>
      <c r="P1245" s="2705"/>
      <c r="Q1245" s="2705"/>
      <c r="R1245" s="2501"/>
      <c r="S1245" s="2705"/>
      <c r="T1245" s="2705"/>
      <c r="U1245" s="2501"/>
      <c r="V1245" s="2705"/>
      <c r="W1245" s="2786"/>
      <c r="X1245" s="2705"/>
      <c r="Y1245" s="2804"/>
      <c r="Z1245" s="2705"/>
      <c r="AA1245" s="2705"/>
      <c r="AB1245" s="2705"/>
      <c r="AC1245" s="2705"/>
      <c r="AD1245" s="2705"/>
      <c r="AE1245" s="2705"/>
      <c r="AF1245" s="2705"/>
      <c r="AG1245" s="2705"/>
    </row>
    <row r="1246" spans="5:33" x14ac:dyDescent="0.35">
      <c r="E1246" s="2705"/>
      <c r="F1246" s="2705"/>
      <c r="G1246" s="2705"/>
      <c r="H1246" s="2705"/>
      <c r="I1246" s="2480"/>
      <c r="J1246" s="2480"/>
      <c r="K1246" s="2480"/>
      <c r="L1246" s="2480"/>
      <c r="M1246" s="2705"/>
      <c r="N1246" s="2705"/>
      <c r="O1246" s="2705"/>
      <c r="P1246" s="2705"/>
      <c r="Q1246" s="2705"/>
      <c r="R1246" s="2501"/>
      <c r="S1246" s="2705"/>
      <c r="T1246" s="2705"/>
      <c r="U1246" s="2501"/>
      <c r="V1246" s="2705"/>
      <c r="W1246" s="2705"/>
      <c r="X1246" s="2705"/>
      <c r="Y1246" s="2804"/>
      <c r="Z1246" s="2705"/>
      <c r="AA1246" s="2705"/>
      <c r="AB1246" s="2705"/>
      <c r="AC1246" s="2705"/>
      <c r="AD1246" s="2705"/>
      <c r="AE1246" s="2705"/>
      <c r="AF1246" s="2705"/>
      <c r="AG1246" s="2705"/>
    </row>
    <row r="1247" spans="5:33" x14ac:dyDescent="0.35">
      <c r="E1247" s="2705"/>
      <c r="F1247" s="2705"/>
      <c r="G1247" s="2705"/>
      <c r="H1247" s="2705"/>
      <c r="I1247" s="2480"/>
      <c r="J1247" s="2480"/>
      <c r="K1247" s="2480"/>
      <c r="L1247" s="2480"/>
      <c r="M1247" s="2705"/>
      <c r="N1247" s="2705"/>
      <c r="O1247" s="2705"/>
      <c r="P1247" s="2705"/>
      <c r="Q1247" s="2705"/>
      <c r="R1247" s="2501"/>
      <c r="S1247" s="2705"/>
      <c r="T1247" s="2705"/>
      <c r="U1247" s="2805"/>
      <c r="V1247" s="2705"/>
      <c r="W1247" s="2705"/>
      <c r="X1247" s="2705"/>
      <c r="Y1247" s="2804"/>
      <c r="Z1247" s="2705"/>
      <c r="AA1247" s="2705"/>
      <c r="AB1247" s="2705"/>
      <c r="AC1247" s="2705"/>
      <c r="AD1247" s="2705"/>
      <c r="AE1247" s="2705"/>
      <c r="AF1247" s="2705"/>
      <c r="AG1247" s="2705"/>
    </row>
    <row r="1248" spans="5:33" x14ac:dyDescent="0.35">
      <c r="E1248" s="2705"/>
      <c r="F1248" s="2705"/>
      <c r="G1248" s="2705"/>
      <c r="H1248" s="2705"/>
      <c r="I1248" s="2480"/>
      <c r="J1248" s="2480"/>
      <c r="K1248" s="2480"/>
      <c r="L1248" s="2480"/>
      <c r="M1248" s="2705"/>
      <c r="N1248" s="2705"/>
      <c r="O1248" s="2705"/>
      <c r="P1248" s="2705"/>
      <c r="Q1248" s="2705"/>
      <c r="R1248" s="2501"/>
      <c r="S1248" s="2705"/>
      <c r="T1248" s="2705"/>
      <c r="U1248" s="2501"/>
      <c r="V1248" s="2705"/>
      <c r="W1248" s="2705"/>
      <c r="X1248" s="2705"/>
      <c r="Y1248" s="2804"/>
      <c r="Z1248" s="2705"/>
      <c r="AA1248" s="2705"/>
      <c r="AB1248" s="2705"/>
      <c r="AC1248" s="2705"/>
      <c r="AD1248" s="2705"/>
      <c r="AE1248" s="2705"/>
      <c r="AF1248" s="2705"/>
      <c r="AG1248" s="2705"/>
    </row>
    <row r="1249" spans="5:33" x14ac:dyDescent="0.35">
      <c r="E1249" s="2705"/>
      <c r="F1249" s="2705"/>
      <c r="G1249" s="2705"/>
      <c r="H1249" s="2480"/>
      <c r="I1249" s="2480"/>
      <c r="J1249" s="2480"/>
      <c r="K1249" s="2480"/>
      <c r="L1249" s="2480"/>
      <c r="M1249" s="2480"/>
      <c r="N1249" s="2705"/>
      <c r="O1249" s="2705"/>
      <c r="P1249" s="2705"/>
      <c r="Q1249" s="2705"/>
      <c r="R1249" s="2501"/>
      <c r="S1249" s="2705"/>
      <c r="T1249" s="2705"/>
      <c r="U1249" s="2501"/>
      <c r="V1249" s="2705"/>
      <c r="W1249" s="2705"/>
      <c r="X1249" s="2705"/>
      <c r="Y1249" s="2804"/>
      <c r="Z1249" s="2705"/>
      <c r="AA1249" s="2705"/>
      <c r="AB1249" s="2705"/>
      <c r="AC1249" s="2705"/>
      <c r="AD1249" s="2705"/>
      <c r="AE1249" s="2705"/>
      <c r="AF1249" s="2705"/>
      <c r="AG1249" s="2705"/>
    </row>
    <row r="1250" spans="5:33" x14ac:dyDescent="0.35">
      <c r="E1250" s="2705"/>
      <c r="F1250" s="2705"/>
      <c r="G1250" s="2705"/>
      <c r="H1250" s="2480"/>
      <c r="I1250" s="2750"/>
      <c r="J1250" s="2480"/>
      <c r="K1250" s="2480"/>
      <c r="L1250" s="2480"/>
      <c r="M1250" s="2480"/>
      <c r="N1250" s="2705"/>
      <c r="O1250" s="2705"/>
      <c r="P1250" s="2705"/>
      <c r="Q1250" s="2705"/>
      <c r="R1250" s="2501"/>
      <c r="S1250" s="2705"/>
      <c r="T1250" s="2705"/>
      <c r="U1250" s="2501"/>
      <c r="V1250" s="2705"/>
      <c r="W1250" s="2705"/>
      <c r="X1250" s="2705"/>
      <c r="Y1250" s="2804"/>
      <c r="Z1250" s="2705"/>
      <c r="AA1250" s="2705"/>
      <c r="AB1250" s="2705"/>
      <c r="AC1250" s="2705"/>
      <c r="AD1250" s="2705"/>
      <c r="AE1250" s="2705"/>
      <c r="AF1250" s="2705"/>
      <c r="AG1250" s="2705"/>
    </row>
    <row r="1251" spans="5:33" x14ac:dyDescent="0.35">
      <c r="E1251" s="2705"/>
      <c r="F1251" s="2705"/>
      <c r="G1251" s="2705"/>
      <c r="H1251" s="2750"/>
      <c r="I1251" s="2480"/>
      <c r="J1251" s="2480"/>
      <c r="K1251" s="2480"/>
      <c r="L1251" s="2480"/>
      <c r="M1251" s="2480"/>
      <c r="N1251" s="2705"/>
      <c r="O1251" s="2705"/>
      <c r="P1251" s="2705"/>
      <c r="Q1251" s="2705"/>
      <c r="R1251" s="2501"/>
      <c r="S1251" s="2705"/>
      <c r="T1251" s="2705"/>
      <c r="U1251" s="2501"/>
      <c r="V1251" s="2705"/>
      <c r="W1251" s="2705"/>
      <c r="X1251" s="2705"/>
      <c r="Y1251" s="2804"/>
      <c r="Z1251" s="2705"/>
      <c r="AA1251" s="2705"/>
      <c r="AB1251" s="2705"/>
      <c r="AC1251" s="2705"/>
      <c r="AD1251" s="2705"/>
      <c r="AE1251" s="2705"/>
      <c r="AF1251" s="2705"/>
      <c r="AG1251" s="2705"/>
    </row>
    <row r="1252" spans="5:33" x14ac:dyDescent="0.35">
      <c r="E1252" s="2705"/>
      <c r="F1252" s="2705"/>
      <c r="G1252" s="2705"/>
      <c r="H1252" s="2480"/>
      <c r="I1252" s="2480"/>
      <c r="J1252" s="2480"/>
      <c r="K1252" s="2480"/>
      <c r="L1252" s="2480"/>
      <c r="M1252" s="2480"/>
      <c r="N1252" s="2705"/>
      <c r="O1252" s="2705"/>
      <c r="P1252" s="2705"/>
      <c r="Q1252" s="2705"/>
      <c r="R1252" s="2501"/>
      <c r="S1252" s="2705"/>
      <c r="T1252" s="2705"/>
      <c r="U1252" s="2501"/>
      <c r="V1252" s="2705"/>
      <c r="W1252" s="2705"/>
      <c r="X1252" s="2705"/>
      <c r="Y1252" s="2804"/>
      <c r="Z1252" s="2705"/>
      <c r="AA1252" s="2705"/>
      <c r="AB1252" s="2705"/>
      <c r="AC1252" s="2705"/>
      <c r="AD1252" s="2705"/>
      <c r="AE1252" s="2705"/>
      <c r="AF1252" s="2705"/>
      <c r="AG1252" s="2705"/>
    </row>
    <row r="1253" spans="5:33" x14ac:dyDescent="0.35">
      <c r="E1253" s="2705"/>
      <c r="F1253" s="2705"/>
      <c r="G1253" s="2705"/>
      <c r="H1253" s="2480"/>
      <c r="I1253" s="2750"/>
      <c r="J1253" s="2480"/>
      <c r="K1253" s="2480"/>
      <c r="L1253" s="2480"/>
      <c r="M1253" s="2480"/>
      <c r="N1253" s="2705"/>
      <c r="O1253" s="2705"/>
      <c r="P1253" s="2705"/>
      <c r="Q1253" s="2705"/>
      <c r="R1253" s="2501"/>
      <c r="S1253" s="2705"/>
      <c r="T1253" s="2705"/>
      <c r="U1253" s="2501"/>
      <c r="V1253" s="2705"/>
      <c r="W1253" s="2705"/>
      <c r="X1253" s="2705"/>
      <c r="Y1253" s="2804"/>
      <c r="Z1253" s="2705"/>
      <c r="AA1253" s="2705"/>
      <c r="AB1253" s="2705"/>
      <c r="AC1253" s="2705"/>
      <c r="AD1253" s="2705"/>
      <c r="AE1253" s="2705"/>
      <c r="AF1253" s="2705"/>
      <c r="AG1253" s="2705"/>
    </row>
    <row r="1254" spans="5:33" x14ac:dyDescent="0.35">
      <c r="E1254" s="2705"/>
      <c r="F1254" s="2705"/>
      <c r="G1254" s="2705"/>
      <c r="H1254" s="2480"/>
      <c r="I1254" s="2480"/>
      <c r="J1254" s="2480"/>
      <c r="K1254" s="2480"/>
      <c r="L1254" s="2480"/>
      <c r="M1254" s="2480"/>
      <c r="N1254" s="2705"/>
      <c r="O1254" s="2705"/>
      <c r="P1254" s="2705"/>
      <c r="Q1254" s="2705"/>
      <c r="R1254" s="2501"/>
      <c r="S1254" s="2705"/>
      <c r="T1254" s="2705"/>
      <c r="U1254" s="2501"/>
      <c r="V1254" s="2705"/>
      <c r="W1254" s="2705"/>
      <c r="X1254" s="2705"/>
      <c r="Y1254" s="2804"/>
      <c r="Z1254" s="2705"/>
      <c r="AA1254" s="2705"/>
      <c r="AB1254" s="2705"/>
      <c r="AC1254" s="2705"/>
      <c r="AD1254" s="2705"/>
      <c r="AE1254" s="2705"/>
      <c r="AF1254" s="2705"/>
      <c r="AG1254" s="2705"/>
    </row>
    <row r="1255" spans="5:33" x14ac:dyDescent="0.35">
      <c r="E1255" s="2705"/>
      <c r="F1255" s="2705"/>
      <c r="G1255" s="2705"/>
      <c r="H1255" s="2750"/>
      <c r="I1255" s="2750"/>
      <c r="J1255" s="2480"/>
      <c r="K1255" s="2480"/>
      <c r="L1255" s="2480"/>
      <c r="M1255" s="2480"/>
      <c r="N1255" s="2705"/>
      <c r="O1255" s="2705"/>
      <c r="P1255" s="2705"/>
      <c r="Q1255" s="2705"/>
      <c r="R1255" s="2501"/>
      <c r="S1255" s="2705"/>
      <c r="T1255" s="2705"/>
      <c r="U1255" s="2501"/>
      <c r="V1255" s="2705"/>
      <c r="W1255" s="2705"/>
      <c r="X1255" s="2705"/>
      <c r="Y1255" s="2804"/>
      <c r="Z1255" s="2705"/>
      <c r="AA1255" s="2705"/>
      <c r="AB1255" s="2705"/>
      <c r="AC1255" s="2705"/>
      <c r="AD1255" s="2705"/>
      <c r="AE1255" s="2705"/>
      <c r="AF1255" s="2705"/>
      <c r="AG1255" s="2705"/>
    </row>
    <row r="1256" spans="5:33" x14ac:dyDescent="0.35">
      <c r="E1256" s="2705"/>
      <c r="F1256" s="2705"/>
      <c r="G1256" s="2705"/>
      <c r="H1256" s="2480"/>
      <c r="I1256" s="2480"/>
      <c r="J1256" s="2480"/>
      <c r="K1256" s="2480"/>
      <c r="L1256" s="2480"/>
      <c r="M1256" s="2480"/>
      <c r="N1256" s="2705"/>
      <c r="O1256" s="2705"/>
      <c r="P1256" s="2705"/>
      <c r="Q1256" s="2705"/>
      <c r="R1256" s="2501"/>
      <c r="S1256" s="2705"/>
      <c r="T1256" s="2705"/>
      <c r="U1256" s="2501"/>
      <c r="V1256" s="2705"/>
      <c r="W1256" s="2501"/>
      <c r="X1256" s="2705"/>
      <c r="Y1256" s="2804"/>
      <c r="Z1256" s="2705"/>
      <c r="AA1256" s="2705"/>
      <c r="AB1256" s="2705"/>
      <c r="AC1256" s="2705"/>
      <c r="AD1256" s="2705"/>
      <c r="AE1256" s="2705"/>
      <c r="AF1256" s="2705"/>
      <c r="AG1256" s="2705"/>
    </row>
    <row r="1257" spans="5:33" x14ac:dyDescent="0.35">
      <c r="E1257" s="2705"/>
      <c r="F1257" s="2705"/>
      <c r="G1257" s="2705"/>
      <c r="H1257" s="2480"/>
      <c r="I1257" s="2750"/>
      <c r="J1257" s="2480"/>
      <c r="K1257" s="2480"/>
      <c r="L1257" s="2480"/>
      <c r="M1257" s="2480"/>
      <c r="N1257" s="2705"/>
      <c r="O1257" s="2705"/>
      <c r="P1257" s="2705"/>
      <c r="Q1257" s="2705"/>
      <c r="R1257" s="2501"/>
      <c r="S1257" s="2705"/>
      <c r="T1257" s="2705"/>
      <c r="U1257" s="2786"/>
      <c r="V1257" s="2705"/>
      <c r="W1257" s="2501"/>
      <c r="X1257" s="2705"/>
      <c r="Y1257" s="2804"/>
      <c r="Z1257" s="2705"/>
      <c r="AA1257" s="2705"/>
      <c r="AB1257" s="2705"/>
      <c r="AC1257" s="2705"/>
      <c r="AD1257" s="2705"/>
      <c r="AE1257" s="2705"/>
      <c r="AF1257" s="2705"/>
      <c r="AG1257" s="2705"/>
    </row>
    <row r="1258" spans="5:33" x14ac:dyDescent="0.35">
      <c r="E1258" s="2705"/>
      <c r="F1258" s="2705"/>
      <c r="G1258" s="2705"/>
      <c r="H1258" s="2480"/>
      <c r="I1258" s="2480"/>
      <c r="J1258" s="2480"/>
      <c r="K1258" s="2480"/>
      <c r="L1258" s="2480"/>
      <c r="M1258" s="2480"/>
      <c r="N1258" s="2705"/>
      <c r="O1258" s="2705"/>
      <c r="P1258" s="2705"/>
      <c r="Q1258" s="2705"/>
      <c r="R1258" s="2786"/>
      <c r="S1258" s="2705"/>
      <c r="T1258" s="2705"/>
      <c r="U1258" s="2705"/>
      <c r="V1258" s="2705"/>
      <c r="W1258" s="2501"/>
      <c r="X1258" s="2705"/>
      <c r="Y1258" s="2804"/>
      <c r="Z1258" s="2705"/>
      <c r="AA1258" s="2705"/>
      <c r="AB1258" s="2705"/>
      <c r="AC1258" s="2705"/>
      <c r="AD1258" s="2705"/>
      <c r="AE1258" s="2705"/>
      <c r="AF1258" s="2705"/>
      <c r="AG1258" s="2705"/>
    </row>
    <row r="1259" spans="5:33" x14ac:dyDescent="0.35">
      <c r="E1259" s="2705"/>
      <c r="F1259" s="2705"/>
      <c r="G1259" s="2705"/>
      <c r="H1259" s="2480"/>
      <c r="I1259" s="2480"/>
      <c r="J1259" s="2480"/>
      <c r="K1259" s="2480"/>
      <c r="L1259" s="2480"/>
      <c r="M1259" s="2480"/>
      <c r="N1259" s="2705"/>
      <c r="O1259" s="2705"/>
      <c r="P1259" s="2705"/>
      <c r="Q1259" s="2705"/>
      <c r="R1259" s="2705"/>
      <c r="S1259" s="2705"/>
      <c r="T1259" s="2705"/>
      <c r="U1259" s="2705"/>
      <c r="V1259" s="2705"/>
      <c r="W1259" s="2501"/>
      <c r="X1259" s="2705"/>
      <c r="Y1259" s="2804"/>
      <c r="Z1259" s="2705"/>
      <c r="AA1259" s="2705"/>
      <c r="AB1259" s="2705"/>
      <c r="AC1259" s="2705"/>
      <c r="AD1259" s="2705"/>
      <c r="AE1259" s="2705"/>
      <c r="AF1259" s="2705"/>
      <c r="AG1259" s="2705"/>
    </row>
    <row r="1260" spans="5:33" x14ac:dyDescent="0.35">
      <c r="E1260" s="2705"/>
      <c r="F1260" s="2705"/>
      <c r="G1260" s="2705"/>
      <c r="H1260" s="2750"/>
      <c r="I1260" s="2750"/>
      <c r="J1260" s="2480"/>
      <c r="K1260" s="2480"/>
      <c r="L1260" s="2480"/>
      <c r="M1260" s="2480"/>
      <c r="N1260" s="2705"/>
      <c r="O1260" s="2705"/>
      <c r="P1260" s="2705"/>
      <c r="Q1260" s="2705"/>
      <c r="R1260" s="2705"/>
      <c r="S1260" s="2705"/>
      <c r="T1260" s="2705"/>
      <c r="U1260" s="2705"/>
      <c r="V1260" s="2705"/>
      <c r="W1260" s="2501"/>
      <c r="X1260" s="2705"/>
      <c r="Y1260" s="2804"/>
      <c r="Z1260" s="2705"/>
      <c r="AA1260" s="2705"/>
      <c r="AB1260" s="2705"/>
      <c r="AC1260" s="2705"/>
      <c r="AD1260" s="2705"/>
      <c r="AE1260" s="2705"/>
      <c r="AF1260" s="2705"/>
      <c r="AG1260" s="2705"/>
    </row>
    <row r="1261" spans="5:33" x14ac:dyDescent="0.35">
      <c r="E1261" s="2705"/>
      <c r="F1261" s="2705"/>
      <c r="G1261" s="2705"/>
      <c r="H1261" s="2750"/>
      <c r="I1261" s="2480"/>
      <c r="J1261" s="2480"/>
      <c r="K1261" s="2480"/>
      <c r="L1261" s="2480"/>
      <c r="M1261" s="2480"/>
      <c r="N1261" s="2705"/>
      <c r="O1261" s="2705"/>
      <c r="P1261" s="2705"/>
      <c r="Q1261" s="2705"/>
      <c r="R1261" s="2705"/>
      <c r="S1261" s="2705"/>
      <c r="T1261" s="2705"/>
      <c r="U1261" s="2705"/>
      <c r="V1261" s="2705"/>
      <c r="W1261" s="2501"/>
      <c r="X1261" s="2705"/>
      <c r="Y1261" s="2804"/>
      <c r="Z1261" s="2705"/>
      <c r="AA1261" s="2705"/>
      <c r="AB1261" s="2705"/>
      <c r="AC1261" s="2705"/>
      <c r="AD1261" s="2705"/>
      <c r="AE1261" s="2705"/>
      <c r="AF1261" s="2705"/>
      <c r="AG1261" s="2705"/>
    </row>
    <row r="1262" spans="5:33" x14ac:dyDescent="0.35">
      <c r="E1262" s="2705"/>
      <c r="F1262" s="2705"/>
      <c r="G1262" s="2705"/>
      <c r="H1262" s="2750"/>
      <c r="I1262" s="2480"/>
      <c r="J1262" s="2480"/>
      <c r="K1262" s="2480"/>
      <c r="L1262" s="2480"/>
      <c r="M1262" s="2480"/>
      <c r="N1262" s="2705"/>
      <c r="O1262" s="2705"/>
      <c r="P1262" s="2705"/>
      <c r="Q1262" s="2705"/>
      <c r="R1262" s="2705"/>
      <c r="S1262" s="2705"/>
      <c r="T1262" s="2705"/>
      <c r="U1262" s="2705"/>
      <c r="V1262" s="2705"/>
      <c r="W1262" s="2501"/>
      <c r="X1262" s="2705"/>
      <c r="Y1262" s="2804"/>
      <c r="Z1262" s="2705"/>
      <c r="AA1262" s="2705"/>
      <c r="AB1262" s="2705"/>
      <c r="AC1262" s="2705"/>
      <c r="AD1262" s="2705"/>
      <c r="AE1262" s="2705"/>
      <c r="AF1262" s="2705"/>
      <c r="AG1262" s="2705"/>
    </row>
    <row r="1263" spans="5:33" x14ac:dyDescent="0.35">
      <c r="E1263" s="2705"/>
      <c r="F1263" s="2705"/>
      <c r="G1263" s="2705"/>
      <c r="H1263" s="2750"/>
      <c r="I1263" s="2480"/>
      <c r="J1263" s="2480"/>
      <c r="K1263" s="2480"/>
      <c r="L1263" s="2480"/>
      <c r="M1263" s="2480"/>
      <c r="N1263" s="2705"/>
      <c r="O1263" s="2705"/>
      <c r="P1263" s="2705"/>
      <c r="Q1263" s="2705"/>
      <c r="R1263" s="2705"/>
      <c r="S1263" s="2705"/>
      <c r="T1263" s="2705"/>
      <c r="U1263" s="2705"/>
      <c r="V1263" s="2705"/>
      <c r="W1263" s="2501"/>
      <c r="X1263" s="2705"/>
      <c r="Y1263" s="2804"/>
      <c r="Z1263" s="2705"/>
      <c r="AA1263" s="2705"/>
      <c r="AB1263" s="2705"/>
      <c r="AC1263" s="2705"/>
      <c r="AD1263" s="2705"/>
      <c r="AE1263" s="2705"/>
      <c r="AF1263" s="2705"/>
      <c r="AG1263" s="2705"/>
    </row>
    <row r="1264" spans="5:33" x14ac:dyDescent="0.35">
      <c r="E1264" s="2705"/>
      <c r="F1264" s="2705"/>
      <c r="G1264" s="2705"/>
      <c r="H1264" s="2480"/>
      <c r="I1264" s="2480"/>
      <c r="J1264" s="2480"/>
      <c r="K1264" s="2480"/>
      <c r="L1264" s="2480"/>
      <c r="M1264" s="2480"/>
      <c r="N1264" s="2705"/>
      <c r="O1264" s="2705"/>
      <c r="P1264" s="2705"/>
      <c r="Q1264" s="2705"/>
      <c r="R1264" s="2705"/>
      <c r="S1264" s="2705"/>
      <c r="T1264" s="2705"/>
      <c r="U1264" s="2705"/>
      <c r="V1264" s="2705"/>
      <c r="W1264" s="2501"/>
      <c r="X1264" s="2705"/>
      <c r="Y1264" s="2804"/>
      <c r="Z1264" s="2705"/>
      <c r="AA1264" s="2705"/>
      <c r="AB1264" s="2705"/>
      <c r="AC1264" s="2705"/>
      <c r="AD1264" s="2705"/>
      <c r="AE1264" s="2705"/>
      <c r="AF1264" s="2705"/>
      <c r="AG1264" s="2705"/>
    </row>
    <row r="1265" spans="5:33" x14ac:dyDescent="0.35">
      <c r="E1265" s="2705"/>
      <c r="F1265" s="2705"/>
      <c r="G1265" s="2705"/>
      <c r="H1265" s="2750"/>
      <c r="I1265" s="2750"/>
      <c r="J1265" s="2480"/>
      <c r="K1265" s="2480"/>
      <c r="L1265" s="2480"/>
      <c r="M1265" s="2480"/>
      <c r="N1265" s="2705"/>
      <c r="O1265" s="2705"/>
      <c r="P1265" s="2705"/>
      <c r="Q1265" s="2705"/>
      <c r="R1265" s="2705"/>
      <c r="S1265" s="2705"/>
      <c r="T1265" s="2705"/>
      <c r="U1265" s="2705"/>
      <c r="V1265" s="2705"/>
      <c r="W1265" s="2501"/>
      <c r="X1265" s="2705"/>
      <c r="Y1265" s="2804"/>
      <c r="Z1265" s="2705"/>
      <c r="AA1265" s="2705"/>
      <c r="AB1265" s="2705"/>
      <c r="AC1265" s="2705"/>
      <c r="AD1265" s="2705"/>
      <c r="AE1265" s="2705"/>
      <c r="AF1265" s="2705"/>
      <c r="AG1265" s="2705"/>
    </row>
    <row r="1266" spans="5:33" x14ac:dyDescent="0.35">
      <c r="E1266" s="2705"/>
      <c r="F1266" s="2705"/>
      <c r="G1266" s="2705"/>
      <c r="H1266" s="2480"/>
      <c r="I1266" s="2480"/>
      <c r="J1266" s="2480"/>
      <c r="K1266" s="2480"/>
      <c r="L1266" s="2480"/>
      <c r="M1266" s="2480"/>
      <c r="N1266" s="2705"/>
      <c r="O1266" s="2705"/>
      <c r="P1266" s="2705"/>
      <c r="Q1266" s="2705"/>
      <c r="R1266" s="2705"/>
      <c r="S1266" s="2705"/>
      <c r="T1266" s="2705"/>
      <c r="U1266" s="2705"/>
      <c r="V1266" s="2705"/>
      <c r="W1266" s="2501"/>
      <c r="X1266" s="2705"/>
      <c r="Y1266" s="2804"/>
      <c r="Z1266" s="2705"/>
      <c r="AA1266" s="2705"/>
      <c r="AB1266" s="2705"/>
      <c r="AC1266" s="2705"/>
      <c r="AD1266" s="2705"/>
      <c r="AE1266" s="2705"/>
      <c r="AF1266" s="2705"/>
      <c r="AG1266" s="2705"/>
    </row>
    <row r="1267" spans="5:33" x14ac:dyDescent="0.35">
      <c r="E1267" s="2705"/>
      <c r="F1267" s="2705"/>
      <c r="G1267" s="2705"/>
      <c r="H1267" s="2480"/>
      <c r="I1267" s="2480"/>
      <c r="J1267" s="2480"/>
      <c r="K1267" s="2480"/>
      <c r="L1267" s="2480"/>
      <c r="M1267" s="2480"/>
      <c r="N1267" s="2705"/>
      <c r="O1267" s="2705"/>
      <c r="P1267" s="2705"/>
      <c r="Q1267" s="2705"/>
      <c r="R1267" s="2705"/>
      <c r="S1267" s="2705"/>
      <c r="T1267" s="2705"/>
      <c r="U1267" s="2705"/>
      <c r="V1267" s="2705"/>
      <c r="W1267" s="2501"/>
      <c r="X1267" s="2705"/>
      <c r="Y1267" s="2804"/>
      <c r="Z1267" s="2705"/>
      <c r="AA1267" s="2705"/>
      <c r="AB1267" s="2705"/>
      <c r="AC1267" s="2705"/>
      <c r="AD1267" s="2705"/>
      <c r="AE1267" s="2705"/>
      <c r="AF1267" s="2705"/>
      <c r="AG1267" s="2705"/>
    </row>
    <row r="1268" spans="5:33" x14ac:dyDescent="0.35">
      <c r="E1268" s="2705"/>
      <c r="F1268" s="2705"/>
      <c r="G1268" s="2705"/>
      <c r="H1268" s="2480"/>
      <c r="I1268" s="2480"/>
      <c r="J1268" s="2480"/>
      <c r="K1268" s="2480"/>
      <c r="L1268" s="2480"/>
      <c r="M1268" s="2480"/>
      <c r="N1268" s="2705"/>
      <c r="O1268" s="2705"/>
      <c r="P1268" s="2705"/>
      <c r="Q1268" s="2705"/>
      <c r="R1268" s="2705"/>
      <c r="S1268" s="2705"/>
      <c r="T1268" s="2705"/>
      <c r="U1268" s="2705"/>
      <c r="V1268" s="2705"/>
      <c r="W1268" s="2501"/>
      <c r="X1268" s="2705"/>
      <c r="Y1268" s="2804"/>
      <c r="Z1268" s="2705"/>
      <c r="AA1268" s="2705"/>
      <c r="AB1268" s="2705"/>
      <c r="AC1268" s="2705"/>
      <c r="AD1268" s="2705"/>
      <c r="AE1268" s="2705"/>
      <c r="AF1268" s="2705"/>
      <c r="AG1268" s="2705"/>
    </row>
    <row r="1269" spans="5:33" x14ac:dyDescent="0.35">
      <c r="E1269" s="2705"/>
      <c r="F1269" s="2705"/>
      <c r="G1269" s="2705"/>
      <c r="H1269" s="2750"/>
      <c r="I1269" s="2480"/>
      <c r="J1269" s="2480"/>
      <c r="K1269" s="2480"/>
      <c r="L1269" s="2480"/>
      <c r="M1269" s="2480"/>
      <c r="N1269" s="2705"/>
      <c r="O1269" s="2705"/>
      <c r="P1269" s="2705"/>
      <c r="Q1269" s="2705"/>
      <c r="R1269" s="2705"/>
      <c r="S1269" s="2705"/>
      <c r="T1269" s="2705"/>
      <c r="U1269" s="2705"/>
      <c r="V1269" s="2705"/>
      <c r="W1269" s="2501"/>
      <c r="X1269" s="2705"/>
      <c r="Y1269" s="2804"/>
      <c r="Z1269" s="2705"/>
      <c r="AA1269" s="2705"/>
      <c r="AB1269" s="2705"/>
      <c r="AC1269" s="2705"/>
      <c r="AD1269" s="2705"/>
      <c r="AE1269" s="2705"/>
      <c r="AF1269" s="2705"/>
      <c r="AG1269" s="2705"/>
    </row>
    <row r="1270" spans="5:33" x14ac:dyDescent="0.35">
      <c r="E1270" s="2705"/>
      <c r="F1270" s="2705"/>
      <c r="G1270" s="2705"/>
      <c r="H1270" s="2480"/>
      <c r="I1270" s="2750"/>
      <c r="J1270" s="2480"/>
      <c r="K1270" s="2480"/>
      <c r="L1270" s="2480"/>
      <c r="M1270" s="2480"/>
      <c r="N1270" s="2705"/>
      <c r="O1270" s="2705"/>
      <c r="P1270" s="2705"/>
      <c r="Q1270" s="2705"/>
      <c r="R1270" s="2705"/>
      <c r="S1270" s="2705"/>
      <c r="T1270" s="2705"/>
      <c r="U1270" s="2705"/>
      <c r="V1270" s="2705"/>
      <c r="W1270" s="2501"/>
      <c r="X1270" s="2705"/>
      <c r="Y1270" s="2804"/>
      <c r="Z1270" s="2705"/>
      <c r="AA1270" s="2705"/>
      <c r="AB1270" s="2705"/>
      <c r="AC1270" s="2705"/>
      <c r="AD1270" s="2705"/>
      <c r="AE1270" s="2705"/>
      <c r="AF1270" s="2705"/>
      <c r="AG1270" s="2705"/>
    </row>
    <row r="1271" spans="5:33" x14ac:dyDescent="0.35">
      <c r="E1271" s="2705"/>
      <c r="F1271" s="2705"/>
      <c r="G1271" s="2705"/>
      <c r="H1271" s="2480"/>
      <c r="I1271" s="2480"/>
      <c r="J1271" s="2480"/>
      <c r="K1271" s="2480"/>
      <c r="L1271" s="2480"/>
      <c r="M1271" s="2480"/>
      <c r="N1271" s="2705"/>
      <c r="O1271" s="2705"/>
      <c r="P1271" s="2705"/>
      <c r="Q1271" s="2705"/>
      <c r="R1271" s="2705"/>
      <c r="S1271" s="2705"/>
      <c r="T1271" s="2705"/>
      <c r="U1271" s="2705"/>
      <c r="V1271" s="2705"/>
      <c r="W1271" s="2501"/>
      <c r="X1271" s="2705"/>
      <c r="Y1271" s="2804"/>
      <c r="Z1271" s="2705"/>
      <c r="AA1271" s="2705"/>
      <c r="AB1271" s="2705"/>
      <c r="AC1271" s="2705"/>
      <c r="AD1271" s="2705"/>
      <c r="AE1271" s="2705"/>
      <c r="AF1271" s="2705"/>
      <c r="AG1271" s="2705"/>
    </row>
    <row r="1272" spans="5:33" x14ac:dyDescent="0.35">
      <c r="E1272" s="2705"/>
      <c r="F1272" s="2705"/>
      <c r="G1272" s="2750"/>
      <c r="H1272" s="2480"/>
      <c r="I1272" s="2480"/>
      <c r="J1272" s="2480"/>
      <c r="K1272" s="2480"/>
      <c r="L1272" s="2480"/>
      <c r="M1272" s="2480"/>
      <c r="N1272" s="2705"/>
      <c r="O1272" s="2705"/>
      <c r="P1272" s="2705"/>
      <c r="Q1272" s="2705"/>
      <c r="R1272" s="2705"/>
      <c r="S1272" s="2705"/>
      <c r="T1272" s="2705"/>
      <c r="U1272" s="2705"/>
      <c r="V1272" s="2705"/>
      <c r="W1272" s="2501"/>
      <c r="X1272" s="2705"/>
      <c r="Y1272" s="2804"/>
      <c r="Z1272" s="2705"/>
      <c r="AA1272" s="2705"/>
      <c r="AB1272" s="2705"/>
      <c r="AC1272" s="2705"/>
      <c r="AD1272" s="2705"/>
      <c r="AE1272" s="2705"/>
      <c r="AF1272" s="2705"/>
      <c r="AG1272" s="2705"/>
    </row>
    <row r="1273" spans="5:33" x14ac:dyDescent="0.35">
      <c r="E1273" s="2705"/>
      <c r="F1273" s="2705"/>
      <c r="G1273" s="2480"/>
      <c r="H1273" s="2480"/>
      <c r="I1273" s="2480"/>
      <c r="J1273" s="2480"/>
      <c r="K1273" s="2480"/>
      <c r="L1273" s="2480"/>
      <c r="M1273" s="2480"/>
      <c r="N1273" s="2705"/>
      <c r="O1273" s="2705"/>
      <c r="P1273" s="2705"/>
      <c r="Q1273" s="2705"/>
      <c r="R1273" s="2705"/>
      <c r="S1273" s="2705"/>
      <c r="T1273" s="2705"/>
      <c r="U1273" s="2705"/>
      <c r="V1273" s="2705"/>
      <c r="W1273" s="2501"/>
      <c r="X1273" s="2705"/>
      <c r="Y1273" s="2804"/>
      <c r="Z1273" s="2705"/>
      <c r="AA1273" s="2705"/>
      <c r="AB1273" s="2705"/>
      <c r="AC1273" s="2705"/>
      <c r="AD1273" s="2705"/>
      <c r="AE1273" s="2705"/>
      <c r="AF1273" s="2705"/>
      <c r="AG1273" s="2705"/>
    </row>
    <row r="1274" spans="5:33" x14ac:dyDescent="0.35">
      <c r="E1274" s="2705"/>
      <c r="F1274" s="2705"/>
      <c r="G1274" s="2480"/>
      <c r="H1274" s="2480"/>
      <c r="I1274" s="2480"/>
      <c r="J1274" s="2480"/>
      <c r="K1274" s="2480"/>
      <c r="L1274" s="2480"/>
      <c r="M1274" s="2705"/>
      <c r="N1274" s="2705"/>
      <c r="O1274" s="2705"/>
      <c r="P1274" s="2705"/>
      <c r="Q1274" s="2705"/>
      <c r="R1274" s="2705"/>
      <c r="S1274" s="2705"/>
      <c r="T1274" s="2705"/>
      <c r="U1274" s="2705"/>
      <c r="V1274" s="2705"/>
      <c r="W1274" s="2501"/>
      <c r="X1274" s="2705"/>
      <c r="Y1274" s="2804"/>
      <c r="Z1274" s="2705"/>
      <c r="AA1274" s="2705"/>
      <c r="AB1274" s="2705"/>
      <c r="AC1274" s="2705"/>
      <c r="AD1274" s="2705"/>
      <c r="AE1274" s="2705"/>
      <c r="AF1274" s="2705"/>
      <c r="AG1274" s="2705"/>
    </row>
    <row r="1275" spans="5:33" x14ac:dyDescent="0.35">
      <c r="E1275" s="2705"/>
      <c r="F1275" s="2705"/>
      <c r="G1275" s="2750"/>
      <c r="H1275" s="2480"/>
      <c r="I1275" s="2480"/>
      <c r="J1275" s="2480"/>
      <c r="K1275" s="2480"/>
      <c r="L1275" s="2480"/>
      <c r="M1275" s="2705"/>
      <c r="N1275" s="2705"/>
      <c r="O1275" s="2705"/>
      <c r="P1275" s="2705"/>
      <c r="Q1275" s="2705"/>
      <c r="R1275" s="2705"/>
      <c r="S1275" s="2705"/>
      <c r="T1275" s="2705"/>
      <c r="U1275" s="2705"/>
      <c r="V1275" s="2705"/>
      <c r="W1275" s="2501"/>
      <c r="X1275" s="2705"/>
      <c r="Y1275" s="2804"/>
      <c r="Z1275" s="2705"/>
      <c r="AA1275" s="2705"/>
      <c r="AB1275" s="2705"/>
      <c r="AC1275" s="2705"/>
      <c r="AD1275" s="2705"/>
      <c r="AE1275" s="2705"/>
      <c r="AF1275" s="2705"/>
      <c r="AG1275" s="2705"/>
    </row>
    <row r="1276" spans="5:33" x14ac:dyDescent="0.35">
      <c r="E1276" s="2705"/>
      <c r="F1276" s="2705"/>
      <c r="G1276" s="2480"/>
      <c r="H1276" s="2480"/>
      <c r="I1276" s="2480"/>
      <c r="J1276" s="2480"/>
      <c r="K1276" s="2480"/>
      <c r="L1276" s="2480"/>
      <c r="M1276" s="2705"/>
      <c r="N1276" s="2705"/>
      <c r="O1276" s="2705"/>
      <c r="P1276" s="2705"/>
      <c r="Q1276" s="2705"/>
      <c r="R1276" s="2705"/>
      <c r="S1276" s="2705"/>
      <c r="T1276" s="2705"/>
      <c r="U1276" s="2705"/>
      <c r="V1276" s="2705"/>
      <c r="W1276" s="2501"/>
      <c r="X1276" s="2705"/>
      <c r="Y1276" s="2804"/>
      <c r="Z1276" s="2705"/>
      <c r="AA1276" s="2705"/>
      <c r="AB1276" s="2705"/>
      <c r="AC1276" s="2705"/>
      <c r="AD1276" s="2705"/>
      <c r="AE1276" s="2705"/>
      <c r="AF1276" s="2705"/>
      <c r="AG1276" s="2705"/>
    </row>
    <row r="1277" spans="5:33" x14ac:dyDescent="0.35">
      <c r="E1277" s="2705"/>
      <c r="F1277" s="2705"/>
      <c r="G1277" s="2750"/>
      <c r="H1277" s="2480"/>
      <c r="I1277" s="2480"/>
      <c r="J1277" s="2480"/>
      <c r="K1277" s="2480"/>
      <c r="L1277" s="2480"/>
      <c r="M1277" s="2705"/>
      <c r="N1277" s="2705"/>
      <c r="O1277" s="2705"/>
      <c r="P1277" s="2705"/>
      <c r="Q1277" s="2705"/>
      <c r="R1277" s="2705"/>
      <c r="S1277" s="2705"/>
      <c r="T1277" s="2705"/>
      <c r="U1277" s="2705"/>
      <c r="V1277" s="2705"/>
      <c r="W1277" s="2501"/>
      <c r="X1277" s="2705"/>
      <c r="Y1277" s="2804"/>
      <c r="Z1277" s="2705"/>
      <c r="AA1277" s="2705"/>
      <c r="AB1277" s="2705"/>
      <c r="AC1277" s="2705"/>
      <c r="AD1277" s="2705"/>
      <c r="AE1277" s="2705"/>
      <c r="AF1277" s="2705"/>
      <c r="AG1277" s="2705"/>
    </row>
    <row r="1278" spans="5:33" x14ac:dyDescent="0.35">
      <c r="E1278" s="2705"/>
      <c r="F1278" s="2705"/>
      <c r="G1278" s="2480"/>
      <c r="H1278" s="2480"/>
      <c r="I1278" s="2480"/>
      <c r="J1278" s="2480"/>
      <c r="K1278" s="2480"/>
      <c r="L1278" s="2480"/>
      <c r="M1278" s="2705"/>
      <c r="N1278" s="2705"/>
      <c r="O1278" s="2705"/>
      <c r="P1278" s="2705"/>
      <c r="Q1278" s="2705"/>
      <c r="R1278" s="2705"/>
      <c r="S1278" s="2705"/>
      <c r="T1278" s="2705"/>
      <c r="U1278" s="2705"/>
      <c r="V1278" s="2705"/>
      <c r="W1278" s="2501"/>
      <c r="X1278" s="2705"/>
      <c r="Y1278" s="2804"/>
      <c r="Z1278" s="2705"/>
      <c r="AA1278" s="2705"/>
      <c r="AB1278" s="2705"/>
      <c r="AC1278" s="2705"/>
      <c r="AD1278" s="2705"/>
      <c r="AE1278" s="2705"/>
      <c r="AF1278" s="2705"/>
      <c r="AG1278" s="2705"/>
    </row>
    <row r="1279" spans="5:33" x14ac:dyDescent="0.35">
      <c r="E1279" s="2705"/>
      <c r="F1279" s="2705"/>
      <c r="G1279" s="2480"/>
      <c r="H1279" s="2480"/>
      <c r="I1279" s="2480"/>
      <c r="J1279" s="2480"/>
      <c r="K1279" s="2480"/>
      <c r="L1279" s="2480"/>
      <c r="M1279" s="2705"/>
      <c r="N1279" s="2705"/>
      <c r="O1279" s="2705"/>
      <c r="P1279" s="2705"/>
      <c r="Q1279" s="2705"/>
      <c r="R1279" s="2705"/>
      <c r="S1279" s="2705"/>
      <c r="T1279" s="2705"/>
      <c r="U1279" s="2705"/>
      <c r="V1279" s="2705"/>
      <c r="W1279" s="2501"/>
      <c r="X1279" s="2705"/>
      <c r="Y1279" s="2804"/>
      <c r="Z1279" s="2705"/>
      <c r="AA1279" s="2705"/>
      <c r="AB1279" s="2705"/>
      <c r="AC1279" s="2705"/>
      <c r="AD1279" s="2705"/>
      <c r="AE1279" s="2705"/>
      <c r="AF1279" s="2705"/>
      <c r="AG1279" s="2705"/>
    </row>
    <row r="1280" spans="5:33" x14ac:dyDescent="0.35">
      <c r="E1280" s="2705"/>
      <c r="F1280" s="2705"/>
      <c r="G1280" s="2480"/>
      <c r="H1280" s="2480"/>
      <c r="I1280" s="2480"/>
      <c r="J1280" s="2480"/>
      <c r="K1280" s="2480"/>
      <c r="L1280" s="2480"/>
      <c r="M1280" s="2705"/>
      <c r="N1280" s="2705"/>
      <c r="O1280" s="2705"/>
      <c r="P1280" s="2705"/>
      <c r="Q1280" s="2705"/>
      <c r="R1280" s="2705"/>
      <c r="S1280" s="2705"/>
      <c r="T1280" s="2705"/>
      <c r="U1280" s="2705"/>
      <c r="V1280" s="2705"/>
      <c r="W1280" s="2786"/>
      <c r="X1280" s="2705"/>
      <c r="Y1280" s="2804"/>
      <c r="Z1280" s="2705"/>
      <c r="AA1280" s="2705"/>
      <c r="AB1280" s="2705"/>
      <c r="AC1280" s="2705"/>
      <c r="AD1280" s="2705"/>
      <c r="AE1280" s="2705"/>
      <c r="AF1280" s="2705"/>
      <c r="AG1280" s="2705"/>
    </row>
    <row r="1281" spans="5:33" x14ac:dyDescent="0.35">
      <c r="E1281" s="2705"/>
      <c r="F1281" s="2705"/>
      <c r="G1281" s="2750"/>
      <c r="H1281" s="2480"/>
      <c r="I1281" s="2480"/>
      <c r="J1281" s="2480"/>
      <c r="K1281" s="2480"/>
      <c r="L1281" s="2480"/>
      <c r="M1281" s="2705"/>
      <c r="N1281" s="2705"/>
      <c r="O1281" s="2705"/>
      <c r="P1281" s="2705"/>
      <c r="Q1281" s="2705"/>
      <c r="R1281" s="2705"/>
      <c r="S1281" s="2705"/>
      <c r="T1281" s="2705"/>
      <c r="U1281" s="2705"/>
      <c r="V1281" s="2705"/>
      <c r="W1281" s="2705"/>
      <c r="X1281" s="2705"/>
      <c r="Y1281" s="2804"/>
      <c r="Z1281" s="2705"/>
      <c r="AA1281" s="2705"/>
      <c r="AB1281" s="2705"/>
      <c r="AC1281" s="2705"/>
      <c r="AD1281" s="2705"/>
      <c r="AE1281" s="2705"/>
      <c r="AF1281" s="2705"/>
      <c r="AG1281" s="2705"/>
    </row>
    <row r="1282" spans="5:33" x14ac:dyDescent="0.35">
      <c r="E1282" s="2705"/>
      <c r="F1282" s="2705"/>
      <c r="G1282" s="2750"/>
      <c r="H1282" s="2480"/>
      <c r="I1282" s="2480"/>
      <c r="J1282" s="2480"/>
      <c r="K1282" s="2480"/>
      <c r="L1282" s="2480"/>
      <c r="M1282" s="2705"/>
      <c r="N1282" s="2705"/>
      <c r="O1282" s="2705"/>
      <c r="P1282" s="2705"/>
      <c r="Q1282" s="2705"/>
      <c r="R1282" s="2705"/>
      <c r="S1282" s="2705"/>
      <c r="T1282" s="2705"/>
      <c r="U1282" s="2705"/>
      <c r="V1282" s="2705"/>
      <c r="W1282" s="2705"/>
      <c r="X1282" s="2705"/>
      <c r="Y1282" s="2804"/>
      <c r="Z1282" s="2705"/>
      <c r="AA1282" s="2705"/>
      <c r="AB1282" s="2705"/>
      <c r="AC1282" s="2705"/>
      <c r="AD1282" s="2705"/>
      <c r="AE1282" s="2705"/>
      <c r="AF1282" s="2705"/>
      <c r="AG1282" s="2705"/>
    </row>
    <row r="1283" spans="5:33" x14ac:dyDescent="0.35">
      <c r="E1283" s="2705"/>
      <c r="F1283" s="2705"/>
      <c r="G1283" s="2480"/>
      <c r="H1283" s="2480"/>
      <c r="I1283" s="2480"/>
      <c r="J1283" s="2480"/>
      <c r="K1283" s="2480"/>
      <c r="L1283" s="2480"/>
      <c r="M1283" s="2705"/>
      <c r="N1283" s="2705"/>
      <c r="O1283" s="2705"/>
      <c r="P1283" s="2705"/>
      <c r="Q1283" s="2705"/>
      <c r="R1283" s="2705"/>
      <c r="S1283" s="2705"/>
      <c r="T1283" s="2705"/>
      <c r="U1283" s="2705"/>
      <c r="V1283" s="2705"/>
      <c r="W1283" s="2705"/>
      <c r="X1283" s="2705"/>
      <c r="Y1283" s="2804"/>
      <c r="Z1283" s="2705"/>
      <c r="AA1283" s="2705"/>
      <c r="AB1283" s="2705"/>
      <c r="AC1283" s="2705"/>
      <c r="AD1283" s="2705"/>
      <c r="AE1283" s="2705"/>
      <c r="AF1283" s="2705"/>
      <c r="AG1283" s="2705"/>
    </row>
    <row r="1284" spans="5:33" x14ac:dyDescent="0.35">
      <c r="E1284" s="2705"/>
      <c r="F1284" s="2705"/>
      <c r="G1284" s="2480"/>
      <c r="H1284" s="2480"/>
      <c r="I1284" s="2480"/>
      <c r="J1284" s="2480"/>
      <c r="K1284" s="2480"/>
      <c r="L1284" s="2480"/>
      <c r="M1284" s="2705"/>
      <c r="N1284" s="2705"/>
      <c r="O1284" s="2705"/>
      <c r="P1284" s="2705"/>
      <c r="Q1284" s="2705"/>
      <c r="R1284" s="2705"/>
      <c r="S1284" s="2705"/>
      <c r="T1284" s="2705"/>
      <c r="U1284" s="2705"/>
      <c r="V1284" s="2705"/>
      <c r="W1284" s="2705"/>
      <c r="X1284" s="2705"/>
      <c r="Y1284" s="2804"/>
      <c r="Z1284" s="2705"/>
      <c r="AA1284" s="2705"/>
      <c r="AB1284" s="2705"/>
      <c r="AC1284" s="2705"/>
      <c r="AD1284" s="2705"/>
      <c r="AE1284" s="2705"/>
      <c r="AF1284" s="2705"/>
      <c r="AG1284" s="2705"/>
    </row>
    <row r="1285" spans="5:33" x14ac:dyDescent="0.35">
      <c r="E1285" s="2705"/>
      <c r="F1285" s="2705"/>
      <c r="G1285" s="2750"/>
      <c r="H1285" s="2480"/>
      <c r="I1285" s="2480"/>
      <c r="J1285" s="2480"/>
      <c r="K1285" s="2480"/>
      <c r="L1285" s="2480"/>
      <c r="M1285" s="2705"/>
      <c r="N1285" s="2705"/>
      <c r="O1285" s="2705"/>
      <c r="P1285" s="2705"/>
      <c r="Q1285" s="2705"/>
      <c r="R1285" s="2705"/>
      <c r="S1285" s="2705"/>
      <c r="T1285" s="2705"/>
      <c r="U1285" s="2705"/>
      <c r="V1285" s="2705"/>
      <c r="W1285" s="2705"/>
      <c r="X1285" s="2705"/>
      <c r="Y1285" s="2804"/>
      <c r="Z1285" s="2705"/>
      <c r="AA1285" s="2705"/>
      <c r="AB1285" s="2705"/>
      <c r="AC1285" s="2705"/>
      <c r="AD1285" s="2705"/>
      <c r="AE1285" s="2705"/>
      <c r="AF1285" s="2705"/>
      <c r="AG1285" s="2705"/>
    </row>
    <row r="1286" spans="5:33" x14ac:dyDescent="0.35">
      <c r="E1286" s="2705"/>
      <c r="F1286" s="2705"/>
      <c r="G1286" s="2480"/>
      <c r="H1286" s="2480"/>
      <c r="I1286" s="2480"/>
      <c r="J1286" s="2480"/>
      <c r="K1286" s="2480"/>
      <c r="L1286" s="2480"/>
      <c r="M1286" s="2705"/>
      <c r="N1286" s="2705"/>
      <c r="O1286" s="2705"/>
      <c r="P1286" s="2705"/>
      <c r="Q1286" s="2705"/>
      <c r="R1286" s="2705"/>
      <c r="S1286" s="2705"/>
      <c r="T1286" s="2705"/>
      <c r="U1286" s="2705"/>
      <c r="V1286" s="2705"/>
      <c r="W1286" s="2705"/>
      <c r="X1286" s="2705"/>
      <c r="Y1286" s="2804"/>
      <c r="Z1286" s="2705"/>
      <c r="AA1286" s="2705"/>
      <c r="AB1286" s="2705"/>
      <c r="AC1286" s="2705"/>
      <c r="AD1286" s="2705"/>
      <c r="AE1286" s="2705"/>
      <c r="AF1286" s="2705"/>
      <c r="AG1286" s="2705"/>
    </row>
    <row r="1287" spans="5:33" x14ac:dyDescent="0.35">
      <c r="E1287" s="2705"/>
      <c r="F1287" s="2705"/>
      <c r="G1287" s="2480"/>
      <c r="H1287" s="2480"/>
      <c r="I1287" s="2480"/>
      <c r="J1287" s="2480"/>
      <c r="K1287" s="2480"/>
      <c r="L1287" s="2480"/>
      <c r="M1287" s="2705"/>
      <c r="N1287" s="2705"/>
      <c r="O1287" s="2705"/>
      <c r="P1287" s="2705"/>
      <c r="Q1287" s="2705"/>
      <c r="R1287" s="2705"/>
      <c r="S1287" s="2705"/>
      <c r="T1287" s="2705"/>
      <c r="U1287" s="2705"/>
      <c r="V1287" s="2705"/>
      <c r="W1287" s="2705"/>
      <c r="X1287" s="2705"/>
      <c r="Y1287" s="2804"/>
      <c r="Z1287" s="2705"/>
      <c r="AA1287" s="2705"/>
      <c r="AB1287" s="2705"/>
      <c r="AC1287" s="2705"/>
      <c r="AD1287" s="2705"/>
      <c r="AE1287" s="2705"/>
      <c r="AF1287" s="2705"/>
      <c r="AG1287" s="2705"/>
    </row>
    <row r="1288" spans="5:33" x14ac:dyDescent="0.35">
      <c r="E1288" s="2705"/>
      <c r="F1288" s="2705"/>
      <c r="G1288" s="2480"/>
      <c r="H1288" s="2480"/>
      <c r="I1288" s="2480"/>
      <c r="J1288" s="2480"/>
      <c r="K1288" s="2480"/>
      <c r="L1288" s="2480"/>
      <c r="M1288" s="2705"/>
      <c r="N1288" s="2705"/>
      <c r="O1288" s="2705"/>
      <c r="P1288" s="2705"/>
      <c r="Q1288" s="2705"/>
      <c r="R1288" s="2705"/>
      <c r="S1288" s="2705"/>
      <c r="T1288" s="2705"/>
      <c r="U1288" s="2705"/>
      <c r="V1288" s="2705"/>
      <c r="W1288" s="2705"/>
      <c r="X1288" s="2705"/>
      <c r="Y1288" s="2804"/>
      <c r="Z1288" s="2705"/>
      <c r="AA1288" s="2705"/>
      <c r="AB1288" s="2705"/>
      <c r="AC1288" s="2705"/>
      <c r="AD1288" s="2705"/>
      <c r="AE1288" s="2705"/>
      <c r="AF1288" s="2705"/>
      <c r="AG1288" s="2705"/>
    </row>
    <row r="1289" spans="5:33" x14ac:dyDescent="0.35">
      <c r="E1289" s="2705"/>
      <c r="F1289" s="2705"/>
      <c r="G1289" s="2480"/>
      <c r="H1289" s="2480"/>
      <c r="I1289" s="2480"/>
      <c r="J1289" s="2480"/>
      <c r="K1289" s="2480"/>
      <c r="L1289" s="2480"/>
      <c r="M1289" s="2705"/>
      <c r="N1289" s="2705"/>
      <c r="O1289" s="2705"/>
      <c r="P1289" s="2705"/>
      <c r="Q1289" s="2705"/>
      <c r="R1289" s="2705"/>
      <c r="S1289" s="2705"/>
      <c r="T1289" s="2705"/>
      <c r="U1289" s="2705"/>
      <c r="V1289" s="2705"/>
      <c r="W1289" s="2705"/>
      <c r="X1289" s="2705"/>
      <c r="Y1289" s="2804"/>
      <c r="Z1289" s="2705"/>
      <c r="AA1289" s="2705"/>
      <c r="AB1289" s="2705"/>
      <c r="AC1289" s="2705"/>
      <c r="AD1289" s="2705"/>
      <c r="AE1289" s="2705"/>
      <c r="AF1289" s="2705"/>
      <c r="AG1289" s="2705"/>
    </row>
    <row r="1290" spans="5:33" x14ac:dyDescent="0.35">
      <c r="E1290" s="2705"/>
      <c r="F1290" s="2705"/>
      <c r="G1290" s="2480"/>
      <c r="H1290" s="2480"/>
      <c r="I1290" s="2480"/>
      <c r="J1290" s="2480"/>
      <c r="K1290" s="2480"/>
      <c r="L1290" s="2480"/>
      <c r="M1290" s="2705"/>
      <c r="N1290" s="2705"/>
      <c r="O1290" s="2705"/>
      <c r="P1290" s="2705"/>
      <c r="Q1290" s="2705"/>
      <c r="R1290" s="2705"/>
      <c r="S1290" s="2705"/>
      <c r="T1290" s="2705"/>
      <c r="U1290" s="2705"/>
      <c r="V1290" s="2705"/>
      <c r="W1290" s="2705"/>
      <c r="X1290" s="2705"/>
      <c r="Y1290" s="2804"/>
      <c r="Z1290" s="2705"/>
      <c r="AA1290" s="2705"/>
      <c r="AB1290" s="2705"/>
      <c r="AC1290" s="2705"/>
      <c r="AD1290" s="2705"/>
      <c r="AE1290" s="2705"/>
      <c r="AF1290" s="2705"/>
      <c r="AG1290" s="2705"/>
    </row>
    <row r="1291" spans="5:33" x14ac:dyDescent="0.35">
      <c r="E1291" s="2705"/>
      <c r="F1291" s="2705"/>
      <c r="G1291" s="2480"/>
      <c r="H1291" s="2480"/>
      <c r="I1291" s="2480"/>
      <c r="J1291" s="2480"/>
      <c r="K1291" s="2480"/>
      <c r="L1291" s="2480"/>
      <c r="M1291" s="2705"/>
      <c r="N1291" s="2705"/>
      <c r="O1291" s="2705"/>
      <c r="P1291" s="2705"/>
      <c r="Q1291" s="2705"/>
      <c r="R1291" s="2705"/>
      <c r="S1291" s="2705"/>
      <c r="T1291" s="2705"/>
      <c r="U1291" s="2705"/>
      <c r="V1291" s="2705"/>
      <c r="W1291" s="2705"/>
      <c r="X1291" s="2705"/>
      <c r="Y1291" s="2804"/>
      <c r="Z1291" s="2705"/>
      <c r="AA1291" s="2705"/>
      <c r="AB1291" s="2705"/>
      <c r="AC1291" s="2705"/>
      <c r="AD1291" s="2705"/>
      <c r="AE1291" s="2705"/>
      <c r="AF1291" s="2705"/>
      <c r="AG1291" s="2705"/>
    </row>
    <row r="1292" spans="5:33" x14ac:dyDescent="0.35">
      <c r="E1292" s="2705"/>
      <c r="F1292" s="2705"/>
      <c r="G1292" s="2480"/>
      <c r="H1292" s="2480"/>
      <c r="I1292" s="2480"/>
      <c r="J1292" s="2480"/>
      <c r="K1292" s="2480"/>
      <c r="L1292" s="2480"/>
      <c r="M1292" s="2705"/>
      <c r="N1292" s="2705"/>
      <c r="O1292" s="2705"/>
      <c r="P1292" s="2705"/>
      <c r="Q1292" s="2705"/>
      <c r="R1292" s="2705"/>
      <c r="S1292" s="2705"/>
      <c r="T1292" s="2705"/>
      <c r="U1292" s="2705"/>
      <c r="V1292" s="2705"/>
      <c r="W1292" s="2705"/>
      <c r="X1292" s="2705"/>
      <c r="Y1292" s="2804"/>
      <c r="Z1292" s="2705"/>
      <c r="AA1292" s="2705"/>
      <c r="AB1292" s="2705"/>
      <c r="AC1292" s="2705"/>
      <c r="AD1292" s="2705"/>
      <c r="AE1292" s="2705"/>
      <c r="AF1292" s="2705"/>
      <c r="AG1292" s="2705"/>
    </row>
    <row r="1293" spans="5:33" x14ac:dyDescent="0.35">
      <c r="E1293" s="2705"/>
      <c r="F1293" s="2705"/>
      <c r="G1293" s="2480"/>
      <c r="H1293" s="2480"/>
      <c r="I1293" s="2480"/>
      <c r="J1293" s="2480"/>
      <c r="K1293" s="2480"/>
      <c r="L1293" s="2480"/>
      <c r="M1293" s="2705"/>
      <c r="N1293" s="2705"/>
      <c r="O1293" s="2705"/>
      <c r="P1293" s="2705"/>
      <c r="Q1293" s="2705"/>
      <c r="R1293" s="2705"/>
      <c r="S1293" s="2705"/>
      <c r="T1293" s="2705"/>
      <c r="U1293" s="2705"/>
      <c r="V1293" s="2705"/>
      <c r="W1293" s="2705"/>
      <c r="X1293" s="2705"/>
      <c r="Y1293" s="2804"/>
      <c r="Z1293" s="2705"/>
      <c r="AA1293" s="2705"/>
      <c r="AB1293" s="2705"/>
      <c r="AC1293" s="2705"/>
      <c r="AD1293" s="2705"/>
      <c r="AE1293" s="2705"/>
      <c r="AF1293" s="2705"/>
      <c r="AG1293" s="2705"/>
    </row>
    <row r="1294" spans="5:33" x14ac:dyDescent="0.35">
      <c r="E1294" s="2705"/>
      <c r="F1294" s="2705"/>
      <c r="G1294" s="2480"/>
      <c r="H1294" s="2480"/>
      <c r="I1294" s="2480"/>
      <c r="J1294" s="2480"/>
      <c r="K1294" s="2480"/>
      <c r="L1294" s="2480"/>
      <c r="M1294" s="2705"/>
      <c r="N1294" s="2705"/>
      <c r="O1294" s="2705"/>
      <c r="P1294" s="2705"/>
      <c r="Q1294" s="2705"/>
      <c r="R1294" s="2705"/>
      <c r="S1294" s="2705"/>
      <c r="T1294" s="2705"/>
      <c r="U1294" s="2705"/>
      <c r="V1294" s="2705"/>
      <c r="W1294" s="2705"/>
      <c r="X1294" s="2705"/>
      <c r="Y1294" s="2804"/>
      <c r="Z1294" s="2705"/>
      <c r="AA1294" s="2705"/>
      <c r="AB1294" s="2705"/>
      <c r="AC1294" s="2705"/>
      <c r="AD1294" s="2705"/>
      <c r="AE1294" s="2705"/>
      <c r="AF1294" s="2705"/>
      <c r="AG1294" s="2705"/>
    </row>
    <row r="1295" spans="5:33" x14ac:dyDescent="0.35">
      <c r="E1295" s="2705"/>
      <c r="F1295" s="2705"/>
      <c r="G1295" s="2750"/>
      <c r="H1295" s="2480"/>
      <c r="I1295" s="2480"/>
      <c r="J1295" s="2480"/>
      <c r="K1295" s="2480"/>
      <c r="L1295" s="2480"/>
      <c r="M1295" s="2705"/>
      <c r="N1295" s="2705"/>
      <c r="O1295" s="2705"/>
      <c r="P1295" s="2705"/>
      <c r="Q1295" s="2705"/>
      <c r="R1295" s="2705"/>
      <c r="S1295" s="2705"/>
      <c r="T1295" s="2705"/>
      <c r="U1295" s="2705"/>
      <c r="V1295" s="2705"/>
      <c r="W1295" s="2705"/>
      <c r="X1295" s="2705"/>
      <c r="Y1295" s="2804"/>
      <c r="Z1295" s="2705"/>
      <c r="AA1295" s="2705"/>
      <c r="AB1295" s="2705"/>
      <c r="AC1295" s="2705"/>
      <c r="AD1295" s="2705"/>
      <c r="AE1295" s="2705"/>
      <c r="AF1295" s="2705"/>
      <c r="AG1295" s="2705"/>
    </row>
    <row r="1296" spans="5:33" x14ac:dyDescent="0.35">
      <c r="E1296" s="2705"/>
      <c r="F1296" s="2705"/>
      <c r="G1296" s="2480"/>
      <c r="H1296" s="2480"/>
      <c r="I1296" s="2480"/>
      <c r="J1296" s="2480"/>
      <c r="K1296" s="2480"/>
      <c r="L1296" s="2480"/>
      <c r="M1296" s="2705"/>
      <c r="N1296" s="2705"/>
      <c r="O1296" s="2705"/>
      <c r="P1296" s="2705"/>
      <c r="Q1296" s="2705"/>
      <c r="R1296" s="2705"/>
      <c r="S1296" s="2705"/>
      <c r="T1296" s="2705"/>
      <c r="U1296" s="2705"/>
      <c r="V1296" s="2705"/>
      <c r="W1296" s="2705"/>
      <c r="X1296" s="2705"/>
      <c r="Y1296" s="2804"/>
      <c r="Z1296" s="2705"/>
      <c r="AA1296" s="2705"/>
      <c r="AB1296" s="2705"/>
      <c r="AC1296" s="2705"/>
      <c r="AD1296" s="2705"/>
      <c r="AE1296" s="2705"/>
      <c r="AF1296" s="2705"/>
      <c r="AG1296" s="2705"/>
    </row>
    <row r="1297" spans="5:33" x14ac:dyDescent="0.35">
      <c r="E1297" s="2705"/>
      <c r="F1297" s="2705"/>
      <c r="G1297" s="2480"/>
      <c r="H1297" s="2480"/>
      <c r="I1297" s="2480"/>
      <c r="J1297" s="2480"/>
      <c r="K1297" s="2480"/>
      <c r="L1297" s="2480"/>
      <c r="M1297" s="2705"/>
      <c r="N1297" s="2705"/>
      <c r="O1297" s="2705"/>
      <c r="P1297" s="2705"/>
      <c r="Q1297" s="2705"/>
      <c r="R1297" s="2705"/>
      <c r="S1297" s="2705"/>
      <c r="T1297" s="2705"/>
      <c r="U1297" s="2705"/>
      <c r="V1297" s="2705"/>
      <c r="W1297" s="2705"/>
      <c r="X1297" s="2705"/>
      <c r="Y1297" s="2804"/>
      <c r="Z1297" s="2705"/>
      <c r="AA1297" s="2705"/>
      <c r="AB1297" s="2705"/>
      <c r="AC1297" s="2705"/>
      <c r="AD1297" s="2705"/>
      <c r="AE1297" s="2705"/>
      <c r="AF1297" s="2705"/>
      <c r="AG1297" s="2705"/>
    </row>
    <row r="1298" spans="5:33" x14ac:dyDescent="0.35">
      <c r="E1298" s="2705"/>
      <c r="F1298" s="2705"/>
      <c r="G1298" s="2750"/>
      <c r="H1298" s="2480"/>
      <c r="I1298" s="2480"/>
      <c r="J1298" s="2480"/>
      <c r="K1298" s="2480"/>
      <c r="L1298" s="2480"/>
      <c r="M1298" s="2705"/>
      <c r="N1298" s="2705"/>
      <c r="O1298" s="2705"/>
      <c r="P1298" s="2705"/>
      <c r="Q1298" s="2705"/>
      <c r="R1298" s="2705"/>
      <c r="S1298" s="2705"/>
      <c r="T1298" s="2705"/>
      <c r="U1298" s="2705"/>
      <c r="V1298" s="2705"/>
      <c r="W1298" s="2705"/>
      <c r="X1298" s="2705"/>
      <c r="Y1298" s="2804"/>
      <c r="Z1298" s="2705"/>
      <c r="AA1298" s="2705"/>
      <c r="AB1298" s="2705"/>
      <c r="AC1298" s="2705"/>
      <c r="AD1298" s="2705"/>
      <c r="AE1298" s="2705"/>
      <c r="AF1298" s="2705"/>
      <c r="AG1298" s="2705"/>
    </row>
    <row r="1299" spans="5:33" x14ac:dyDescent="0.35">
      <c r="E1299" s="2705"/>
      <c r="F1299" s="2705"/>
      <c r="G1299" s="2750"/>
      <c r="H1299" s="2480"/>
      <c r="I1299" s="2480"/>
      <c r="J1299" s="2480"/>
      <c r="K1299" s="2480"/>
      <c r="L1299" s="2480"/>
      <c r="M1299" s="2705"/>
      <c r="N1299" s="2705"/>
      <c r="O1299" s="2705"/>
      <c r="P1299" s="2705"/>
      <c r="Q1299" s="2705"/>
      <c r="R1299" s="2705"/>
      <c r="S1299" s="2705"/>
      <c r="T1299" s="2705"/>
      <c r="U1299" s="2705"/>
      <c r="V1299" s="2705"/>
      <c r="W1299" s="2705"/>
      <c r="X1299" s="2705"/>
      <c r="Y1299" s="2804"/>
      <c r="Z1299" s="2705"/>
      <c r="AA1299" s="2705"/>
      <c r="AB1299" s="2705"/>
      <c r="AC1299" s="2705"/>
      <c r="AD1299" s="2705"/>
      <c r="AE1299" s="2705"/>
      <c r="AF1299" s="2705"/>
      <c r="AG1299" s="2705"/>
    </row>
    <row r="1300" spans="5:33" x14ac:dyDescent="0.35">
      <c r="E1300" s="2705"/>
      <c r="F1300" s="2705"/>
      <c r="G1300" s="2480"/>
      <c r="H1300" s="2480"/>
      <c r="I1300" s="2480"/>
      <c r="J1300" s="2480"/>
      <c r="K1300" s="2480"/>
      <c r="L1300" s="2480"/>
      <c r="M1300" s="2705"/>
      <c r="N1300" s="2705"/>
      <c r="O1300" s="2705"/>
      <c r="P1300" s="2705"/>
      <c r="Q1300" s="2705"/>
      <c r="R1300" s="2705"/>
      <c r="S1300" s="2705"/>
      <c r="T1300" s="2705"/>
      <c r="U1300" s="2705"/>
      <c r="V1300" s="2705"/>
      <c r="W1300" s="2705"/>
      <c r="X1300" s="2705"/>
      <c r="Y1300" s="2804"/>
      <c r="Z1300" s="2705"/>
      <c r="AA1300" s="2705"/>
      <c r="AB1300" s="2705"/>
      <c r="AC1300" s="2705"/>
      <c r="AD1300" s="2705"/>
      <c r="AE1300" s="2705"/>
      <c r="AF1300" s="2705"/>
      <c r="AG1300" s="2705"/>
    </row>
    <row r="1301" spans="5:33" x14ac:dyDescent="0.35">
      <c r="E1301" s="2705"/>
      <c r="F1301" s="2705"/>
      <c r="G1301" s="2480"/>
      <c r="H1301" s="2480"/>
      <c r="I1301" s="2480"/>
      <c r="J1301" s="2480"/>
      <c r="K1301" s="2480"/>
      <c r="L1301" s="2480"/>
      <c r="M1301" s="2480"/>
      <c r="N1301" s="2705"/>
      <c r="O1301" s="2705"/>
      <c r="P1301" s="2705"/>
      <c r="Q1301" s="2705"/>
      <c r="R1301" s="2705"/>
      <c r="S1301" s="2705"/>
      <c r="T1301" s="2705"/>
      <c r="U1301" s="2705"/>
      <c r="V1301" s="2705"/>
      <c r="W1301" s="2705"/>
      <c r="X1301" s="2705"/>
      <c r="Y1301" s="2804"/>
      <c r="Z1301" s="2705"/>
      <c r="AA1301" s="2705"/>
      <c r="AB1301" s="2705"/>
      <c r="AC1301" s="2705"/>
      <c r="AD1301" s="2705"/>
      <c r="AE1301" s="2705"/>
      <c r="AF1301" s="2705"/>
      <c r="AG1301" s="2705"/>
    </row>
    <row r="1302" spans="5:33" x14ac:dyDescent="0.35">
      <c r="E1302" s="2705"/>
      <c r="F1302" s="2705"/>
      <c r="G1302" s="2705"/>
      <c r="H1302" s="2750"/>
      <c r="I1302" s="2480"/>
      <c r="J1302" s="2480"/>
      <c r="K1302" s="2480"/>
      <c r="L1302" s="2480"/>
      <c r="M1302" s="2480"/>
      <c r="N1302" s="2705"/>
      <c r="O1302" s="2705"/>
      <c r="P1302" s="2705"/>
      <c r="Q1302" s="2705"/>
      <c r="R1302" s="2705"/>
      <c r="S1302" s="2705"/>
      <c r="T1302" s="2705"/>
      <c r="U1302" s="2705"/>
      <c r="V1302" s="2705"/>
      <c r="W1302" s="2705"/>
      <c r="X1302" s="2705"/>
      <c r="Y1302" s="2804"/>
      <c r="Z1302" s="2705"/>
      <c r="AA1302" s="2705"/>
      <c r="AB1302" s="2705"/>
      <c r="AC1302" s="2705"/>
      <c r="AD1302" s="2705"/>
      <c r="AE1302" s="2705"/>
      <c r="AF1302" s="2705"/>
      <c r="AG1302" s="2705"/>
    </row>
    <row r="1303" spans="5:33" x14ac:dyDescent="0.35">
      <c r="E1303" s="2705"/>
      <c r="F1303" s="2705"/>
      <c r="G1303" s="2705"/>
      <c r="H1303" s="2480"/>
      <c r="I1303" s="2480"/>
      <c r="J1303" s="2480"/>
      <c r="K1303" s="2480"/>
      <c r="L1303" s="2480"/>
      <c r="M1303" s="2480"/>
      <c r="N1303" s="2705"/>
      <c r="O1303" s="2705"/>
      <c r="P1303" s="2705"/>
      <c r="Q1303" s="2705"/>
      <c r="R1303" s="2705"/>
      <c r="S1303" s="2705"/>
      <c r="T1303" s="2705"/>
      <c r="U1303" s="2705"/>
      <c r="V1303" s="2705"/>
      <c r="W1303" s="2705"/>
      <c r="X1303" s="2705"/>
      <c r="Y1303" s="2804"/>
      <c r="Z1303" s="2705"/>
      <c r="AA1303" s="2705"/>
      <c r="AB1303" s="2705"/>
      <c r="AC1303" s="2705"/>
      <c r="AD1303" s="2705"/>
      <c r="AE1303" s="2705"/>
      <c r="AF1303" s="2705"/>
      <c r="AG1303" s="2705"/>
    </row>
    <row r="1304" spans="5:33" x14ac:dyDescent="0.35">
      <c r="E1304" s="2705"/>
      <c r="F1304" s="2705"/>
      <c r="G1304" s="2705"/>
      <c r="H1304" s="2480"/>
      <c r="I1304" s="2480"/>
      <c r="J1304" s="2480"/>
      <c r="K1304" s="2480"/>
      <c r="L1304" s="2480"/>
      <c r="M1304" s="2480"/>
      <c r="N1304" s="2705"/>
      <c r="O1304" s="2705"/>
      <c r="P1304" s="2705"/>
      <c r="Q1304" s="2705"/>
      <c r="R1304" s="2705"/>
      <c r="S1304" s="2705"/>
      <c r="T1304" s="2705"/>
      <c r="U1304" s="2705"/>
      <c r="V1304" s="2705"/>
      <c r="W1304" s="2705"/>
      <c r="X1304" s="2705"/>
      <c r="Y1304" s="2804"/>
      <c r="Z1304" s="2705"/>
      <c r="AA1304" s="2705"/>
      <c r="AB1304" s="2705"/>
      <c r="AC1304" s="2705"/>
      <c r="AD1304" s="2705"/>
      <c r="AE1304" s="2705"/>
      <c r="AF1304" s="2705"/>
      <c r="AG1304" s="2705"/>
    </row>
    <row r="1305" spans="5:33" x14ac:dyDescent="0.35">
      <c r="E1305" s="2705"/>
      <c r="F1305" s="2705"/>
      <c r="G1305" s="2705"/>
      <c r="H1305" s="2480"/>
      <c r="I1305" s="2480"/>
      <c r="J1305" s="2480"/>
      <c r="K1305" s="2480"/>
      <c r="L1305" s="2480"/>
      <c r="M1305" s="2480"/>
      <c r="N1305" s="2705"/>
      <c r="O1305" s="2705"/>
      <c r="P1305" s="2705"/>
      <c r="Q1305" s="2705"/>
      <c r="R1305" s="2705"/>
      <c r="S1305" s="2705"/>
      <c r="T1305" s="2705"/>
      <c r="U1305" s="2705"/>
      <c r="V1305" s="2705"/>
      <c r="W1305" s="2705"/>
      <c r="X1305" s="2705"/>
      <c r="Y1305" s="2804"/>
      <c r="Z1305" s="2705"/>
      <c r="AA1305" s="2705"/>
      <c r="AB1305" s="2705"/>
      <c r="AC1305" s="2705"/>
      <c r="AD1305" s="2705"/>
      <c r="AE1305" s="2705"/>
      <c r="AF1305" s="2705"/>
      <c r="AG1305" s="2705"/>
    </row>
    <row r="1306" spans="5:33" x14ac:dyDescent="0.35">
      <c r="E1306" s="2705"/>
      <c r="F1306" s="2705"/>
      <c r="G1306" s="2705"/>
      <c r="H1306" s="2480"/>
      <c r="I1306" s="2480"/>
      <c r="J1306" s="2480"/>
      <c r="K1306" s="2480"/>
      <c r="L1306" s="2480"/>
      <c r="M1306" s="2480"/>
      <c r="N1306" s="2705"/>
      <c r="O1306" s="2705"/>
      <c r="P1306" s="2705"/>
      <c r="Q1306" s="2705"/>
      <c r="R1306" s="2705"/>
      <c r="S1306" s="2705"/>
      <c r="T1306" s="2705"/>
      <c r="U1306" s="2705"/>
      <c r="V1306" s="2705"/>
      <c r="W1306" s="2705"/>
      <c r="X1306" s="2705"/>
      <c r="Y1306" s="2804"/>
      <c r="Z1306" s="2705"/>
      <c r="AA1306" s="2705"/>
      <c r="AB1306" s="2705"/>
      <c r="AC1306" s="2705"/>
      <c r="AD1306" s="2705"/>
      <c r="AE1306" s="2705"/>
      <c r="AF1306" s="2705"/>
      <c r="AG1306" s="2705"/>
    </row>
    <row r="1307" spans="5:33" x14ac:dyDescent="0.35">
      <c r="E1307" s="2705"/>
      <c r="F1307" s="2705"/>
      <c r="G1307" s="2705"/>
      <c r="H1307" s="2480"/>
      <c r="I1307" s="2480"/>
      <c r="J1307" s="2480"/>
      <c r="K1307" s="2480"/>
      <c r="L1307" s="2480"/>
      <c r="M1307" s="2480"/>
      <c r="N1307" s="2705"/>
      <c r="O1307" s="2705"/>
      <c r="P1307" s="2705"/>
      <c r="Q1307" s="2705"/>
      <c r="R1307" s="2705"/>
      <c r="S1307" s="2705"/>
      <c r="T1307" s="2705"/>
      <c r="U1307" s="2705"/>
      <c r="V1307" s="2705"/>
      <c r="W1307" s="2705"/>
      <c r="X1307" s="2705"/>
      <c r="Y1307" s="2804"/>
      <c r="Z1307" s="2705"/>
      <c r="AA1307" s="2705"/>
      <c r="AB1307" s="2705"/>
      <c r="AC1307" s="2705"/>
      <c r="AD1307" s="2705"/>
      <c r="AE1307" s="2705"/>
      <c r="AF1307" s="2705"/>
      <c r="AG1307" s="2705"/>
    </row>
    <row r="1308" spans="5:33" x14ac:dyDescent="0.35">
      <c r="E1308" s="2705"/>
      <c r="F1308" s="2705"/>
      <c r="G1308" s="2705"/>
      <c r="H1308" s="2480"/>
      <c r="I1308" s="2480"/>
      <c r="J1308" s="2480"/>
      <c r="K1308" s="2480"/>
      <c r="L1308" s="2480"/>
      <c r="M1308" s="2480"/>
      <c r="N1308" s="2705"/>
      <c r="O1308" s="2705"/>
      <c r="P1308" s="2705"/>
      <c r="Q1308" s="2705"/>
      <c r="R1308" s="2705"/>
      <c r="S1308" s="2705"/>
      <c r="T1308" s="2705"/>
      <c r="U1308" s="2705"/>
      <c r="V1308" s="2705"/>
      <c r="W1308" s="2705"/>
      <c r="X1308" s="2705"/>
      <c r="Y1308" s="2804"/>
      <c r="Z1308" s="2705"/>
      <c r="AA1308" s="2705"/>
      <c r="AB1308" s="2705"/>
      <c r="AC1308" s="2705"/>
      <c r="AD1308" s="2705"/>
      <c r="AE1308" s="2705"/>
      <c r="AF1308" s="2705"/>
      <c r="AG1308" s="2705"/>
    </row>
    <row r="1309" spans="5:33" x14ac:dyDescent="0.35">
      <c r="E1309" s="2705"/>
      <c r="F1309" s="2705"/>
      <c r="G1309" s="2705"/>
      <c r="H1309" s="2480"/>
      <c r="I1309" s="2480"/>
      <c r="J1309" s="2480"/>
      <c r="K1309" s="2480"/>
      <c r="L1309" s="2480"/>
      <c r="M1309" s="2480"/>
      <c r="N1309" s="2705"/>
      <c r="O1309" s="2705"/>
      <c r="P1309" s="2705"/>
      <c r="Q1309" s="2705"/>
      <c r="R1309" s="2705"/>
      <c r="S1309" s="2705"/>
      <c r="T1309" s="2705"/>
      <c r="U1309" s="2705"/>
      <c r="V1309" s="2705"/>
      <c r="W1309" s="2705"/>
      <c r="X1309" s="2705"/>
      <c r="Y1309" s="2804"/>
      <c r="Z1309" s="2705"/>
      <c r="AA1309" s="2705"/>
      <c r="AB1309" s="2705"/>
      <c r="AC1309" s="2705"/>
      <c r="AD1309" s="2705"/>
      <c r="AE1309" s="2705"/>
      <c r="AF1309" s="2705"/>
      <c r="AG1309" s="2705"/>
    </row>
    <row r="1310" spans="5:33" x14ac:dyDescent="0.35">
      <c r="E1310" s="2705"/>
      <c r="F1310" s="2705"/>
      <c r="G1310" s="2705"/>
      <c r="H1310" s="2480"/>
      <c r="I1310" s="2480"/>
      <c r="J1310" s="2480"/>
      <c r="K1310" s="2480"/>
      <c r="L1310" s="2480"/>
      <c r="M1310" s="2480"/>
      <c r="N1310" s="2705"/>
      <c r="O1310" s="2705"/>
      <c r="P1310" s="2705"/>
      <c r="Q1310" s="2705"/>
      <c r="R1310" s="2705"/>
      <c r="S1310" s="2705"/>
      <c r="T1310" s="2705"/>
      <c r="U1310" s="2705"/>
      <c r="V1310" s="2705"/>
      <c r="W1310" s="2705"/>
      <c r="X1310" s="2705"/>
      <c r="Y1310" s="2804"/>
      <c r="Z1310" s="2705"/>
      <c r="AA1310" s="2705"/>
      <c r="AB1310" s="2705"/>
      <c r="AC1310" s="2705"/>
      <c r="AD1310" s="2705"/>
      <c r="AE1310" s="2705"/>
      <c r="AF1310" s="2705"/>
      <c r="AG1310" s="2705"/>
    </row>
    <row r="1311" spans="5:33" x14ac:dyDescent="0.35">
      <c r="E1311" s="2705"/>
      <c r="F1311" s="2705"/>
      <c r="G1311" s="2705"/>
      <c r="H1311" s="2480"/>
      <c r="I1311" s="2750"/>
      <c r="J1311" s="2480"/>
      <c r="K1311" s="2480"/>
      <c r="L1311" s="2480"/>
      <c r="M1311" s="2480"/>
      <c r="N1311" s="2705"/>
      <c r="O1311" s="2705"/>
      <c r="P1311" s="2705"/>
      <c r="Q1311" s="2705"/>
      <c r="R1311" s="2705"/>
      <c r="S1311" s="2705"/>
      <c r="T1311" s="2705"/>
      <c r="U1311" s="2705"/>
      <c r="V1311" s="2705"/>
      <c r="W1311" s="2705"/>
      <c r="X1311" s="2705"/>
      <c r="Y1311" s="2804"/>
      <c r="Z1311" s="2705"/>
      <c r="AA1311" s="2705"/>
      <c r="AB1311" s="2705"/>
      <c r="AC1311" s="2705"/>
      <c r="AD1311" s="2705"/>
      <c r="AE1311" s="2705"/>
      <c r="AF1311" s="2705"/>
      <c r="AG1311" s="2705"/>
    </row>
    <row r="1312" spans="5:33" x14ac:dyDescent="0.35">
      <c r="E1312" s="2705"/>
      <c r="F1312" s="2705"/>
      <c r="G1312" s="2705"/>
      <c r="H1312" s="2480"/>
      <c r="I1312" s="2480"/>
      <c r="J1312" s="2480"/>
      <c r="K1312" s="2480"/>
      <c r="L1312" s="2480"/>
      <c r="M1312" s="2480"/>
      <c r="N1312" s="2705"/>
      <c r="O1312" s="2705"/>
      <c r="P1312" s="2705"/>
      <c r="Q1312" s="2705"/>
      <c r="R1312" s="2705"/>
      <c r="S1312" s="2705"/>
      <c r="T1312" s="2705"/>
      <c r="U1312" s="2705"/>
      <c r="V1312" s="2705"/>
      <c r="W1312" s="2705"/>
      <c r="X1312" s="2705"/>
      <c r="Y1312" s="2804"/>
      <c r="Z1312" s="2705"/>
      <c r="AA1312" s="2705"/>
      <c r="AB1312" s="2705"/>
      <c r="AC1312" s="2705"/>
      <c r="AD1312" s="2705"/>
      <c r="AE1312" s="2705"/>
      <c r="AF1312" s="2705"/>
      <c r="AG1312" s="2705"/>
    </row>
    <row r="1313" spans="5:33" x14ac:dyDescent="0.35">
      <c r="E1313" s="2705"/>
      <c r="F1313" s="2705"/>
      <c r="G1313" s="2705"/>
      <c r="H1313" s="2480"/>
      <c r="I1313" s="2480"/>
      <c r="J1313" s="2480"/>
      <c r="K1313" s="2480"/>
      <c r="L1313" s="2480"/>
      <c r="M1313" s="2480"/>
      <c r="N1313" s="2705"/>
      <c r="O1313" s="2705"/>
      <c r="P1313" s="2705"/>
      <c r="Q1313" s="2705"/>
      <c r="R1313" s="2705"/>
      <c r="S1313" s="2705"/>
      <c r="T1313" s="2705"/>
      <c r="U1313" s="2705"/>
      <c r="V1313" s="2705"/>
      <c r="W1313" s="2705"/>
      <c r="X1313" s="2705"/>
      <c r="Y1313" s="2804"/>
      <c r="Z1313" s="2705"/>
      <c r="AA1313" s="2705"/>
      <c r="AB1313" s="2705"/>
      <c r="AC1313" s="2705"/>
      <c r="AD1313" s="2705"/>
      <c r="AE1313" s="2705"/>
      <c r="AF1313" s="2705"/>
      <c r="AG1313" s="2705"/>
    </row>
    <row r="1314" spans="5:33" x14ac:dyDescent="0.35">
      <c r="E1314" s="2705"/>
      <c r="F1314" s="2705"/>
      <c r="G1314" s="2480"/>
      <c r="H1314" s="2480"/>
      <c r="I1314" s="2480"/>
      <c r="J1314" s="2480"/>
      <c r="K1314" s="2480"/>
      <c r="L1314" s="2480"/>
      <c r="M1314" s="2480"/>
      <c r="N1314" s="2705"/>
      <c r="O1314" s="2705"/>
      <c r="P1314" s="2705"/>
      <c r="Q1314" s="2705"/>
      <c r="R1314" s="2705"/>
      <c r="S1314" s="2705"/>
      <c r="T1314" s="2705"/>
      <c r="U1314" s="2705"/>
      <c r="V1314" s="2705"/>
      <c r="W1314" s="2705"/>
      <c r="X1314" s="2705"/>
      <c r="Y1314" s="2804"/>
      <c r="Z1314" s="2705"/>
      <c r="AA1314" s="2705"/>
      <c r="AB1314" s="2705"/>
      <c r="AC1314" s="2705"/>
      <c r="AD1314" s="2705"/>
      <c r="AE1314" s="2705"/>
      <c r="AF1314" s="2705"/>
      <c r="AG1314" s="2705"/>
    </row>
    <row r="1315" spans="5:33" x14ac:dyDescent="0.35">
      <c r="E1315" s="2705"/>
      <c r="F1315" s="2705"/>
      <c r="G1315" s="2750"/>
      <c r="H1315" s="2480"/>
      <c r="I1315" s="2480"/>
      <c r="J1315" s="2480"/>
      <c r="K1315" s="2480"/>
      <c r="L1315" s="2480"/>
      <c r="M1315" s="2480"/>
      <c r="N1315" s="2705"/>
      <c r="O1315" s="2705"/>
      <c r="P1315" s="2705"/>
      <c r="Q1315" s="2705"/>
      <c r="R1315" s="2705"/>
      <c r="S1315" s="2705"/>
      <c r="T1315" s="2705"/>
      <c r="U1315" s="2705"/>
      <c r="V1315" s="2705"/>
      <c r="W1315" s="2705"/>
      <c r="X1315" s="2705"/>
      <c r="Y1315" s="2804"/>
      <c r="Z1315" s="2705"/>
      <c r="AA1315" s="2705"/>
      <c r="AB1315" s="2705"/>
      <c r="AC1315" s="2705"/>
      <c r="AD1315" s="2705"/>
      <c r="AE1315" s="2705"/>
      <c r="AF1315" s="2705"/>
      <c r="AG1315" s="2705"/>
    </row>
    <row r="1316" spans="5:33" x14ac:dyDescent="0.35">
      <c r="E1316" s="2705"/>
      <c r="F1316" s="2705"/>
      <c r="G1316" s="2480"/>
      <c r="H1316" s="2480"/>
      <c r="I1316" s="2480"/>
      <c r="J1316" s="2480"/>
      <c r="K1316" s="2480"/>
      <c r="L1316" s="2480"/>
      <c r="M1316" s="2480"/>
      <c r="N1316" s="2705"/>
      <c r="O1316" s="2705"/>
      <c r="P1316" s="2705"/>
      <c r="Q1316" s="2705"/>
      <c r="R1316" s="2705"/>
      <c r="S1316" s="2705"/>
      <c r="T1316" s="2705"/>
      <c r="U1316" s="2705"/>
      <c r="V1316" s="2705"/>
      <c r="W1316" s="2705"/>
      <c r="X1316" s="2705"/>
      <c r="Y1316" s="2804"/>
      <c r="Z1316" s="2705"/>
      <c r="AA1316" s="2705"/>
      <c r="AB1316" s="2705"/>
      <c r="AC1316" s="2705"/>
      <c r="AD1316" s="2705"/>
      <c r="AE1316" s="2705"/>
      <c r="AF1316" s="2705"/>
      <c r="AG1316" s="2705"/>
    </row>
    <row r="1317" spans="5:33" x14ac:dyDescent="0.35">
      <c r="E1317" s="2705"/>
      <c r="F1317" s="2705"/>
      <c r="G1317" s="2750"/>
      <c r="H1317" s="2480"/>
      <c r="I1317" s="2480"/>
      <c r="J1317" s="2480"/>
      <c r="K1317" s="2705"/>
      <c r="L1317" s="2705"/>
      <c r="M1317" s="2705"/>
      <c r="N1317" s="2705"/>
      <c r="O1317" s="2705"/>
      <c r="P1317" s="2705"/>
      <c r="Q1317" s="2705"/>
      <c r="R1317" s="2705"/>
      <c r="S1317" s="2705"/>
      <c r="T1317" s="2705"/>
      <c r="U1317" s="2705"/>
      <c r="V1317" s="2705"/>
      <c r="W1317" s="2705"/>
      <c r="X1317" s="2705"/>
      <c r="Y1317" s="2804"/>
      <c r="Z1317" s="2705"/>
      <c r="AA1317" s="2705"/>
      <c r="AB1317" s="2705"/>
      <c r="AC1317" s="2705"/>
      <c r="AD1317" s="2705"/>
      <c r="AE1317" s="2705"/>
      <c r="AF1317" s="2705"/>
      <c r="AG1317" s="2705"/>
    </row>
    <row r="1318" spans="5:33" x14ac:dyDescent="0.35">
      <c r="E1318" s="2705"/>
      <c r="F1318" s="2705"/>
      <c r="G1318" s="2480"/>
      <c r="H1318" s="2480"/>
      <c r="I1318" s="2480"/>
      <c r="J1318" s="2480"/>
      <c r="K1318" s="2705"/>
      <c r="L1318" s="2705"/>
      <c r="M1318" s="2705"/>
      <c r="N1318" s="2705"/>
      <c r="O1318" s="2705"/>
      <c r="P1318" s="2705"/>
      <c r="Q1318" s="2705"/>
      <c r="R1318" s="2705"/>
      <c r="S1318" s="2705"/>
      <c r="T1318" s="2705"/>
      <c r="U1318" s="2705"/>
      <c r="V1318" s="2705"/>
      <c r="W1318" s="2705"/>
      <c r="X1318" s="2705"/>
      <c r="Y1318" s="2804"/>
      <c r="Z1318" s="2705"/>
      <c r="AA1318" s="2705"/>
      <c r="AB1318" s="2705"/>
      <c r="AC1318" s="2705"/>
      <c r="AD1318" s="2705"/>
      <c r="AE1318" s="2705"/>
      <c r="AF1318" s="2705"/>
      <c r="AG1318" s="2705"/>
    </row>
    <row r="1319" spans="5:33" x14ac:dyDescent="0.35">
      <c r="E1319" s="2705"/>
      <c r="F1319" s="2705"/>
      <c r="G1319" s="2480"/>
      <c r="H1319" s="2480"/>
      <c r="I1319" s="2480"/>
      <c r="J1319" s="2480"/>
      <c r="K1319" s="2480"/>
      <c r="L1319" s="2705"/>
      <c r="M1319" s="2705"/>
      <c r="N1319" s="2705"/>
      <c r="O1319" s="2705"/>
      <c r="P1319" s="2705"/>
      <c r="Q1319" s="2705"/>
      <c r="R1319" s="2705"/>
      <c r="S1319" s="2705"/>
      <c r="T1319" s="2705"/>
      <c r="U1319" s="2705"/>
      <c r="V1319" s="2705"/>
      <c r="W1319" s="2705"/>
      <c r="X1319" s="2705"/>
      <c r="Y1319" s="2804"/>
      <c r="Z1319" s="2705"/>
      <c r="AA1319" s="2705"/>
      <c r="AB1319" s="2705"/>
      <c r="AC1319" s="2705"/>
      <c r="AD1319" s="2705"/>
      <c r="AE1319" s="2705"/>
      <c r="AF1319" s="2705"/>
      <c r="AG1319" s="2705"/>
    </row>
    <row r="1320" spans="5:33" x14ac:dyDescent="0.35">
      <c r="E1320" s="2705"/>
      <c r="F1320" s="2705"/>
      <c r="G1320" s="2480"/>
      <c r="H1320" s="2480"/>
      <c r="I1320" s="2480"/>
      <c r="J1320" s="2480"/>
      <c r="K1320" s="2480"/>
      <c r="L1320" s="2705"/>
      <c r="M1320" s="2705"/>
      <c r="N1320" s="2705"/>
      <c r="O1320" s="2705"/>
      <c r="P1320" s="2705"/>
      <c r="Q1320" s="2705"/>
      <c r="R1320" s="2705"/>
      <c r="S1320" s="2705"/>
      <c r="T1320" s="2705"/>
      <c r="U1320" s="2705"/>
      <c r="V1320" s="2705"/>
      <c r="W1320" s="2705"/>
      <c r="X1320" s="2705"/>
      <c r="Y1320" s="2804"/>
      <c r="Z1320" s="2705"/>
      <c r="AA1320" s="2705"/>
      <c r="AB1320" s="2705"/>
      <c r="AC1320" s="2705"/>
      <c r="AD1320" s="2705"/>
      <c r="AE1320" s="2705"/>
      <c r="AF1320" s="2705"/>
      <c r="AG1320" s="2705"/>
    </row>
    <row r="1321" spans="5:33" x14ac:dyDescent="0.35">
      <c r="E1321" s="2705"/>
      <c r="F1321" s="2705"/>
      <c r="G1321" s="2480"/>
      <c r="H1321" s="2480"/>
      <c r="I1321" s="2480"/>
      <c r="J1321" s="2480"/>
      <c r="K1321" s="2480"/>
      <c r="L1321" s="2705"/>
      <c r="M1321" s="2705"/>
      <c r="N1321" s="2705"/>
      <c r="O1321" s="2705"/>
      <c r="P1321" s="2705"/>
      <c r="Q1321" s="2705"/>
      <c r="R1321" s="2705"/>
      <c r="S1321" s="2705"/>
      <c r="T1321" s="2705"/>
      <c r="U1321" s="2705"/>
      <c r="V1321" s="2705"/>
      <c r="W1321" s="2705"/>
      <c r="X1321" s="2705"/>
      <c r="Y1321" s="2804"/>
      <c r="Z1321" s="2705"/>
      <c r="AA1321" s="2705"/>
      <c r="AB1321" s="2705"/>
      <c r="AC1321" s="2705"/>
      <c r="AD1321" s="2705"/>
      <c r="AE1321" s="2705"/>
      <c r="AF1321" s="2705"/>
      <c r="AG1321" s="2705"/>
    </row>
    <row r="1322" spans="5:33" x14ac:dyDescent="0.35">
      <c r="E1322" s="2705"/>
      <c r="F1322" s="2705"/>
      <c r="G1322" s="2750"/>
      <c r="H1322" s="2480"/>
      <c r="I1322" s="2480"/>
      <c r="J1322" s="2480"/>
      <c r="K1322" s="2480"/>
      <c r="L1322" s="2705"/>
      <c r="M1322" s="2705"/>
      <c r="N1322" s="2705"/>
      <c r="O1322" s="2705"/>
      <c r="P1322" s="2705"/>
      <c r="Q1322" s="2705"/>
      <c r="R1322" s="2705"/>
      <c r="S1322" s="2705"/>
      <c r="T1322" s="2705"/>
      <c r="U1322" s="2705"/>
      <c r="V1322" s="2705"/>
      <c r="W1322" s="2705"/>
      <c r="X1322" s="2705"/>
      <c r="Y1322" s="2804"/>
      <c r="Z1322" s="2705"/>
      <c r="AA1322" s="2705"/>
      <c r="AB1322" s="2705"/>
      <c r="AC1322" s="2705"/>
      <c r="AD1322" s="2705"/>
      <c r="AE1322" s="2705"/>
      <c r="AF1322" s="2705"/>
      <c r="AG1322" s="2705"/>
    </row>
    <row r="1323" spans="5:33" x14ac:dyDescent="0.35">
      <c r="E1323" s="2705"/>
      <c r="F1323" s="2705"/>
      <c r="G1323" s="2480"/>
      <c r="H1323" s="2480"/>
      <c r="I1323" s="2480"/>
      <c r="J1323" s="2480"/>
      <c r="K1323" s="2480"/>
      <c r="L1323" s="2705"/>
      <c r="M1323" s="2705"/>
      <c r="N1323" s="2705"/>
      <c r="O1323" s="2705"/>
      <c r="P1323" s="2705"/>
      <c r="Q1323" s="2705"/>
      <c r="R1323" s="2705"/>
      <c r="S1323" s="2705"/>
      <c r="T1323" s="2705"/>
      <c r="U1323" s="2705"/>
      <c r="V1323" s="2705"/>
      <c r="W1323" s="2705"/>
      <c r="X1323" s="2705"/>
      <c r="Y1323" s="2804"/>
      <c r="Z1323" s="2705"/>
      <c r="AA1323" s="2705"/>
      <c r="AB1323" s="2705"/>
      <c r="AC1323" s="2705"/>
      <c r="AD1323" s="2705"/>
      <c r="AE1323" s="2705"/>
      <c r="AF1323" s="2705"/>
      <c r="AG1323" s="2705"/>
    </row>
    <row r="1324" spans="5:33" x14ac:dyDescent="0.35">
      <c r="E1324" s="2705"/>
      <c r="F1324" s="2705"/>
      <c r="G1324" s="2480"/>
      <c r="H1324" s="2480"/>
      <c r="I1324" s="2480"/>
      <c r="J1324" s="2480"/>
      <c r="K1324" s="2480"/>
      <c r="L1324" s="2705"/>
      <c r="M1324" s="2705"/>
      <c r="N1324" s="2705"/>
      <c r="O1324" s="2705"/>
      <c r="P1324" s="2705"/>
      <c r="Q1324" s="2705"/>
      <c r="R1324" s="2705"/>
      <c r="S1324" s="2705"/>
      <c r="T1324" s="2705"/>
      <c r="U1324" s="2705"/>
      <c r="V1324" s="2705"/>
      <c r="W1324" s="2705"/>
      <c r="X1324" s="2705"/>
      <c r="Y1324" s="2804"/>
      <c r="Z1324" s="2705"/>
      <c r="AA1324" s="2705"/>
      <c r="AB1324" s="2705"/>
      <c r="AC1324" s="2705"/>
      <c r="AD1324" s="2705"/>
      <c r="AE1324" s="2705"/>
      <c r="AF1324" s="2705"/>
      <c r="AG1324" s="2705"/>
    </row>
    <row r="1325" spans="5:33" x14ac:dyDescent="0.35">
      <c r="E1325" s="2705"/>
      <c r="F1325" s="2705"/>
      <c r="G1325" s="2480"/>
      <c r="H1325" s="2480"/>
      <c r="I1325" s="2480"/>
      <c r="J1325" s="2480"/>
      <c r="K1325" s="2480"/>
      <c r="L1325" s="2705"/>
      <c r="M1325" s="2705"/>
      <c r="N1325" s="2705"/>
      <c r="O1325" s="2705"/>
      <c r="P1325" s="2705"/>
      <c r="Q1325" s="2705"/>
      <c r="R1325" s="2705"/>
      <c r="S1325" s="2705"/>
      <c r="T1325" s="2705"/>
      <c r="U1325" s="2705"/>
      <c r="V1325" s="2705"/>
      <c r="W1325" s="2705"/>
      <c r="X1325" s="2705"/>
      <c r="Y1325" s="2804"/>
      <c r="Z1325" s="2705"/>
      <c r="AA1325" s="2705"/>
      <c r="AB1325" s="2705"/>
      <c r="AC1325" s="2705"/>
      <c r="AD1325" s="2705"/>
      <c r="AE1325" s="2705"/>
      <c r="AF1325" s="2705"/>
      <c r="AG1325" s="2705"/>
    </row>
    <row r="1326" spans="5:33" x14ac:dyDescent="0.35">
      <c r="E1326" s="2705"/>
      <c r="F1326" s="2705"/>
      <c r="G1326" s="2480"/>
      <c r="H1326" s="2480"/>
      <c r="I1326" s="2480"/>
      <c r="J1326" s="2480"/>
      <c r="K1326" s="2480"/>
      <c r="L1326" s="2705"/>
      <c r="M1326" s="2705"/>
      <c r="N1326" s="2705"/>
      <c r="O1326" s="2705"/>
      <c r="P1326" s="2705"/>
      <c r="Q1326" s="2705"/>
      <c r="R1326" s="2705"/>
      <c r="S1326" s="2705"/>
      <c r="T1326" s="2705"/>
      <c r="U1326" s="2705"/>
      <c r="V1326" s="2705"/>
      <c r="W1326" s="2705"/>
      <c r="X1326" s="2705"/>
      <c r="Y1326" s="2804"/>
      <c r="Z1326" s="2705"/>
      <c r="AA1326" s="2705"/>
      <c r="AB1326" s="2705"/>
      <c r="AC1326" s="2705"/>
      <c r="AD1326" s="2705"/>
      <c r="AE1326" s="2705"/>
      <c r="AF1326" s="2705"/>
      <c r="AG1326" s="2705"/>
    </row>
    <row r="1327" spans="5:33" x14ac:dyDescent="0.35">
      <c r="E1327" s="2705"/>
      <c r="F1327" s="2705"/>
      <c r="G1327" s="2480"/>
      <c r="H1327" s="2480"/>
      <c r="I1327" s="2480"/>
      <c r="J1327" s="2480"/>
      <c r="K1327" s="2480"/>
      <c r="L1327" s="2705"/>
      <c r="M1327" s="2705"/>
      <c r="N1327" s="2705"/>
      <c r="O1327" s="2705"/>
      <c r="P1327" s="2705"/>
      <c r="Q1327" s="2705"/>
      <c r="R1327" s="2705"/>
      <c r="S1327" s="2705"/>
      <c r="T1327" s="2705"/>
      <c r="U1327" s="2705"/>
      <c r="V1327" s="2705"/>
      <c r="W1327" s="2705"/>
      <c r="X1327" s="2705"/>
      <c r="Y1327" s="2804"/>
      <c r="Z1327" s="2705"/>
      <c r="AA1327" s="2705"/>
      <c r="AB1327" s="2705"/>
      <c r="AC1327" s="2705"/>
      <c r="AD1327" s="2705"/>
      <c r="AE1327" s="2705"/>
      <c r="AF1327" s="2705"/>
      <c r="AG1327" s="2705"/>
    </row>
    <row r="1328" spans="5:33" x14ac:dyDescent="0.35">
      <c r="E1328" s="2705"/>
      <c r="F1328" s="2705"/>
      <c r="G1328" s="2480"/>
      <c r="H1328" s="2480"/>
      <c r="I1328" s="2480"/>
      <c r="J1328" s="2480"/>
      <c r="K1328" s="2480"/>
      <c r="L1328" s="2705"/>
      <c r="M1328" s="2705"/>
      <c r="N1328" s="2705"/>
      <c r="O1328" s="2705"/>
      <c r="P1328" s="2705"/>
      <c r="Q1328" s="2705"/>
      <c r="R1328" s="2705"/>
      <c r="S1328" s="2705"/>
      <c r="T1328" s="2705"/>
      <c r="U1328" s="2705"/>
      <c r="V1328" s="2705"/>
      <c r="W1328" s="2705"/>
      <c r="X1328" s="2705"/>
      <c r="Y1328" s="2804"/>
      <c r="Z1328" s="2705"/>
      <c r="AA1328" s="2705"/>
      <c r="AB1328" s="2705"/>
      <c r="AC1328" s="2705"/>
      <c r="AD1328" s="2705"/>
      <c r="AE1328" s="2705"/>
      <c r="AF1328" s="2705"/>
      <c r="AG1328" s="2705"/>
    </row>
    <row r="1329" spans="5:33" x14ac:dyDescent="0.35">
      <c r="E1329" s="2705"/>
      <c r="F1329" s="2705"/>
      <c r="G1329" s="2480"/>
      <c r="H1329" s="2480"/>
      <c r="I1329" s="2480"/>
      <c r="J1329" s="2480"/>
      <c r="K1329" s="2480"/>
      <c r="L1329" s="2705"/>
      <c r="M1329" s="2705"/>
      <c r="N1329" s="2705"/>
      <c r="O1329" s="2705"/>
      <c r="P1329" s="2705"/>
      <c r="Q1329" s="2705"/>
      <c r="R1329" s="2705"/>
      <c r="S1329" s="2705"/>
      <c r="T1329" s="2705"/>
      <c r="U1329" s="2705"/>
      <c r="V1329" s="2705"/>
      <c r="W1329" s="2705"/>
      <c r="X1329" s="2705"/>
      <c r="Y1329" s="2804"/>
      <c r="Z1329" s="2705"/>
      <c r="AA1329" s="2705"/>
      <c r="AB1329" s="2705"/>
      <c r="AC1329" s="2705"/>
      <c r="AD1329" s="2705"/>
      <c r="AE1329" s="2705"/>
      <c r="AF1329" s="2705"/>
      <c r="AG1329" s="2705"/>
    </row>
    <row r="1330" spans="5:33" x14ac:dyDescent="0.35">
      <c r="E1330" s="2705"/>
      <c r="F1330" s="2705"/>
      <c r="G1330" s="2480"/>
      <c r="H1330" s="2480"/>
      <c r="I1330" s="2480"/>
      <c r="J1330" s="2480"/>
      <c r="K1330" s="2480"/>
      <c r="L1330" s="2705"/>
      <c r="M1330" s="2705"/>
      <c r="N1330" s="2705"/>
      <c r="O1330" s="2705"/>
      <c r="P1330" s="2705"/>
      <c r="Q1330" s="2705"/>
      <c r="R1330" s="2705"/>
      <c r="S1330" s="2705"/>
      <c r="T1330" s="2705"/>
      <c r="U1330" s="2705"/>
      <c r="V1330" s="2705"/>
      <c r="W1330" s="2705"/>
      <c r="X1330" s="2705"/>
      <c r="Y1330" s="2804"/>
      <c r="Z1330" s="2705"/>
      <c r="AA1330" s="2705"/>
      <c r="AB1330" s="2705"/>
      <c r="AC1330" s="2705"/>
      <c r="AD1330" s="2705"/>
      <c r="AE1330" s="2705"/>
      <c r="AF1330" s="2705"/>
      <c r="AG1330" s="2705"/>
    </row>
    <row r="1331" spans="5:33" x14ac:dyDescent="0.35">
      <c r="E1331" s="2705"/>
      <c r="F1331" s="2705"/>
      <c r="G1331" s="2480"/>
      <c r="H1331" s="2480"/>
      <c r="I1331" s="2480"/>
      <c r="J1331" s="2480"/>
      <c r="K1331" s="2480"/>
      <c r="L1331" s="2705"/>
      <c r="M1331" s="2705"/>
      <c r="N1331" s="2705"/>
      <c r="O1331" s="2705"/>
      <c r="P1331" s="2705"/>
      <c r="Q1331" s="2705"/>
      <c r="R1331" s="2705"/>
      <c r="S1331" s="2705"/>
      <c r="T1331" s="2705"/>
      <c r="U1331" s="2705"/>
      <c r="V1331" s="2705"/>
      <c r="W1331" s="2705"/>
      <c r="X1331" s="2705"/>
      <c r="Y1331" s="2804"/>
      <c r="Z1331" s="2705"/>
      <c r="AA1331" s="2705"/>
      <c r="AB1331" s="2705"/>
      <c r="AC1331" s="2705"/>
      <c r="AD1331" s="2705"/>
      <c r="AE1331" s="2705"/>
      <c r="AF1331" s="2705"/>
      <c r="AG1331" s="2705"/>
    </row>
    <row r="1332" spans="5:33" x14ac:dyDescent="0.35">
      <c r="E1332" s="2705"/>
      <c r="F1332" s="2705"/>
      <c r="G1332" s="2480"/>
      <c r="H1332" s="2480"/>
      <c r="I1332" s="2480"/>
      <c r="J1332" s="2480"/>
      <c r="K1332" s="2480"/>
      <c r="L1332" s="2705"/>
      <c r="M1332" s="2705"/>
      <c r="N1332" s="2705"/>
      <c r="O1332" s="2705"/>
      <c r="P1332" s="2705"/>
      <c r="Q1332" s="2705"/>
      <c r="R1332" s="2705"/>
      <c r="S1332" s="2705"/>
      <c r="T1332" s="2705"/>
      <c r="U1332" s="2705"/>
      <c r="V1332" s="2705"/>
      <c r="W1332" s="2705"/>
      <c r="X1332" s="2705"/>
      <c r="Y1332" s="2804"/>
      <c r="Z1332" s="2705"/>
      <c r="AA1332" s="2705"/>
      <c r="AB1332" s="2705"/>
      <c r="AC1332" s="2705"/>
      <c r="AD1332" s="2705"/>
      <c r="AE1332" s="2705"/>
      <c r="AF1332" s="2705"/>
      <c r="AG1332" s="2705"/>
    </row>
    <row r="1333" spans="5:33" x14ac:dyDescent="0.35">
      <c r="E1333" s="2705"/>
      <c r="F1333" s="2705"/>
      <c r="G1333" s="2480"/>
      <c r="H1333" s="2480"/>
      <c r="I1333" s="2480"/>
      <c r="J1333" s="2480"/>
      <c r="K1333" s="2480"/>
      <c r="L1333" s="2705"/>
      <c r="M1333" s="2705"/>
      <c r="N1333" s="2705"/>
      <c r="O1333" s="2705"/>
      <c r="P1333" s="2705"/>
      <c r="Q1333" s="2705"/>
      <c r="R1333" s="2705"/>
      <c r="S1333" s="2705"/>
      <c r="T1333" s="2705"/>
      <c r="U1333" s="2705"/>
      <c r="V1333" s="2705"/>
      <c r="W1333" s="2705"/>
      <c r="X1333" s="2705"/>
      <c r="Y1333" s="2804"/>
      <c r="Z1333" s="2705"/>
      <c r="AA1333" s="2705"/>
      <c r="AB1333" s="2705"/>
      <c r="AC1333" s="2705"/>
      <c r="AD1333" s="2705"/>
      <c r="AE1333" s="2705"/>
      <c r="AF1333" s="2705"/>
      <c r="AG1333" s="2705"/>
    </row>
    <row r="1334" spans="5:33" x14ac:dyDescent="0.35">
      <c r="E1334" s="2705"/>
      <c r="F1334" s="2705"/>
      <c r="G1334" s="2480"/>
      <c r="H1334" s="2480"/>
      <c r="I1334" s="2480"/>
      <c r="J1334" s="2480"/>
      <c r="K1334" s="2480"/>
      <c r="L1334" s="2705"/>
      <c r="M1334" s="2705"/>
      <c r="N1334" s="2705"/>
      <c r="O1334" s="2705"/>
      <c r="P1334" s="2705"/>
      <c r="Q1334" s="2705"/>
      <c r="R1334" s="2705"/>
      <c r="S1334" s="2705"/>
      <c r="T1334" s="2705"/>
      <c r="U1334" s="2705"/>
      <c r="V1334" s="2705"/>
      <c r="W1334" s="2705"/>
      <c r="X1334" s="2705"/>
      <c r="Y1334" s="2804"/>
      <c r="Z1334" s="2705"/>
      <c r="AA1334" s="2705"/>
      <c r="AB1334" s="2705"/>
      <c r="AC1334" s="2705"/>
      <c r="AD1334" s="2705"/>
      <c r="AE1334" s="2705"/>
      <c r="AF1334" s="2705"/>
      <c r="AG1334" s="2705"/>
    </row>
    <row r="1335" spans="5:33" x14ac:dyDescent="0.35">
      <c r="E1335" s="2705"/>
      <c r="F1335" s="2705"/>
      <c r="G1335" s="2705"/>
      <c r="H1335" s="2705"/>
      <c r="I1335" s="2705"/>
      <c r="J1335" s="2705"/>
      <c r="K1335" s="2705"/>
      <c r="L1335" s="2705"/>
      <c r="M1335" s="2705"/>
      <c r="N1335" s="2705"/>
      <c r="O1335" s="2705"/>
      <c r="P1335" s="2705"/>
      <c r="Q1335" s="2705"/>
      <c r="R1335" s="2705"/>
      <c r="S1335" s="2705"/>
      <c r="T1335" s="2705"/>
      <c r="U1335" s="2705"/>
      <c r="V1335" s="2705"/>
      <c r="W1335" s="2705"/>
      <c r="X1335" s="2705"/>
      <c r="Y1335" s="2804"/>
      <c r="Z1335" s="2705"/>
      <c r="AA1335" s="2705"/>
      <c r="AB1335" s="2705"/>
      <c r="AC1335" s="2705"/>
      <c r="AD1335" s="2705"/>
      <c r="AE1335" s="2705"/>
      <c r="AF1335" s="2705"/>
      <c r="AG1335" s="2705"/>
    </row>
    <row r="1336" spans="5:33" x14ac:dyDescent="0.35">
      <c r="E1336" s="2705"/>
      <c r="F1336" s="2705"/>
      <c r="G1336" s="2705"/>
      <c r="H1336" s="2705"/>
      <c r="I1336" s="2705"/>
      <c r="J1336" s="2480"/>
      <c r="K1336" s="2480"/>
      <c r="L1336" s="2480"/>
      <c r="M1336" s="2480"/>
      <c r="N1336" s="2480"/>
      <c r="O1336" s="2480"/>
      <c r="P1336" s="2705"/>
      <c r="Q1336" s="2705"/>
      <c r="R1336" s="2705"/>
      <c r="S1336" s="2705"/>
      <c r="T1336" s="2705"/>
      <c r="U1336" s="2705"/>
      <c r="V1336" s="2705"/>
      <c r="W1336" s="2705"/>
      <c r="X1336" s="2705"/>
      <c r="Y1336" s="2804"/>
      <c r="Z1336" s="2705"/>
      <c r="AA1336" s="2705"/>
      <c r="AB1336" s="2705"/>
      <c r="AC1336" s="2705"/>
      <c r="AD1336" s="2705"/>
      <c r="AE1336" s="2705"/>
      <c r="AF1336" s="2705"/>
      <c r="AG1336" s="2705"/>
    </row>
    <row r="1337" spans="5:33" x14ac:dyDescent="0.35">
      <c r="E1337" s="2705"/>
      <c r="F1337" s="2705"/>
      <c r="G1337" s="2705"/>
      <c r="H1337" s="2705"/>
      <c r="I1337" s="2705"/>
      <c r="J1337" s="2480"/>
      <c r="K1337" s="2480"/>
      <c r="L1337" s="2480"/>
      <c r="M1337" s="2480"/>
      <c r="N1337" s="2480"/>
      <c r="O1337" s="2480"/>
      <c r="P1337" s="2705"/>
      <c r="Q1337" s="2705"/>
      <c r="R1337" s="2705"/>
      <c r="S1337" s="2705"/>
      <c r="T1337" s="2705"/>
      <c r="U1337" s="2705"/>
      <c r="V1337" s="2705"/>
      <c r="W1337" s="2705"/>
      <c r="X1337" s="2705"/>
      <c r="Y1337" s="2804"/>
      <c r="Z1337" s="2705"/>
      <c r="AA1337" s="2705"/>
      <c r="AB1337" s="2705"/>
      <c r="AC1337" s="2705"/>
      <c r="AD1337" s="2705"/>
      <c r="AE1337" s="2705"/>
      <c r="AF1337" s="2705"/>
      <c r="AG1337" s="2705"/>
    </row>
    <row r="1338" spans="5:33" x14ac:dyDescent="0.35">
      <c r="E1338" s="2705"/>
      <c r="F1338" s="2705"/>
      <c r="G1338" s="2705"/>
      <c r="H1338" s="2705"/>
      <c r="I1338" s="2705"/>
      <c r="J1338" s="2480"/>
      <c r="K1338" s="2480"/>
      <c r="L1338" s="2480"/>
      <c r="M1338" s="2480"/>
      <c r="N1338" s="2480"/>
      <c r="O1338" s="2480"/>
      <c r="P1338" s="2705"/>
      <c r="Q1338" s="2705"/>
      <c r="R1338" s="2705"/>
      <c r="S1338" s="2705"/>
      <c r="T1338" s="2705"/>
      <c r="U1338" s="2705"/>
      <c r="V1338" s="2705"/>
      <c r="W1338" s="2705"/>
      <c r="X1338" s="2705"/>
      <c r="Y1338" s="2804"/>
      <c r="Z1338" s="2705"/>
      <c r="AA1338" s="2705"/>
      <c r="AB1338" s="2705"/>
      <c r="AC1338" s="2705"/>
      <c r="AD1338" s="2705"/>
      <c r="AE1338" s="2705"/>
      <c r="AF1338" s="2705"/>
      <c r="AG1338" s="2705"/>
    </row>
    <row r="1339" spans="5:33" x14ac:dyDescent="0.35">
      <c r="E1339" s="2705"/>
      <c r="F1339" s="2705"/>
      <c r="G1339" s="2705"/>
      <c r="H1339" s="2705"/>
      <c r="I1339" s="2705"/>
      <c r="J1339" s="2480"/>
      <c r="K1339" s="2480"/>
      <c r="L1339" s="2480"/>
      <c r="M1339" s="2480"/>
      <c r="N1339" s="2480"/>
      <c r="O1339" s="2480"/>
      <c r="P1339" s="2705"/>
      <c r="Q1339" s="2705"/>
      <c r="R1339" s="2705"/>
      <c r="S1339" s="2705"/>
      <c r="T1339" s="2705"/>
      <c r="U1339" s="2705"/>
      <c r="V1339" s="2705"/>
      <c r="W1339" s="2705"/>
      <c r="X1339" s="2705"/>
      <c r="Y1339" s="2804"/>
      <c r="Z1339" s="2705"/>
      <c r="AA1339" s="2705"/>
      <c r="AB1339" s="2705"/>
      <c r="AC1339" s="2705"/>
      <c r="AD1339" s="2705"/>
      <c r="AE1339" s="2705"/>
      <c r="AF1339" s="2705"/>
      <c r="AG1339" s="2705"/>
    </row>
    <row r="1340" spans="5:33" x14ac:dyDescent="0.35">
      <c r="E1340" s="2705"/>
      <c r="F1340" s="2705"/>
      <c r="G1340" s="2705"/>
      <c r="H1340" s="2705"/>
      <c r="I1340" s="2705"/>
      <c r="J1340" s="2480"/>
      <c r="K1340" s="2480"/>
      <c r="L1340" s="2480"/>
      <c r="M1340" s="2480"/>
      <c r="N1340" s="2480"/>
      <c r="O1340" s="2480"/>
      <c r="P1340" s="2705"/>
      <c r="Q1340" s="2705"/>
      <c r="R1340" s="2705"/>
      <c r="S1340" s="2705"/>
      <c r="T1340" s="2705"/>
      <c r="U1340" s="2705"/>
      <c r="V1340" s="2705"/>
      <c r="W1340" s="2705"/>
      <c r="X1340" s="2705"/>
      <c r="Y1340" s="2804"/>
      <c r="Z1340" s="2705"/>
      <c r="AA1340" s="2705"/>
      <c r="AB1340" s="2705"/>
      <c r="AC1340" s="2705"/>
      <c r="AD1340" s="2705"/>
      <c r="AE1340" s="2705"/>
      <c r="AF1340" s="2705"/>
      <c r="AG1340" s="2705"/>
    </row>
    <row r="1341" spans="5:33" x14ac:dyDescent="0.35">
      <c r="E1341" s="2705"/>
      <c r="F1341" s="2705"/>
      <c r="G1341" s="2705"/>
      <c r="H1341" s="2705"/>
      <c r="I1341" s="2705"/>
      <c r="J1341" s="2750"/>
      <c r="K1341" s="2480"/>
      <c r="L1341" s="2480"/>
      <c r="M1341" s="2480"/>
      <c r="N1341" s="2480"/>
      <c r="O1341" s="2480"/>
      <c r="P1341" s="2705"/>
      <c r="Q1341" s="2705"/>
      <c r="R1341" s="2705"/>
      <c r="S1341" s="2705"/>
      <c r="T1341" s="2705"/>
      <c r="U1341" s="2705"/>
      <c r="V1341" s="2705"/>
      <c r="W1341" s="2705"/>
      <c r="X1341" s="2705"/>
      <c r="Y1341" s="2804"/>
      <c r="Z1341" s="2705"/>
      <c r="AA1341" s="2705"/>
      <c r="AB1341" s="2705"/>
      <c r="AC1341" s="2705"/>
      <c r="AD1341" s="2705"/>
      <c r="AE1341" s="2705"/>
      <c r="AF1341" s="2705"/>
      <c r="AG1341" s="2705"/>
    </row>
    <row r="1342" spans="5:33" x14ac:dyDescent="0.35">
      <c r="E1342" s="2705"/>
      <c r="F1342" s="2705"/>
      <c r="G1342" s="2705"/>
      <c r="H1342" s="2705"/>
      <c r="I1342" s="2705"/>
      <c r="J1342" s="2480"/>
      <c r="K1342" s="2480"/>
      <c r="L1342" s="2480"/>
      <c r="M1342" s="2480"/>
      <c r="N1342" s="2480"/>
      <c r="O1342" s="2480"/>
      <c r="P1342" s="2705"/>
      <c r="Q1342" s="2705"/>
      <c r="R1342" s="2705"/>
      <c r="S1342" s="2705"/>
      <c r="T1342" s="2705"/>
      <c r="U1342" s="2705"/>
      <c r="V1342" s="2705"/>
      <c r="W1342" s="2705"/>
      <c r="X1342" s="2705"/>
      <c r="Y1342" s="2804"/>
      <c r="Z1342" s="2705"/>
      <c r="AA1342" s="2705"/>
      <c r="AB1342" s="2705"/>
      <c r="AC1342" s="2705"/>
      <c r="AD1342" s="2705"/>
      <c r="AE1342" s="2705"/>
      <c r="AF1342" s="2705"/>
      <c r="AG1342" s="2705"/>
    </row>
    <row r="1343" spans="5:33" x14ac:dyDescent="0.35">
      <c r="E1343" s="2705"/>
      <c r="F1343" s="2705"/>
      <c r="G1343" s="2705"/>
      <c r="H1343" s="2705"/>
      <c r="I1343" s="2705"/>
      <c r="J1343" s="2480"/>
      <c r="K1343" s="2480"/>
      <c r="L1343" s="2480"/>
      <c r="M1343" s="2480"/>
      <c r="N1343" s="2480"/>
      <c r="O1343" s="2480"/>
      <c r="P1343" s="2705"/>
      <c r="Q1343" s="2705"/>
      <c r="R1343" s="2705"/>
      <c r="S1343" s="2705"/>
      <c r="T1343" s="2705"/>
      <c r="U1343" s="2705"/>
      <c r="V1343" s="2705"/>
      <c r="W1343" s="2705"/>
      <c r="X1343" s="2705"/>
      <c r="Y1343" s="2804"/>
      <c r="Z1343" s="2705"/>
      <c r="AA1343" s="2705"/>
      <c r="AB1343" s="2705"/>
      <c r="AC1343" s="2705"/>
      <c r="AD1343" s="2705"/>
      <c r="AE1343" s="2705"/>
      <c r="AF1343" s="2705"/>
      <c r="AG1343" s="2705"/>
    </row>
    <row r="1344" spans="5:33" x14ac:dyDescent="0.35">
      <c r="E1344" s="2705"/>
      <c r="F1344" s="2705"/>
      <c r="G1344" s="2705"/>
      <c r="H1344" s="2705"/>
      <c r="I1344" s="2705"/>
      <c r="J1344" s="2750"/>
      <c r="K1344" s="2480"/>
      <c r="L1344" s="2480"/>
      <c r="M1344" s="2480"/>
      <c r="N1344" s="2480"/>
      <c r="O1344" s="2480"/>
      <c r="P1344" s="2705"/>
      <c r="Q1344" s="2705"/>
      <c r="R1344" s="2705"/>
      <c r="S1344" s="2705"/>
      <c r="T1344" s="2705"/>
      <c r="U1344" s="2705"/>
      <c r="V1344" s="2705"/>
      <c r="W1344" s="2705"/>
      <c r="X1344" s="2705"/>
      <c r="Y1344" s="2804"/>
      <c r="Z1344" s="2705"/>
      <c r="AA1344" s="2705"/>
      <c r="AB1344" s="2705"/>
      <c r="AC1344" s="2705"/>
      <c r="AD1344" s="2705"/>
      <c r="AE1344" s="2705"/>
      <c r="AF1344" s="2705"/>
      <c r="AG1344" s="2705"/>
    </row>
    <row r="1345" spans="5:33" x14ac:dyDescent="0.35">
      <c r="E1345" s="2705"/>
      <c r="F1345" s="2705"/>
      <c r="G1345" s="2705"/>
      <c r="H1345" s="2705"/>
      <c r="I1345" s="2705"/>
      <c r="J1345" s="2480"/>
      <c r="K1345" s="2480"/>
      <c r="L1345" s="2480"/>
      <c r="M1345" s="2480"/>
      <c r="N1345" s="2480"/>
      <c r="O1345" s="2480"/>
      <c r="P1345" s="2705"/>
      <c r="Q1345" s="2705"/>
      <c r="R1345" s="2705"/>
      <c r="S1345" s="2705"/>
      <c r="T1345" s="2705"/>
      <c r="U1345" s="2705"/>
      <c r="V1345" s="2705"/>
      <c r="W1345" s="2705"/>
      <c r="X1345" s="2705"/>
      <c r="Y1345" s="2804"/>
      <c r="Z1345" s="2705"/>
      <c r="AA1345" s="2705"/>
      <c r="AB1345" s="2705"/>
      <c r="AC1345" s="2705"/>
      <c r="AD1345" s="2705"/>
      <c r="AE1345" s="2705"/>
      <c r="AF1345" s="2705"/>
      <c r="AG1345" s="2705"/>
    </row>
    <row r="1346" spans="5:33" x14ac:dyDescent="0.35">
      <c r="E1346" s="2705"/>
      <c r="F1346" s="2705"/>
      <c r="G1346" s="2705"/>
      <c r="H1346" s="2705"/>
      <c r="I1346" s="2705"/>
      <c r="J1346" s="2480"/>
      <c r="K1346" s="2480"/>
      <c r="L1346" s="2480"/>
      <c r="M1346" s="2480"/>
      <c r="N1346" s="2480"/>
      <c r="O1346" s="2480"/>
      <c r="P1346" s="2705"/>
      <c r="Q1346" s="2705"/>
      <c r="R1346" s="2705"/>
      <c r="S1346" s="2705"/>
      <c r="T1346" s="2705"/>
      <c r="U1346" s="2705"/>
      <c r="V1346" s="2705"/>
      <c r="W1346" s="2705"/>
      <c r="X1346" s="2705"/>
      <c r="Y1346" s="2804"/>
      <c r="Z1346" s="2705"/>
      <c r="AA1346" s="2705"/>
      <c r="AB1346" s="2705"/>
      <c r="AC1346" s="2705"/>
      <c r="AD1346" s="2705"/>
      <c r="AE1346" s="2705"/>
      <c r="AF1346" s="2705"/>
      <c r="AG1346" s="2705"/>
    </row>
    <row r="1347" spans="5:33" x14ac:dyDescent="0.35">
      <c r="E1347" s="2705"/>
      <c r="F1347" s="2705"/>
      <c r="G1347" s="2705"/>
      <c r="H1347" s="2705"/>
      <c r="I1347" s="2705"/>
      <c r="J1347" s="2480"/>
      <c r="K1347" s="2480"/>
      <c r="L1347" s="2480"/>
      <c r="M1347" s="2480"/>
      <c r="N1347" s="2480"/>
      <c r="O1347" s="2480"/>
      <c r="P1347" s="2705"/>
      <c r="Q1347" s="2705"/>
      <c r="R1347" s="2705"/>
      <c r="S1347" s="2705"/>
      <c r="T1347" s="2705"/>
      <c r="U1347" s="2705"/>
      <c r="V1347" s="2705"/>
      <c r="W1347" s="2705"/>
      <c r="X1347" s="2705"/>
      <c r="Y1347" s="2804"/>
      <c r="Z1347" s="2705"/>
      <c r="AA1347" s="2705"/>
      <c r="AB1347" s="2705"/>
      <c r="AC1347" s="2705"/>
      <c r="AD1347" s="2705"/>
      <c r="AE1347" s="2705"/>
      <c r="AF1347" s="2705"/>
      <c r="AG1347" s="2705"/>
    </row>
    <row r="1348" spans="5:33" x14ac:dyDescent="0.35">
      <c r="E1348" s="2705"/>
      <c r="F1348" s="2705"/>
      <c r="G1348" s="2705"/>
      <c r="H1348" s="2705"/>
      <c r="I1348" s="2705"/>
      <c r="J1348" s="2480"/>
      <c r="K1348" s="2480"/>
      <c r="L1348" s="2480"/>
      <c r="M1348" s="2480"/>
      <c r="N1348" s="2480"/>
      <c r="O1348" s="2480"/>
      <c r="P1348" s="2705"/>
      <c r="Q1348" s="2705"/>
      <c r="R1348" s="2705"/>
      <c r="S1348" s="2705"/>
      <c r="T1348" s="2705"/>
      <c r="U1348" s="2705"/>
      <c r="V1348" s="2705"/>
      <c r="W1348" s="2705"/>
      <c r="X1348" s="2705"/>
      <c r="Y1348" s="2804"/>
      <c r="Z1348" s="2705"/>
      <c r="AA1348" s="2705"/>
      <c r="AB1348" s="2705"/>
      <c r="AC1348" s="2705"/>
      <c r="AD1348" s="2705"/>
      <c r="AE1348" s="2705"/>
      <c r="AF1348" s="2705"/>
      <c r="AG1348" s="2705"/>
    </row>
    <row r="1349" spans="5:33" x14ac:dyDescent="0.35">
      <c r="E1349" s="2705"/>
      <c r="F1349" s="2705"/>
      <c r="G1349" s="2705"/>
      <c r="H1349" s="2705"/>
      <c r="I1349" s="2705"/>
      <c r="J1349" s="2480"/>
      <c r="K1349" s="2480"/>
      <c r="L1349" s="2480"/>
      <c r="M1349" s="2480"/>
      <c r="N1349" s="2480"/>
      <c r="O1349" s="2480"/>
      <c r="P1349" s="2705"/>
      <c r="Q1349" s="2705"/>
      <c r="R1349" s="2705"/>
      <c r="S1349" s="2705"/>
      <c r="T1349" s="2705"/>
      <c r="U1349" s="2705"/>
      <c r="V1349" s="2705"/>
      <c r="W1349" s="2705"/>
      <c r="X1349" s="2705"/>
      <c r="Y1349" s="2804"/>
      <c r="Z1349" s="2705"/>
      <c r="AA1349" s="2705"/>
      <c r="AB1349" s="2705"/>
      <c r="AC1349" s="2705"/>
      <c r="AD1349" s="2705"/>
      <c r="AE1349" s="2705"/>
      <c r="AF1349" s="2705"/>
      <c r="AG1349" s="2705"/>
    </row>
    <row r="1350" spans="5:33" x14ac:dyDescent="0.35">
      <c r="E1350" s="2705"/>
      <c r="F1350" s="2705"/>
      <c r="G1350" s="2705"/>
      <c r="H1350" s="2705"/>
      <c r="I1350" s="2705"/>
      <c r="J1350" s="2750"/>
      <c r="K1350" s="2480"/>
      <c r="L1350" s="2480"/>
      <c r="M1350" s="2480"/>
      <c r="N1350" s="2480"/>
      <c r="O1350" s="2480"/>
      <c r="P1350" s="2705"/>
      <c r="Q1350" s="2705"/>
      <c r="R1350" s="2705"/>
      <c r="S1350" s="2705"/>
      <c r="T1350" s="2705"/>
      <c r="U1350" s="2705"/>
      <c r="V1350" s="2705"/>
      <c r="W1350" s="2705"/>
      <c r="X1350" s="2705"/>
      <c r="Y1350" s="2804"/>
      <c r="Z1350" s="2705"/>
      <c r="AA1350" s="2705"/>
      <c r="AB1350" s="2705"/>
      <c r="AC1350" s="2705"/>
      <c r="AD1350" s="2705"/>
      <c r="AE1350" s="2705"/>
      <c r="AF1350" s="2705"/>
      <c r="AG1350" s="2705"/>
    </row>
    <row r="1351" spans="5:33" x14ac:dyDescent="0.35">
      <c r="E1351" s="2705"/>
      <c r="F1351" s="2705"/>
      <c r="G1351" s="2705"/>
      <c r="H1351" s="2705"/>
      <c r="I1351" s="2705"/>
      <c r="J1351" s="2750"/>
      <c r="K1351" s="2480"/>
      <c r="L1351" s="2480"/>
      <c r="M1351" s="2480"/>
      <c r="N1351" s="2480"/>
      <c r="O1351" s="2480"/>
      <c r="P1351" s="2705"/>
      <c r="Q1351" s="2705"/>
      <c r="R1351" s="2705"/>
      <c r="S1351" s="2705"/>
      <c r="T1351" s="2705"/>
      <c r="U1351" s="2705"/>
      <c r="V1351" s="2705"/>
      <c r="W1351" s="2705"/>
      <c r="X1351" s="2705"/>
      <c r="Y1351" s="2804"/>
      <c r="Z1351" s="2705"/>
      <c r="AA1351" s="2705"/>
      <c r="AB1351" s="2705"/>
      <c r="AC1351" s="2705"/>
      <c r="AD1351" s="2705"/>
      <c r="AE1351" s="2705"/>
      <c r="AF1351" s="2705"/>
      <c r="AG1351" s="2705"/>
    </row>
    <row r="1352" spans="5:33" x14ac:dyDescent="0.35">
      <c r="E1352" s="2705"/>
      <c r="F1352" s="2705"/>
      <c r="G1352" s="2705"/>
      <c r="H1352" s="2705"/>
      <c r="I1352" s="2705"/>
      <c r="J1352" s="2750"/>
      <c r="K1352" s="2480"/>
      <c r="L1352" s="2480"/>
      <c r="M1352" s="2480"/>
      <c r="N1352" s="2480"/>
      <c r="O1352" s="2480"/>
      <c r="P1352" s="2705"/>
      <c r="Q1352" s="2705"/>
      <c r="R1352" s="2705"/>
      <c r="S1352" s="2705"/>
      <c r="T1352" s="2705"/>
      <c r="U1352" s="2705"/>
      <c r="V1352" s="2705"/>
      <c r="W1352" s="2705"/>
      <c r="X1352" s="2705"/>
      <c r="Y1352" s="2804"/>
      <c r="Z1352" s="2705"/>
      <c r="AA1352" s="2705"/>
      <c r="AB1352" s="2705"/>
      <c r="AC1352" s="2705"/>
      <c r="AD1352" s="2705"/>
      <c r="AE1352" s="2705"/>
      <c r="AF1352" s="2705"/>
      <c r="AG1352" s="2705"/>
    </row>
    <row r="1353" spans="5:33" x14ac:dyDescent="0.35">
      <c r="E1353" s="2705"/>
      <c r="F1353" s="2705"/>
      <c r="G1353" s="2705"/>
      <c r="H1353" s="2705"/>
      <c r="I1353" s="2705"/>
      <c r="J1353" s="2480"/>
      <c r="K1353" s="2480"/>
      <c r="L1353" s="2480"/>
      <c r="M1353" s="2480"/>
      <c r="N1353" s="2480"/>
      <c r="O1353" s="2480"/>
      <c r="P1353" s="2705"/>
      <c r="Q1353" s="2705"/>
      <c r="R1353" s="2705"/>
      <c r="S1353" s="2705"/>
      <c r="T1353" s="2705"/>
      <c r="U1353" s="2705"/>
      <c r="V1353" s="2705"/>
      <c r="W1353" s="2705"/>
      <c r="X1353" s="2705"/>
      <c r="Y1353" s="2804"/>
      <c r="Z1353" s="2705"/>
      <c r="AA1353" s="2705"/>
      <c r="AB1353" s="2705"/>
      <c r="AC1353" s="2705"/>
      <c r="AD1353" s="2705"/>
      <c r="AE1353" s="2705"/>
      <c r="AF1353" s="2705"/>
      <c r="AG1353" s="2705"/>
    </row>
    <row r="1354" spans="5:33" x14ac:dyDescent="0.35">
      <c r="E1354" s="2705"/>
      <c r="F1354" s="2705"/>
      <c r="G1354" s="2705"/>
      <c r="H1354" s="2705"/>
      <c r="I1354" s="2705"/>
      <c r="J1354" s="2480"/>
      <c r="K1354" s="2480"/>
      <c r="L1354" s="2480"/>
      <c r="M1354" s="2480"/>
      <c r="N1354" s="2480"/>
      <c r="O1354" s="2480"/>
      <c r="P1354" s="2705"/>
      <c r="Q1354" s="2705"/>
      <c r="R1354" s="2705"/>
      <c r="S1354" s="2705"/>
      <c r="T1354" s="2705"/>
      <c r="U1354" s="2705"/>
      <c r="V1354" s="2705"/>
      <c r="W1354" s="2705"/>
      <c r="X1354" s="2705"/>
      <c r="Y1354" s="2804"/>
      <c r="Z1354" s="2705"/>
      <c r="AA1354" s="2705"/>
      <c r="AB1354" s="2705"/>
      <c r="AC1354" s="2705"/>
      <c r="AD1354" s="2705"/>
      <c r="AE1354" s="2705"/>
      <c r="AF1354" s="2705"/>
      <c r="AG1354" s="2705"/>
    </row>
    <row r="1355" spans="5:33" x14ac:dyDescent="0.35">
      <c r="E1355" s="2705"/>
      <c r="F1355" s="2705"/>
      <c r="G1355" s="2705"/>
      <c r="H1355" s="2705"/>
      <c r="I1355" s="2705"/>
      <c r="J1355" s="2480"/>
      <c r="K1355" s="2480"/>
      <c r="L1355" s="2480"/>
      <c r="M1355" s="2480"/>
      <c r="N1355" s="2480"/>
      <c r="O1355" s="2480"/>
      <c r="P1355" s="2705"/>
      <c r="Q1355" s="2705"/>
      <c r="R1355" s="2705"/>
      <c r="S1355" s="2705"/>
      <c r="T1355" s="2705"/>
      <c r="U1355" s="2705"/>
      <c r="V1355" s="2705"/>
      <c r="W1355" s="2705"/>
      <c r="X1355" s="2705"/>
      <c r="Y1355" s="2804"/>
      <c r="Z1355" s="2705"/>
      <c r="AA1355" s="2705"/>
      <c r="AB1355" s="2705"/>
      <c r="AC1355" s="2705"/>
      <c r="AD1355" s="2705"/>
      <c r="AE1355" s="2705"/>
      <c r="AF1355" s="2705"/>
      <c r="AG1355" s="2705"/>
    </row>
    <row r="1356" spans="5:33" x14ac:dyDescent="0.35">
      <c r="E1356" s="2705"/>
      <c r="F1356" s="2705"/>
      <c r="G1356" s="2705"/>
      <c r="H1356" s="2705"/>
      <c r="I1356" s="2705"/>
      <c r="J1356" s="2480"/>
      <c r="K1356" s="2480"/>
      <c r="L1356" s="2480"/>
      <c r="M1356" s="2480"/>
      <c r="N1356" s="2480"/>
      <c r="O1356" s="2480"/>
      <c r="P1356" s="2705"/>
      <c r="Q1356" s="2705"/>
      <c r="R1356" s="2705"/>
      <c r="S1356" s="2705"/>
      <c r="T1356" s="2705"/>
      <c r="U1356" s="2705"/>
      <c r="V1356" s="2705"/>
      <c r="W1356" s="2705"/>
      <c r="X1356" s="2705"/>
      <c r="Y1356" s="2804"/>
      <c r="Z1356" s="2705"/>
      <c r="AA1356" s="2705"/>
      <c r="AB1356" s="2705"/>
      <c r="AC1356" s="2705"/>
      <c r="AD1356" s="2705"/>
      <c r="AE1356" s="2705"/>
      <c r="AF1356" s="2705"/>
      <c r="AG1356" s="2705"/>
    </row>
    <row r="1357" spans="5:33" x14ac:dyDescent="0.35">
      <c r="E1357" s="2705"/>
      <c r="F1357" s="2705"/>
      <c r="G1357" s="2705"/>
      <c r="H1357" s="2705"/>
      <c r="I1357" s="2705"/>
      <c r="J1357" s="2480"/>
      <c r="K1357" s="2480"/>
      <c r="L1357" s="2480"/>
      <c r="M1357" s="2480"/>
      <c r="N1357" s="2480"/>
      <c r="O1357" s="2480"/>
      <c r="P1357" s="2705"/>
      <c r="Q1357" s="2705"/>
      <c r="R1357" s="2705"/>
      <c r="S1357" s="2705"/>
      <c r="T1357" s="2705"/>
      <c r="U1357" s="2705"/>
      <c r="V1357" s="2705"/>
      <c r="W1357" s="2705"/>
      <c r="X1357" s="2705"/>
      <c r="Y1357" s="2804"/>
      <c r="Z1357" s="2705"/>
      <c r="AA1357" s="2705"/>
      <c r="AB1357" s="2705"/>
      <c r="AC1357" s="2705"/>
      <c r="AD1357" s="2705"/>
      <c r="AE1357" s="2705"/>
      <c r="AF1357" s="2705"/>
      <c r="AG1357" s="2705"/>
    </row>
    <row r="1358" spans="5:33" x14ac:dyDescent="0.35">
      <c r="E1358" s="2705"/>
      <c r="F1358" s="2705"/>
      <c r="G1358" s="2705"/>
      <c r="H1358" s="2705"/>
      <c r="I1358" s="2705"/>
      <c r="J1358" s="2480"/>
      <c r="K1358" s="2480"/>
      <c r="L1358" s="2480"/>
      <c r="M1358" s="2480"/>
      <c r="N1358" s="2480"/>
      <c r="O1358" s="2480"/>
      <c r="P1358" s="2705"/>
      <c r="Q1358" s="2705"/>
      <c r="R1358" s="2705"/>
      <c r="S1358" s="2705"/>
      <c r="T1358" s="2705"/>
      <c r="U1358" s="2705"/>
      <c r="V1358" s="2705"/>
      <c r="W1358" s="2705"/>
      <c r="X1358" s="2705"/>
      <c r="Y1358" s="2804"/>
      <c r="Z1358" s="2705"/>
      <c r="AA1358" s="2705"/>
      <c r="AB1358" s="2705"/>
      <c r="AC1358" s="2705"/>
      <c r="AD1358" s="2705"/>
      <c r="AE1358" s="2705"/>
      <c r="AF1358" s="2705"/>
      <c r="AG1358" s="2705"/>
    </row>
    <row r="1359" spans="5:33" x14ac:dyDescent="0.35">
      <c r="E1359" s="2705"/>
      <c r="F1359" s="2705"/>
      <c r="G1359" s="2705"/>
      <c r="H1359" s="2705"/>
      <c r="I1359" s="2705"/>
      <c r="J1359" s="2705"/>
      <c r="K1359" s="2705"/>
      <c r="L1359" s="2705"/>
      <c r="M1359" s="2705"/>
      <c r="N1359" s="2705"/>
      <c r="O1359" s="2705"/>
      <c r="P1359" s="2705"/>
      <c r="Q1359" s="2705"/>
      <c r="R1359" s="2705"/>
      <c r="S1359" s="2705"/>
      <c r="T1359" s="2705"/>
      <c r="U1359" s="2705"/>
      <c r="V1359" s="2705"/>
      <c r="W1359" s="2705"/>
      <c r="X1359" s="2705"/>
      <c r="Y1359" s="2804"/>
      <c r="Z1359" s="2705"/>
      <c r="AA1359" s="2705"/>
      <c r="AB1359" s="2705"/>
      <c r="AC1359" s="2705"/>
      <c r="AD1359" s="2705"/>
      <c r="AE1359" s="2705"/>
      <c r="AF1359" s="2705"/>
      <c r="AG1359" s="2705"/>
    </row>
    <row r="1360" spans="5:33" x14ac:dyDescent="0.35">
      <c r="E1360" s="2705"/>
      <c r="F1360" s="2705"/>
      <c r="G1360" s="2705"/>
      <c r="H1360" s="2705"/>
      <c r="I1360" s="2705"/>
      <c r="J1360" s="2705"/>
      <c r="K1360" s="2705"/>
      <c r="L1360" s="2705"/>
      <c r="M1360" s="2705"/>
      <c r="N1360" s="2705"/>
      <c r="O1360" s="2705"/>
      <c r="P1360" s="2705"/>
      <c r="Q1360" s="2705"/>
      <c r="R1360" s="2705"/>
      <c r="S1360" s="2705"/>
      <c r="T1360" s="2705"/>
      <c r="U1360" s="2705"/>
      <c r="V1360" s="2705"/>
      <c r="W1360" s="2705"/>
      <c r="X1360" s="2705"/>
      <c r="Y1360" s="2804"/>
      <c r="Z1360" s="2705"/>
      <c r="AA1360" s="2705"/>
      <c r="AB1360" s="2705"/>
      <c r="AC1360" s="2705"/>
      <c r="AD1360" s="2705"/>
      <c r="AE1360" s="2705"/>
      <c r="AF1360" s="2705"/>
      <c r="AG1360" s="2705"/>
    </row>
    <row r="1361" spans="5:33" x14ac:dyDescent="0.35">
      <c r="E1361" s="2705"/>
      <c r="F1361" s="2705"/>
      <c r="G1361" s="2705"/>
      <c r="H1361" s="2705"/>
      <c r="I1361" s="2705"/>
      <c r="J1361" s="2705"/>
      <c r="K1361" s="2705"/>
      <c r="L1361" s="2705"/>
      <c r="M1361" s="2705"/>
      <c r="N1361" s="2705"/>
      <c r="O1361" s="2705"/>
      <c r="P1361" s="2705"/>
      <c r="Q1361" s="2705"/>
      <c r="R1361" s="2705"/>
      <c r="S1361" s="2705"/>
      <c r="T1361" s="2705"/>
      <c r="U1361" s="2705"/>
      <c r="V1361" s="2705"/>
      <c r="W1361" s="2705"/>
      <c r="X1361" s="2705"/>
      <c r="Y1361" s="2804"/>
      <c r="Z1361" s="2705"/>
      <c r="AA1361" s="2705"/>
      <c r="AB1361" s="2705"/>
      <c r="AC1361" s="2705"/>
      <c r="AD1361" s="2705"/>
      <c r="AE1361" s="2705"/>
      <c r="AF1361" s="2705"/>
      <c r="AG1361" s="2705"/>
    </row>
    <row r="1362" spans="5:33" x14ac:dyDescent="0.35">
      <c r="E1362" s="2705"/>
      <c r="F1362" s="2705"/>
      <c r="G1362" s="2705"/>
      <c r="H1362" s="2705"/>
      <c r="I1362" s="2705"/>
      <c r="J1362" s="2705"/>
      <c r="K1362" s="2705"/>
      <c r="L1362" s="2705"/>
      <c r="M1362" s="2705"/>
      <c r="N1362" s="2705"/>
      <c r="O1362" s="2705"/>
      <c r="P1362" s="2705"/>
      <c r="Q1362" s="2705"/>
      <c r="R1362" s="2705"/>
      <c r="S1362" s="2705"/>
      <c r="T1362" s="2705"/>
      <c r="U1362" s="2705"/>
      <c r="V1362" s="2705"/>
      <c r="W1362" s="2705"/>
      <c r="X1362" s="2705"/>
      <c r="Y1362" s="2804"/>
      <c r="Z1362" s="2705"/>
      <c r="AA1362" s="2705"/>
      <c r="AB1362" s="2705"/>
      <c r="AC1362" s="2705"/>
      <c r="AD1362" s="2705"/>
      <c r="AE1362" s="2705"/>
      <c r="AF1362" s="2705"/>
      <c r="AG1362" s="2705"/>
    </row>
    <row r="1363" spans="5:33" x14ac:dyDescent="0.35">
      <c r="E1363" s="2705"/>
      <c r="F1363" s="2705"/>
      <c r="G1363" s="2705"/>
      <c r="H1363" s="2705"/>
      <c r="I1363" s="2705"/>
      <c r="J1363" s="2705"/>
      <c r="K1363" s="2705"/>
      <c r="L1363" s="2705"/>
      <c r="M1363" s="2705"/>
      <c r="N1363" s="2705"/>
      <c r="O1363" s="2705"/>
      <c r="P1363" s="2705"/>
      <c r="Q1363" s="2705"/>
      <c r="R1363" s="2705"/>
      <c r="S1363" s="2705"/>
      <c r="T1363" s="2705"/>
      <c r="U1363" s="2705"/>
      <c r="V1363" s="2705"/>
      <c r="W1363" s="2705"/>
      <c r="X1363" s="2705"/>
      <c r="Y1363" s="2804"/>
      <c r="Z1363" s="2705"/>
      <c r="AA1363" s="2705"/>
      <c r="AB1363" s="2705"/>
      <c r="AC1363" s="2705"/>
      <c r="AD1363" s="2705"/>
      <c r="AE1363" s="2705"/>
      <c r="AF1363" s="2705"/>
      <c r="AG1363" s="2705"/>
    </row>
    <row r="1364" spans="5:33" x14ac:dyDescent="0.35">
      <c r="E1364" s="2705"/>
      <c r="F1364" s="2705"/>
      <c r="G1364" s="2705"/>
      <c r="H1364" s="2705"/>
      <c r="I1364" s="2705"/>
      <c r="J1364" s="2705"/>
      <c r="K1364" s="2705"/>
      <c r="L1364" s="2705"/>
      <c r="M1364" s="2705"/>
      <c r="N1364" s="2705"/>
      <c r="O1364" s="2705"/>
      <c r="P1364" s="2705"/>
      <c r="Q1364" s="2705"/>
      <c r="R1364" s="2705"/>
      <c r="S1364" s="2705"/>
      <c r="T1364" s="2705"/>
      <c r="U1364" s="2705"/>
      <c r="V1364" s="2705"/>
      <c r="W1364" s="2705"/>
      <c r="X1364" s="2705"/>
      <c r="Y1364" s="2804"/>
      <c r="Z1364" s="2705"/>
      <c r="AA1364" s="2705"/>
      <c r="AB1364" s="2705"/>
      <c r="AC1364" s="2705"/>
      <c r="AD1364" s="2705"/>
      <c r="AE1364" s="2705"/>
      <c r="AF1364" s="2705"/>
      <c r="AG1364" s="2705"/>
    </row>
    <row r="1365" spans="5:33" x14ac:dyDescent="0.35">
      <c r="E1365" s="2705"/>
      <c r="F1365" s="2705"/>
      <c r="G1365" s="2705"/>
      <c r="H1365" s="2705"/>
      <c r="I1365" s="2705"/>
      <c r="J1365" s="2705"/>
      <c r="K1365" s="2705"/>
      <c r="L1365" s="2705"/>
      <c r="M1365" s="2705"/>
      <c r="N1365" s="2705"/>
      <c r="O1365" s="2705"/>
      <c r="P1365" s="2705"/>
      <c r="Q1365" s="2705"/>
      <c r="R1365" s="2705"/>
      <c r="S1365" s="2705"/>
      <c r="T1365" s="2705"/>
      <c r="U1365" s="2705"/>
      <c r="V1365" s="2705"/>
      <c r="W1365" s="2705"/>
      <c r="X1365" s="2705"/>
      <c r="Y1365" s="2804"/>
      <c r="Z1365" s="2705"/>
      <c r="AA1365" s="2705"/>
      <c r="AB1365" s="2705"/>
      <c r="AC1365" s="2705"/>
      <c r="AD1365" s="2705"/>
      <c r="AE1365" s="2705"/>
      <c r="AF1365" s="2705"/>
      <c r="AG1365" s="2705"/>
    </row>
    <row r="1366" spans="5:33" x14ac:dyDescent="0.35">
      <c r="E1366" s="2705"/>
      <c r="F1366" s="2705"/>
      <c r="G1366" s="2705"/>
      <c r="H1366" s="2705"/>
      <c r="I1366" s="2705"/>
      <c r="J1366" s="2705"/>
      <c r="K1366" s="2705"/>
      <c r="L1366" s="2705"/>
      <c r="M1366" s="2705"/>
      <c r="N1366" s="2705"/>
      <c r="O1366" s="2705"/>
      <c r="P1366" s="2705"/>
      <c r="Q1366" s="2705"/>
      <c r="R1366" s="2705"/>
      <c r="S1366" s="2705"/>
      <c r="T1366" s="2705"/>
      <c r="U1366" s="2705"/>
      <c r="V1366" s="2705"/>
      <c r="W1366" s="2705"/>
      <c r="X1366" s="2705"/>
      <c r="Y1366" s="2804"/>
      <c r="Z1366" s="2705"/>
      <c r="AA1366" s="2705"/>
      <c r="AB1366" s="2705"/>
      <c r="AC1366" s="2705"/>
      <c r="AD1366" s="2705"/>
      <c r="AE1366" s="2705"/>
      <c r="AF1366" s="2705"/>
      <c r="AG1366" s="2705"/>
    </row>
    <row r="1367" spans="5:33" x14ac:dyDescent="0.35">
      <c r="E1367" s="2705"/>
      <c r="F1367" s="2705"/>
      <c r="G1367" s="2705"/>
      <c r="H1367" s="2705"/>
      <c r="I1367" s="2705"/>
      <c r="J1367" s="2705"/>
      <c r="K1367" s="2705"/>
      <c r="L1367" s="2705"/>
      <c r="M1367" s="2705"/>
      <c r="N1367" s="2705"/>
      <c r="O1367" s="2705"/>
      <c r="P1367" s="2705"/>
      <c r="Q1367" s="2705"/>
      <c r="R1367" s="2705"/>
      <c r="S1367" s="2705"/>
      <c r="T1367" s="2705"/>
      <c r="U1367" s="2705"/>
      <c r="V1367" s="2705"/>
      <c r="W1367" s="2705"/>
      <c r="X1367" s="2705"/>
      <c r="Y1367" s="2804"/>
      <c r="Z1367" s="2705"/>
      <c r="AA1367" s="2705"/>
      <c r="AB1367" s="2705"/>
      <c r="AC1367" s="2705"/>
      <c r="AD1367" s="2705"/>
      <c r="AE1367" s="2705"/>
      <c r="AF1367" s="2705"/>
      <c r="AG1367" s="2705"/>
    </row>
    <row r="1368" spans="5:33" x14ac:dyDescent="0.35">
      <c r="E1368" s="2705"/>
      <c r="F1368" s="2705"/>
      <c r="G1368" s="2705"/>
      <c r="H1368" s="2705"/>
      <c r="I1368" s="2705"/>
      <c r="J1368" s="2705"/>
      <c r="K1368" s="2705"/>
      <c r="L1368" s="2705"/>
      <c r="M1368" s="2705"/>
      <c r="N1368" s="2705"/>
      <c r="O1368" s="2705"/>
      <c r="P1368" s="2705"/>
      <c r="Q1368" s="2705"/>
      <c r="R1368" s="2705"/>
      <c r="S1368" s="2705"/>
      <c r="T1368" s="2705"/>
      <c r="U1368" s="2705"/>
      <c r="V1368" s="2705"/>
      <c r="W1368" s="2705"/>
      <c r="X1368" s="2705"/>
      <c r="Y1368" s="2804"/>
      <c r="Z1368" s="2705"/>
      <c r="AA1368" s="2705"/>
      <c r="AB1368" s="2705"/>
      <c r="AC1368" s="2705"/>
      <c r="AD1368" s="2705"/>
      <c r="AE1368" s="2705"/>
      <c r="AF1368" s="2705"/>
      <c r="AG1368" s="2705"/>
    </row>
    <row r="1369" spans="5:33" x14ac:dyDescent="0.35">
      <c r="E1369" s="2705"/>
      <c r="F1369" s="2705"/>
      <c r="G1369" s="2705"/>
      <c r="H1369" s="2705"/>
      <c r="I1369" s="2705"/>
      <c r="J1369" s="2705"/>
      <c r="K1369" s="2705"/>
      <c r="L1369" s="2705"/>
      <c r="M1369" s="2705"/>
      <c r="N1369" s="2705"/>
      <c r="O1369" s="2705"/>
      <c r="P1369" s="2705"/>
      <c r="Q1369" s="2705"/>
      <c r="R1369" s="2705"/>
      <c r="S1369" s="2705"/>
      <c r="T1369" s="2705"/>
      <c r="U1369" s="2705"/>
      <c r="V1369" s="2705"/>
      <c r="W1369" s="2705"/>
      <c r="X1369" s="2705"/>
      <c r="Y1369" s="2804"/>
      <c r="Z1369" s="2705"/>
      <c r="AA1369" s="2705"/>
      <c r="AB1369" s="2705"/>
      <c r="AC1369" s="2705"/>
      <c r="AD1369" s="2705"/>
      <c r="AE1369" s="2705"/>
      <c r="AF1369" s="2705"/>
      <c r="AG1369" s="2705"/>
    </row>
    <row r="1370" spans="5:33" x14ac:dyDescent="0.35">
      <c r="E1370" s="2705"/>
      <c r="F1370" s="2705"/>
      <c r="G1370" s="2705"/>
      <c r="H1370" s="2705"/>
      <c r="I1370" s="2705"/>
      <c r="J1370" s="2705"/>
      <c r="K1370" s="2705"/>
      <c r="L1370" s="2705"/>
      <c r="M1370" s="2705"/>
      <c r="N1370" s="2705"/>
      <c r="O1370" s="2705"/>
      <c r="P1370" s="2705"/>
      <c r="Q1370" s="2705"/>
      <c r="R1370" s="2705"/>
      <c r="S1370" s="2705"/>
      <c r="T1370" s="2705"/>
      <c r="U1370" s="2705"/>
      <c r="V1370" s="2705"/>
      <c r="W1370" s="2705"/>
      <c r="X1370" s="2705"/>
      <c r="Y1370" s="2804"/>
      <c r="Z1370" s="2705"/>
      <c r="AA1370" s="2705"/>
      <c r="AB1370" s="2705"/>
      <c r="AC1370" s="2705"/>
      <c r="AD1370" s="2705"/>
      <c r="AE1370" s="2705"/>
      <c r="AF1370" s="2705"/>
      <c r="AG1370" s="2705"/>
    </row>
    <row r="1371" spans="5:33" x14ac:dyDescent="0.35">
      <c r="E1371" s="2705"/>
      <c r="F1371" s="2705"/>
      <c r="G1371" s="2705"/>
      <c r="H1371" s="2705"/>
      <c r="I1371" s="2705"/>
      <c r="J1371" s="2705"/>
      <c r="K1371" s="2705"/>
      <c r="L1371" s="2705"/>
      <c r="M1371" s="2705"/>
      <c r="N1371" s="2705"/>
      <c r="O1371" s="2705"/>
      <c r="P1371" s="2705"/>
      <c r="Q1371" s="2705"/>
      <c r="R1371" s="2705"/>
      <c r="S1371" s="2705"/>
      <c r="T1371" s="2705"/>
      <c r="U1371" s="2705"/>
      <c r="V1371" s="2705"/>
      <c r="W1371" s="2705"/>
      <c r="X1371" s="2705"/>
      <c r="Y1371" s="2804"/>
      <c r="Z1371" s="2705"/>
      <c r="AA1371" s="2705"/>
      <c r="AB1371" s="2705"/>
      <c r="AC1371" s="2705"/>
      <c r="AD1371" s="2705"/>
      <c r="AE1371" s="2705"/>
      <c r="AF1371" s="2705"/>
      <c r="AG1371" s="2705"/>
    </row>
    <row r="1372" spans="5:33" x14ac:dyDescent="0.35">
      <c r="E1372" s="2705"/>
      <c r="F1372" s="2705"/>
      <c r="G1372" s="2705"/>
      <c r="H1372" s="2705"/>
      <c r="I1372" s="2705"/>
      <c r="J1372" s="2705"/>
      <c r="K1372" s="2705"/>
      <c r="L1372" s="2705"/>
      <c r="M1372" s="2705"/>
      <c r="N1372" s="2705"/>
      <c r="O1372" s="2705"/>
      <c r="P1372" s="2705"/>
      <c r="Q1372" s="2705"/>
      <c r="R1372" s="2705"/>
      <c r="S1372" s="2705"/>
      <c r="T1372" s="2705"/>
      <c r="U1372" s="2705"/>
      <c r="V1372" s="2705"/>
      <c r="W1372" s="2705"/>
      <c r="X1372" s="2705"/>
      <c r="Y1372" s="2804"/>
      <c r="Z1372" s="2705"/>
      <c r="AA1372" s="2705"/>
      <c r="AB1372" s="2705"/>
      <c r="AC1372" s="2705"/>
      <c r="AD1372" s="2705"/>
      <c r="AE1372" s="2705"/>
      <c r="AF1372" s="2705"/>
      <c r="AG1372" s="2705"/>
    </row>
    <row r="1373" spans="5:33" x14ac:dyDescent="0.35">
      <c r="E1373" s="2705"/>
      <c r="F1373" s="2705"/>
      <c r="G1373" s="2705"/>
      <c r="H1373" s="2705"/>
      <c r="I1373" s="2705"/>
      <c r="J1373" s="2705"/>
      <c r="K1373" s="2705"/>
      <c r="L1373" s="2705"/>
      <c r="M1373" s="2705"/>
      <c r="N1373" s="2705"/>
      <c r="O1373" s="2705"/>
      <c r="P1373" s="2705"/>
      <c r="Q1373" s="2705"/>
      <c r="R1373" s="2705"/>
      <c r="S1373" s="2705"/>
      <c r="T1373" s="2705"/>
      <c r="U1373" s="2705"/>
      <c r="V1373" s="2705"/>
      <c r="W1373" s="2705"/>
      <c r="X1373" s="2705"/>
      <c r="Y1373" s="2804"/>
      <c r="Z1373" s="2705"/>
      <c r="AA1373" s="2705"/>
      <c r="AB1373" s="2705"/>
      <c r="AC1373" s="2705"/>
      <c r="AD1373" s="2705"/>
      <c r="AE1373" s="2705"/>
      <c r="AF1373" s="2705"/>
      <c r="AG1373" s="2705"/>
    </row>
    <row r="1374" spans="5:33" x14ac:dyDescent="0.35">
      <c r="E1374" s="2705"/>
      <c r="F1374" s="2705"/>
      <c r="G1374" s="2705"/>
      <c r="H1374" s="2705"/>
      <c r="I1374" s="2705"/>
      <c r="J1374" s="2705"/>
      <c r="K1374" s="2705"/>
      <c r="L1374" s="2705"/>
      <c r="M1374" s="2705"/>
      <c r="N1374" s="2705"/>
      <c r="O1374" s="2705"/>
      <c r="P1374" s="2705"/>
      <c r="Q1374" s="2705"/>
      <c r="R1374" s="2705"/>
      <c r="S1374" s="2705"/>
      <c r="T1374" s="2705"/>
      <c r="U1374" s="2705"/>
      <c r="V1374" s="2705"/>
      <c r="W1374" s="2705"/>
      <c r="X1374" s="2705"/>
      <c r="Y1374" s="2804"/>
      <c r="Z1374" s="2705"/>
      <c r="AA1374" s="2705"/>
      <c r="AB1374" s="2705"/>
      <c r="AC1374" s="2705"/>
      <c r="AD1374" s="2705"/>
      <c r="AE1374" s="2705"/>
      <c r="AF1374" s="2705"/>
      <c r="AG1374" s="2705"/>
    </row>
    <row r="1375" spans="5:33" x14ac:dyDescent="0.35">
      <c r="E1375" s="2705"/>
      <c r="F1375" s="2705"/>
      <c r="G1375" s="2705"/>
      <c r="H1375" s="2705"/>
      <c r="I1375" s="2705"/>
      <c r="J1375" s="2705"/>
      <c r="K1375" s="2705"/>
      <c r="L1375" s="2705"/>
      <c r="M1375" s="2705"/>
      <c r="N1375" s="2705"/>
      <c r="O1375" s="2705"/>
      <c r="P1375" s="2705"/>
      <c r="Q1375" s="2705"/>
      <c r="R1375" s="2705"/>
      <c r="S1375" s="2705"/>
      <c r="T1375" s="2705"/>
      <c r="U1375" s="2705"/>
      <c r="V1375" s="2705"/>
      <c r="W1375" s="2705"/>
      <c r="X1375" s="2705"/>
      <c r="Y1375" s="2804"/>
      <c r="Z1375" s="2705"/>
      <c r="AA1375" s="2705"/>
      <c r="AB1375" s="2705"/>
      <c r="AC1375" s="2705"/>
      <c r="AD1375" s="2705"/>
      <c r="AE1375" s="2705"/>
      <c r="AF1375" s="2705"/>
      <c r="AG1375" s="2705"/>
    </row>
    <row r="1376" spans="5:33" x14ac:dyDescent="0.35">
      <c r="E1376" s="2705"/>
      <c r="F1376" s="2705"/>
      <c r="G1376" s="2705"/>
      <c r="H1376" s="2705"/>
      <c r="I1376" s="2705"/>
      <c r="J1376" s="2705"/>
      <c r="K1376" s="2705"/>
      <c r="L1376" s="2705"/>
      <c r="M1376" s="2705"/>
      <c r="N1376" s="2705"/>
      <c r="O1376" s="2705"/>
      <c r="P1376" s="2705"/>
      <c r="Q1376" s="2705"/>
      <c r="R1376" s="2705"/>
    </row>
    <row r="1377" spans="5:18" x14ac:dyDescent="0.35">
      <c r="E1377" s="2705"/>
      <c r="F1377" s="2705"/>
      <c r="G1377" s="2705"/>
      <c r="H1377" s="2705"/>
      <c r="I1377" s="2705"/>
      <c r="J1377" s="2705"/>
      <c r="K1377" s="2705"/>
      <c r="L1377" s="2705"/>
      <c r="M1377" s="2705"/>
      <c r="N1377" s="2705"/>
      <c r="O1377" s="2705"/>
      <c r="P1377" s="2705"/>
      <c r="Q1377" s="2705"/>
      <c r="R1377" s="2705"/>
    </row>
    <row r="1378" spans="5:18" x14ac:dyDescent="0.35">
      <c r="E1378" s="2705"/>
      <c r="F1378" s="2705"/>
      <c r="G1378" s="2705"/>
      <c r="H1378" s="2705"/>
      <c r="I1378" s="2705"/>
      <c r="J1378" s="2705"/>
      <c r="K1378" s="2705"/>
      <c r="L1378" s="2705"/>
      <c r="M1378" s="2705"/>
      <c r="N1378" s="2705"/>
      <c r="O1378" s="2705"/>
      <c r="P1378" s="2705"/>
      <c r="Q1378" s="2705"/>
      <c r="R1378" s="2705"/>
    </row>
    <row r="1379" spans="5:18" x14ac:dyDescent="0.35">
      <c r="E1379" s="2705"/>
      <c r="F1379" s="2705"/>
      <c r="G1379" s="2705"/>
      <c r="H1379" s="2705"/>
      <c r="I1379" s="2705"/>
      <c r="J1379" s="2705"/>
      <c r="K1379" s="2705"/>
      <c r="L1379" s="2705"/>
      <c r="M1379" s="2705"/>
      <c r="N1379" s="2705"/>
      <c r="O1379" s="2705"/>
      <c r="P1379" s="2705"/>
      <c r="Q1379" s="2705"/>
      <c r="R1379" s="2705"/>
    </row>
    <row r="1380" spans="5:18" x14ac:dyDescent="0.35">
      <c r="E1380" s="2705"/>
      <c r="F1380" s="2705"/>
      <c r="G1380" s="2705"/>
      <c r="H1380" s="2705"/>
      <c r="I1380" s="2705"/>
      <c r="J1380" s="2705"/>
      <c r="K1380" s="2705"/>
      <c r="L1380" s="2705"/>
      <c r="M1380" s="2705"/>
      <c r="N1380" s="2705"/>
      <c r="O1380" s="2705"/>
      <c r="P1380" s="2705"/>
      <c r="Q1380" s="2705"/>
      <c r="R1380" s="2705"/>
    </row>
    <row r="1381" spans="5:18" x14ac:dyDescent="0.35">
      <c r="E1381" s="2705"/>
      <c r="F1381" s="2705"/>
      <c r="G1381" s="2705"/>
      <c r="H1381" s="2705"/>
      <c r="I1381" s="2705"/>
      <c r="J1381" s="2705"/>
      <c r="K1381" s="2705"/>
      <c r="L1381" s="2705"/>
      <c r="M1381" s="2705"/>
      <c r="N1381" s="2705"/>
      <c r="O1381" s="2705"/>
      <c r="P1381" s="2705"/>
      <c r="Q1381" s="2705"/>
      <c r="R1381" s="2705"/>
    </row>
    <row r="1382" spans="5:18" x14ac:dyDescent="0.35">
      <c r="E1382" s="2705"/>
      <c r="F1382" s="2705"/>
      <c r="G1382" s="2705"/>
      <c r="H1382" s="2705"/>
      <c r="I1382" s="2705"/>
      <c r="J1382" s="2705"/>
      <c r="K1382" s="2705"/>
      <c r="L1382" s="2705"/>
      <c r="M1382" s="2705"/>
      <c r="N1382" s="2705"/>
      <c r="O1382" s="2705"/>
      <c r="P1382" s="2705"/>
      <c r="Q1382" s="2705"/>
      <c r="R1382" s="2705"/>
    </row>
    <row r="1383" spans="5:18" x14ac:dyDescent="0.35">
      <c r="E1383" s="2705"/>
      <c r="F1383" s="2705"/>
      <c r="G1383" s="2705"/>
      <c r="H1383" s="2705"/>
      <c r="I1383" s="2705"/>
      <c r="J1383" s="2705"/>
      <c r="K1383" s="2705"/>
      <c r="L1383" s="2705"/>
      <c r="M1383" s="2705"/>
      <c r="N1383" s="2705"/>
      <c r="O1383" s="2705"/>
      <c r="P1383" s="2705"/>
      <c r="Q1383" s="2705"/>
      <c r="R1383" s="2705"/>
    </row>
    <row r="1384" spans="5:18" x14ac:dyDescent="0.35">
      <c r="E1384" s="2705"/>
      <c r="F1384" s="2705"/>
      <c r="G1384" s="2705"/>
      <c r="H1384" s="2705"/>
      <c r="I1384" s="2705"/>
      <c r="J1384" s="2705"/>
      <c r="K1384" s="2705"/>
      <c r="L1384" s="2705"/>
      <c r="M1384" s="2705"/>
      <c r="N1384" s="2705"/>
      <c r="O1384" s="2705"/>
      <c r="P1384" s="2705"/>
      <c r="Q1384" s="2705"/>
      <c r="R1384" s="2705"/>
    </row>
    <row r="1385" spans="5:18" x14ac:dyDescent="0.35">
      <c r="E1385" s="2705"/>
      <c r="F1385" s="2705"/>
      <c r="G1385" s="2705"/>
      <c r="H1385" s="2705"/>
      <c r="I1385" s="2705"/>
      <c r="J1385" s="2705"/>
      <c r="K1385" s="2705"/>
      <c r="L1385" s="2705"/>
      <c r="M1385" s="2705"/>
      <c r="N1385" s="2705"/>
      <c r="O1385" s="2705"/>
      <c r="P1385" s="2705"/>
      <c r="Q1385" s="2705"/>
      <c r="R1385" s="2705"/>
    </row>
    <row r="1386" spans="5:18" x14ac:dyDescent="0.35">
      <c r="E1386" s="2705"/>
      <c r="F1386" s="2705"/>
      <c r="G1386" s="2705"/>
      <c r="H1386" s="2705"/>
      <c r="I1386" s="2705"/>
      <c r="J1386" s="2705"/>
      <c r="K1386" s="2705"/>
      <c r="L1386" s="2705"/>
      <c r="M1386" s="2705"/>
      <c r="N1386" s="2705"/>
      <c r="O1386" s="2705"/>
      <c r="P1386" s="2705"/>
      <c r="Q1386" s="2705"/>
      <c r="R1386" s="2705"/>
    </row>
    <row r="1387" spans="5:18" x14ac:dyDescent="0.35">
      <c r="E1387" s="2705"/>
      <c r="F1387" s="2705"/>
      <c r="G1387" s="2705"/>
      <c r="H1387" s="2705"/>
      <c r="I1387" s="2705"/>
      <c r="J1387" s="2705"/>
      <c r="K1387" s="2705"/>
      <c r="L1387" s="2705"/>
      <c r="M1387" s="2705"/>
      <c r="N1387" s="2705"/>
      <c r="O1387" s="2705"/>
      <c r="P1387" s="2705"/>
      <c r="Q1387" s="2705"/>
      <c r="R1387" s="2705"/>
    </row>
    <row r="1388" spans="5:18" x14ac:dyDescent="0.35">
      <c r="E1388" s="2705"/>
      <c r="F1388" s="2705"/>
      <c r="G1388" s="2705"/>
      <c r="H1388" s="2705"/>
      <c r="I1388" s="2705"/>
      <c r="J1388" s="2705"/>
      <c r="K1388" s="2705"/>
      <c r="L1388" s="2705"/>
      <c r="M1388" s="2705"/>
      <c r="N1388" s="2705"/>
      <c r="O1388" s="2705"/>
      <c r="P1388" s="2705"/>
      <c r="Q1388" s="2705"/>
      <c r="R1388" s="2705"/>
    </row>
    <row r="1389" spans="5:18" x14ac:dyDescent="0.35">
      <c r="E1389" s="2705"/>
      <c r="F1389" s="2705"/>
      <c r="G1389" s="2705"/>
      <c r="H1389" s="2705"/>
      <c r="I1389" s="2705"/>
      <c r="J1389" s="2705"/>
      <c r="K1389" s="2705"/>
      <c r="L1389" s="2705"/>
      <c r="M1389" s="2705"/>
      <c r="N1389" s="2705"/>
      <c r="O1389" s="2705"/>
      <c r="P1389" s="2705"/>
      <c r="Q1389" s="2705"/>
      <c r="R1389" s="2705"/>
    </row>
    <row r="1390" spans="5:18" x14ac:dyDescent="0.35">
      <c r="E1390" s="2705"/>
      <c r="F1390" s="2705"/>
      <c r="G1390" s="2705"/>
      <c r="H1390" s="2705"/>
      <c r="I1390" s="2705"/>
      <c r="J1390" s="2705"/>
      <c r="K1390" s="2705"/>
      <c r="L1390" s="2705"/>
      <c r="M1390" s="2705"/>
      <c r="N1390" s="2705"/>
      <c r="O1390" s="2705"/>
      <c r="P1390" s="2705"/>
      <c r="Q1390" s="2705"/>
      <c r="R1390" s="2705"/>
    </row>
    <row r="1391" spans="5:18" x14ac:dyDescent="0.35">
      <c r="E1391" s="2705"/>
      <c r="F1391" s="2705"/>
      <c r="G1391" s="2705"/>
      <c r="H1391" s="2705"/>
      <c r="I1391" s="2705"/>
      <c r="J1391" s="2705"/>
      <c r="K1391" s="2705"/>
      <c r="L1391" s="2705"/>
      <c r="M1391" s="2705"/>
      <c r="N1391" s="2705"/>
      <c r="O1391" s="2705"/>
      <c r="P1391" s="2705"/>
      <c r="Q1391" s="2705"/>
      <c r="R1391" s="2705"/>
    </row>
    <row r="1392" spans="5:18" x14ac:dyDescent="0.35">
      <c r="E1392" s="2705"/>
      <c r="F1392" s="2705"/>
      <c r="G1392" s="2705"/>
      <c r="H1392" s="2705"/>
      <c r="I1392" s="2705"/>
      <c r="J1392" s="2705"/>
      <c r="K1392" s="2705"/>
      <c r="L1392" s="2705"/>
      <c r="M1392" s="2705"/>
      <c r="N1392" s="2705"/>
      <c r="O1392" s="2705"/>
      <c r="P1392" s="2705"/>
      <c r="Q1392" s="2705"/>
      <c r="R1392" s="2705"/>
    </row>
    <row r="1393" spans="5:18" x14ac:dyDescent="0.35">
      <c r="E1393" s="2705"/>
      <c r="F1393" s="2705"/>
      <c r="G1393" s="2705"/>
      <c r="H1393" s="2705"/>
      <c r="I1393" s="2705"/>
      <c r="J1393" s="2705"/>
      <c r="K1393" s="2705"/>
      <c r="L1393" s="2705"/>
      <c r="M1393" s="2705"/>
      <c r="N1393" s="2705"/>
      <c r="O1393" s="2705"/>
      <c r="P1393" s="2705"/>
      <c r="Q1393" s="2705"/>
      <c r="R1393" s="2705"/>
    </row>
    <row r="1394" spans="5:18" x14ac:dyDescent="0.35">
      <c r="E1394" s="2705"/>
      <c r="F1394" s="2705"/>
      <c r="G1394" s="2705"/>
      <c r="H1394" s="2705"/>
      <c r="I1394" s="2705"/>
      <c r="J1394" s="2705"/>
      <c r="K1394" s="2705"/>
      <c r="L1394" s="2705"/>
      <c r="M1394" s="2705"/>
      <c r="N1394" s="2705"/>
      <c r="O1394" s="2705"/>
      <c r="P1394" s="2705"/>
      <c r="Q1394" s="2705"/>
      <c r="R1394" s="2705"/>
    </row>
    <row r="1395" spans="5:18" x14ac:dyDescent="0.35">
      <c r="E1395" s="2705"/>
      <c r="F1395" s="2705"/>
      <c r="G1395" s="2705"/>
      <c r="H1395" s="2705"/>
      <c r="I1395" s="2705"/>
      <c r="J1395" s="2705"/>
      <c r="K1395" s="2705"/>
      <c r="L1395" s="2705"/>
      <c r="M1395" s="2705"/>
      <c r="N1395" s="2705"/>
      <c r="O1395" s="2705"/>
      <c r="P1395" s="2705"/>
      <c r="Q1395" s="2705"/>
      <c r="R1395" s="2705"/>
    </row>
    <row r="1396" spans="5:18" x14ac:dyDescent="0.35">
      <c r="E1396" s="2705"/>
      <c r="F1396" s="2705"/>
      <c r="G1396" s="2705"/>
      <c r="H1396" s="2705"/>
      <c r="I1396" s="2705"/>
      <c r="J1396" s="2705"/>
      <c r="K1396" s="2705"/>
      <c r="L1396" s="2705"/>
      <c r="M1396" s="2705"/>
      <c r="N1396" s="2705"/>
      <c r="O1396" s="2705"/>
      <c r="P1396" s="2705"/>
      <c r="Q1396" s="2705"/>
      <c r="R1396" s="2705"/>
    </row>
    <row r="1397" spans="5:18" x14ac:dyDescent="0.35">
      <c r="E1397" s="2705"/>
      <c r="F1397" s="2705"/>
      <c r="G1397" s="2705"/>
      <c r="H1397" s="2705"/>
      <c r="I1397" s="2705"/>
      <c r="J1397" s="2705"/>
      <c r="K1397" s="2705"/>
      <c r="L1397" s="2705"/>
      <c r="M1397" s="2705"/>
      <c r="N1397" s="2705"/>
      <c r="O1397" s="2705"/>
      <c r="P1397" s="2705"/>
      <c r="Q1397" s="2705"/>
      <c r="R1397" s="2705"/>
    </row>
    <row r="1398" spans="5:18" x14ac:dyDescent="0.35">
      <c r="E1398" s="2705"/>
      <c r="F1398" s="2705"/>
      <c r="G1398" s="2705"/>
      <c r="H1398" s="2705"/>
      <c r="I1398" s="2705"/>
      <c r="J1398" s="2705"/>
      <c r="K1398" s="2705"/>
      <c r="L1398" s="2705"/>
      <c r="M1398" s="2705"/>
      <c r="N1398" s="2705"/>
      <c r="O1398" s="2705"/>
      <c r="P1398" s="2705"/>
      <c r="Q1398" s="2705"/>
      <c r="R1398" s="2705"/>
    </row>
    <row r="1399" spans="5:18" x14ac:dyDescent="0.35">
      <c r="E1399" s="2705"/>
      <c r="F1399" s="2705"/>
      <c r="G1399" s="2705"/>
      <c r="H1399" s="2705"/>
      <c r="I1399" s="2705"/>
      <c r="J1399" s="2705"/>
      <c r="K1399" s="2705"/>
      <c r="L1399" s="2705"/>
      <c r="M1399" s="2705"/>
      <c r="N1399" s="2705"/>
      <c r="O1399" s="2705"/>
      <c r="P1399" s="2705"/>
      <c r="Q1399" s="2705"/>
      <c r="R1399" s="2705"/>
    </row>
  </sheetData>
  <phoneticPr fontId="150" type="noConversion"/>
  <printOptions horizontalCentered="1" verticalCentered="1"/>
  <pageMargins left="0" right="0.39370078740157483" top="0" bottom="0" header="0" footer="0"/>
  <pageSetup paperSize="8" scale="40" orientation="landscape"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vt:i4>
      </vt:variant>
    </vt:vector>
  </HeadingPairs>
  <TitlesOfParts>
    <vt:vector size="30" baseType="lpstr">
      <vt:lpstr>CONTOR</vt:lpstr>
      <vt:lpstr>Meniu Lara Sweets</vt:lpstr>
      <vt:lpstr>Aprilie 2020 2.0</vt:lpstr>
      <vt:lpstr>Martie 2020</vt:lpstr>
      <vt:lpstr>Februarie 2020</vt:lpstr>
      <vt:lpstr>Ianuarie 2020</vt:lpstr>
      <vt:lpstr>Situatie Income-Uri</vt:lpstr>
      <vt:lpstr>Tempo</vt:lpstr>
      <vt:lpstr>Decembrie 2019</vt:lpstr>
      <vt:lpstr>Noiembrie 2019</vt:lpstr>
      <vt:lpstr>Octombrie</vt:lpstr>
      <vt:lpstr>Iulie</vt:lpstr>
      <vt:lpstr>Iunie</vt:lpstr>
      <vt:lpstr>Septembrie</vt:lpstr>
      <vt:lpstr>August</vt:lpstr>
      <vt:lpstr>Mai</vt:lpstr>
      <vt:lpstr>Aprilie</vt:lpstr>
      <vt:lpstr>Martie</vt:lpstr>
      <vt:lpstr>Februarie</vt:lpstr>
      <vt:lpstr>Ianuarie</vt:lpstr>
      <vt:lpstr>BNI Istoric</vt:lpstr>
      <vt:lpstr>Decembrie</vt:lpstr>
      <vt:lpstr>Sheet1</vt:lpstr>
      <vt:lpstr>Noiembrie</vt:lpstr>
      <vt:lpstr>Datorii Laura Pop</vt:lpstr>
      <vt:lpstr>Sheet2</vt:lpstr>
      <vt:lpstr>Cozo</vt:lpstr>
      <vt:lpstr>Aprilie 2020</vt:lpstr>
      <vt:lpstr>'Februarie 2020'!Extract</vt:lpstr>
      <vt:lpstr>produse_ls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Tudor</dc:creator>
  <cp:lastModifiedBy>Dan Florea</cp:lastModifiedBy>
  <cp:lastPrinted>2021-05-17T18:06:03Z</cp:lastPrinted>
  <dcterms:created xsi:type="dcterms:W3CDTF">2019-07-30T11:07:41Z</dcterms:created>
  <dcterms:modified xsi:type="dcterms:W3CDTF">2021-05-18T11:39:48Z</dcterms:modified>
</cp:coreProperties>
</file>